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13_ncr:20001_{3908DA80-5D5E-4AA1-9C40-F613CE5FCECC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MAESTRO" sheetId="1" r:id="rId1"/>
    <sheet name="CONTROL ASISTENCIA" sheetId="2" r:id="rId2"/>
    <sheet name="DISTRIBUCION VIP" sheetId="3" r:id="rId3"/>
    <sheet name="LISTADO VIP" sheetId="4" r:id="rId4"/>
    <sheet name="SIN ASIGNAR" sheetId="5" r:id="rId5"/>
    <sheet name="PRUEBA AUTOMATIZACION" sheetId="6" r:id="rId6"/>
    <sheet name="LISTAS" sheetId="7" r:id="rId7"/>
    <sheet name="PARAMETROS VIP" sheetId="8" r:id="rId8"/>
  </sheets>
  <externalReferences>
    <externalReference r:id="rId9"/>
  </externalReferences>
  <definedNames>
    <definedName name="_xlnm._FilterDatabase" localSheetId="0" hidden="1">MAESTRO!$A$1:$CH$1402</definedName>
  </definedNames>
  <calcPr calcId="191029"/>
  <fileRecoveryPr repairLoad="1"/>
</workbook>
</file>

<file path=xl/calcChain.xml><?xml version="1.0" encoding="utf-8"?>
<calcChain xmlns="http://schemas.openxmlformats.org/spreadsheetml/2006/main">
  <c r="A1400" i="4" l="1"/>
  <c r="J1400" i="4" s="1"/>
  <c r="A1399" i="4"/>
  <c r="I1399" i="4" s="1"/>
  <c r="A1398" i="4"/>
  <c r="A1397" i="4"/>
  <c r="J1397" i="4" s="1"/>
  <c r="A1396" i="4"/>
  <c r="A1395" i="4"/>
  <c r="A1394" i="4"/>
  <c r="A1393" i="4"/>
  <c r="J1393" i="4" s="1"/>
  <c r="A1392" i="4"/>
  <c r="G1392" i="4" s="1"/>
  <c r="A1391" i="4"/>
  <c r="A1390" i="4"/>
  <c r="A1389" i="4"/>
  <c r="B1389" i="4" s="1"/>
  <c r="A1388" i="4"/>
  <c r="A1387" i="4"/>
  <c r="F1387" i="4" s="1"/>
  <c r="A1386" i="4"/>
  <c r="E1386" i="4" s="1"/>
  <c r="A1385" i="4"/>
  <c r="E1385" i="4" s="1"/>
  <c r="A1384" i="4"/>
  <c r="A1383" i="4"/>
  <c r="I1383" i="4" s="1"/>
  <c r="A1382" i="4"/>
  <c r="A1381" i="4"/>
  <c r="J1381" i="4" s="1"/>
  <c r="A1380" i="4"/>
  <c r="A1379" i="4"/>
  <c r="A1378" i="4"/>
  <c r="G1378" i="4" s="1"/>
  <c r="A1377" i="4"/>
  <c r="J1377" i="4" s="1"/>
  <c r="A1376" i="4"/>
  <c r="C1376" i="4" s="1"/>
  <c r="A1375" i="4"/>
  <c r="C1375" i="4" s="1"/>
  <c r="A1374" i="4"/>
  <c r="A1373" i="4"/>
  <c r="G1373" i="4" s="1"/>
  <c r="A1372" i="4"/>
  <c r="A1371" i="4"/>
  <c r="A1370" i="4"/>
  <c r="I1370" i="4" s="1"/>
  <c r="A1369" i="4"/>
  <c r="J1369" i="4" s="1"/>
  <c r="A1368" i="4"/>
  <c r="C1368" i="4" s="1"/>
  <c r="A1367" i="4"/>
  <c r="F1367" i="4" s="1"/>
  <c r="A1366" i="4"/>
  <c r="A1365" i="4"/>
  <c r="A1364" i="4"/>
  <c r="E1364" i="4" s="1"/>
  <c r="A1363" i="4"/>
  <c r="E1363" i="4" s="1"/>
  <c r="A1362" i="4"/>
  <c r="A1361" i="4"/>
  <c r="A1360" i="4"/>
  <c r="A1359" i="4"/>
  <c r="F1359" i="4" s="1"/>
  <c r="A1358" i="4"/>
  <c r="A1357" i="4"/>
  <c r="C1357" i="4" s="1"/>
  <c r="A1356" i="4"/>
  <c r="I1356" i="4" s="1"/>
  <c r="A1355" i="4"/>
  <c r="E1355" i="4" s="1"/>
  <c r="A1354" i="4"/>
  <c r="A1353" i="4"/>
  <c r="C1353" i="4" s="1"/>
  <c r="A1352" i="4"/>
  <c r="C1352" i="4" s="1"/>
  <c r="A1351" i="4"/>
  <c r="G1351" i="4" s="1"/>
  <c r="A1350" i="4"/>
  <c r="A1349" i="4"/>
  <c r="E1349" i="4" s="1"/>
  <c r="A1348" i="4"/>
  <c r="E1348" i="4" s="1"/>
  <c r="A1347" i="4"/>
  <c r="J1347" i="4" s="1"/>
  <c r="A1346" i="4"/>
  <c r="C1346" i="4" s="1"/>
  <c r="A1345" i="4"/>
  <c r="B1345" i="4" s="1"/>
  <c r="A1344" i="4"/>
  <c r="D1344" i="4" s="1"/>
  <c r="A1343" i="4"/>
  <c r="E1343" i="4" s="1"/>
  <c r="A1342" i="4"/>
  <c r="E1342" i="4" s="1"/>
  <c r="A1341" i="4"/>
  <c r="J1341" i="4" s="1"/>
  <c r="A1340" i="4"/>
  <c r="A1339" i="4"/>
  <c r="A1338" i="4"/>
  <c r="H1338" i="4" s="1"/>
  <c r="A1337" i="4"/>
  <c r="I1337" i="4" s="1"/>
  <c r="A1336" i="4"/>
  <c r="G1336" i="4" s="1"/>
  <c r="A1335" i="4"/>
  <c r="I1335" i="4" s="1"/>
  <c r="A1334" i="4"/>
  <c r="I1334" i="4" s="1"/>
  <c r="A1333" i="4"/>
  <c r="J1333" i="4" s="1"/>
  <c r="A1332" i="4"/>
  <c r="C1332" i="4" s="1"/>
  <c r="A1331" i="4"/>
  <c r="B1331" i="4" s="1"/>
  <c r="A1330" i="4"/>
  <c r="D1330" i="4" s="1"/>
  <c r="A1329" i="4"/>
  <c r="A1328" i="4"/>
  <c r="A1327" i="4"/>
  <c r="A1326" i="4"/>
  <c r="A1325" i="4"/>
  <c r="A1324" i="4"/>
  <c r="I1324" i="4" s="1"/>
  <c r="A1323" i="4"/>
  <c r="A1322" i="4"/>
  <c r="A1321" i="4"/>
  <c r="A1320" i="4"/>
  <c r="B1320" i="4" s="1"/>
  <c r="A1319" i="4"/>
  <c r="A1318" i="4"/>
  <c r="A1317" i="4"/>
  <c r="A1316" i="4"/>
  <c r="G1316" i="4" s="1"/>
  <c r="A1315" i="4"/>
  <c r="E1315" i="4" s="1"/>
  <c r="A1314" i="4"/>
  <c r="A1313" i="4"/>
  <c r="E1313" i="4" s="1"/>
  <c r="A1312" i="4"/>
  <c r="B1312" i="4" s="1"/>
  <c r="A1311" i="4"/>
  <c r="A1310" i="4"/>
  <c r="D1310" i="4" s="1"/>
  <c r="A1309" i="4"/>
  <c r="G1309" i="4" s="1"/>
  <c r="A1308" i="4"/>
  <c r="A1307" i="4"/>
  <c r="B1307" i="4" s="1"/>
  <c r="A1306" i="4"/>
  <c r="I1306" i="4" s="1"/>
  <c r="A1305" i="4"/>
  <c r="E1305" i="4" s="1"/>
  <c r="A1304" i="4"/>
  <c r="A1303" i="4"/>
  <c r="A1302" i="4"/>
  <c r="A1301" i="4"/>
  <c r="E1301" i="4" s="1"/>
  <c r="A1300" i="4"/>
  <c r="E1300" i="4" s="1"/>
  <c r="A1299" i="4"/>
  <c r="A1298" i="4"/>
  <c r="J1298" i="4" s="1"/>
  <c r="A1297" i="4"/>
  <c r="A1296" i="4"/>
  <c r="H1296" i="4" s="1"/>
  <c r="A1295" i="4"/>
  <c r="A1294" i="4"/>
  <c r="J1294" i="4" s="1"/>
  <c r="A1293" i="4"/>
  <c r="D1293" i="4" s="1"/>
  <c r="A1292" i="4"/>
  <c r="C1292" i="4" s="1"/>
  <c r="A1291" i="4"/>
  <c r="G1291" i="4" s="1"/>
  <c r="A1290" i="4"/>
  <c r="B1290" i="4" s="1"/>
  <c r="A1289" i="4"/>
  <c r="A1288" i="4"/>
  <c r="A1287" i="4"/>
  <c r="J1287" i="4" s="1"/>
  <c r="A1286" i="4"/>
  <c r="J1286" i="4" s="1"/>
  <c r="A1285" i="4"/>
  <c r="A1284" i="4"/>
  <c r="D1284" i="4" s="1"/>
  <c r="A1283" i="4"/>
  <c r="A1282" i="4"/>
  <c r="D1282" i="4" s="1"/>
  <c r="A1281" i="4"/>
  <c r="D1281" i="4" s="1"/>
  <c r="A1280" i="4"/>
  <c r="I1280" i="4" s="1"/>
  <c r="A1279" i="4"/>
  <c r="A1278" i="4"/>
  <c r="F1278" i="4" s="1"/>
  <c r="A1277" i="4"/>
  <c r="J1277" i="4" s="1"/>
  <c r="A1276" i="4"/>
  <c r="A1275" i="4"/>
  <c r="A1274" i="4"/>
  <c r="A1273" i="4"/>
  <c r="B1273" i="4" s="1"/>
  <c r="A1272" i="4"/>
  <c r="E1272" i="4" s="1"/>
  <c r="A1271" i="4"/>
  <c r="C1271" i="4" s="1"/>
  <c r="A1270" i="4"/>
  <c r="A1269" i="4"/>
  <c r="A1268" i="4"/>
  <c r="A1267" i="4"/>
  <c r="G1267" i="4" s="1"/>
  <c r="A1266" i="4"/>
  <c r="I1266" i="4" s="1"/>
  <c r="A1265" i="4"/>
  <c r="G1265" i="4" s="1"/>
  <c r="A1264" i="4"/>
  <c r="A1263" i="4"/>
  <c r="B1263" i="4" s="1"/>
  <c r="A1262" i="4"/>
  <c r="A1261" i="4"/>
  <c r="H1261" i="4" s="1"/>
  <c r="A1260" i="4"/>
  <c r="C1260" i="4" s="1"/>
  <c r="A1259" i="4"/>
  <c r="D1259" i="4" s="1"/>
  <c r="A1258" i="4"/>
  <c r="F1258" i="4" s="1"/>
  <c r="A1257" i="4"/>
  <c r="I1257" i="4" s="1"/>
  <c r="A1256" i="4"/>
  <c r="B1256" i="4" s="1"/>
  <c r="A1255" i="4"/>
  <c r="A1254" i="4"/>
  <c r="J1254" i="4" s="1"/>
  <c r="A1253" i="4"/>
  <c r="A1252" i="4"/>
  <c r="H1252" i="4" s="1"/>
  <c r="A1251" i="4"/>
  <c r="H1251" i="4" s="1"/>
  <c r="A1250" i="4"/>
  <c r="I1250" i="4" s="1"/>
  <c r="A1249" i="4"/>
  <c r="E1249" i="4" s="1"/>
  <c r="A1248" i="4"/>
  <c r="C1248" i="4" s="1"/>
  <c r="A1247" i="4"/>
  <c r="A1246" i="4"/>
  <c r="C1246" i="4" s="1"/>
  <c r="A1245" i="4"/>
  <c r="E1245" i="4" s="1"/>
  <c r="A1244" i="4"/>
  <c r="A1243" i="4"/>
  <c r="A1242" i="4"/>
  <c r="A1241" i="4"/>
  <c r="A1240" i="4"/>
  <c r="J1240" i="4" s="1"/>
  <c r="A1239" i="4"/>
  <c r="A1238" i="4"/>
  <c r="A1237" i="4"/>
  <c r="A1236" i="4"/>
  <c r="C1236" i="4" s="1"/>
  <c r="A1235" i="4"/>
  <c r="C1235" i="4" s="1"/>
  <c r="A1234" i="4"/>
  <c r="A1233" i="4"/>
  <c r="A1232" i="4"/>
  <c r="A1231" i="4"/>
  <c r="F1231" i="4" s="1"/>
  <c r="A1230" i="4"/>
  <c r="C1230" i="4" s="1"/>
  <c r="A1229" i="4"/>
  <c r="I1229" i="4" s="1"/>
  <c r="A1228" i="4"/>
  <c r="J1228" i="4" s="1"/>
  <c r="A1227" i="4"/>
  <c r="A1226" i="4"/>
  <c r="B1226" i="4" s="1"/>
  <c r="A1225" i="4"/>
  <c r="B1225" i="4" s="1"/>
  <c r="A1224" i="4"/>
  <c r="J1224" i="4" s="1"/>
  <c r="A1223" i="4"/>
  <c r="F1223" i="4" s="1"/>
  <c r="A1222" i="4"/>
  <c r="G1222" i="4" s="1"/>
  <c r="A1221" i="4"/>
  <c r="J1221" i="4" s="1"/>
  <c r="A1220" i="4"/>
  <c r="C1220" i="4" s="1"/>
  <c r="A1219" i="4"/>
  <c r="J1219" i="4" s="1"/>
  <c r="A1218" i="4"/>
  <c r="G1218" i="4" s="1"/>
  <c r="A1217" i="4"/>
  <c r="A1216" i="4"/>
  <c r="J1216" i="4" s="1"/>
  <c r="A1215" i="4"/>
  <c r="A1214" i="4"/>
  <c r="E1214" i="4" s="1"/>
  <c r="A1213" i="4"/>
  <c r="A1212" i="4"/>
  <c r="A1211" i="4"/>
  <c r="J1211" i="4" s="1"/>
  <c r="A1210" i="4"/>
  <c r="A1209" i="4"/>
  <c r="A1208" i="4"/>
  <c r="A1207" i="4"/>
  <c r="A1206" i="4"/>
  <c r="G1206" i="4" s="1"/>
  <c r="A1205" i="4"/>
  <c r="J1205" i="4" s="1"/>
  <c r="A1204" i="4"/>
  <c r="C1204" i="4" s="1"/>
  <c r="A1203" i="4"/>
  <c r="A1202" i="4"/>
  <c r="G1202" i="4" s="1"/>
  <c r="A1201" i="4"/>
  <c r="B1201" i="4" s="1"/>
  <c r="A1200" i="4"/>
  <c r="F1200" i="4" s="1"/>
  <c r="A1199" i="4"/>
  <c r="A1198" i="4"/>
  <c r="J1198" i="4" s="1"/>
  <c r="A1197" i="4"/>
  <c r="A1196" i="4"/>
  <c r="A1195" i="4"/>
  <c r="A1194" i="4"/>
  <c r="A1193" i="4"/>
  <c r="E1193" i="4" s="1"/>
  <c r="A1192" i="4"/>
  <c r="D1192" i="4" s="1"/>
  <c r="A1191" i="4"/>
  <c r="A1190" i="4"/>
  <c r="G1190" i="4" s="1"/>
  <c r="A1189" i="4"/>
  <c r="A1188" i="4"/>
  <c r="A1187" i="4"/>
  <c r="E1187" i="4" s="1"/>
  <c r="A1186" i="4"/>
  <c r="A1185" i="4"/>
  <c r="I1185" i="4" s="1"/>
  <c r="A1184" i="4"/>
  <c r="A1183" i="4"/>
  <c r="B1183" i="4" s="1"/>
  <c r="A1182" i="4"/>
  <c r="I1182" i="4" s="1"/>
  <c r="A1181" i="4"/>
  <c r="J1181" i="4" s="1"/>
  <c r="A1180" i="4"/>
  <c r="A1179" i="4"/>
  <c r="A1178" i="4"/>
  <c r="A1177" i="4"/>
  <c r="J1177" i="4" s="1"/>
  <c r="A1176" i="4"/>
  <c r="A1175" i="4"/>
  <c r="G1175" i="4" s="1"/>
  <c r="A1174" i="4"/>
  <c r="E1174" i="4" s="1"/>
  <c r="A1173" i="4"/>
  <c r="J1173" i="4" s="1"/>
  <c r="A1172" i="4"/>
  <c r="E1172" i="4" s="1"/>
  <c r="A1171" i="4"/>
  <c r="C1171" i="4" s="1"/>
  <c r="A1170" i="4"/>
  <c r="A1169" i="4"/>
  <c r="J1169" i="4" s="1"/>
  <c r="A1168" i="4"/>
  <c r="G1168" i="4" s="1"/>
  <c r="A1167" i="4"/>
  <c r="J1167" i="4" s="1"/>
  <c r="A1166" i="4"/>
  <c r="D1166" i="4" s="1"/>
  <c r="A1165" i="4"/>
  <c r="A1164" i="4"/>
  <c r="A1163" i="4"/>
  <c r="A1162" i="4"/>
  <c r="F1162" i="4" s="1"/>
  <c r="A1161" i="4"/>
  <c r="H1161" i="4" s="1"/>
  <c r="A1160" i="4"/>
  <c r="E1160" i="4" s="1"/>
  <c r="A1159" i="4"/>
  <c r="A1158" i="4"/>
  <c r="C1158" i="4" s="1"/>
  <c r="A1157" i="4"/>
  <c r="J1157" i="4" s="1"/>
  <c r="A1156" i="4"/>
  <c r="A1155" i="4"/>
  <c r="A1154" i="4"/>
  <c r="A1153" i="4"/>
  <c r="A1152" i="4"/>
  <c r="A1151" i="4"/>
  <c r="I1151" i="4" s="1"/>
  <c r="A1150" i="4"/>
  <c r="E1150" i="4" s="1"/>
  <c r="A1149" i="4"/>
  <c r="A1148" i="4"/>
  <c r="E1148" i="4" s="1"/>
  <c r="A1147" i="4"/>
  <c r="D1147" i="4" s="1"/>
  <c r="A1146" i="4"/>
  <c r="I1146" i="4" s="1"/>
  <c r="A1145" i="4"/>
  <c r="C1145" i="4" s="1"/>
  <c r="A1144" i="4"/>
  <c r="J1144" i="4" s="1"/>
  <c r="A1143" i="4"/>
  <c r="A1142" i="4"/>
  <c r="C1142" i="4" s="1"/>
  <c r="A1141" i="4"/>
  <c r="A1140" i="4"/>
  <c r="A1139" i="4"/>
  <c r="A1138" i="4"/>
  <c r="G1138" i="4" s="1"/>
  <c r="A1137" i="4"/>
  <c r="H1137" i="4" s="1"/>
  <c r="A1136" i="4"/>
  <c r="A1135" i="4"/>
  <c r="G1135" i="4" s="1"/>
  <c r="A1134" i="4"/>
  <c r="E1134" i="4" s="1"/>
  <c r="A1133" i="4"/>
  <c r="G1133" i="4" s="1"/>
  <c r="A1132" i="4"/>
  <c r="J1132" i="4" s="1"/>
  <c r="A1131" i="4"/>
  <c r="A1130" i="4"/>
  <c r="D1130" i="4" s="1"/>
  <c r="A1129" i="4"/>
  <c r="A1128" i="4"/>
  <c r="A1127" i="4"/>
  <c r="A1126" i="4"/>
  <c r="H1126" i="4" s="1"/>
  <c r="A1125" i="4"/>
  <c r="A1124" i="4"/>
  <c r="A1123" i="4"/>
  <c r="G1123" i="4" s="1"/>
  <c r="A1122" i="4"/>
  <c r="A1121" i="4"/>
  <c r="A1120" i="4"/>
  <c r="A1119" i="4"/>
  <c r="A1118" i="4"/>
  <c r="E1118" i="4" s="1"/>
  <c r="A1117" i="4"/>
  <c r="A1116" i="4"/>
  <c r="A1115" i="4"/>
  <c r="G1115" i="4" s="1"/>
  <c r="A1114" i="4"/>
  <c r="A1113" i="4"/>
  <c r="G1113" i="4" s="1"/>
  <c r="A1112" i="4"/>
  <c r="G1112" i="4" s="1"/>
  <c r="A1111" i="4"/>
  <c r="H1111" i="4" s="1"/>
  <c r="A1110" i="4"/>
  <c r="H1110" i="4" s="1"/>
  <c r="A1109" i="4"/>
  <c r="I1109" i="4" s="1"/>
  <c r="A1108" i="4"/>
  <c r="J1108" i="4" s="1"/>
  <c r="A1107" i="4"/>
  <c r="I1107" i="4" s="1"/>
  <c r="A1106" i="4"/>
  <c r="G1106" i="4" s="1"/>
  <c r="A1105" i="4"/>
  <c r="I1105" i="4" s="1"/>
  <c r="A1104" i="4"/>
  <c r="G1104" i="4" s="1"/>
  <c r="A1103" i="4"/>
  <c r="A1102" i="4"/>
  <c r="A1101" i="4"/>
  <c r="A1100" i="4"/>
  <c r="H1100" i="4" s="1"/>
  <c r="A1099" i="4"/>
  <c r="A1098" i="4"/>
  <c r="C1098" i="4" s="1"/>
  <c r="A1097" i="4"/>
  <c r="A1096" i="4"/>
  <c r="B1096" i="4" s="1"/>
  <c r="A1095" i="4"/>
  <c r="A1094" i="4"/>
  <c r="A1093" i="4"/>
  <c r="E1093" i="4" s="1"/>
  <c r="A1092" i="4"/>
  <c r="A1091" i="4"/>
  <c r="A1090" i="4"/>
  <c r="B1090" i="4" s="1"/>
  <c r="A1089" i="4"/>
  <c r="A1088" i="4"/>
  <c r="D1088" i="4" s="1"/>
  <c r="A1087" i="4"/>
  <c r="A1086" i="4"/>
  <c r="A1085" i="4"/>
  <c r="A1084" i="4"/>
  <c r="D1084" i="4" s="1"/>
  <c r="A1083" i="4"/>
  <c r="A1082" i="4"/>
  <c r="A1081" i="4"/>
  <c r="A1080" i="4"/>
  <c r="A1079" i="4"/>
  <c r="C1079" i="4" s="1"/>
  <c r="A1078" i="4"/>
  <c r="B1078" i="4" s="1"/>
  <c r="A1077" i="4"/>
  <c r="E1077" i="4" s="1"/>
  <c r="A1076" i="4"/>
  <c r="J1076" i="4" s="1"/>
  <c r="A1075" i="4"/>
  <c r="G1075" i="4" s="1"/>
  <c r="A1074" i="4"/>
  <c r="D1074" i="4" s="1"/>
  <c r="A1073" i="4"/>
  <c r="A1072" i="4"/>
  <c r="A1071" i="4"/>
  <c r="I1071" i="4" s="1"/>
  <c r="A1070" i="4"/>
  <c r="H1070" i="4" s="1"/>
  <c r="A1069" i="4"/>
  <c r="A1068" i="4"/>
  <c r="G1068" i="4" s="1"/>
  <c r="A1067" i="4"/>
  <c r="B1067" i="4" s="1"/>
  <c r="A1066" i="4"/>
  <c r="C1066" i="4" s="1"/>
  <c r="A1065" i="4"/>
  <c r="A1064" i="4"/>
  <c r="A1063" i="4"/>
  <c r="D1063" i="4" s="1"/>
  <c r="A1062" i="4"/>
  <c r="A1061" i="4"/>
  <c r="A1060" i="4"/>
  <c r="G1060" i="4" s="1"/>
  <c r="A1059" i="4"/>
  <c r="A1058" i="4"/>
  <c r="C1058" i="4" s="1"/>
  <c r="A1057" i="4"/>
  <c r="H1057" i="4" s="1"/>
  <c r="A1056" i="4"/>
  <c r="G1056" i="4" s="1"/>
  <c r="A1055" i="4"/>
  <c r="A1054" i="4"/>
  <c r="A1053" i="4"/>
  <c r="A1052" i="4"/>
  <c r="J1052" i="4" s="1"/>
  <c r="A1051" i="4"/>
  <c r="D1051" i="4" s="1"/>
  <c r="A1050" i="4"/>
  <c r="A1049" i="4"/>
  <c r="A1048" i="4"/>
  <c r="G1048" i="4" s="1"/>
  <c r="A1047" i="4"/>
  <c r="I1047" i="4" s="1"/>
  <c r="A1046" i="4"/>
  <c r="H1046" i="4" s="1"/>
  <c r="A1045" i="4"/>
  <c r="A1044" i="4"/>
  <c r="H1044" i="4" s="1"/>
  <c r="A1043" i="4"/>
  <c r="J1043" i="4" s="1"/>
  <c r="A1042" i="4"/>
  <c r="J1042" i="4" s="1"/>
  <c r="A1041" i="4"/>
  <c r="H1041" i="4" s="1"/>
  <c r="A1040" i="4"/>
  <c r="A1039" i="4"/>
  <c r="A1038" i="4"/>
  <c r="B1038" i="4" s="1"/>
  <c r="A1037" i="4"/>
  <c r="A1036" i="4"/>
  <c r="J1036" i="4" s="1"/>
  <c r="A1035" i="4"/>
  <c r="B1035" i="4" s="1"/>
  <c r="A1034" i="4"/>
  <c r="H1034" i="4" s="1"/>
  <c r="A1033" i="4"/>
  <c r="F1033" i="4" s="1"/>
  <c r="A1032" i="4"/>
  <c r="G1032" i="4" s="1"/>
  <c r="A1031" i="4"/>
  <c r="E1031" i="4" s="1"/>
  <c r="A1030" i="4"/>
  <c r="C1030" i="4" s="1"/>
  <c r="A1029" i="4"/>
  <c r="J1029" i="4" s="1"/>
  <c r="A1028" i="4"/>
  <c r="B1028" i="4" s="1"/>
  <c r="A1027" i="4"/>
  <c r="A1026" i="4"/>
  <c r="A1025" i="4"/>
  <c r="A1024" i="4"/>
  <c r="A1023" i="4"/>
  <c r="J1023" i="4" s="1"/>
  <c r="A1022" i="4"/>
  <c r="A1021" i="4"/>
  <c r="A1020" i="4"/>
  <c r="D1020" i="4" s="1"/>
  <c r="A1019" i="4"/>
  <c r="E1019" i="4" s="1"/>
  <c r="A1018" i="4"/>
  <c r="D1018" i="4" s="1"/>
  <c r="A1017" i="4"/>
  <c r="A1016" i="4"/>
  <c r="A1015" i="4"/>
  <c r="G1015" i="4" s="1"/>
  <c r="A1014" i="4"/>
  <c r="A1013" i="4"/>
  <c r="A1012" i="4"/>
  <c r="A1011" i="4"/>
  <c r="D1011" i="4" s="1"/>
  <c r="A1010" i="4"/>
  <c r="A1009" i="4"/>
  <c r="B1009" i="4" s="1"/>
  <c r="A1008" i="4"/>
  <c r="A1007" i="4"/>
  <c r="B1007" i="4" s="1"/>
  <c r="A1006" i="4"/>
  <c r="A1005" i="4"/>
  <c r="A1004" i="4"/>
  <c r="A1003" i="4"/>
  <c r="F1003" i="4" s="1"/>
  <c r="A1002" i="4"/>
  <c r="G1002" i="4" s="1"/>
  <c r="A1001" i="4"/>
  <c r="I1001" i="4" s="1"/>
  <c r="A1000" i="4"/>
  <c r="A999" i="4"/>
  <c r="A998" i="4"/>
  <c r="A997" i="4"/>
  <c r="H997" i="4" s="1"/>
  <c r="A996" i="4"/>
  <c r="A995" i="4"/>
  <c r="C995" i="4" s="1"/>
  <c r="A994" i="4"/>
  <c r="A993" i="4"/>
  <c r="D993" i="4" s="1"/>
  <c r="A992" i="4"/>
  <c r="B992" i="4" s="1"/>
  <c r="A991" i="4"/>
  <c r="I991" i="4" s="1"/>
  <c r="A990" i="4"/>
  <c r="J990" i="4" s="1"/>
  <c r="A989" i="4"/>
  <c r="H989" i="4" s="1"/>
  <c r="A988" i="4"/>
  <c r="A987" i="4"/>
  <c r="A986" i="4"/>
  <c r="H986" i="4" s="1"/>
  <c r="A985" i="4"/>
  <c r="G985" i="4" s="1"/>
  <c r="A984" i="4"/>
  <c r="J984" i="4" s="1"/>
  <c r="A983" i="4"/>
  <c r="A982" i="4"/>
  <c r="A981" i="4"/>
  <c r="H981" i="4" s="1"/>
  <c r="A980" i="4"/>
  <c r="A979" i="4"/>
  <c r="A978" i="4"/>
  <c r="H978" i="4" s="1"/>
  <c r="A977" i="4"/>
  <c r="C977" i="4" s="1"/>
  <c r="A976" i="4"/>
  <c r="J976" i="4" s="1"/>
  <c r="A975" i="4"/>
  <c r="A974" i="4"/>
  <c r="A973" i="4"/>
  <c r="E973" i="4" s="1"/>
  <c r="A972" i="4"/>
  <c r="I972" i="4" s="1"/>
  <c r="A971" i="4"/>
  <c r="F971" i="4" s="1"/>
  <c r="A970" i="4"/>
  <c r="E970" i="4" s="1"/>
  <c r="A969" i="4"/>
  <c r="A968" i="4"/>
  <c r="J968" i="4" s="1"/>
  <c r="A967" i="4"/>
  <c r="F967" i="4" s="1"/>
  <c r="A966" i="4"/>
  <c r="H966" i="4" s="1"/>
  <c r="A965" i="4"/>
  <c r="J965" i="4" s="1"/>
  <c r="A964" i="4"/>
  <c r="A963" i="4"/>
  <c r="A962" i="4"/>
  <c r="C962" i="4" s="1"/>
  <c r="A961" i="4"/>
  <c r="A960" i="4"/>
  <c r="G960" i="4" s="1"/>
  <c r="A959" i="4"/>
  <c r="G959" i="4" s="1"/>
  <c r="A958" i="4"/>
  <c r="A957" i="4"/>
  <c r="A956" i="4"/>
  <c r="A955" i="4"/>
  <c r="A954" i="4"/>
  <c r="F954" i="4" s="1"/>
  <c r="A953" i="4"/>
  <c r="J953" i="4" s="1"/>
  <c r="A952" i="4"/>
  <c r="E952" i="4" s="1"/>
  <c r="A951" i="4"/>
  <c r="C951" i="4" s="1"/>
  <c r="A950" i="4"/>
  <c r="C950" i="4" s="1"/>
  <c r="A949" i="4"/>
  <c r="B949" i="4" s="1"/>
  <c r="A948" i="4"/>
  <c r="A947" i="4"/>
  <c r="D947" i="4" s="1"/>
  <c r="A946" i="4"/>
  <c r="A945" i="4"/>
  <c r="H945" i="4" s="1"/>
  <c r="A944" i="4"/>
  <c r="A943" i="4"/>
  <c r="G943" i="4" s="1"/>
  <c r="A942" i="4"/>
  <c r="A941" i="4"/>
  <c r="A940" i="4"/>
  <c r="G940" i="4" s="1"/>
  <c r="A939" i="4"/>
  <c r="E939" i="4" s="1"/>
  <c r="A938" i="4"/>
  <c r="A937" i="4"/>
  <c r="A936" i="4"/>
  <c r="A935" i="4"/>
  <c r="A934" i="4"/>
  <c r="A933" i="4"/>
  <c r="A932" i="4"/>
  <c r="C932" i="4" s="1"/>
  <c r="A931" i="4"/>
  <c r="C931" i="4" s="1"/>
  <c r="A930" i="4"/>
  <c r="A929" i="4"/>
  <c r="J929" i="4" s="1"/>
  <c r="A928" i="4"/>
  <c r="A927" i="4"/>
  <c r="G927" i="4" s="1"/>
  <c r="A926" i="4"/>
  <c r="G926" i="4" s="1"/>
  <c r="A925" i="4"/>
  <c r="J925" i="4" s="1"/>
  <c r="A924" i="4"/>
  <c r="J924" i="4" s="1"/>
  <c r="A923" i="4"/>
  <c r="E923" i="4" s="1"/>
  <c r="A922" i="4"/>
  <c r="I922" i="4" s="1"/>
  <c r="A921" i="4"/>
  <c r="A920" i="4"/>
  <c r="J920" i="4" s="1"/>
  <c r="A919" i="4"/>
  <c r="A918" i="4"/>
  <c r="C918" i="4" s="1"/>
  <c r="A917" i="4"/>
  <c r="B917" i="4" s="1"/>
  <c r="A916" i="4"/>
  <c r="B916" i="4" s="1"/>
  <c r="A915" i="4"/>
  <c r="A914" i="4"/>
  <c r="H914" i="4" s="1"/>
  <c r="A913" i="4"/>
  <c r="H913" i="4" s="1"/>
  <c r="A912" i="4"/>
  <c r="J912" i="4" s="1"/>
  <c r="A911" i="4"/>
  <c r="G911" i="4" s="1"/>
  <c r="A910" i="4"/>
  <c r="A909" i="4"/>
  <c r="J909" i="4" s="1"/>
  <c r="A908" i="4"/>
  <c r="A907" i="4"/>
  <c r="A906" i="4"/>
  <c r="A905" i="4"/>
  <c r="A904" i="4"/>
  <c r="A903" i="4"/>
  <c r="E903" i="4" s="1"/>
  <c r="A902" i="4"/>
  <c r="I902" i="4" s="1"/>
  <c r="A901" i="4"/>
  <c r="A900" i="4"/>
  <c r="I900" i="4" s="1"/>
  <c r="A899" i="4"/>
  <c r="I899" i="4" s="1"/>
  <c r="A898" i="4"/>
  <c r="H898" i="4" s="1"/>
  <c r="A897" i="4"/>
  <c r="A896" i="4"/>
  <c r="J896" i="4" s="1"/>
  <c r="A895" i="4"/>
  <c r="A894" i="4"/>
  <c r="A893" i="4"/>
  <c r="A892" i="4"/>
  <c r="A891" i="4"/>
  <c r="D891" i="4" s="1"/>
  <c r="A890" i="4"/>
  <c r="H890" i="4" s="1"/>
  <c r="A889" i="4"/>
  <c r="A888" i="4"/>
  <c r="J888" i="4" s="1"/>
  <c r="A887" i="4"/>
  <c r="A886" i="4"/>
  <c r="G886" i="4" s="1"/>
  <c r="A885" i="4"/>
  <c r="G885" i="4" s="1"/>
  <c r="A884" i="4"/>
  <c r="A883" i="4"/>
  <c r="A882" i="4"/>
  <c r="H882" i="4" s="1"/>
  <c r="A881" i="4"/>
  <c r="J881" i="4" s="1"/>
  <c r="A880" i="4"/>
  <c r="D880" i="4" s="1"/>
  <c r="A879" i="4"/>
  <c r="I879" i="4" s="1"/>
  <c r="A878" i="4"/>
  <c r="A877" i="4"/>
  <c r="A876" i="4"/>
  <c r="D876" i="4" s="1"/>
  <c r="A875" i="4"/>
  <c r="B875" i="4" s="1"/>
  <c r="A874" i="4"/>
  <c r="A873" i="4"/>
  <c r="J873" i="4" s="1"/>
  <c r="A872" i="4"/>
  <c r="D872" i="4" s="1"/>
  <c r="A871" i="4"/>
  <c r="B871" i="4" s="1"/>
  <c r="A870" i="4"/>
  <c r="A869" i="4"/>
  <c r="A868" i="4"/>
  <c r="D868" i="4" s="1"/>
  <c r="A867" i="4"/>
  <c r="B867" i="4" s="1"/>
  <c r="A866" i="4"/>
  <c r="A865" i="4"/>
  <c r="J865" i="4" s="1"/>
  <c r="A864" i="4"/>
  <c r="D864" i="4" s="1"/>
  <c r="A863" i="4"/>
  <c r="I863" i="4" s="1"/>
  <c r="A862" i="4"/>
  <c r="A861" i="4"/>
  <c r="A860" i="4"/>
  <c r="C860" i="4" s="1"/>
  <c r="A859" i="4"/>
  <c r="B859" i="4" s="1"/>
  <c r="A858" i="4"/>
  <c r="G858" i="4" s="1"/>
  <c r="A857" i="4"/>
  <c r="D857" i="4" s="1"/>
  <c r="A856" i="4"/>
  <c r="D856" i="4" s="1"/>
  <c r="A855" i="4"/>
  <c r="I855" i="4" s="1"/>
  <c r="A854" i="4"/>
  <c r="C854" i="4" s="1"/>
  <c r="A853" i="4"/>
  <c r="B853" i="4" s="1"/>
  <c r="A852" i="4"/>
  <c r="I852" i="4" s="1"/>
  <c r="A851" i="4"/>
  <c r="B851" i="4" s="1"/>
  <c r="A850" i="4"/>
  <c r="A849" i="4"/>
  <c r="A848" i="4"/>
  <c r="A847" i="4"/>
  <c r="J847" i="4" s="1"/>
  <c r="A846" i="4"/>
  <c r="A845" i="4"/>
  <c r="D845" i="4" s="1"/>
  <c r="A844" i="4"/>
  <c r="A843" i="4"/>
  <c r="C843" i="4" s="1"/>
  <c r="A842" i="4"/>
  <c r="A841" i="4"/>
  <c r="J841" i="4" s="1"/>
  <c r="A840" i="4"/>
  <c r="A839" i="4"/>
  <c r="C839" i="4" s="1"/>
  <c r="A838" i="4"/>
  <c r="A837" i="4"/>
  <c r="J837" i="4" s="1"/>
  <c r="A836" i="4"/>
  <c r="I836" i="4" s="1"/>
  <c r="A835" i="4"/>
  <c r="A834" i="4"/>
  <c r="J834" i="4" s="1"/>
  <c r="A833" i="4"/>
  <c r="G833" i="4" s="1"/>
  <c r="A832" i="4"/>
  <c r="C832" i="4" s="1"/>
  <c r="A831" i="4"/>
  <c r="A830" i="4"/>
  <c r="A829" i="4"/>
  <c r="B829" i="4" s="1"/>
  <c r="A828" i="4"/>
  <c r="I828" i="4" s="1"/>
  <c r="A827" i="4"/>
  <c r="I827" i="4" s="1"/>
  <c r="A826" i="4"/>
  <c r="C826" i="4" s="1"/>
  <c r="A825" i="4"/>
  <c r="I825" i="4" s="1"/>
  <c r="A824" i="4"/>
  <c r="H824" i="4" s="1"/>
  <c r="A823" i="4"/>
  <c r="I823" i="4" s="1"/>
  <c r="A822" i="4"/>
  <c r="A821" i="4"/>
  <c r="D821" i="4" s="1"/>
  <c r="A820" i="4"/>
  <c r="A819" i="4"/>
  <c r="B819" i="4" s="1"/>
  <c r="A818" i="4"/>
  <c r="A817" i="4"/>
  <c r="A816" i="4"/>
  <c r="C816" i="4" s="1"/>
  <c r="A815" i="4"/>
  <c r="F815" i="4" s="1"/>
  <c r="A814" i="4"/>
  <c r="B814" i="4" s="1"/>
  <c r="A813" i="4"/>
  <c r="B813" i="4" s="1"/>
  <c r="A812" i="4"/>
  <c r="A811" i="4"/>
  <c r="I811" i="4" s="1"/>
  <c r="A810" i="4"/>
  <c r="A809" i="4"/>
  <c r="A808" i="4"/>
  <c r="A807" i="4"/>
  <c r="J807" i="4" s="1"/>
  <c r="A806" i="4"/>
  <c r="B806" i="4" s="1"/>
  <c r="A805" i="4"/>
  <c r="D805" i="4" s="1"/>
  <c r="A804" i="4"/>
  <c r="A803" i="4"/>
  <c r="A802" i="4"/>
  <c r="F802" i="4" s="1"/>
  <c r="A801" i="4"/>
  <c r="A800" i="4"/>
  <c r="A799" i="4"/>
  <c r="B799" i="4" s="1"/>
  <c r="A798" i="4"/>
  <c r="A797" i="4"/>
  <c r="C797" i="4" s="1"/>
  <c r="A796" i="4"/>
  <c r="D796" i="4" s="1"/>
  <c r="A795" i="4"/>
  <c r="A794" i="4"/>
  <c r="A793" i="4"/>
  <c r="A792" i="4"/>
  <c r="I792" i="4" s="1"/>
  <c r="A791" i="4"/>
  <c r="D791" i="4" s="1"/>
  <c r="A790" i="4"/>
  <c r="A789" i="4"/>
  <c r="A788" i="4"/>
  <c r="A787" i="4"/>
  <c r="F787" i="4" s="1"/>
  <c r="A786" i="4"/>
  <c r="J786" i="4" s="1"/>
  <c r="A785" i="4"/>
  <c r="H785" i="4" s="1"/>
  <c r="A784" i="4"/>
  <c r="A783" i="4"/>
  <c r="I783" i="4" s="1"/>
  <c r="A782" i="4"/>
  <c r="F782" i="4" s="1"/>
  <c r="A781" i="4"/>
  <c r="H781" i="4" s="1"/>
  <c r="A780" i="4"/>
  <c r="F780" i="4" s="1"/>
  <c r="A779" i="4"/>
  <c r="J779" i="4" s="1"/>
  <c r="A778" i="4"/>
  <c r="J778" i="4" s="1"/>
  <c r="A777" i="4"/>
  <c r="C777" i="4" s="1"/>
  <c r="A776" i="4"/>
  <c r="I776" i="4" s="1"/>
  <c r="A775" i="4"/>
  <c r="E775" i="4" s="1"/>
  <c r="A774" i="4"/>
  <c r="A773" i="4"/>
  <c r="E773" i="4" s="1"/>
  <c r="A772" i="4"/>
  <c r="H772" i="4" s="1"/>
  <c r="A771" i="4"/>
  <c r="A770" i="4"/>
  <c r="C770" i="4" s="1"/>
  <c r="A769" i="4"/>
  <c r="A768" i="4"/>
  <c r="A767" i="4"/>
  <c r="A766" i="4"/>
  <c r="F766" i="4" s="1"/>
  <c r="A765" i="4"/>
  <c r="A764" i="4"/>
  <c r="G764" i="4" s="1"/>
  <c r="A763" i="4"/>
  <c r="F763" i="4" s="1"/>
  <c r="A762" i="4"/>
  <c r="A761" i="4"/>
  <c r="A760" i="4"/>
  <c r="A759" i="4"/>
  <c r="H759" i="4" s="1"/>
  <c r="A758" i="4"/>
  <c r="I758" i="4" s="1"/>
  <c r="A757" i="4"/>
  <c r="A756" i="4"/>
  <c r="H756" i="4" s="1"/>
  <c r="A755" i="4"/>
  <c r="A754" i="4"/>
  <c r="A753" i="4"/>
  <c r="H753" i="4" s="1"/>
  <c r="A752" i="4"/>
  <c r="A751" i="4"/>
  <c r="A750" i="4"/>
  <c r="D750" i="4" s="1"/>
  <c r="A749" i="4"/>
  <c r="H749" i="4" s="1"/>
  <c r="A748" i="4"/>
  <c r="A747" i="4"/>
  <c r="C747" i="4" s="1"/>
  <c r="A746" i="4"/>
  <c r="A745" i="4"/>
  <c r="A744" i="4"/>
  <c r="A743" i="4"/>
  <c r="A742" i="4"/>
  <c r="E742" i="4" s="1"/>
  <c r="A741" i="4"/>
  <c r="I741" i="4" s="1"/>
  <c r="A740" i="4"/>
  <c r="H740" i="4" s="1"/>
  <c r="A739" i="4"/>
  <c r="G739" i="4" s="1"/>
  <c r="A738" i="4"/>
  <c r="I738" i="4" s="1"/>
  <c r="A737" i="4"/>
  <c r="F737" i="4" s="1"/>
  <c r="A736" i="4"/>
  <c r="F736" i="4" s="1"/>
  <c r="A735" i="4"/>
  <c r="J735" i="4" s="1"/>
  <c r="A734" i="4"/>
  <c r="A733" i="4"/>
  <c r="A732" i="4"/>
  <c r="E732" i="4" s="1"/>
  <c r="A731" i="4"/>
  <c r="F731" i="4" s="1"/>
  <c r="A730" i="4"/>
  <c r="A729" i="4"/>
  <c r="G729" i="4" s="1"/>
  <c r="A728" i="4"/>
  <c r="A727" i="4"/>
  <c r="D727" i="4" s="1"/>
  <c r="A726" i="4"/>
  <c r="J726" i="4" s="1"/>
  <c r="A725" i="4"/>
  <c r="A724" i="4"/>
  <c r="C724" i="4" s="1"/>
  <c r="A723" i="4"/>
  <c r="J723" i="4" s="1"/>
  <c r="A722" i="4"/>
  <c r="I722" i="4" s="1"/>
  <c r="A721" i="4"/>
  <c r="E721" i="4" s="1"/>
  <c r="A720" i="4"/>
  <c r="H720" i="4" s="1"/>
  <c r="A719" i="4"/>
  <c r="A718" i="4"/>
  <c r="J718" i="4" s="1"/>
  <c r="A717" i="4"/>
  <c r="A716" i="4"/>
  <c r="A715" i="4"/>
  <c r="J715" i="4" s="1"/>
  <c r="A714" i="4"/>
  <c r="G714" i="4" s="1"/>
  <c r="A713" i="4"/>
  <c r="A712" i="4"/>
  <c r="A711" i="4"/>
  <c r="E711" i="4" s="1"/>
  <c r="A710" i="4"/>
  <c r="A709" i="4"/>
  <c r="A708" i="4"/>
  <c r="C708" i="4" s="1"/>
  <c r="A707" i="4"/>
  <c r="A706" i="4"/>
  <c r="C706" i="4" s="1"/>
  <c r="A705" i="4"/>
  <c r="A704" i="4"/>
  <c r="D704" i="4" s="1"/>
  <c r="A703" i="4"/>
  <c r="I703" i="4" s="1"/>
  <c r="A702" i="4"/>
  <c r="I702" i="4" s="1"/>
  <c r="A701" i="4"/>
  <c r="B701" i="4" s="1"/>
  <c r="A700" i="4"/>
  <c r="H700" i="4" s="1"/>
  <c r="A699" i="4"/>
  <c r="J699" i="4" s="1"/>
  <c r="A698" i="4"/>
  <c r="A697" i="4"/>
  <c r="J697" i="4" s="1"/>
  <c r="A696" i="4"/>
  <c r="A695" i="4"/>
  <c r="B695" i="4" s="1"/>
  <c r="A694" i="4"/>
  <c r="A693" i="4"/>
  <c r="B693" i="4" s="1"/>
  <c r="A692" i="4"/>
  <c r="A691" i="4"/>
  <c r="A690" i="4"/>
  <c r="A689" i="4"/>
  <c r="A688" i="4"/>
  <c r="A687" i="4"/>
  <c r="A686" i="4"/>
  <c r="A685" i="4"/>
  <c r="H685" i="4" s="1"/>
  <c r="A684" i="4"/>
  <c r="I684" i="4" s="1"/>
  <c r="A683" i="4"/>
  <c r="A682" i="4"/>
  <c r="I682" i="4" s="1"/>
  <c r="A681" i="4"/>
  <c r="A680" i="4"/>
  <c r="H680" i="4" s="1"/>
  <c r="A679" i="4"/>
  <c r="G679" i="4" s="1"/>
  <c r="A678" i="4"/>
  <c r="A677" i="4"/>
  <c r="A676" i="4"/>
  <c r="A675" i="4"/>
  <c r="A674" i="4"/>
  <c r="A673" i="4"/>
  <c r="A672" i="4"/>
  <c r="G672" i="4" s="1"/>
  <c r="A671" i="4"/>
  <c r="A670" i="4"/>
  <c r="G670" i="4" s="1"/>
  <c r="A669" i="4"/>
  <c r="A668" i="4"/>
  <c r="A667" i="4"/>
  <c r="J667" i="4" s="1"/>
  <c r="A666" i="4"/>
  <c r="B666" i="4" s="1"/>
  <c r="A665" i="4"/>
  <c r="C665" i="4" s="1"/>
  <c r="A664" i="4"/>
  <c r="B664" i="4" s="1"/>
  <c r="A663" i="4"/>
  <c r="A662" i="4"/>
  <c r="J662" i="4" s="1"/>
  <c r="A661" i="4"/>
  <c r="D661" i="4" s="1"/>
  <c r="A660" i="4"/>
  <c r="H660" i="4" s="1"/>
  <c r="A659" i="4"/>
  <c r="A658" i="4"/>
  <c r="J658" i="4" s="1"/>
  <c r="A657" i="4"/>
  <c r="A656" i="4"/>
  <c r="A655" i="4"/>
  <c r="J655" i="4" s="1"/>
  <c r="A654" i="4"/>
  <c r="I654" i="4" s="1"/>
  <c r="A653" i="4"/>
  <c r="C653" i="4" s="1"/>
  <c r="A652" i="4"/>
  <c r="A651" i="4"/>
  <c r="A650" i="4"/>
  <c r="A649" i="4"/>
  <c r="D649" i="4" s="1"/>
  <c r="A648" i="4"/>
  <c r="A647" i="4"/>
  <c r="A646" i="4"/>
  <c r="B646" i="4" s="1"/>
  <c r="A645" i="4"/>
  <c r="A644" i="4"/>
  <c r="J644" i="4" s="1"/>
  <c r="A643" i="4"/>
  <c r="I643" i="4" s="1"/>
  <c r="A642" i="4"/>
  <c r="A641" i="4"/>
  <c r="D641" i="4" s="1"/>
  <c r="A640" i="4"/>
  <c r="F640" i="4" s="1"/>
  <c r="A639" i="4"/>
  <c r="A638" i="4"/>
  <c r="A637" i="4"/>
  <c r="C637" i="4" s="1"/>
  <c r="A636" i="4"/>
  <c r="J636" i="4" s="1"/>
  <c r="A635" i="4"/>
  <c r="A634" i="4"/>
  <c r="A633" i="4"/>
  <c r="D633" i="4" s="1"/>
  <c r="A632" i="4"/>
  <c r="J632" i="4" s="1"/>
  <c r="A631" i="4"/>
  <c r="I631" i="4" s="1"/>
  <c r="A630" i="4"/>
  <c r="B630" i="4" s="1"/>
  <c r="A629" i="4"/>
  <c r="I629" i="4" s="1"/>
  <c r="A628" i="4"/>
  <c r="E628" i="4" s="1"/>
  <c r="A627" i="4"/>
  <c r="A626" i="4"/>
  <c r="A625" i="4"/>
  <c r="D625" i="4" s="1"/>
  <c r="A624" i="4"/>
  <c r="A623" i="4"/>
  <c r="C623" i="4" s="1"/>
  <c r="A622" i="4"/>
  <c r="I622" i="4" s="1"/>
  <c r="A621" i="4"/>
  <c r="A620" i="4"/>
  <c r="E620" i="4" s="1"/>
  <c r="A619" i="4"/>
  <c r="I619" i="4" s="1"/>
  <c r="A618" i="4"/>
  <c r="G618" i="4" s="1"/>
  <c r="A617" i="4"/>
  <c r="D617" i="4" s="1"/>
  <c r="A616" i="4"/>
  <c r="J616" i="4" s="1"/>
  <c r="A615" i="4"/>
  <c r="D615" i="4" s="1"/>
  <c r="A614" i="4"/>
  <c r="A613" i="4"/>
  <c r="A612" i="4"/>
  <c r="A611" i="4"/>
  <c r="J611" i="4" s="1"/>
  <c r="A610" i="4"/>
  <c r="I610" i="4" s="1"/>
  <c r="A609" i="4"/>
  <c r="A608" i="4"/>
  <c r="E608" i="4" s="1"/>
  <c r="A607" i="4"/>
  <c r="A606" i="4"/>
  <c r="A605" i="4"/>
  <c r="I605" i="4" s="1"/>
  <c r="A604" i="4"/>
  <c r="A603" i="4"/>
  <c r="A602" i="4"/>
  <c r="J602" i="4" s="1"/>
  <c r="A601" i="4"/>
  <c r="A600" i="4"/>
  <c r="A599" i="4"/>
  <c r="A598" i="4"/>
  <c r="I598" i="4" s="1"/>
  <c r="A597" i="4"/>
  <c r="A596" i="4"/>
  <c r="J596" i="4" s="1"/>
  <c r="A595" i="4"/>
  <c r="J595" i="4" s="1"/>
  <c r="A594" i="4"/>
  <c r="A593" i="4"/>
  <c r="A592" i="4"/>
  <c r="A591" i="4"/>
  <c r="D591" i="4" s="1"/>
  <c r="A590" i="4"/>
  <c r="G590" i="4" s="1"/>
  <c r="A589" i="4"/>
  <c r="A588" i="4"/>
  <c r="J588" i="4" s="1"/>
  <c r="A587" i="4"/>
  <c r="G587" i="4" s="1"/>
  <c r="A586" i="4"/>
  <c r="A585" i="4"/>
  <c r="A584" i="4"/>
  <c r="A583" i="4"/>
  <c r="J583" i="4" s="1"/>
  <c r="A582" i="4"/>
  <c r="J582" i="4" s="1"/>
  <c r="A581" i="4"/>
  <c r="D581" i="4" s="1"/>
  <c r="A580" i="4"/>
  <c r="C580" i="4" s="1"/>
  <c r="A579" i="4"/>
  <c r="A578" i="4"/>
  <c r="I578" i="4" s="1"/>
  <c r="A577" i="4"/>
  <c r="F577" i="4" s="1"/>
  <c r="A576" i="4"/>
  <c r="A575" i="4"/>
  <c r="H575" i="4" s="1"/>
  <c r="A574" i="4"/>
  <c r="J574" i="4" s="1"/>
  <c r="A573" i="4"/>
  <c r="A572" i="4"/>
  <c r="H572" i="4" s="1"/>
  <c r="A571" i="4"/>
  <c r="D571" i="4" s="1"/>
  <c r="A570" i="4"/>
  <c r="A569" i="4"/>
  <c r="A568" i="4"/>
  <c r="I568" i="4" s="1"/>
  <c r="A567" i="4"/>
  <c r="A566" i="4"/>
  <c r="J566" i="4" s="1"/>
  <c r="A565" i="4"/>
  <c r="D565" i="4" s="1"/>
  <c r="A564" i="4"/>
  <c r="A563" i="4"/>
  <c r="A562" i="4"/>
  <c r="I562" i="4" s="1"/>
  <c r="A561" i="4"/>
  <c r="I561" i="4" s="1"/>
  <c r="A560" i="4"/>
  <c r="F560" i="4" s="1"/>
  <c r="A559" i="4"/>
  <c r="G559" i="4" s="1"/>
  <c r="A558" i="4"/>
  <c r="B558" i="4" s="1"/>
  <c r="A557" i="4"/>
  <c r="I557" i="4" s="1"/>
  <c r="A556" i="4"/>
  <c r="F556" i="4" s="1"/>
  <c r="A555" i="4"/>
  <c r="A554" i="4"/>
  <c r="A553" i="4"/>
  <c r="A552" i="4"/>
  <c r="I552" i="4" s="1"/>
  <c r="A551" i="4"/>
  <c r="J551" i="4" s="1"/>
  <c r="A550" i="4"/>
  <c r="I550" i="4" s="1"/>
  <c r="A549" i="4"/>
  <c r="F549" i="4" s="1"/>
  <c r="A548" i="4"/>
  <c r="I548" i="4" s="1"/>
  <c r="A547" i="4"/>
  <c r="I547" i="4" s="1"/>
  <c r="A546" i="4"/>
  <c r="A545" i="4"/>
  <c r="D545" i="4" s="1"/>
  <c r="A544" i="4"/>
  <c r="H544" i="4" s="1"/>
  <c r="A543" i="4"/>
  <c r="A542" i="4"/>
  <c r="G542" i="4" s="1"/>
  <c r="A541" i="4"/>
  <c r="I541" i="4" s="1"/>
  <c r="A540" i="4"/>
  <c r="A539" i="4"/>
  <c r="A538" i="4"/>
  <c r="A537" i="4"/>
  <c r="A536" i="4"/>
  <c r="I536" i="4" s="1"/>
  <c r="A535" i="4"/>
  <c r="E535" i="4" s="1"/>
  <c r="A534" i="4"/>
  <c r="J534" i="4" s="1"/>
  <c r="A533" i="4"/>
  <c r="A532" i="4"/>
  <c r="I532" i="4" s="1"/>
  <c r="A531" i="4"/>
  <c r="I531" i="4" s="1"/>
  <c r="A530" i="4"/>
  <c r="A529" i="4"/>
  <c r="E529" i="4" s="1"/>
  <c r="A528" i="4"/>
  <c r="F528" i="4" s="1"/>
  <c r="A527" i="4"/>
  <c r="J527" i="4" s="1"/>
  <c r="A526" i="4"/>
  <c r="A525" i="4"/>
  <c r="C525" i="4" s="1"/>
  <c r="A524" i="4"/>
  <c r="H524" i="4" s="1"/>
  <c r="A523" i="4"/>
  <c r="H523" i="4" s="1"/>
  <c r="A522" i="4"/>
  <c r="A521" i="4"/>
  <c r="G521" i="4" s="1"/>
  <c r="A520" i="4"/>
  <c r="H520" i="4" s="1"/>
  <c r="A519" i="4"/>
  <c r="A518" i="4"/>
  <c r="B518" i="4" s="1"/>
  <c r="A517" i="4"/>
  <c r="A516" i="4"/>
  <c r="I516" i="4" s="1"/>
  <c r="A515" i="4"/>
  <c r="B515" i="4" s="1"/>
  <c r="A514" i="4"/>
  <c r="I514" i="4" s="1"/>
  <c r="A513" i="4"/>
  <c r="E513" i="4" s="1"/>
  <c r="A512" i="4"/>
  <c r="F512" i="4" s="1"/>
  <c r="A511" i="4"/>
  <c r="A510" i="4"/>
  <c r="J510" i="4" s="1"/>
  <c r="A509" i="4"/>
  <c r="A508" i="4"/>
  <c r="A507" i="4"/>
  <c r="A506" i="4"/>
  <c r="J506" i="4" s="1"/>
  <c r="A505" i="4"/>
  <c r="G505" i="4" s="1"/>
  <c r="A504" i="4"/>
  <c r="A503" i="4"/>
  <c r="A502" i="4"/>
  <c r="E502" i="4" s="1"/>
  <c r="A501" i="4"/>
  <c r="A500" i="4"/>
  <c r="I500" i="4" s="1"/>
  <c r="A499" i="4"/>
  <c r="J499" i="4" s="1"/>
  <c r="A498" i="4"/>
  <c r="J498" i="4" s="1"/>
  <c r="A497" i="4"/>
  <c r="A496" i="4"/>
  <c r="H496" i="4" s="1"/>
  <c r="A495" i="4"/>
  <c r="C495" i="4" s="1"/>
  <c r="A494" i="4"/>
  <c r="A493" i="4"/>
  <c r="C493" i="4" s="1"/>
  <c r="A492" i="4"/>
  <c r="A491" i="4"/>
  <c r="J491" i="4" s="1"/>
  <c r="A490" i="4"/>
  <c r="G490" i="4" s="1"/>
  <c r="A489" i="4"/>
  <c r="I489" i="4" s="1"/>
  <c r="A488" i="4"/>
  <c r="A487" i="4"/>
  <c r="A486" i="4"/>
  <c r="J486" i="4" s="1"/>
  <c r="A485" i="4"/>
  <c r="I485" i="4" s="1"/>
  <c r="A484" i="4"/>
  <c r="I484" i="4" s="1"/>
  <c r="A483" i="4"/>
  <c r="A482" i="4"/>
  <c r="A481" i="4"/>
  <c r="A480" i="4"/>
  <c r="I480" i="4" s="1"/>
  <c r="A479" i="4"/>
  <c r="I479" i="4" s="1"/>
  <c r="A478" i="4"/>
  <c r="A477" i="4"/>
  <c r="C477" i="4" s="1"/>
  <c r="A476" i="4"/>
  <c r="H476" i="4" s="1"/>
  <c r="A475" i="4"/>
  <c r="J475" i="4" s="1"/>
  <c r="A474" i="4"/>
  <c r="J474" i="4" s="1"/>
  <c r="A473" i="4"/>
  <c r="A472" i="4"/>
  <c r="I472" i="4" s="1"/>
  <c r="A471" i="4"/>
  <c r="J471" i="4" s="1"/>
  <c r="A470" i="4"/>
  <c r="C470" i="4" s="1"/>
  <c r="A469" i="4"/>
  <c r="A468" i="4"/>
  <c r="A467" i="4"/>
  <c r="I467" i="4" s="1"/>
  <c r="A466" i="4"/>
  <c r="I466" i="4" s="1"/>
  <c r="A465" i="4"/>
  <c r="D465" i="4" s="1"/>
  <c r="A464" i="4"/>
  <c r="E464" i="4" s="1"/>
  <c r="A463" i="4"/>
  <c r="A462" i="4"/>
  <c r="C462" i="4" s="1"/>
  <c r="A461" i="4"/>
  <c r="A460" i="4"/>
  <c r="A459" i="4"/>
  <c r="A458" i="4"/>
  <c r="A457" i="4"/>
  <c r="G457" i="4" s="1"/>
  <c r="A456" i="4"/>
  <c r="G456" i="4" s="1"/>
  <c r="A455" i="4"/>
  <c r="A454" i="4"/>
  <c r="A453" i="4"/>
  <c r="I453" i="4" s="1"/>
  <c r="A452" i="4"/>
  <c r="A451" i="4"/>
  <c r="A450" i="4"/>
  <c r="A449" i="4"/>
  <c r="A448" i="4"/>
  <c r="E448" i="4" s="1"/>
  <c r="A447" i="4"/>
  <c r="G447" i="4" s="1"/>
  <c r="A446" i="4"/>
  <c r="A445" i="4"/>
  <c r="I445" i="4" s="1"/>
  <c r="A444" i="4"/>
  <c r="H444" i="4" s="1"/>
  <c r="A443" i="4"/>
  <c r="J443" i="4" s="1"/>
  <c r="A442" i="4"/>
  <c r="A441" i="4"/>
  <c r="A440" i="4"/>
  <c r="G440" i="4" s="1"/>
  <c r="A439" i="4"/>
  <c r="A438" i="4"/>
  <c r="A437" i="4"/>
  <c r="I437" i="4" s="1"/>
  <c r="A436" i="4"/>
  <c r="A435" i="4"/>
  <c r="A434" i="4"/>
  <c r="A433" i="4"/>
  <c r="A432" i="4"/>
  <c r="A431" i="4"/>
  <c r="A430" i="4"/>
  <c r="G430" i="4" s="1"/>
  <c r="A429" i="4"/>
  <c r="I429" i="4" s="1"/>
  <c r="A428" i="4"/>
  <c r="H428" i="4" s="1"/>
  <c r="A427" i="4"/>
  <c r="A426" i="4"/>
  <c r="J426" i="4" s="1"/>
  <c r="A425" i="4"/>
  <c r="F425" i="4" s="1"/>
  <c r="A424" i="4"/>
  <c r="F424" i="4" s="1"/>
  <c r="A423" i="4"/>
  <c r="I423" i="4" s="1"/>
  <c r="A422" i="4"/>
  <c r="A421" i="4"/>
  <c r="H421" i="4" s="1"/>
  <c r="A420" i="4"/>
  <c r="C420" i="4" s="1"/>
  <c r="A419" i="4"/>
  <c r="A418" i="4"/>
  <c r="A417" i="4"/>
  <c r="A416" i="4"/>
  <c r="G416" i="4" s="1"/>
  <c r="A415" i="4"/>
  <c r="D415" i="4" s="1"/>
  <c r="A414" i="4"/>
  <c r="J414" i="4" s="1"/>
  <c r="A413" i="4"/>
  <c r="I413" i="4" s="1"/>
  <c r="A412" i="4"/>
  <c r="A411" i="4"/>
  <c r="C411" i="4" s="1"/>
  <c r="A410" i="4"/>
  <c r="J410" i="4" s="1"/>
  <c r="A409" i="4"/>
  <c r="I409" i="4" s="1"/>
  <c r="A408" i="4"/>
  <c r="I408" i="4" s="1"/>
  <c r="A407" i="4"/>
  <c r="D407" i="4" s="1"/>
  <c r="A406" i="4"/>
  <c r="E406" i="4" s="1"/>
  <c r="A405" i="4"/>
  <c r="J405" i="4" s="1"/>
  <c r="A404" i="4"/>
  <c r="A403" i="4"/>
  <c r="A402" i="4"/>
  <c r="F402" i="4" s="1"/>
  <c r="A401" i="4"/>
  <c r="I401" i="4" s="1"/>
  <c r="A400" i="4"/>
  <c r="A399" i="4"/>
  <c r="A398" i="4"/>
  <c r="F398" i="4" s="1"/>
  <c r="A397" i="4"/>
  <c r="A396" i="4"/>
  <c r="A395" i="4"/>
  <c r="A394" i="4"/>
  <c r="F394" i="4" s="1"/>
  <c r="A393" i="4"/>
  <c r="I393" i="4" s="1"/>
  <c r="A392" i="4"/>
  <c r="A391" i="4"/>
  <c r="A390" i="4"/>
  <c r="F390" i="4" s="1"/>
  <c r="A389" i="4"/>
  <c r="J389" i="4" s="1"/>
  <c r="A388" i="4"/>
  <c r="A387" i="4"/>
  <c r="A386" i="4"/>
  <c r="F386" i="4" s="1"/>
  <c r="A385" i="4"/>
  <c r="I385" i="4" s="1"/>
  <c r="A384" i="4"/>
  <c r="A383" i="4"/>
  <c r="A382" i="4"/>
  <c r="F382" i="4" s="1"/>
  <c r="A381" i="4"/>
  <c r="A380" i="4"/>
  <c r="J380" i="4" s="1"/>
  <c r="A379" i="4"/>
  <c r="I379" i="4" s="1"/>
  <c r="A378" i="4"/>
  <c r="F378" i="4" s="1"/>
  <c r="A377" i="4"/>
  <c r="J377" i="4" s="1"/>
  <c r="A376" i="4"/>
  <c r="E376" i="4" s="1"/>
  <c r="A375" i="4"/>
  <c r="D375" i="4" s="1"/>
  <c r="A374" i="4"/>
  <c r="C374" i="4" s="1"/>
  <c r="A373" i="4"/>
  <c r="A372" i="4"/>
  <c r="A371" i="4"/>
  <c r="A370" i="4"/>
  <c r="I370" i="4" s="1"/>
  <c r="A369" i="4"/>
  <c r="A368" i="4"/>
  <c r="A367" i="4"/>
  <c r="G367" i="4" s="1"/>
  <c r="A366" i="4"/>
  <c r="F366" i="4" s="1"/>
  <c r="A365" i="4"/>
  <c r="D365" i="4" s="1"/>
  <c r="A364" i="4"/>
  <c r="J364" i="4" s="1"/>
  <c r="A363" i="4"/>
  <c r="A362" i="4"/>
  <c r="E362" i="4" s="1"/>
  <c r="A361" i="4"/>
  <c r="A360" i="4"/>
  <c r="A359" i="4"/>
  <c r="A358" i="4"/>
  <c r="A357" i="4"/>
  <c r="D357" i="4" s="1"/>
  <c r="A356" i="4"/>
  <c r="A355" i="4"/>
  <c r="A354" i="4"/>
  <c r="A353" i="4"/>
  <c r="D353" i="4" s="1"/>
  <c r="A352" i="4"/>
  <c r="A351" i="4"/>
  <c r="A350" i="4"/>
  <c r="A349" i="4"/>
  <c r="A348" i="4"/>
  <c r="J348" i="4" s="1"/>
  <c r="A347" i="4"/>
  <c r="A346" i="4"/>
  <c r="A345" i="4"/>
  <c r="A344" i="4"/>
  <c r="A343" i="4"/>
  <c r="I343" i="4" s="1"/>
  <c r="A342" i="4"/>
  <c r="A341" i="4"/>
  <c r="D341" i="4" s="1"/>
  <c r="A340" i="4"/>
  <c r="J340" i="4" s="1"/>
  <c r="A339" i="4"/>
  <c r="I339" i="4" s="1"/>
  <c r="A338" i="4"/>
  <c r="E338" i="4" s="1"/>
  <c r="A337" i="4"/>
  <c r="I337" i="4" s="1"/>
  <c r="A336" i="4"/>
  <c r="J336" i="4" s="1"/>
  <c r="A335" i="4"/>
  <c r="D335" i="4" s="1"/>
  <c r="A334" i="4"/>
  <c r="A333" i="4"/>
  <c r="A332" i="4"/>
  <c r="A331" i="4"/>
  <c r="A330" i="4"/>
  <c r="G330" i="4" s="1"/>
  <c r="A329" i="4"/>
  <c r="A328" i="4"/>
  <c r="A327" i="4"/>
  <c r="I327" i="4" s="1"/>
  <c r="A326" i="4"/>
  <c r="I326" i="4" s="1"/>
  <c r="A325" i="4"/>
  <c r="I325" i="4" s="1"/>
  <c r="A324" i="4"/>
  <c r="C324" i="4" s="1"/>
  <c r="A323" i="4"/>
  <c r="I323" i="4" s="1"/>
  <c r="A322" i="4"/>
  <c r="A321" i="4"/>
  <c r="I321" i="4" s="1"/>
  <c r="A320" i="4"/>
  <c r="A319" i="4"/>
  <c r="A318" i="4"/>
  <c r="G318" i="4" s="1"/>
  <c r="A317" i="4"/>
  <c r="A316" i="4"/>
  <c r="J316" i="4" s="1"/>
  <c r="A315" i="4"/>
  <c r="C315" i="4" s="1"/>
  <c r="A314" i="4"/>
  <c r="I314" i="4" s="1"/>
  <c r="A313" i="4"/>
  <c r="I313" i="4" s="1"/>
  <c r="A312" i="4"/>
  <c r="A311" i="4"/>
  <c r="E311" i="4" s="1"/>
  <c r="A310" i="4"/>
  <c r="A309" i="4"/>
  <c r="I309" i="4" s="1"/>
  <c r="A308" i="4"/>
  <c r="A307" i="4"/>
  <c r="D307" i="4" s="1"/>
  <c r="A306" i="4"/>
  <c r="G306" i="4" s="1"/>
  <c r="A305" i="4"/>
  <c r="I305" i="4" s="1"/>
  <c r="A304" i="4"/>
  <c r="A303" i="4"/>
  <c r="D303" i="4" s="1"/>
  <c r="A302" i="4"/>
  <c r="A301" i="4"/>
  <c r="A300" i="4"/>
  <c r="I300" i="4" s="1"/>
  <c r="A299" i="4"/>
  <c r="A298" i="4"/>
  <c r="A297" i="4"/>
  <c r="A296" i="4"/>
  <c r="F296" i="4" s="1"/>
  <c r="A295" i="4"/>
  <c r="H295" i="4" s="1"/>
  <c r="A294" i="4"/>
  <c r="I294" i="4" s="1"/>
  <c r="A293" i="4"/>
  <c r="E293" i="4" s="1"/>
  <c r="A292" i="4"/>
  <c r="C292" i="4" s="1"/>
  <c r="A291" i="4"/>
  <c r="I291" i="4" s="1"/>
  <c r="A290" i="4"/>
  <c r="J290" i="4" s="1"/>
  <c r="A289" i="4"/>
  <c r="H289" i="4" s="1"/>
  <c r="A288" i="4"/>
  <c r="C288" i="4" s="1"/>
  <c r="A287" i="4"/>
  <c r="A286" i="4"/>
  <c r="B286" i="4" s="1"/>
  <c r="A285" i="4"/>
  <c r="C285" i="4" s="1"/>
  <c r="A284" i="4"/>
  <c r="E284" i="4" s="1"/>
  <c r="A283" i="4"/>
  <c r="A282" i="4"/>
  <c r="G282" i="4" s="1"/>
  <c r="A281" i="4"/>
  <c r="I281" i="4" s="1"/>
  <c r="A280" i="4"/>
  <c r="A279" i="4"/>
  <c r="A278" i="4"/>
  <c r="A277" i="4"/>
  <c r="I277" i="4" s="1"/>
  <c r="A276" i="4"/>
  <c r="E276" i="4" s="1"/>
  <c r="A275" i="4"/>
  <c r="A274" i="4"/>
  <c r="B274" i="4" s="1"/>
  <c r="A273" i="4"/>
  <c r="A272" i="4"/>
  <c r="A271" i="4"/>
  <c r="G271" i="4" s="1"/>
  <c r="A270" i="4"/>
  <c r="A269" i="4"/>
  <c r="I269" i="4" s="1"/>
  <c r="A268" i="4"/>
  <c r="E268" i="4" s="1"/>
  <c r="A267" i="4"/>
  <c r="H267" i="4" s="1"/>
  <c r="A266" i="4"/>
  <c r="A265" i="4"/>
  <c r="G265" i="4" s="1"/>
  <c r="A264" i="4"/>
  <c r="J264" i="4" s="1"/>
  <c r="A263" i="4"/>
  <c r="A262" i="4"/>
  <c r="G262" i="4" s="1"/>
  <c r="A261" i="4"/>
  <c r="A260" i="4"/>
  <c r="E260" i="4" s="1"/>
  <c r="A259" i="4"/>
  <c r="E259" i="4" s="1"/>
  <c r="A258" i="4"/>
  <c r="B258" i="4" s="1"/>
  <c r="A257" i="4"/>
  <c r="A256" i="4"/>
  <c r="A255" i="4"/>
  <c r="D255" i="4" s="1"/>
  <c r="A254" i="4"/>
  <c r="A253" i="4"/>
  <c r="I253" i="4" s="1"/>
  <c r="A252" i="4"/>
  <c r="A251" i="4"/>
  <c r="D251" i="4" s="1"/>
  <c r="A250" i="4"/>
  <c r="A249" i="4"/>
  <c r="A248" i="4"/>
  <c r="B248" i="4" s="1"/>
  <c r="A247" i="4"/>
  <c r="H247" i="4" s="1"/>
  <c r="A246" i="4"/>
  <c r="A245" i="4"/>
  <c r="G245" i="4" s="1"/>
  <c r="A244" i="4"/>
  <c r="B244" i="4" s="1"/>
  <c r="A243" i="4"/>
  <c r="G243" i="4" s="1"/>
  <c r="A242" i="4"/>
  <c r="J242" i="4" s="1"/>
  <c r="A241" i="4"/>
  <c r="D241" i="4" s="1"/>
  <c r="A240" i="4"/>
  <c r="A239" i="4"/>
  <c r="A238" i="4"/>
  <c r="A237" i="4"/>
  <c r="A236" i="4"/>
  <c r="H236" i="4" s="1"/>
  <c r="A235" i="4"/>
  <c r="D235" i="4" s="1"/>
  <c r="A234" i="4"/>
  <c r="A233" i="4"/>
  <c r="A232" i="4"/>
  <c r="A231" i="4"/>
  <c r="I231" i="4" s="1"/>
  <c r="A230" i="4"/>
  <c r="A229" i="4"/>
  <c r="F229" i="4" s="1"/>
  <c r="A228" i="4"/>
  <c r="I228" i="4" s="1"/>
  <c r="A227" i="4"/>
  <c r="E227" i="4" s="1"/>
  <c r="A226" i="4"/>
  <c r="F226" i="4" s="1"/>
  <c r="A225" i="4"/>
  <c r="H225" i="4" s="1"/>
  <c r="A224" i="4"/>
  <c r="I224" i="4" s="1"/>
  <c r="A223" i="4"/>
  <c r="A222" i="4"/>
  <c r="A221" i="4"/>
  <c r="A220" i="4"/>
  <c r="J220" i="4" s="1"/>
  <c r="A219" i="4"/>
  <c r="G219" i="4" s="1"/>
  <c r="A218" i="4"/>
  <c r="A217" i="4"/>
  <c r="A216" i="4"/>
  <c r="I216" i="4" s="1"/>
  <c r="A215" i="4"/>
  <c r="A214" i="4"/>
  <c r="A213" i="4"/>
  <c r="J213" i="4" s="1"/>
  <c r="A212" i="4"/>
  <c r="I212" i="4" s="1"/>
  <c r="A211" i="4"/>
  <c r="F211" i="4" s="1"/>
  <c r="A210" i="4"/>
  <c r="A209" i="4"/>
  <c r="I209" i="4" s="1"/>
  <c r="A208" i="4"/>
  <c r="J208" i="4" s="1"/>
  <c r="A207" i="4"/>
  <c r="A206" i="4"/>
  <c r="I206" i="4" s="1"/>
  <c r="A205" i="4"/>
  <c r="A204" i="4"/>
  <c r="H204" i="4" s="1"/>
  <c r="A203" i="4"/>
  <c r="I203" i="4" s="1"/>
  <c r="A202" i="4"/>
  <c r="I202" i="4" s="1"/>
  <c r="A201" i="4"/>
  <c r="I201" i="4" s="1"/>
  <c r="A200" i="4"/>
  <c r="A199" i="4"/>
  <c r="A198" i="4"/>
  <c r="I198" i="4" s="1"/>
  <c r="A197" i="4"/>
  <c r="G197" i="4" s="1"/>
  <c r="A196" i="4"/>
  <c r="J196" i="4" s="1"/>
  <c r="A195" i="4"/>
  <c r="A194" i="4"/>
  <c r="A193" i="4"/>
  <c r="A192" i="4"/>
  <c r="I192" i="4" s="1"/>
  <c r="A191" i="4"/>
  <c r="H191" i="4" s="1"/>
  <c r="A190" i="4"/>
  <c r="D190" i="4" s="1"/>
  <c r="A189" i="4"/>
  <c r="G189" i="4" s="1"/>
  <c r="A188" i="4"/>
  <c r="I188" i="4" s="1"/>
  <c r="A187" i="4"/>
  <c r="J187" i="4" s="1"/>
  <c r="A186" i="4"/>
  <c r="D186" i="4" s="1"/>
  <c r="A185" i="4"/>
  <c r="I185" i="4" s="1"/>
  <c r="A184" i="4"/>
  <c r="A183" i="4"/>
  <c r="E183" i="4" s="1"/>
  <c r="A182" i="4"/>
  <c r="A181" i="4"/>
  <c r="A180" i="4"/>
  <c r="A179" i="4"/>
  <c r="F179" i="4" s="1"/>
  <c r="A178" i="4"/>
  <c r="J178" i="4" s="1"/>
  <c r="A177" i="4"/>
  <c r="A176" i="4"/>
  <c r="C176" i="4" s="1"/>
  <c r="A175" i="4"/>
  <c r="H175" i="4" s="1"/>
  <c r="A174" i="4"/>
  <c r="A173" i="4"/>
  <c r="G173" i="4" s="1"/>
  <c r="A172" i="4"/>
  <c r="A171" i="4"/>
  <c r="A170" i="4"/>
  <c r="J170" i="4" s="1"/>
  <c r="A169" i="4"/>
  <c r="A168" i="4"/>
  <c r="I168" i="4" s="1"/>
  <c r="A167" i="4"/>
  <c r="A166" i="4"/>
  <c r="A165" i="4"/>
  <c r="G165" i="4" s="1"/>
  <c r="A164" i="4"/>
  <c r="I164" i="4" s="1"/>
  <c r="A163" i="4"/>
  <c r="A162" i="4"/>
  <c r="A161" i="4"/>
  <c r="A160" i="4"/>
  <c r="A159" i="4"/>
  <c r="E159" i="4" s="1"/>
  <c r="A158" i="4"/>
  <c r="F158" i="4" s="1"/>
  <c r="A157" i="4"/>
  <c r="G157" i="4" s="1"/>
  <c r="A156" i="4"/>
  <c r="I156" i="4" s="1"/>
  <c r="A155" i="4"/>
  <c r="H155" i="4" s="1"/>
  <c r="A154" i="4"/>
  <c r="G154" i="4" s="1"/>
  <c r="A153" i="4"/>
  <c r="G153" i="4" s="1"/>
  <c r="A152" i="4"/>
  <c r="A151" i="4"/>
  <c r="J151" i="4" s="1"/>
  <c r="A150" i="4"/>
  <c r="J150" i="4" s="1"/>
  <c r="A149" i="4"/>
  <c r="I149" i="4" s="1"/>
  <c r="A148" i="4"/>
  <c r="A147" i="4"/>
  <c r="H147" i="4" s="1"/>
  <c r="A146" i="4"/>
  <c r="D146" i="4" s="1"/>
  <c r="A145" i="4"/>
  <c r="A144" i="4"/>
  <c r="A143" i="4"/>
  <c r="J143" i="4" s="1"/>
  <c r="A142" i="4"/>
  <c r="A141" i="4"/>
  <c r="G141" i="4" s="1"/>
  <c r="A140" i="4"/>
  <c r="I140" i="4" s="1"/>
  <c r="A139" i="4"/>
  <c r="J139" i="4" s="1"/>
  <c r="A138" i="4"/>
  <c r="D138" i="4" s="1"/>
  <c r="A137" i="4"/>
  <c r="G137" i="4" s="1"/>
  <c r="A136" i="4"/>
  <c r="I136" i="4" s="1"/>
  <c r="A135" i="4"/>
  <c r="A134" i="4"/>
  <c r="D134" i="4" s="1"/>
  <c r="A133" i="4"/>
  <c r="J133" i="4" s="1"/>
  <c r="A132" i="4"/>
  <c r="A131" i="4"/>
  <c r="J131" i="4" s="1"/>
  <c r="A130" i="4"/>
  <c r="D130" i="4" s="1"/>
  <c r="A129" i="4"/>
  <c r="B129" i="4" s="1"/>
  <c r="A128" i="4"/>
  <c r="A127" i="4"/>
  <c r="J127" i="4" s="1"/>
  <c r="A126" i="4"/>
  <c r="D126" i="4" s="1"/>
  <c r="A125" i="4"/>
  <c r="J125" i="4" s="1"/>
  <c r="A124" i="4"/>
  <c r="A123" i="4"/>
  <c r="J123" i="4" s="1"/>
  <c r="A122" i="4"/>
  <c r="D122" i="4" s="1"/>
  <c r="A121" i="4"/>
  <c r="B121" i="4" s="1"/>
  <c r="A120" i="4"/>
  <c r="I120" i="4" s="1"/>
  <c r="A119" i="4"/>
  <c r="J119" i="4" s="1"/>
  <c r="A118" i="4"/>
  <c r="A117" i="4"/>
  <c r="J117" i="4" s="1"/>
  <c r="A116" i="4"/>
  <c r="A115" i="4"/>
  <c r="J115" i="4" s="1"/>
  <c r="A114" i="4"/>
  <c r="D114" i="4" s="1"/>
  <c r="A113" i="4"/>
  <c r="A112" i="4"/>
  <c r="I112" i="4" s="1"/>
  <c r="A111" i="4"/>
  <c r="J111" i="4" s="1"/>
  <c r="A110" i="4"/>
  <c r="A109" i="4"/>
  <c r="J109" i="4" s="1"/>
  <c r="A108" i="4"/>
  <c r="A107" i="4"/>
  <c r="J107" i="4" s="1"/>
  <c r="A106" i="4"/>
  <c r="D106" i="4" s="1"/>
  <c r="A105" i="4"/>
  <c r="B105" i="4" s="1"/>
  <c r="A104" i="4"/>
  <c r="I104" i="4" s="1"/>
  <c r="A103" i="4"/>
  <c r="J103" i="4" s="1"/>
  <c r="A102" i="4"/>
  <c r="D102" i="4" s="1"/>
  <c r="A101" i="4"/>
  <c r="J101" i="4" s="1"/>
  <c r="A100" i="4"/>
  <c r="A99" i="4"/>
  <c r="J99" i="4" s="1"/>
  <c r="A98" i="4"/>
  <c r="D98" i="4" s="1"/>
  <c r="A97" i="4"/>
  <c r="B97" i="4" s="1"/>
  <c r="A96" i="4"/>
  <c r="I96" i="4" s="1"/>
  <c r="A95" i="4"/>
  <c r="J95" i="4" s="1"/>
  <c r="A94" i="4"/>
  <c r="A93" i="4"/>
  <c r="A92" i="4"/>
  <c r="I92" i="4" s="1"/>
  <c r="A91" i="4"/>
  <c r="J91" i="4" s="1"/>
  <c r="A90" i="4"/>
  <c r="D90" i="4" s="1"/>
  <c r="A89" i="4"/>
  <c r="J89" i="4" s="1"/>
  <c r="A88" i="4"/>
  <c r="A87" i="4"/>
  <c r="J87" i="4" s="1"/>
  <c r="A86" i="4"/>
  <c r="D86" i="4" s="1"/>
  <c r="A85" i="4"/>
  <c r="J85" i="4" s="1"/>
  <c r="A84" i="4"/>
  <c r="F84" i="4" s="1"/>
  <c r="A83" i="4"/>
  <c r="A82" i="4"/>
  <c r="D82" i="4" s="1"/>
  <c r="A81" i="4"/>
  <c r="I81" i="4" s="1"/>
  <c r="A80" i="4"/>
  <c r="A79" i="4"/>
  <c r="J79" i="4" s="1"/>
  <c r="A78" i="4"/>
  <c r="D78" i="4" s="1"/>
  <c r="A77" i="4"/>
  <c r="J77" i="4" s="1"/>
  <c r="A76" i="4"/>
  <c r="A75" i="4"/>
  <c r="J75" i="4" s="1"/>
  <c r="A74" i="4"/>
  <c r="D74" i="4" s="1"/>
  <c r="A73" i="4"/>
  <c r="J73" i="4" s="1"/>
  <c r="A72" i="4"/>
  <c r="A71" i="4"/>
  <c r="J71" i="4" s="1"/>
  <c r="A70" i="4"/>
  <c r="D70" i="4" s="1"/>
  <c r="A69" i="4"/>
  <c r="A68" i="4"/>
  <c r="I68" i="4" s="1"/>
  <c r="A67" i="4"/>
  <c r="J67" i="4" s="1"/>
  <c r="A66" i="4"/>
  <c r="D66" i="4" s="1"/>
  <c r="A65" i="4"/>
  <c r="A64" i="4"/>
  <c r="I64" i="4" s="1"/>
  <c r="A63" i="4"/>
  <c r="J63" i="4" s="1"/>
  <c r="A62" i="4"/>
  <c r="D62" i="4" s="1"/>
  <c r="A61" i="4"/>
  <c r="J61" i="4" s="1"/>
  <c r="A60" i="4"/>
  <c r="F60" i="4" s="1"/>
  <c r="A59" i="4"/>
  <c r="J59" i="4" s="1"/>
  <c r="A58" i="4"/>
  <c r="D58" i="4" s="1"/>
  <c r="A57" i="4"/>
  <c r="A56" i="4"/>
  <c r="A55" i="4"/>
  <c r="J55" i="4" s="1"/>
  <c r="A54" i="4"/>
  <c r="D54" i="4" s="1"/>
  <c r="A53" i="4"/>
  <c r="A52" i="4"/>
  <c r="A51" i="4"/>
  <c r="J51" i="4" s="1"/>
  <c r="A50" i="4"/>
  <c r="D50" i="4" s="1"/>
  <c r="A49" i="4"/>
  <c r="A48" i="4"/>
  <c r="A47" i="4"/>
  <c r="J47" i="4" s="1"/>
  <c r="A46" i="4"/>
  <c r="D46" i="4" s="1"/>
  <c r="A45" i="4"/>
  <c r="A44" i="4"/>
  <c r="I44" i="4" s="1"/>
  <c r="A43" i="4"/>
  <c r="J43" i="4" s="1"/>
  <c r="A42" i="4"/>
  <c r="D42" i="4" s="1"/>
  <c r="A41" i="4"/>
  <c r="A40" i="4"/>
  <c r="I40" i="4" s="1"/>
  <c r="A39" i="4"/>
  <c r="J39" i="4" s="1"/>
  <c r="A38" i="4"/>
  <c r="D38" i="4" s="1"/>
  <c r="A37" i="4"/>
  <c r="J37" i="4" s="1"/>
  <c r="A36" i="4"/>
  <c r="D36" i="4" s="1"/>
  <c r="A35" i="4"/>
  <c r="J35" i="4" s="1"/>
  <c r="A34" i="4"/>
  <c r="D34" i="4" s="1"/>
  <c r="A33" i="4"/>
  <c r="J33" i="4" s="1"/>
  <c r="A32" i="4"/>
  <c r="I32" i="4" s="1"/>
  <c r="A31" i="4"/>
  <c r="J31" i="4" s="1"/>
  <c r="A30" i="4"/>
  <c r="D30" i="4" s="1"/>
  <c r="A29" i="4"/>
  <c r="G29" i="4" s="1"/>
  <c r="A28" i="4"/>
  <c r="A27" i="4"/>
  <c r="J27" i="4" s="1"/>
  <c r="A26" i="4"/>
  <c r="D26" i="4" s="1"/>
  <c r="A25" i="4"/>
  <c r="J25" i="4" s="1"/>
  <c r="A24" i="4"/>
  <c r="C24" i="4" s="1"/>
  <c r="A23" i="4"/>
  <c r="J23" i="4" s="1"/>
  <c r="A22" i="4"/>
  <c r="D22" i="4" s="1"/>
  <c r="A21" i="4"/>
  <c r="J21" i="4" s="1"/>
  <c r="A20" i="4"/>
  <c r="A19" i="4"/>
  <c r="J19" i="4" s="1"/>
  <c r="A18" i="4"/>
  <c r="D18" i="4" s="1"/>
  <c r="A17" i="4"/>
  <c r="A16" i="4"/>
  <c r="A15" i="4"/>
  <c r="J15" i="4" s="1"/>
  <c r="A14" i="4"/>
  <c r="D14" i="4" s="1"/>
  <c r="A13" i="4"/>
  <c r="B13" i="4" s="1"/>
  <c r="A12" i="4"/>
  <c r="D12" i="4" s="1"/>
  <c r="A11" i="4"/>
  <c r="J11" i="4" s="1"/>
  <c r="A10" i="4"/>
  <c r="D10" i="4" s="1"/>
  <c r="A9" i="4"/>
  <c r="A8" i="4"/>
  <c r="F8" i="4" s="1"/>
  <c r="A7" i="4"/>
  <c r="A6" i="4"/>
  <c r="D6" i="4" s="1"/>
  <c r="A5" i="4"/>
  <c r="D5" i="4" s="1"/>
  <c r="A4" i="4"/>
  <c r="D4" i="4" s="1"/>
  <c r="A3" i="4"/>
  <c r="J3" i="4" s="1"/>
  <c r="A2" i="4"/>
  <c r="F2" i="4" s="1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B9" i="3"/>
  <c r="B8" i="3"/>
  <c r="B7" i="3"/>
  <c r="B6" i="3"/>
  <c r="B5" i="3"/>
  <c r="B4" i="3"/>
  <c r="I80" i="2"/>
  <c r="H80" i="2"/>
  <c r="G80" i="2"/>
  <c r="F80" i="2"/>
  <c r="E80" i="2"/>
  <c r="D80" i="2"/>
  <c r="C80" i="2"/>
  <c r="B80" i="2"/>
  <c r="I79" i="2"/>
  <c r="H79" i="2"/>
  <c r="G79" i="2"/>
  <c r="F79" i="2"/>
  <c r="E79" i="2"/>
  <c r="D79" i="2"/>
  <c r="C79" i="2"/>
  <c r="B79" i="2"/>
  <c r="I78" i="2"/>
  <c r="H78" i="2"/>
  <c r="G78" i="2"/>
  <c r="F78" i="2"/>
  <c r="E78" i="2"/>
  <c r="D78" i="2"/>
  <c r="C78" i="2"/>
  <c r="B78" i="2"/>
  <c r="I77" i="2"/>
  <c r="H77" i="2"/>
  <c r="G77" i="2"/>
  <c r="F77" i="2"/>
  <c r="E77" i="2"/>
  <c r="D77" i="2"/>
  <c r="C77" i="2"/>
  <c r="B77" i="2"/>
  <c r="I76" i="2"/>
  <c r="H76" i="2"/>
  <c r="G76" i="2"/>
  <c r="F76" i="2"/>
  <c r="E76" i="2"/>
  <c r="D76" i="2"/>
  <c r="C76" i="2"/>
  <c r="B76" i="2"/>
  <c r="I75" i="2"/>
  <c r="H75" i="2"/>
  <c r="G75" i="2"/>
  <c r="F75" i="2"/>
  <c r="E75" i="2"/>
  <c r="D75" i="2"/>
  <c r="C75" i="2"/>
  <c r="B75" i="2"/>
  <c r="I74" i="2"/>
  <c r="H74" i="2"/>
  <c r="G74" i="2"/>
  <c r="F74" i="2"/>
  <c r="E74" i="2"/>
  <c r="D74" i="2"/>
  <c r="C74" i="2"/>
  <c r="B74" i="2"/>
  <c r="I73" i="2"/>
  <c r="H73" i="2"/>
  <c r="G73" i="2"/>
  <c r="F73" i="2"/>
  <c r="E73" i="2"/>
  <c r="D73" i="2"/>
  <c r="C73" i="2"/>
  <c r="B73" i="2"/>
  <c r="I72" i="2"/>
  <c r="H72" i="2"/>
  <c r="G72" i="2"/>
  <c r="F72" i="2"/>
  <c r="E72" i="2"/>
  <c r="D72" i="2"/>
  <c r="C72" i="2"/>
  <c r="B72" i="2"/>
  <c r="I71" i="2"/>
  <c r="H71" i="2"/>
  <c r="G71" i="2"/>
  <c r="F71" i="2"/>
  <c r="E71" i="2"/>
  <c r="D71" i="2"/>
  <c r="C71" i="2"/>
  <c r="B71" i="2"/>
  <c r="I70" i="2"/>
  <c r="H70" i="2"/>
  <c r="G70" i="2"/>
  <c r="F70" i="2"/>
  <c r="E70" i="2"/>
  <c r="D70" i="2"/>
  <c r="C70" i="2"/>
  <c r="B70" i="2"/>
  <c r="I69" i="2"/>
  <c r="H69" i="2"/>
  <c r="G69" i="2"/>
  <c r="F69" i="2"/>
  <c r="E69" i="2"/>
  <c r="D69" i="2"/>
  <c r="C69" i="2"/>
  <c r="B69" i="2"/>
  <c r="I68" i="2"/>
  <c r="H68" i="2"/>
  <c r="G68" i="2"/>
  <c r="F68" i="2"/>
  <c r="E68" i="2"/>
  <c r="D68" i="2"/>
  <c r="C68" i="2"/>
  <c r="B68" i="2"/>
  <c r="I67" i="2"/>
  <c r="H67" i="2"/>
  <c r="G67" i="2"/>
  <c r="F67" i="2"/>
  <c r="E67" i="2"/>
  <c r="D67" i="2"/>
  <c r="C67" i="2"/>
  <c r="B67" i="2"/>
  <c r="I66" i="2"/>
  <c r="H66" i="2"/>
  <c r="G66" i="2"/>
  <c r="F66" i="2"/>
  <c r="E66" i="2"/>
  <c r="D66" i="2"/>
  <c r="C66" i="2"/>
  <c r="B66" i="2"/>
  <c r="I65" i="2"/>
  <c r="H65" i="2"/>
  <c r="G65" i="2"/>
  <c r="F65" i="2"/>
  <c r="E65" i="2"/>
  <c r="D65" i="2"/>
  <c r="C65" i="2"/>
  <c r="B65" i="2"/>
  <c r="I64" i="2"/>
  <c r="H64" i="2"/>
  <c r="G64" i="2"/>
  <c r="F64" i="2"/>
  <c r="E64" i="2"/>
  <c r="D64" i="2"/>
  <c r="C64" i="2"/>
  <c r="B64" i="2"/>
  <c r="I63" i="2"/>
  <c r="H63" i="2"/>
  <c r="G63" i="2"/>
  <c r="F63" i="2"/>
  <c r="E63" i="2"/>
  <c r="D63" i="2"/>
  <c r="C63" i="2"/>
  <c r="B63" i="2"/>
  <c r="I62" i="2"/>
  <c r="H62" i="2"/>
  <c r="G62" i="2"/>
  <c r="F62" i="2"/>
  <c r="E62" i="2"/>
  <c r="D62" i="2"/>
  <c r="C62" i="2"/>
  <c r="B62" i="2"/>
  <c r="I61" i="2"/>
  <c r="H61" i="2"/>
  <c r="G61" i="2"/>
  <c r="F61" i="2"/>
  <c r="E61" i="2"/>
  <c r="D61" i="2"/>
  <c r="C61" i="2"/>
  <c r="B61" i="2"/>
  <c r="I60" i="2"/>
  <c r="H60" i="2"/>
  <c r="G60" i="2"/>
  <c r="F60" i="2"/>
  <c r="E60" i="2"/>
  <c r="D60" i="2"/>
  <c r="C60" i="2"/>
  <c r="B60" i="2"/>
  <c r="I59" i="2"/>
  <c r="H59" i="2"/>
  <c r="G59" i="2"/>
  <c r="F59" i="2"/>
  <c r="E59" i="2"/>
  <c r="D59" i="2"/>
  <c r="C59" i="2"/>
  <c r="B59" i="2"/>
  <c r="I58" i="2"/>
  <c r="H58" i="2"/>
  <c r="G58" i="2"/>
  <c r="F58" i="2"/>
  <c r="E58" i="2"/>
  <c r="D58" i="2"/>
  <c r="C58" i="2"/>
  <c r="B58" i="2"/>
  <c r="I57" i="2"/>
  <c r="H57" i="2"/>
  <c r="G57" i="2"/>
  <c r="F57" i="2"/>
  <c r="E57" i="2"/>
  <c r="D57" i="2"/>
  <c r="C57" i="2"/>
  <c r="B57" i="2"/>
  <c r="I56" i="2"/>
  <c r="H56" i="2"/>
  <c r="G56" i="2"/>
  <c r="F56" i="2"/>
  <c r="E56" i="2"/>
  <c r="D56" i="2"/>
  <c r="C56" i="2"/>
  <c r="B56" i="2"/>
  <c r="I55" i="2"/>
  <c r="H55" i="2"/>
  <c r="G55" i="2"/>
  <c r="F55" i="2"/>
  <c r="E55" i="2"/>
  <c r="D55" i="2"/>
  <c r="C55" i="2"/>
  <c r="B55" i="2"/>
  <c r="I54" i="2"/>
  <c r="H54" i="2"/>
  <c r="G54" i="2"/>
  <c r="F54" i="2"/>
  <c r="E54" i="2"/>
  <c r="D54" i="2"/>
  <c r="C54" i="2"/>
  <c r="B54" i="2"/>
  <c r="I53" i="2"/>
  <c r="H53" i="2"/>
  <c r="G53" i="2"/>
  <c r="F53" i="2"/>
  <c r="E53" i="2"/>
  <c r="D53" i="2"/>
  <c r="C53" i="2"/>
  <c r="B53" i="2"/>
  <c r="I52" i="2"/>
  <c r="H52" i="2"/>
  <c r="G52" i="2"/>
  <c r="F52" i="2"/>
  <c r="E52" i="2"/>
  <c r="D52" i="2"/>
  <c r="C52" i="2"/>
  <c r="B52" i="2"/>
  <c r="I51" i="2"/>
  <c r="H51" i="2"/>
  <c r="G51" i="2"/>
  <c r="F51" i="2"/>
  <c r="E51" i="2"/>
  <c r="D51" i="2"/>
  <c r="C51" i="2"/>
  <c r="B51" i="2"/>
  <c r="I50" i="2"/>
  <c r="H50" i="2"/>
  <c r="G50" i="2"/>
  <c r="F50" i="2"/>
  <c r="E50" i="2"/>
  <c r="D50" i="2"/>
  <c r="C50" i="2"/>
  <c r="B50" i="2"/>
  <c r="I49" i="2"/>
  <c r="H49" i="2"/>
  <c r="G49" i="2"/>
  <c r="F49" i="2"/>
  <c r="E49" i="2"/>
  <c r="D49" i="2"/>
  <c r="C49" i="2"/>
  <c r="B49" i="2"/>
  <c r="I48" i="2"/>
  <c r="H48" i="2"/>
  <c r="G48" i="2"/>
  <c r="F48" i="2"/>
  <c r="E48" i="2"/>
  <c r="D48" i="2"/>
  <c r="C48" i="2"/>
  <c r="B48" i="2"/>
  <c r="I47" i="2"/>
  <c r="H47" i="2"/>
  <c r="G47" i="2"/>
  <c r="F47" i="2"/>
  <c r="E47" i="2"/>
  <c r="D47" i="2"/>
  <c r="C47" i="2"/>
  <c r="B47" i="2"/>
  <c r="I46" i="2"/>
  <c r="H46" i="2"/>
  <c r="G46" i="2"/>
  <c r="F46" i="2"/>
  <c r="E46" i="2"/>
  <c r="D46" i="2"/>
  <c r="C46" i="2"/>
  <c r="B46" i="2"/>
  <c r="I45" i="2"/>
  <c r="H45" i="2"/>
  <c r="G45" i="2"/>
  <c r="F45" i="2"/>
  <c r="E45" i="2"/>
  <c r="D45" i="2"/>
  <c r="C45" i="2"/>
  <c r="B45" i="2"/>
  <c r="I44" i="2"/>
  <c r="H44" i="2"/>
  <c r="G44" i="2"/>
  <c r="F44" i="2"/>
  <c r="E44" i="2"/>
  <c r="D44" i="2"/>
  <c r="C44" i="2"/>
  <c r="B44" i="2"/>
  <c r="I43" i="2"/>
  <c r="H43" i="2"/>
  <c r="G43" i="2"/>
  <c r="F43" i="2"/>
  <c r="E43" i="2"/>
  <c r="D43" i="2"/>
  <c r="C43" i="2"/>
  <c r="B43" i="2"/>
  <c r="I42" i="2"/>
  <c r="H42" i="2"/>
  <c r="G42" i="2"/>
  <c r="F42" i="2"/>
  <c r="E42" i="2"/>
  <c r="D42" i="2"/>
  <c r="C42" i="2"/>
  <c r="B42" i="2"/>
  <c r="I41" i="2"/>
  <c r="H41" i="2"/>
  <c r="G41" i="2"/>
  <c r="F41" i="2"/>
  <c r="E41" i="2"/>
  <c r="D41" i="2"/>
  <c r="C41" i="2"/>
  <c r="B41" i="2"/>
  <c r="I40" i="2"/>
  <c r="H40" i="2"/>
  <c r="G40" i="2"/>
  <c r="F40" i="2"/>
  <c r="E40" i="2"/>
  <c r="D40" i="2"/>
  <c r="C40" i="2"/>
  <c r="B40" i="2"/>
  <c r="I39" i="2"/>
  <c r="H39" i="2"/>
  <c r="G39" i="2"/>
  <c r="F39" i="2"/>
  <c r="E39" i="2"/>
  <c r="D39" i="2"/>
  <c r="C39" i="2"/>
  <c r="B39" i="2"/>
  <c r="I38" i="2"/>
  <c r="H38" i="2"/>
  <c r="G38" i="2"/>
  <c r="F38" i="2"/>
  <c r="E38" i="2"/>
  <c r="D38" i="2"/>
  <c r="C38" i="2"/>
  <c r="B38" i="2"/>
  <c r="I37" i="2"/>
  <c r="H37" i="2"/>
  <c r="G37" i="2"/>
  <c r="F37" i="2"/>
  <c r="E37" i="2"/>
  <c r="D37" i="2"/>
  <c r="C37" i="2"/>
  <c r="B37" i="2"/>
  <c r="I36" i="2"/>
  <c r="H36" i="2"/>
  <c r="G36" i="2"/>
  <c r="F36" i="2"/>
  <c r="E36" i="2"/>
  <c r="D36" i="2"/>
  <c r="C36" i="2"/>
  <c r="B36" i="2"/>
  <c r="I35" i="2"/>
  <c r="H35" i="2"/>
  <c r="G35" i="2"/>
  <c r="F35" i="2"/>
  <c r="E35" i="2"/>
  <c r="D35" i="2"/>
  <c r="C35" i="2"/>
  <c r="B35" i="2"/>
  <c r="H34" i="2"/>
  <c r="G34" i="2"/>
  <c r="F34" i="2"/>
  <c r="D34" i="2"/>
  <c r="C34" i="2"/>
  <c r="B34" i="2"/>
  <c r="H33" i="2"/>
  <c r="G33" i="2"/>
  <c r="F33" i="2"/>
  <c r="D33" i="2"/>
  <c r="C33" i="2"/>
  <c r="B33" i="2"/>
  <c r="H32" i="2"/>
  <c r="G32" i="2"/>
  <c r="F32" i="2"/>
  <c r="D32" i="2"/>
  <c r="C32" i="2"/>
  <c r="B32" i="2"/>
  <c r="H31" i="2"/>
  <c r="G31" i="2"/>
  <c r="F31" i="2"/>
  <c r="D31" i="2"/>
  <c r="C31" i="2"/>
  <c r="B31" i="2"/>
  <c r="H30" i="2"/>
  <c r="G30" i="2"/>
  <c r="F30" i="2"/>
  <c r="D30" i="2"/>
  <c r="C30" i="2"/>
  <c r="B30" i="2"/>
  <c r="H29" i="2"/>
  <c r="G29" i="2"/>
  <c r="F29" i="2"/>
  <c r="D29" i="2"/>
  <c r="C29" i="2"/>
  <c r="B29" i="2"/>
  <c r="H28" i="2"/>
  <c r="G28" i="2"/>
  <c r="F28" i="2"/>
  <c r="D28" i="2"/>
  <c r="C28" i="2"/>
  <c r="B28" i="2"/>
  <c r="H27" i="2"/>
  <c r="G27" i="2"/>
  <c r="F27" i="2"/>
  <c r="D27" i="2"/>
  <c r="C27" i="2"/>
  <c r="B27" i="2"/>
  <c r="H26" i="2"/>
  <c r="G26" i="2"/>
  <c r="F26" i="2"/>
  <c r="D26" i="2"/>
  <c r="C26" i="2"/>
  <c r="B26" i="2"/>
  <c r="H25" i="2"/>
  <c r="G25" i="2"/>
  <c r="F25" i="2"/>
  <c r="D25" i="2"/>
  <c r="C25" i="2"/>
  <c r="B25" i="2"/>
  <c r="H24" i="2"/>
  <c r="G24" i="2"/>
  <c r="F24" i="2"/>
  <c r="D24" i="2"/>
  <c r="C24" i="2"/>
  <c r="B24" i="2"/>
  <c r="I23" i="2"/>
  <c r="H23" i="2"/>
  <c r="G23" i="2"/>
  <c r="F23" i="2"/>
  <c r="D23" i="2"/>
  <c r="C23" i="2"/>
  <c r="B23" i="2"/>
  <c r="H22" i="2"/>
  <c r="G22" i="2"/>
  <c r="F22" i="2"/>
  <c r="D22" i="2"/>
  <c r="C22" i="2"/>
  <c r="B22" i="2"/>
  <c r="H21" i="2"/>
  <c r="G21" i="2"/>
  <c r="F21" i="2"/>
  <c r="D21" i="2"/>
  <c r="C21" i="2"/>
  <c r="B21" i="2"/>
  <c r="H20" i="2"/>
  <c r="G20" i="2"/>
  <c r="F20" i="2"/>
  <c r="D20" i="2"/>
  <c r="C20" i="2"/>
  <c r="B20" i="2"/>
  <c r="H19" i="2"/>
  <c r="G19" i="2"/>
  <c r="F19" i="2"/>
  <c r="D19" i="2"/>
  <c r="C19" i="2"/>
  <c r="B19" i="2"/>
  <c r="H18" i="2"/>
  <c r="G18" i="2"/>
  <c r="F18" i="2"/>
  <c r="D18" i="2"/>
  <c r="C18" i="2"/>
  <c r="B18" i="2"/>
  <c r="I17" i="2"/>
  <c r="H17" i="2"/>
  <c r="G17" i="2"/>
  <c r="F17" i="2"/>
  <c r="D17" i="2"/>
  <c r="C17" i="2"/>
  <c r="B17" i="2"/>
  <c r="H16" i="2"/>
  <c r="G16" i="2"/>
  <c r="F16" i="2"/>
  <c r="D16" i="2"/>
  <c r="C16" i="2"/>
  <c r="B16" i="2"/>
  <c r="B10" i="2"/>
  <c r="H6" i="2"/>
  <c r="G6" i="2"/>
  <c r="F6" i="2"/>
  <c r="B6" i="2"/>
  <c r="M5" i="2"/>
  <c r="H5" i="2"/>
  <c r="G5" i="2"/>
  <c r="F5" i="2"/>
  <c r="B5" i="2"/>
  <c r="M4" i="2"/>
  <c r="H4" i="2"/>
  <c r="G4" i="2"/>
  <c r="F4" i="2"/>
  <c r="B4" i="2"/>
  <c r="M3" i="2"/>
  <c r="M2" i="2"/>
  <c r="O1402" i="1"/>
  <c r="N1402" i="1"/>
  <c r="E1402" i="1"/>
  <c r="A1402" i="1" s="1"/>
  <c r="B1402" i="1"/>
  <c r="O1401" i="1"/>
  <c r="N1401" i="1"/>
  <c r="E1401" i="1"/>
  <c r="A1401" i="1" s="1"/>
  <c r="B1401" i="1"/>
  <c r="O1400" i="1"/>
  <c r="N1400" i="1"/>
  <c r="E1400" i="1"/>
  <c r="A1400" i="1" s="1"/>
  <c r="B1400" i="1"/>
  <c r="O1399" i="1"/>
  <c r="N1399" i="1"/>
  <c r="E1399" i="1"/>
  <c r="A1399" i="1" s="1"/>
  <c r="B1399" i="1"/>
  <c r="O1398" i="1"/>
  <c r="N1398" i="1"/>
  <c r="E1398" i="1"/>
  <c r="A1398" i="1" s="1"/>
  <c r="B1398" i="1"/>
  <c r="O1397" i="1"/>
  <c r="N1397" i="1"/>
  <c r="E1397" i="1"/>
  <c r="A1397" i="1" s="1"/>
  <c r="B1397" i="1"/>
  <c r="O1396" i="1"/>
  <c r="N1396" i="1"/>
  <c r="E1396" i="1"/>
  <c r="A1396" i="1" s="1"/>
  <c r="B1396" i="1"/>
  <c r="O1395" i="1"/>
  <c r="N1395" i="1"/>
  <c r="E1395" i="1"/>
  <c r="A1395" i="1" s="1"/>
  <c r="B1395" i="1"/>
  <c r="O1394" i="1"/>
  <c r="N1394" i="1"/>
  <c r="E1394" i="1"/>
  <c r="A1394" i="1" s="1"/>
  <c r="B1394" i="1"/>
  <c r="O1393" i="1"/>
  <c r="N1393" i="1"/>
  <c r="E1393" i="1"/>
  <c r="A1393" i="1" s="1"/>
  <c r="B1393" i="1"/>
  <c r="O1392" i="1"/>
  <c r="N1392" i="1"/>
  <c r="E1392" i="1"/>
  <c r="A1392" i="1" s="1"/>
  <c r="B1392" i="1"/>
  <c r="O1391" i="1"/>
  <c r="N1391" i="1"/>
  <c r="E1391" i="1"/>
  <c r="A1391" i="1" s="1"/>
  <c r="B1391" i="1"/>
  <c r="O1390" i="1"/>
  <c r="N1390" i="1"/>
  <c r="E1390" i="1"/>
  <c r="A1390" i="1" s="1"/>
  <c r="B1390" i="1"/>
  <c r="O1389" i="1"/>
  <c r="N1389" i="1"/>
  <c r="E1389" i="1"/>
  <c r="A1389" i="1" s="1"/>
  <c r="B1389" i="1"/>
  <c r="O1388" i="1"/>
  <c r="N1388" i="1"/>
  <c r="E1388" i="1"/>
  <c r="A1388" i="1" s="1"/>
  <c r="B1388" i="1"/>
  <c r="O1387" i="1"/>
  <c r="N1387" i="1"/>
  <c r="E1387" i="1"/>
  <c r="A1387" i="1" s="1"/>
  <c r="B1387" i="1"/>
  <c r="O1386" i="1"/>
  <c r="N1386" i="1"/>
  <c r="E1386" i="1"/>
  <c r="A1386" i="1" s="1"/>
  <c r="B1386" i="1"/>
  <c r="O1385" i="1"/>
  <c r="N1385" i="1"/>
  <c r="E1385" i="1"/>
  <c r="A1385" i="1" s="1"/>
  <c r="B1385" i="1"/>
  <c r="O1384" i="1"/>
  <c r="N1384" i="1"/>
  <c r="E1384" i="1"/>
  <c r="A1384" i="1" s="1"/>
  <c r="B1384" i="1"/>
  <c r="O1383" i="1"/>
  <c r="N1383" i="1"/>
  <c r="E1383" i="1"/>
  <c r="A1383" i="1" s="1"/>
  <c r="B1383" i="1"/>
  <c r="O1382" i="1"/>
  <c r="N1382" i="1"/>
  <c r="E1382" i="1"/>
  <c r="A1382" i="1" s="1"/>
  <c r="B1382" i="1"/>
  <c r="O1381" i="1"/>
  <c r="N1381" i="1"/>
  <c r="E1381" i="1"/>
  <c r="A1381" i="1" s="1"/>
  <c r="B1381" i="1"/>
  <c r="O1380" i="1"/>
  <c r="N1380" i="1"/>
  <c r="E1380" i="1"/>
  <c r="A1380" i="1" s="1"/>
  <c r="B1380" i="1"/>
  <c r="O1379" i="1"/>
  <c r="N1379" i="1"/>
  <c r="E1379" i="1"/>
  <c r="A1379" i="1" s="1"/>
  <c r="B1379" i="1"/>
  <c r="O1378" i="1"/>
  <c r="N1378" i="1"/>
  <c r="E1378" i="1"/>
  <c r="A1378" i="1" s="1"/>
  <c r="B1378" i="1"/>
  <c r="O1377" i="1"/>
  <c r="N1377" i="1"/>
  <c r="E1377" i="1"/>
  <c r="A1377" i="1" s="1"/>
  <c r="B1377" i="1"/>
  <c r="O1376" i="1"/>
  <c r="N1376" i="1"/>
  <c r="E1376" i="1"/>
  <c r="A1376" i="1" s="1"/>
  <c r="B1376" i="1"/>
  <c r="O1375" i="1"/>
  <c r="N1375" i="1"/>
  <c r="E1375" i="1"/>
  <c r="A1375" i="1" s="1"/>
  <c r="B1375" i="1"/>
  <c r="O1374" i="1"/>
  <c r="N1374" i="1"/>
  <c r="E1374" i="1"/>
  <c r="A1374" i="1" s="1"/>
  <c r="B1374" i="1"/>
  <c r="O1373" i="1"/>
  <c r="N1373" i="1"/>
  <c r="E1373" i="1"/>
  <c r="A1373" i="1" s="1"/>
  <c r="B1373" i="1"/>
  <c r="O1372" i="1"/>
  <c r="N1372" i="1"/>
  <c r="E1372" i="1"/>
  <c r="A1372" i="1" s="1"/>
  <c r="B1372" i="1"/>
  <c r="O1371" i="1"/>
  <c r="N1371" i="1"/>
  <c r="E1371" i="1"/>
  <c r="A1371" i="1" s="1"/>
  <c r="B1371" i="1"/>
  <c r="O1370" i="1"/>
  <c r="N1370" i="1"/>
  <c r="E1370" i="1"/>
  <c r="A1370" i="1" s="1"/>
  <c r="B1370" i="1"/>
  <c r="O1369" i="1"/>
  <c r="N1369" i="1"/>
  <c r="E1369" i="1"/>
  <c r="A1369" i="1" s="1"/>
  <c r="B1369" i="1"/>
  <c r="O1368" i="1"/>
  <c r="N1368" i="1"/>
  <c r="E1368" i="1"/>
  <c r="A1368" i="1" s="1"/>
  <c r="B1368" i="1"/>
  <c r="O1367" i="1"/>
  <c r="N1367" i="1"/>
  <c r="E1367" i="1"/>
  <c r="A1367" i="1" s="1"/>
  <c r="B1367" i="1"/>
  <c r="O1366" i="1"/>
  <c r="N1366" i="1"/>
  <c r="E1366" i="1"/>
  <c r="A1366" i="1" s="1"/>
  <c r="B1366" i="1"/>
  <c r="O1365" i="1"/>
  <c r="N1365" i="1"/>
  <c r="E1365" i="1"/>
  <c r="A1365" i="1" s="1"/>
  <c r="B1365" i="1"/>
  <c r="O1364" i="1"/>
  <c r="N1364" i="1"/>
  <c r="E1364" i="1"/>
  <c r="A1364" i="1" s="1"/>
  <c r="B1364" i="1"/>
  <c r="O1363" i="1"/>
  <c r="N1363" i="1"/>
  <c r="E1363" i="1"/>
  <c r="A1363" i="1" s="1"/>
  <c r="B1363" i="1"/>
  <c r="O1362" i="1"/>
  <c r="N1362" i="1"/>
  <c r="E1362" i="1"/>
  <c r="A1362" i="1" s="1"/>
  <c r="B1362" i="1"/>
  <c r="O1361" i="1"/>
  <c r="N1361" i="1"/>
  <c r="E1361" i="1"/>
  <c r="A1361" i="1" s="1"/>
  <c r="B1361" i="1"/>
  <c r="O1360" i="1"/>
  <c r="N1360" i="1"/>
  <c r="E1360" i="1"/>
  <c r="A1360" i="1" s="1"/>
  <c r="B1360" i="1"/>
  <c r="O1359" i="1"/>
  <c r="N1359" i="1"/>
  <c r="E1359" i="1"/>
  <c r="A1359" i="1" s="1"/>
  <c r="B1359" i="1"/>
  <c r="O1358" i="1"/>
  <c r="N1358" i="1"/>
  <c r="E1358" i="1"/>
  <c r="A1358" i="1" s="1"/>
  <c r="B1358" i="1"/>
  <c r="O1357" i="1"/>
  <c r="N1357" i="1"/>
  <c r="E1357" i="1"/>
  <c r="A1357" i="1" s="1"/>
  <c r="B1357" i="1"/>
  <c r="O1356" i="1"/>
  <c r="N1356" i="1"/>
  <c r="E1356" i="1"/>
  <c r="A1356" i="1" s="1"/>
  <c r="B1356" i="1"/>
  <c r="O1355" i="1"/>
  <c r="N1355" i="1"/>
  <c r="E1355" i="1"/>
  <c r="A1355" i="1" s="1"/>
  <c r="B1355" i="1"/>
  <c r="O1354" i="1"/>
  <c r="N1354" i="1"/>
  <c r="E1354" i="1"/>
  <c r="A1354" i="1" s="1"/>
  <c r="B1354" i="1"/>
  <c r="O1353" i="1"/>
  <c r="N1353" i="1"/>
  <c r="E1353" i="1"/>
  <c r="A1353" i="1" s="1"/>
  <c r="B1353" i="1"/>
  <c r="O1352" i="1"/>
  <c r="N1352" i="1"/>
  <c r="E1352" i="1"/>
  <c r="A1352" i="1" s="1"/>
  <c r="B1352" i="1"/>
  <c r="O1351" i="1"/>
  <c r="N1351" i="1"/>
  <c r="E1351" i="1"/>
  <c r="A1351" i="1" s="1"/>
  <c r="B1351" i="1"/>
  <c r="O1350" i="1"/>
  <c r="N1350" i="1"/>
  <c r="E1350" i="1"/>
  <c r="A1350" i="1" s="1"/>
  <c r="B1350" i="1"/>
  <c r="O1349" i="1"/>
  <c r="N1349" i="1"/>
  <c r="E1349" i="1"/>
  <c r="A1349" i="1" s="1"/>
  <c r="B1349" i="1"/>
  <c r="O1348" i="1"/>
  <c r="N1348" i="1"/>
  <c r="E1348" i="1"/>
  <c r="A1348" i="1" s="1"/>
  <c r="B1348" i="1"/>
  <c r="O1347" i="1"/>
  <c r="N1347" i="1"/>
  <c r="E1347" i="1"/>
  <c r="A1347" i="1" s="1"/>
  <c r="B1347" i="1"/>
  <c r="O1346" i="1"/>
  <c r="N1346" i="1"/>
  <c r="E1346" i="1"/>
  <c r="A1346" i="1" s="1"/>
  <c r="B1346" i="1"/>
  <c r="O1345" i="1"/>
  <c r="N1345" i="1"/>
  <c r="E1345" i="1"/>
  <c r="A1345" i="1" s="1"/>
  <c r="B1345" i="1"/>
  <c r="O1344" i="1"/>
  <c r="N1344" i="1"/>
  <c r="E1344" i="1"/>
  <c r="A1344" i="1" s="1"/>
  <c r="B1344" i="1"/>
  <c r="O1343" i="1"/>
  <c r="N1343" i="1"/>
  <c r="E1343" i="1"/>
  <c r="A1343" i="1" s="1"/>
  <c r="B1343" i="1"/>
  <c r="O1342" i="1"/>
  <c r="N1342" i="1"/>
  <c r="E1342" i="1"/>
  <c r="A1342" i="1" s="1"/>
  <c r="B1342" i="1"/>
  <c r="O1341" i="1"/>
  <c r="N1341" i="1"/>
  <c r="E1341" i="1"/>
  <c r="A1341" i="1" s="1"/>
  <c r="B1341" i="1"/>
  <c r="O1340" i="1"/>
  <c r="N1340" i="1"/>
  <c r="E1340" i="1"/>
  <c r="A1340" i="1" s="1"/>
  <c r="B1340" i="1"/>
  <c r="O1339" i="1"/>
  <c r="N1339" i="1"/>
  <c r="E1339" i="1"/>
  <c r="A1339" i="1" s="1"/>
  <c r="B1339" i="1"/>
  <c r="O1338" i="1"/>
  <c r="N1338" i="1"/>
  <c r="E1338" i="1"/>
  <c r="A1338" i="1" s="1"/>
  <c r="B1338" i="1"/>
  <c r="O1337" i="1"/>
  <c r="N1337" i="1"/>
  <c r="E1337" i="1"/>
  <c r="A1337" i="1" s="1"/>
  <c r="B1337" i="1"/>
  <c r="O1336" i="1"/>
  <c r="N1336" i="1"/>
  <c r="E1336" i="1"/>
  <c r="A1336" i="1" s="1"/>
  <c r="B1336" i="1"/>
  <c r="O1335" i="1"/>
  <c r="N1335" i="1"/>
  <c r="E1335" i="1"/>
  <c r="A1335" i="1" s="1"/>
  <c r="B1335" i="1"/>
  <c r="O1334" i="1"/>
  <c r="N1334" i="1"/>
  <c r="E1334" i="1"/>
  <c r="A1334" i="1" s="1"/>
  <c r="B1334" i="1"/>
  <c r="O1333" i="1"/>
  <c r="N1333" i="1"/>
  <c r="E1333" i="1"/>
  <c r="A1333" i="1" s="1"/>
  <c r="B1333" i="1"/>
  <c r="O1332" i="1"/>
  <c r="N1332" i="1"/>
  <c r="E1332" i="1"/>
  <c r="A1332" i="1" s="1"/>
  <c r="B1332" i="1"/>
  <c r="O1331" i="1"/>
  <c r="N1331" i="1"/>
  <c r="E1331" i="1"/>
  <c r="A1331" i="1" s="1"/>
  <c r="B1331" i="1"/>
  <c r="O1330" i="1"/>
  <c r="N1330" i="1"/>
  <c r="E1330" i="1"/>
  <c r="A1330" i="1" s="1"/>
  <c r="B1330" i="1"/>
  <c r="O1329" i="1"/>
  <c r="N1329" i="1"/>
  <c r="E1329" i="1"/>
  <c r="A1329" i="1" s="1"/>
  <c r="B1329" i="1"/>
  <c r="O1328" i="1"/>
  <c r="N1328" i="1"/>
  <c r="E1328" i="1"/>
  <c r="A1328" i="1" s="1"/>
  <c r="B1328" i="1"/>
  <c r="O1327" i="1"/>
  <c r="N1327" i="1"/>
  <c r="E1327" i="1"/>
  <c r="A1327" i="1" s="1"/>
  <c r="B1327" i="1"/>
  <c r="O1326" i="1"/>
  <c r="N1326" i="1"/>
  <c r="E1326" i="1"/>
  <c r="A1326" i="1" s="1"/>
  <c r="B1326" i="1"/>
  <c r="O1325" i="1"/>
  <c r="N1325" i="1"/>
  <c r="E1325" i="1"/>
  <c r="A1325" i="1" s="1"/>
  <c r="B1325" i="1"/>
  <c r="O1324" i="1"/>
  <c r="N1324" i="1"/>
  <c r="E1324" i="1"/>
  <c r="A1324" i="1" s="1"/>
  <c r="B1324" i="1"/>
  <c r="O1323" i="1"/>
  <c r="N1323" i="1"/>
  <c r="E1323" i="1"/>
  <c r="A1323" i="1" s="1"/>
  <c r="B1323" i="1"/>
  <c r="O1322" i="1"/>
  <c r="N1322" i="1"/>
  <c r="E1322" i="1"/>
  <c r="A1322" i="1" s="1"/>
  <c r="B1322" i="1"/>
  <c r="O1321" i="1"/>
  <c r="N1321" i="1"/>
  <c r="E1321" i="1"/>
  <c r="A1321" i="1" s="1"/>
  <c r="B1321" i="1"/>
  <c r="O1320" i="1"/>
  <c r="N1320" i="1"/>
  <c r="E1320" i="1"/>
  <c r="A1320" i="1" s="1"/>
  <c r="B1320" i="1"/>
  <c r="O1319" i="1"/>
  <c r="N1319" i="1"/>
  <c r="E1319" i="1"/>
  <c r="A1319" i="1" s="1"/>
  <c r="B1319" i="1"/>
  <c r="O1318" i="1"/>
  <c r="N1318" i="1"/>
  <c r="E1318" i="1"/>
  <c r="A1318" i="1" s="1"/>
  <c r="B1318" i="1"/>
  <c r="O1317" i="1"/>
  <c r="N1317" i="1"/>
  <c r="E1317" i="1"/>
  <c r="A1317" i="1" s="1"/>
  <c r="B1317" i="1"/>
  <c r="O1316" i="1"/>
  <c r="N1316" i="1"/>
  <c r="E1316" i="1"/>
  <c r="A1316" i="1" s="1"/>
  <c r="B1316" i="1"/>
  <c r="O1315" i="1"/>
  <c r="N1315" i="1"/>
  <c r="E1315" i="1"/>
  <c r="A1315" i="1" s="1"/>
  <c r="B1315" i="1"/>
  <c r="O1314" i="1"/>
  <c r="N1314" i="1"/>
  <c r="E1314" i="1"/>
  <c r="A1314" i="1" s="1"/>
  <c r="B1314" i="1"/>
  <c r="O1313" i="1"/>
  <c r="N1313" i="1"/>
  <c r="E1313" i="1"/>
  <c r="A1313" i="1" s="1"/>
  <c r="B1313" i="1"/>
  <c r="O1312" i="1"/>
  <c r="N1312" i="1"/>
  <c r="E1312" i="1"/>
  <c r="A1312" i="1" s="1"/>
  <c r="B1312" i="1"/>
  <c r="O1311" i="1"/>
  <c r="N1311" i="1"/>
  <c r="E1311" i="1"/>
  <c r="A1311" i="1" s="1"/>
  <c r="B1311" i="1"/>
  <c r="O1310" i="1"/>
  <c r="N1310" i="1"/>
  <c r="E1310" i="1"/>
  <c r="A1310" i="1" s="1"/>
  <c r="B1310" i="1"/>
  <c r="O1309" i="1"/>
  <c r="N1309" i="1"/>
  <c r="E1309" i="1"/>
  <c r="A1309" i="1" s="1"/>
  <c r="B1309" i="1"/>
  <c r="O1308" i="1"/>
  <c r="N1308" i="1"/>
  <c r="E1308" i="1"/>
  <c r="A1308" i="1" s="1"/>
  <c r="B1308" i="1"/>
  <c r="O1307" i="1"/>
  <c r="N1307" i="1"/>
  <c r="E1307" i="1"/>
  <c r="A1307" i="1" s="1"/>
  <c r="B1307" i="1"/>
  <c r="O1306" i="1"/>
  <c r="N1306" i="1"/>
  <c r="E1306" i="1"/>
  <c r="A1306" i="1" s="1"/>
  <c r="B1306" i="1"/>
  <c r="O1305" i="1"/>
  <c r="N1305" i="1"/>
  <c r="E1305" i="1"/>
  <c r="A1305" i="1" s="1"/>
  <c r="B1305" i="1"/>
  <c r="O1304" i="1"/>
  <c r="N1304" i="1"/>
  <c r="E1304" i="1"/>
  <c r="A1304" i="1" s="1"/>
  <c r="B1304" i="1"/>
  <c r="O1303" i="1"/>
  <c r="N1303" i="1"/>
  <c r="E1303" i="1"/>
  <c r="A1303" i="1" s="1"/>
  <c r="B1303" i="1"/>
  <c r="O1302" i="1"/>
  <c r="N1302" i="1"/>
  <c r="E1302" i="1"/>
  <c r="A1302" i="1" s="1"/>
  <c r="B1302" i="1"/>
  <c r="O1301" i="1"/>
  <c r="N1301" i="1"/>
  <c r="E1301" i="1"/>
  <c r="A1301" i="1" s="1"/>
  <c r="B1301" i="1"/>
  <c r="O1300" i="1"/>
  <c r="N1300" i="1"/>
  <c r="E1300" i="1"/>
  <c r="A1300" i="1" s="1"/>
  <c r="B1300" i="1"/>
  <c r="O1299" i="1"/>
  <c r="N1299" i="1"/>
  <c r="E1299" i="1"/>
  <c r="A1299" i="1" s="1"/>
  <c r="B1299" i="1"/>
  <c r="O1298" i="1"/>
  <c r="N1298" i="1"/>
  <c r="E1298" i="1"/>
  <c r="A1298" i="1" s="1"/>
  <c r="B1298" i="1"/>
  <c r="O1297" i="1"/>
  <c r="N1297" i="1"/>
  <c r="E1297" i="1"/>
  <c r="A1297" i="1" s="1"/>
  <c r="B1297" i="1"/>
  <c r="O1296" i="1"/>
  <c r="N1296" i="1"/>
  <c r="E1296" i="1"/>
  <c r="A1296" i="1" s="1"/>
  <c r="B1296" i="1"/>
  <c r="O1295" i="1"/>
  <c r="N1295" i="1"/>
  <c r="E1295" i="1"/>
  <c r="A1295" i="1" s="1"/>
  <c r="B1295" i="1"/>
  <c r="O1294" i="1"/>
  <c r="N1294" i="1"/>
  <c r="E1294" i="1"/>
  <c r="A1294" i="1" s="1"/>
  <c r="B1294" i="1"/>
  <c r="O1293" i="1"/>
  <c r="N1293" i="1"/>
  <c r="E1293" i="1"/>
  <c r="A1293" i="1" s="1"/>
  <c r="B1293" i="1"/>
  <c r="O1292" i="1"/>
  <c r="N1292" i="1"/>
  <c r="E1292" i="1"/>
  <c r="A1292" i="1" s="1"/>
  <c r="B1292" i="1"/>
  <c r="O1291" i="1"/>
  <c r="N1291" i="1"/>
  <c r="E1291" i="1"/>
  <c r="A1291" i="1" s="1"/>
  <c r="B1291" i="1"/>
  <c r="O1290" i="1"/>
  <c r="N1290" i="1"/>
  <c r="E1290" i="1"/>
  <c r="A1290" i="1" s="1"/>
  <c r="B1290" i="1"/>
  <c r="O1289" i="1"/>
  <c r="N1289" i="1"/>
  <c r="E1289" i="1"/>
  <c r="A1289" i="1" s="1"/>
  <c r="B1289" i="1"/>
  <c r="O1288" i="1"/>
  <c r="N1288" i="1"/>
  <c r="E1288" i="1"/>
  <c r="A1288" i="1" s="1"/>
  <c r="B1288" i="1"/>
  <c r="O1287" i="1"/>
  <c r="N1287" i="1"/>
  <c r="E1287" i="1"/>
  <c r="A1287" i="1" s="1"/>
  <c r="B1287" i="1"/>
  <c r="O1286" i="1"/>
  <c r="N1286" i="1"/>
  <c r="E1286" i="1"/>
  <c r="A1286" i="1" s="1"/>
  <c r="B1286" i="1"/>
  <c r="O1285" i="1"/>
  <c r="N1285" i="1"/>
  <c r="E1285" i="1"/>
  <c r="A1285" i="1" s="1"/>
  <c r="B1285" i="1"/>
  <c r="O1284" i="1"/>
  <c r="N1284" i="1"/>
  <c r="E1284" i="1"/>
  <c r="A1284" i="1" s="1"/>
  <c r="B1284" i="1"/>
  <c r="O1283" i="1"/>
  <c r="N1283" i="1"/>
  <c r="E1283" i="1"/>
  <c r="A1283" i="1" s="1"/>
  <c r="B1283" i="1"/>
  <c r="O1282" i="1"/>
  <c r="N1282" i="1"/>
  <c r="E1282" i="1"/>
  <c r="A1282" i="1" s="1"/>
  <c r="B1282" i="1"/>
  <c r="O1281" i="1"/>
  <c r="N1281" i="1"/>
  <c r="E1281" i="1"/>
  <c r="A1281" i="1" s="1"/>
  <c r="B1281" i="1"/>
  <c r="O1280" i="1"/>
  <c r="N1280" i="1"/>
  <c r="E1280" i="1"/>
  <c r="A1280" i="1" s="1"/>
  <c r="B1280" i="1"/>
  <c r="O1279" i="1"/>
  <c r="N1279" i="1"/>
  <c r="E1279" i="1"/>
  <c r="A1279" i="1" s="1"/>
  <c r="B1279" i="1"/>
  <c r="O1278" i="1"/>
  <c r="N1278" i="1"/>
  <c r="E1278" i="1"/>
  <c r="A1278" i="1" s="1"/>
  <c r="B1278" i="1"/>
  <c r="O1277" i="1"/>
  <c r="N1277" i="1"/>
  <c r="E1277" i="1"/>
  <c r="A1277" i="1" s="1"/>
  <c r="B1277" i="1"/>
  <c r="O1276" i="1"/>
  <c r="N1276" i="1"/>
  <c r="E1276" i="1"/>
  <c r="A1276" i="1" s="1"/>
  <c r="B1276" i="1"/>
  <c r="O1275" i="1"/>
  <c r="N1275" i="1"/>
  <c r="E1275" i="1"/>
  <c r="A1275" i="1" s="1"/>
  <c r="B1275" i="1"/>
  <c r="O1274" i="1"/>
  <c r="N1274" i="1"/>
  <c r="E1274" i="1"/>
  <c r="A1274" i="1" s="1"/>
  <c r="B1274" i="1"/>
  <c r="O1273" i="1"/>
  <c r="N1273" i="1"/>
  <c r="E1273" i="1"/>
  <c r="A1273" i="1" s="1"/>
  <c r="B1273" i="1"/>
  <c r="O1272" i="1"/>
  <c r="N1272" i="1"/>
  <c r="E1272" i="1"/>
  <c r="A1272" i="1" s="1"/>
  <c r="B1272" i="1"/>
  <c r="O1271" i="1"/>
  <c r="N1271" i="1"/>
  <c r="E1271" i="1"/>
  <c r="A1271" i="1" s="1"/>
  <c r="B1271" i="1"/>
  <c r="O1270" i="1"/>
  <c r="N1270" i="1"/>
  <c r="E1270" i="1"/>
  <c r="A1270" i="1" s="1"/>
  <c r="B1270" i="1"/>
  <c r="O1269" i="1"/>
  <c r="N1269" i="1"/>
  <c r="E1269" i="1"/>
  <c r="A1269" i="1" s="1"/>
  <c r="B1269" i="1"/>
  <c r="O1268" i="1"/>
  <c r="N1268" i="1"/>
  <c r="E1268" i="1"/>
  <c r="A1268" i="1" s="1"/>
  <c r="B1268" i="1"/>
  <c r="O1267" i="1"/>
  <c r="N1267" i="1"/>
  <c r="E1267" i="1"/>
  <c r="A1267" i="1" s="1"/>
  <c r="B1267" i="1"/>
  <c r="O1266" i="1"/>
  <c r="N1266" i="1"/>
  <c r="E1266" i="1"/>
  <c r="A1266" i="1" s="1"/>
  <c r="B1266" i="1"/>
  <c r="O1265" i="1"/>
  <c r="N1265" i="1"/>
  <c r="E1265" i="1"/>
  <c r="A1265" i="1" s="1"/>
  <c r="B1265" i="1"/>
  <c r="O1264" i="1"/>
  <c r="N1264" i="1"/>
  <c r="E1264" i="1"/>
  <c r="A1264" i="1" s="1"/>
  <c r="B1264" i="1"/>
  <c r="O1263" i="1"/>
  <c r="N1263" i="1"/>
  <c r="E1263" i="1"/>
  <c r="A1263" i="1" s="1"/>
  <c r="B1263" i="1"/>
  <c r="O1262" i="1"/>
  <c r="N1262" i="1"/>
  <c r="E1262" i="1"/>
  <c r="A1262" i="1" s="1"/>
  <c r="B1262" i="1"/>
  <c r="O1261" i="1"/>
  <c r="N1261" i="1"/>
  <c r="E1261" i="1"/>
  <c r="A1261" i="1" s="1"/>
  <c r="B1261" i="1"/>
  <c r="O1260" i="1"/>
  <c r="N1260" i="1"/>
  <c r="E1260" i="1"/>
  <c r="A1260" i="1" s="1"/>
  <c r="B1260" i="1"/>
  <c r="O1259" i="1"/>
  <c r="N1259" i="1"/>
  <c r="E1259" i="1"/>
  <c r="A1259" i="1" s="1"/>
  <c r="B1259" i="1"/>
  <c r="O1258" i="1"/>
  <c r="N1258" i="1"/>
  <c r="E1258" i="1"/>
  <c r="A1258" i="1" s="1"/>
  <c r="B1258" i="1"/>
  <c r="O1257" i="1"/>
  <c r="N1257" i="1"/>
  <c r="E1257" i="1"/>
  <c r="A1257" i="1" s="1"/>
  <c r="B1257" i="1"/>
  <c r="O1256" i="1"/>
  <c r="N1256" i="1"/>
  <c r="E1256" i="1"/>
  <c r="A1256" i="1" s="1"/>
  <c r="B1256" i="1"/>
  <c r="O1255" i="1"/>
  <c r="N1255" i="1"/>
  <c r="E1255" i="1"/>
  <c r="A1255" i="1" s="1"/>
  <c r="B1255" i="1"/>
  <c r="O1254" i="1"/>
  <c r="N1254" i="1"/>
  <c r="E1254" i="1"/>
  <c r="A1254" i="1" s="1"/>
  <c r="B1254" i="1"/>
  <c r="O1253" i="1"/>
  <c r="N1253" i="1"/>
  <c r="E1253" i="1"/>
  <c r="A1253" i="1" s="1"/>
  <c r="B1253" i="1"/>
  <c r="O1252" i="1"/>
  <c r="N1252" i="1"/>
  <c r="E1252" i="1"/>
  <c r="A1252" i="1" s="1"/>
  <c r="B1252" i="1"/>
  <c r="O1251" i="1"/>
  <c r="N1251" i="1"/>
  <c r="E1251" i="1"/>
  <c r="A1251" i="1" s="1"/>
  <c r="B1251" i="1"/>
  <c r="O1250" i="1"/>
  <c r="N1250" i="1"/>
  <c r="E1250" i="1"/>
  <c r="A1250" i="1" s="1"/>
  <c r="B1250" i="1"/>
  <c r="O1249" i="1"/>
  <c r="N1249" i="1"/>
  <c r="E1249" i="1"/>
  <c r="A1249" i="1" s="1"/>
  <c r="B1249" i="1"/>
  <c r="O1248" i="1"/>
  <c r="N1248" i="1"/>
  <c r="E1248" i="1"/>
  <c r="A1248" i="1" s="1"/>
  <c r="B1248" i="1"/>
  <c r="O1247" i="1"/>
  <c r="N1247" i="1"/>
  <c r="E1247" i="1"/>
  <c r="A1247" i="1" s="1"/>
  <c r="B1247" i="1"/>
  <c r="O1246" i="1"/>
  <c r="N1246" i="1"/>
  <c r="E1246" i="1"/>
  <c r="A1246" i="1" s="1"/>
  <c r="B1246" i="1"/>
  <c r="O1245" i="1"/>
  <c r="N1245" i="1"/>
  <c r="E1245" i="1"/>
  <c r="A1245" i="1" s="1"/>
  <c r="B1245" i="1"/>
  <c r="O1244" i="1"/>
  <c r="N1244" i="1"/>
  <c r="E1244" i="1"/>
  <c r="A1244" i="1" s="1"/>
  <c r="B1244" i="1"/>
  <c r="O1243" i="1"/>
  <c r="N1243" i="1"/>
  <c r="E1243" i="1"/>
  <c r="A1243" i="1" s="1"/>
  <c r="B1243" i="1"/>
  <c r="O1242" i="1"/>
  <c r="N1242" i="1"/>
  <c r="E1242" i="1"/>
  <c r="A1242" i="1" s="1"/>
  <c r="B1242" i="1"/>
  <c r="O1241" i="1"/>
  <c r="N1241" i="1"/>
  <c r="E1241" i="1"/>
  <c r="A1241" i="1" s="1"/>
  <c r="B1241" i="1"/>
  <c r="O1240" i="1"/>
  <c r="N1240" i="1"/>
  <c r="E1240" i="1"/>
  <c r="A1240" i="1" s="1"/>
  <c r="B1240" i="1"/>
  <c r="O1239" i="1"/>
  <c r="N1239" i="1"/>
  <c r="E1239" i="1"/>
  <c r="A1239" i="1" s="1"/>
  <c r="B1239" i="1"/>
  <c r="O1238" i="1"/>
  <c r="N1238" i="1"/>
  <c r="E1238" i="1"/>
  <c r="A1238" i="1" s="1"/>
  <c r="B1238" i="1"/>
  <c r="O1237" i="1"/>
  <c r="N1237" i="1"/>
  <c r="E1237" i="1"/>
  <c r="A1237" i="1" s="1"/>
  <c r="B1237" i="1"/>
  <c r="O1236" i="1"/>
  <c r="N1236" i="1"/>
  <c r="E1236" i="1"/>
  <c r="A1236" i="1" s="1"/>
  <c r="B1236" i="1"/>
  <c r="O1235" i="1"/>
  <c r="N1235" i="1"/>
  <c r="E1235" i="1"/>
  <c r="A1235" i="1" s="1"/>
  <c r="B1235" i="1"/>
  <c r="O1234" i="1"/>
  <c r="N1234" i="1"/>
  <c r="E1234" i="1"/>
  <c r="A1234" i="1" s="1"/>
  <c r="B1234" i="1"/>
  <c r="O1233" i="1"/>
  <c r="N1233" i="1"/>
  <c r="E1233" i="1"/>
  <c r="A1233" i="1" s="1"/>
  <c r="B1233" i="1"/>
  <c r="O1232" i="1"/>
  <c r="N1232" i="1"/>
  <c r="E1232" i="1"/>
  <c r="A1232" i="1" s="1"/>
  <c r="B1232" i="1"/>
  <c r="O1231" i="1"/>
  <c r="N1231" i="1"/>
  <c r="E1231" i="1"/>
  <c r="A1231" i="1" s="1"/>
  <c r="B1231" i="1"/>
  <c r="O1230" i="1"/>
  <c r="N1230" i="1"/>
  <c r="E1230" i="1"/>
  <c r="A1230" i="1" s="1"/>
  <c r="B1230" i="1"/>
  <c r="O1229" i="1"/>
  <c r="N1229" i="1"/>
  <c r="E1229" i="1"/>
  <c r="A1229" i="1" s="1"/>
  <c r="B1229" i="1"/>
  <c r="O1228" i="1"/>
  <c r="N1228" i="1"/>
  <c r="E1228" i="1"/>
  <c r="A1228" i="1" s="1"/>
  <c r="B1228" i="1"/>
  <c r="O1227" i="1"/>
  <c r="N1227" i="1"/>
  <c r="E1227" i="1"/>
  <c r="A1227" i="1" s="1"/>
  <c r="B1227" i="1"/>
  <c r="O1226" i="1"/>
  <c r="N1226" i="1"/>
  <c r="E1226" i="1"/>
  <c r="A1226" i="1" s="1"/>
  <c r="B1226" i="1"/>
  <c r="O1225" i="1"/>
  <c r="N1225" i="1"/>
  <c r="E1225" i="1"/>
  <c r="A1225" i="1" s="1"/>
  <c r="B1225" i="1"/>
  <c r="O1224" i="1"/>
  <c r="N1224" i="1"/>
  <c r="E1224" i="1"/>
  <c r="A1224" i="1" s="1"/>
  <c r="B1224" i="1"/>
  <c r="O1223" i="1"/>
  <c r="N1223" i="1"/>
  <c r="E1223" i="1"/>
  <c r="A1223" i="1" s="1"/>
  <c r="B1223" i="1"/>
  <c r="O1222" i="1"/>
  <c r="N1222" i="1"/>
  <c r="E1222" i="1"/>
  <c r="A1222" i="1" s="1"/>
  <c r="B1222" i="1"/>
  <c r="O1221" i="1"/>
  <c r="N1221" i="1"/>
  <c r="E1221" i="1"/>
  <c r="A1221" i="1" s="1"/>
  <c r="B1221" i="1"/>
  <c r="O1220" i="1"/>
  <c r="N1220" i="1"/>
  <c r="E1220" i="1"/>
  <c r="A1220" i="1" s="1"/>
  <c r="B1220" i="1"/>
  <c r="O1219" i="1"/>
  <c r="N1219" i="1"/>
  <c r="E1219" i="1"/>
  <c r="A1219" i="1" s="1"/>
  <c r="B1219" i="1"/>
  <c r="O1218" i="1"/>
  <c r="N1218" i="1"/>
  <c r="E1218" i="1"/>
  <c r="A1218" i="1" s="1"/>
  <c r="B1218" i="1"/>
  <c r="O1217" i="1"/>
  <c r="N1217" i="1"/>
  <c r="E1217" i="1"/>
  <c r="A1217" i="1" s="1"/>
  <c r="B1217" i="1"/>
  <c r="O1216" i="1"/>
  <c r="N1216" i="1"/>
  <c r="E1216" i="1"/>
  <c r="A1216" i="1" s="1"/>
  <c r="B1216" i="1"/>
  <c r="O1215" i="1"/>
  <c r="N1215" i="1"/>
  <c r="E1215" i="1"/>
  <c r="A1215" i="1" s="1"/>
  <c r="B1215" i="1"/>
  <c r="O1214" i="1"/>
  <c r="N1214" i="1"/>
  <c r="E1214" i="1"/>
  <c r="A1214" i="1" s="1"/>
  <c r="B1214" i="1"/>
  <c r="O1213" i="1"/>
  <c r="N1213" i="1"/>
  <c r="E1213" i="1"/>
  <c r="A1213" i="1" s="1"/>
  <c r="B1213" i="1"/>
  <c r="O1212" i="1"/>
  <c r="N1212" i="1"/>
  <c r="E1212" i="1"/>
  <c r="A1212" i="1" s="1"/>
  <c r="B1212" i="1"/>
  <c r="O1211" i="1"/>
  <c r="N1211" i="1"/>
  <c r="E1211" i="1"/>
  <c r="A1211" i="1" s="1"/>
  <c r="B1211" i="1"/>
  <c r="O1210" i="1"/>
  <c r="N1210" i="1"/>
  <c r="E1210" i="1"/>
  <c r="A1210" i="1" s="1"/>
  <c r="B1210" i="1"/>
  <c r="O1209" i="1"/>
  <c r="N1209" i="1"/>
  <c r="E1209" i="1"/>
  <c r="A1209" i="1" s="1"/>
  <c r="B1209" i="1"/>
  <c r="O1208" i="1"/>
  <c r="N1208" i="1"/>
  <c r="E1208" i="1"/>
  <c r="A1208" i="1" s="1"/>
  <c r="B1208" i="1"/>
  <c r="O1207" i="1"/>
  <c r="N1207" i="1"/>
  <c r="E1207" i="1"/>
  <c r="A1207" i="1" s="1"/>
  <c r="B1207" i="1"/>
  <c r="O1206" i="1"/>
  <c r="N1206" i="1"/>
  <c r="E1206" i="1"/>
  <c r="A1206" i="1" s="1"/>
  <c r="B1206" i="1"/>
  <c r="O1205" i="1"/>
  <c r="N1205" i="1"/>
  <c r="E1205" i="1"/>
  <c r="A1205" i="1" s="1"/>
  <c r="B1205" i="1"/>
  <c r="O1204" i="1"/>
  <c r="N1204" i="1"/>
  <c r="E1204" i="1"/>
  <c r="A1204" i="1" s="1"/>
  <c r="B1204" i="1"/>
  <c r="O1203" i="1"/>
  <c r="N1203" i="1"/>
  <c r="E1203" i="1"/>
  <c r="A1203" i="1" s="1"/>
  <c r="B1203" i="1"/>
  <c r="O1202" i="1"/>
  <c r="N1202" i="1"/>
  <c r="E1202" i="1"/>
  <c r="A1202" i="1" s="1"/>
  <c r="B1202" i="1"/>
  <c r="O1201" i="1"/>
  <c r="N1201" i="1"/>
  <c r="E1201" i="1"/>
  <c r="A1201" i="1" s="1"/>
  <c r="B1201" i="1"/>
  <c r="O1200" i="1"/>
  <c r="N1200" i="1"/>
  <c r="E1200" i="1"/>
  <c r="A1200" i="1" s="1"/>
  <c r="B1200" i="1"/>
  <c r="O1199" i="1"/>
  <c r="N1199" i="1"/>
  <c r="E1199" i="1"/>
  <c r="A1199" i="1" s="1"/>
  <c r="B1199" i="1"/>
  <c r="O1198" i="1"/>
  <c r="N1198" i="1"/>
  <c r="E1198" i="1"/>
  <c r="A1198" i="1" s="1"/>
  <c r="B1198" i="1"/>
  <c r="O1197" i="1"/>
  <c r="N1197" i="1"/>
  <c r="E1197" i="1"/>
  <c r="A1197" i="1" s="1"/>
  <c r="B1197" i="1"/>
  <c r="O1196" i="1"/>
  <c r="N1196" i="1"/>
  <c r="E1196" i="1"/>
  <c r="A1196" i="1" s="1"/>
  <c r="B1196" i="1"/>
  <c r="O1195" i="1"/>
  <c r="N1195" i="1"/>
  <c r="E1195" i="1"/>
  <c r="A1195" i="1" s="1"/>
  <c r="B1195" i="1"/>
  <c r="O1194" i="1"/>
  <c r="N1194" i="1"/>
  <c r="E1194" i="1"/>
  <c r="A1194" i="1" s="1"/>
  <c r="B1194" i="1"/>
  <c r="O1193" i="1"/>
  <c r="N1193" i="1"/>
  <c r="E1193" i="1"/>
  <c r="A1193" i="1" s="1"/>
  <c r="B1193" i="1"/>
  <c r="O1192" i="1"/>
  <c r="N1192" i="1"/>
  <c r="E1192" i="1"/>
  <c r="A1192" i="1" s="1"/>
  <c r="B1192" i="1"/>
  <c r="O1191" i="1"/>
  <c r="N1191" i="1"/>
  <c r="E1191" i="1"/>
  <c r="A1191" i="1" s="1"/>
  <c r="B1191" i="1"/>
  <c r="O1190" i="1"/>
  <c r="N1190" i="1"/>
  <c r="E1190" i="1"/>
  <c r="A1190" i="1" s="1"/>
  <c r="B1190" i="1"/>
  <c r="O1189" i="1"/>
  <c r="N1189" i="1"/>
  <c r="E1189" i="1"/>
  <c r="A1189" i="1" s="1"/>
  <c r="B1189" i="1"/>
  <c r="O1188" i="1"/>
  <c r="N1188" i="1"/>
  <c r="E1188" i="1"/>
  <c r="A1188" i="1" s="1"/>
  <c r="B1188" i="1"/>
  <c r="O1187" i="1"/>
  <c r="N1187" i="1"/>
  <c r="E1187" i="1"/>
  <c r="A1187" i="1" s="1"/>
  <c r="B1187" i="1"/>
  <c r="O1186" i="1"/>
  <c r="N1186" i="1"/>
  <c r="E1186" i="1"/>
  <c r="A1186" i="1" s="1"/>
  <c r="B1186" i="1"/>
  <c r="O1185" i="1"/>
  <c r="N1185" i="1"/>
  <c r="E1185" i="1"/>
  <c r="A1185" i="1" s="1"/>
  <c r="B1185" i="1"/>
  <c r="O1184" i="1"/>
  <c r="N1184" i="1"/>
  <c r="E1184" i="1"/>
  <c r="A1184" i="1" s="1"/>
  <c r="B1184" i="1"/>
  <c r="O1183" i="1"/>
  <c r="N1183" i="1"/>
  <c r="E1183" i="1"/>
  <c r="A1183" i="1" s="1"/>
  <c r="B1183" i="1"/>
  <c r="O1182" i="1"/>
  <c r="N1182" i="1"/>
  <c r="E1182" i="1"/>
  <c r="A1182" i="1" s="1"/>
  <c r="B1182" i="1"/>
  <c r="O1181" i="1"/>
  <c r="N1181" i="1"/>
  <c r="E1181" i="1"/>
  <c r="A1181" i="1" s="1"/>
  <c r="B1181" i="1"/>
  <c r="O1180" i="1"/>
  <c r="N1180" i="1"/>
  <c r="E1180" i="1"/>
  <c r="A1180" i="1" s="1"/>
  <c r="B1180" i="1"/>
  <c r="O1179" i="1"/>
  <c r="N1179" i="1"/>
  <c r="E1179" i="1"/>
  <c r="A1179" i="1" s="1"/>
  <c r="B1179" i="1"/>
  <c r="O1178" i="1"/>
  <c r="N1178" i="1"/>
  <c r="E1178" i="1"/>
  <c r="A1178" i="1" s="1"/>
  <c r="B1178" i="1"/>
  <c r="O1177" i="1"/>
  <c r="N1177" i="1"/>
  <c r="E1177" i="1"/>
  <c r="A1177" i="1" s="1"/>
  <c r="B1177" i="1"/>
  <c r="O1176" i="1"/>
  <c r="N1176" i="1"/>
  <c r="E1176" i="1"/>
  <c r="A1176" i="1" s="1"/>
  <c r="B1176" i="1"/>
  <c r="O1175" i="1"/>
  <c r="N1175" i="1"/>
  <c r="E1175" i="1"/>
  <c r="A1175" i="1" s="1"/>
  <c r="B1175" i="1"/>
  <c r="O1174" i="1"/>
  <c r="N1174" i="1"/>
  <c r="E1174" i="1"/>
  <c r="A1174" i="1" s="1"/>
  <c r="B1174" i="1"/>
  <c r="O1173" i="1"/>
  <c r="N1173" i="1"/>
  <c r="E1173" i="1"/>
  <c r="A1173" i="1" s="1"/>
  <c r="B1173" i="1"/>
  <c r="O1172" i="1"/>
  <c r="N1172" i="1"/>
  <c r="E1172" i="1"/>
  <c r="A1172" i="1" s="1"/>
  <c r="B1172" i="1"/>
  <c r="O1171" i="1"/>
  <c r="N1171" i="1"/>
  <c r="E1171" i="1"/>
  <c r="A1171" i="1" s="1"/>
  <c r="B1171" i="1"/>
  <c r="O1170" i="1"/>
  <c r="N1170" i="1"/>
  <c r="E1170" i="1"/>
  <c r="A1170" i="1" s="1"/>
  <c r="B1170" i="1"/>
  <c r="O1169" i="1"/>
  <c r="N1169" i="1"/>
  <c r="E1169" i="1"/>
  <c r="A1169" i="1" s="1"/>
  <c r="B1169" i="1"/>
  <c r="O1168" i="1"/>
  <c r="N1168" i="1"/>
  <c r="E1168" i="1"/>
  <c r="A1168" i="1" s="1"/>
  <c r="B1168" i="1"/>
  <c r="O1167" i="1"/>
  <c r="N1167" i="1"/>
  <c r="E1167" i="1"/>
  <c r="A1167" i="1" s="1"/>
  <c r="B1167" i="1"/>
  <c r="O1166" i="1"/>
  <c r="N1166" i="1"/>
  <c r="E1166" i="1"/>
  <c r="A1166" i="1" s="1"/>
  <c r="B1166" i="1"/>
  <c r="O1165" i="1"/>
  <c r="N1165" i="1"/>
  <c r="E1165" i="1"/>
  <c r="A1165" i="1" s="1"/>
  <c r="B1165" i="1"/>
  <c r="O1164" i="1"/>
  <c r="N1164" i="1"/>
  <c r="E1164" i="1"/>
  <c r="A1164" i="1" s="1"/>
  <c r="B1164" i="1"/>
  <c r="O1163" i="1"/>
  <c r="N1163" i="1"/>
  <c r="E1163" i="1"/>
  <c r="A1163" i="1" s="1"/>
  <c r="B1163" i="1"/>
  <c r="O1162" i="1"/>
  <c r="N1162" i="1"/>
  <c r="E1162" i="1"/>
  <c r="A1162" i="1" s="1"/>
  <c r="B1162" i="1"/>
  <c r="O1161" i="1"/>
  <c r="N1161" i="1"/>
  <c r="E1161" i="1"/>
  <c r="A1161" i="1" s="1"/>
  <c r="B1161" i="1"/>
  <c r="O1160" i="1"/>
  <c r="N1160" i="1"/>
  <c r="E1160" i="1"/>
  <c r="A1160" i="1" s="1"/>
  <c r="B1160" i="1"/>
  <c r="O1159" i="1"/>
  <c r="N1159" i="1"/>
  <c r="E1159" i="1"/>
  <c r="A1159" i="1" s="1"/>
  <c r="B1159" i="1"/>
  <c r="O1158" i="1"/>
  <c r="N1158" i="1"/>
  <c r="E1158" i="1"/>
  <c r="A1158" i="1" s="1"/>
  <c r="B1158" i="1"/>
  <c r="O1157" i="1"/>
  <c r="N1157" i="1"/>
  <c r="E1157" i="1"/>
  <c r="A1157" i="1" s="1"/>
  <c r="B1157" i="1"/>
  <c r="O1156" i="1"/>
  <c r="N1156" i="1"/>
  <c r="E1156" i="1"/>
  <c r="A1156" i="1" s="1"/>
  <c r="B1156" i="1"/>
  <c r="O1155" i="1"/>
  <c r="N1155" i="1"/>
  <c r="E1155" i="1"/>
  <c r="A1155" i="1" s="1"/>
  <c r="B1155" i="1"/>
  <c r="O1154" i="1"/>
  <c r="N1154" i="1"/>
  <c r="E1154" i="1"/>
  <c r="A1154" i="1" s="1"/>
  <c r="B1154" i="1"/>
  <c r="O1153" i="1"/>
  <c r="N1153" i="1"/>
  <c r="E1153" i="1"/>
  <c r="A1153" i="1" s="1"/>
  <c r="B1153" i="1"/>
  <c r="O1152" i="1"/>
  <c r="N1152" i="1"/>
  <c r="E1152" i="1"/>
  <c r="A1152" i="1" s="1"/>
  <c r="B1152" i="1"/>
  <c r="O1151" i="1"/>
  <c r="N1151" i="1"/>
  <c r="E1151" i="1"/>
  <c r="A1151" i="1" s="1"/>
  <c r="B1151" i="1"/>
  <c r="O1150" i="1"/>
  <c r="N1150" i="1"/>
  <c r="E1150" i="1"/>
  <c r="A1150" i="1" s="1"/>
  <c r="B1150" i="1"/>
  <c r="O1149" i="1"/>
  <c r="N1149" i="1"/>
  <c r="E1149" i="1"/>
  <c r="A1149" i="1" s="1"/>
  <c r="B1149" i="1"/>
  <c r="O1148" i="1"/>
  <c r="N1148" i="1"/>
  <c r="E1148" i="1"/>
  <c r="A1148" i="1" s="1"/>
  <c r="B1148" i="1"/>
  <c r="O1147" i="1"/>
  <c r="N1147" i="1"/>
  <c r="E1147" i="1"/>
  <c r="A1147" i="1" s="1"/>
  <c r="B1147" i="1"/>
  <c r="O1146" i="1"/>
  <c r="N1146" i="1"/>
  <c r="E1146" i="1"/>
  <c r="A1146" i="1" s="1"/>
  <c r="B1146" i="1"/>
  <c r="O1145" i="1"/>
  <c r="N1145" i="1"/>
  <c r="E1145" i="1"/>
  <c r="A1145" i="1" s="1"/>
  <c r="B1145" i="1"/>
  <c r="O1144" i="1"/>
  <c r="N1144" i="1"/>
  <c r="E1144" i="1"/>
  <c r="A1144" i="1" s="1"/>
  <c r="B1144" i="1"/>
  <c r="O1143" i="1"/>
  <c r="N1143" i="1"/>
  <c r="E1143" i="1"/>
  <c r="A1143" i="1" s="1"/>
  <c r="B1143" i="1"/>
  <c r="O1142" i="1"/>
  <c r="N1142" i="1"/>
  <c r="E1142" i="1"/>
  <c r="A1142" i="1" s="1"/>
  <c r="B1142" i="1"/>
  <c r="O1141" i="1"/>
  <c r="N1141" i="1"/>
  <c r="E1141" i="1"/>
  <c r="A1141" i="1" s="1"/>
  <c r="B1141" i="1"/>
  <c r="O1140" i="1"/>
  <c r="N1140" i="1"/>
  <c r="E1140" i="1"/>
  <c r="A1140" i="1" s="1"/>
  <c r="B1140" i="1"/>
  <c r="O1139" i="1"/>
  <c r="N1139" i="1"/>
  <c r="E1139" i="1"/>
  <c r="A1139" i="1" s="1"/>
  <c r="B1139" i="1"/>
  <c r="O1138" i="1"/>
  <c r="N1138" i="1"/>
  <c r="E1138" i="1"/>
  <c r="A1138" i="1" s="1"/>
  <c r="B1138" i="1"/>
  <c r="O1137" i="1"/>
  <c r="N1137" i="1"/>
  <c r="E1137" i="1"/>
  <c r="A1137" i="1" s="1"/>
  <c r="B1137" i="1"/>
  <c r="O1136" i="1"/>
  <c r="N1136" i="1"/>
  <c r="E1136" i="1"/>
  <c r="A1136" i="1" s="1"/>
  <c r="B1136" i="1"/>
  <c r="O1135" i="1"/>
  <c r="N1135" i="1"/>
  <c r="E1135" i="1"/>
  <c r="A1135" i="1" s="1"/>
  <c r="B1135" i="1"/>
  <c r="O1134" i="1"/>
  <c r="N1134" i="1"/>
  <c r="E1134" i="1"/>
  <c r="A1134" i="1" s="1"/>
  <c r="B1134" i="1"/>
  <c r="O1133" i="1"/>
  <c r="N1133" i="1"/>
  <c r="E1133" i="1"/>
  <c r="A1133" i="1" s="1"/>
  <c r="B1133" i="1"/>
  <c r="O1132" i="1"/>
  <c r="N1132" i="1"/>
  <c r="E1132" i="1"/>
  <c r="A1132" i="1" s="1"/>
  <c r="B1132" i="1"/>
  <c r="O1131" i="1"/>
  <c r="N1131" i="1"/>
  <c r="E1131" i="1"/>
  <c r="A1131" i="1" s="1"/>
  <c r="B1131" i="1"/>
  <c r="O1130" i="1"/>
  <c r="N1130" i="1"/>
  <c r="E1130" i="1"/>
  <c r="A1130" i="1" s="1"/>
  <c r="B1130" i="1"/>
  <c r="O1129" i="1"/>
  <c r="N1129" i="1"/>
  <c r="E1129" i="1"/>
  <c r="A1129" i="1" s="1"/>
  <c r="B1129" i="1"/>
  <c r="O1128" i="1"/>
  <c r="N1128" i="1"/>
  <c r="E1128" i="1"/>
  <c r="A1128" i="1" s="1"/>
  <c r="B1128" i="1"/>
  <c r="O1127" i="1"/>
  <c r="N1127" i="1"/>
  <c r="E1127" i="1"/>
  <c r="A1127" i="1" s="1"/>
  <c r="B1127" i="1"/>
  <c r="O1126" i="1"/>
  <c r="N1126" i="1"/>
  <c r="E1126" i="1"/>
  <c r="A1126" i="1" s="1"/>
  <c r="B1126" i="1"/>
  <c r="O1125" i="1"/>
  <c r="N1125" i="1"/>
  <c r="E1125" i="1"/>
  <c r="A1125" i="1" s="1"/>
  <c r="B1125" i="1"/>
  <c r="O1124" i="1"/>
  <c r="N1124" i="1"/>
  <c r="E1124" i="1"/>
  <c r="A1124" i="1" s="1"/>
  <c r="B1124" i="1"/>
  <c r="O1123" i="1"/>
  <c r="N1123" i="1"/>
  <c r="E1123" i="1"/>
  <c r="A1123" i="1" s="1"/>
  <c r="B1123" i="1"/>
  <c r="O1122" i="1"/>
  <c r="N1122" i="1"/>
  <c r="E1122" i="1"/>
  <c r="A1122" i="1" s="1"/>
  <c r="B1122" i="1"/>
  <c r="O1121" i="1"/>
  <c r="N1121" i="1"/>
  <c r="E1121" i="1"/>
  <c r="A1121" i="1" s="1"/>
  <c r="B1121" i="1"/>
  <c r="O1120" i="1"/>
  <c r="N1120" i="1"/>
  <c r="E1120" i="1"/>
  <c r="A1120" i="1" s="1"/>
  <c r="B1120" i="1"/>
  <c r="O1119" i="1"/>
  <c r="N1119" i="1"/>
  <c r="E1119" i="1"/>
  <c r="A1119" i="1" s="1"/>
  <c r="B1119" i="1"/>
  <c r="O1118" i="1"/>
  <c r="N1118" i="1"/>
  <c r="E1118" i="1"/>
  <c r="A1118" i="1" s="1"/>
  <c r="B1118" i="1"/>
  <c r="O1117" i="1"/>
  <c r="N1117" i="1"/>
  <c r="E1117" i="1"/>
  <c r="A1117" i="1" s="1"/>
  <c r="B1117" i="1"/>
  <c r="O1116" i="1"/>
  <c r="N1116" i="1"/>
  <c r="E1116" i="1"/>
  <c r="A1116" i="1" s="1"/>
  <c r="B1116" i="1"/>
  <c r="O1115" i="1"/>
  <c r="N1115" i="1"/>
  <c r="E1115" i="1"/>
  <c r="A1115" i="1" s="1"/>
  <c r="B1115" i="1"/>
  <c r="O1114" i="1"/>
  <c r="N1114" i="1"/>
  <c r="E1114" i="1"/>
  <c r="A1114" i="1" s="1"/>
  <c r="B1114" i="1"/>
  <c r="O1113" i="1"/>
  <c r="N1113" i="1"/>
  <c r="E1113" i="1"/>
  <c r="A1113" i="1" s="1"/>
  <c r="B1113" i="1"/>
  <c r="O1112" i="1"/>
  <c r="N1112" i="1"/>
  <c r="E1112" i="1"/>
  <c r="A1112" i="1" s="1"/>
  <c r="B1112" i="1"/>
  <c r="O1111" i="1"/>
  <c r="N1111" i="1"/>
  <c r="E1111" i="1"/>
  <c r="A1111" i="1" s="1"/>
  <c r="B1111" i="1"/>
  <c r="O1110" i="1"/>
  <c r="N1110" i="1"/>
  <c r="E1110" i="1"/>
  <c r="A1110" i="1" s="1"/>
  <c r="B1110" i="1"/>
  <c r="O1109" i="1"/>
  <c r="N1109" i="1"/>
  <c r="E1109" i="1"/>
  <c r="A1109" i="1" s="1"/>
  <c r="B1109" i="1"/>
  <c r="O1108" i="1"/>
  <c r="N1108" i="1"/>
  <c r="E1108" i="1"/>
  <c r="A1108" i="1" s="1"/>
  <c r="B1108" i="1"/>
  <c r="O1107" i="1"/>
  <c r="N1107" i="1"/>
  <c r="E1107" i="1"/>
  <c r="A1107" i="1" s="1"/>
  <c r="B1107" i="1"/>
  <c r="O1106" i="1"/>
  <c r="N1106" i="1"/>
  <c r="E1106" i="1"/>
  <c r="A1106" i="1" s="1"/>
  <c r="B1106" i="1"/>
  <c r="O1105" i="1"/>
  <c r="N1105" i="1"/>
  <c r="E1105" i="1"/>
  <c r="A1105" i="1" s="1"/>
  <c r="B1105" i="1"/>
  <c r="O1104" i="1"/>
  <c r="N1104" i="1"/>
  <c r="E1104" i="1"/>
  <c r="A1104" i="1" s="1"/>
  <c r="B1104" i="1"/>
  <c r="O1103" i="1"/>
  <c r="N1103" i="1"/>
  <c r="E1103" i="1"/>
  <c r="A1103" i="1" s="1"/>
  <c r="B1103" i="1"/>
  <c r="O1102" i="1"/>
  <c r="N1102" i="1"/>
  <c r="E1102" i="1"/>
  <c r="A1102" i="1" s="1"/>
  <c r="B1102" i="1"/>
  <c r="O1101" i="1"/>
  <c r="N1101" i="1"/>
  <c r="E1101" i="1"/>
  <c r="A1101" i="1" s="1"/>
  <c r="B1101" i="1"/>
  <c r="O1100" i="1"/>
  <c r="N1100" i="1"/>
  <c r="E1100" i="1"/>
  <c r="A1100" i="1" s="1"/>
  <c r="B1100" i="1"/>
  <c r="O1099" i="1"/>
  <c r="N1099" i="1"/>
  <c r="E1099" i="1"/>
  <c r="A1099" i="1" s="1"/>
  <c r="B1099" i="1"/>
  <c r="O1098" i="1"/>
  <c r="N1098" i="1"/>
  <c r="E1098" i="1"/>
  <c r="A1098" i="1" s="1"/>
  <c r="B1098" i="1"/>
  <c r="O1097" i="1"/>
  <c r="N1097" i="1"/>
  <c r="E1097" i="1"/>
  <c r="A1097" i="1" s="1"/>
  <c r="B1097" i="1"/>
  <c r="O1096" i="1"/>
  <c r="N1096" i="1"/>
  <c r="E1096" i="1"/>
  <c r="A1096" i="1" s="1"/>
  <c r="B1096" i="1"/>
  <c r="O1095" i="1"/>
  <c r="N1095" i="1"/>
  <c r="E1095" i="1"/>
  <c r="A1095" i="1" s="1"/>
  <c r="B1095" i="1"/>
  <c r="O1094" i="1"/>
  <c r="N1094" i="1"/>
  <c r="E1094" i="1"/>
  <c r="A1094" i="1" s="1"/>
  <c r="B1094" i="1"/>
  <c r="O1093" i="1"/>
  <c r="N1093" i="1"/>
  <c r="E1093" i="1"/>
  <c r="A1093" i="1" s="1"/>
  <c r="B1093" i="1"/>
  <c r="O1092" i="1"/>
  <c r="N1092" i="1"/>
  <c r="E1092" i="1"/>
  <c r="A1092" i="1" s="1"/>
  <c r="B1092" i="1"/>
  <c r="O1091" i="1"/>
  <c r="N1091" i="1"/>
  <c r="E1091" i="1"/>
  <c r="A1091" i="1" s="1"/>
  <c r="B1091" i="1"/>
  <c r="O1090" i="1"/>
  <c r="N1090" i="1"/>
  <c r="E1090" i="1"/>
  <c r="A1090" i="1" s="1"/>
  <c r="B1090" i="1"/>
  <c r="O1089" i="1"/>
  <c r="N1089" i="1"/>
  <c r="E1089" i="1"/>
  <c r="A1089" i="1" s="1"/>
  <c r="B1089" i="1"/>
  <c r="O1088" i="1"/>
  <c r="N1088" i="1"/>
  <c r="E1088" i="1"/>
  <c r="A1088" i="1" s="1"/>
  <c r="B1088" i="1"/>
  <c r="O1087" i="1"/>
  <c r="N1087" i="1"/>
  <c r="E1087" i="1"/>
  <c r="A1087" i="1" s="1"/>
  <c r="B1087" i="1"/>
  <c r="O1086" i="1"/>
  <c r="N1086" i="1"/>
  <c r="E1086" i="1"/>
  <c r="A1086" i="1" s="1"/>
  <c r="B1086" i="1"/>
  <c r="O1085" i="1"/>
  <c r="N1085" i="1"/>
  <c r="E1085" i="1"/>
  <c r="A1085" i="1" s="1"/>
  <c r="B1085" i="1"/>
  <c r="O1084" i="1"/>
  <c r="N1084" i="1"/>
  <c r="E1084" i="1"/>
  <c r="A1084" i="1" s="1"/>
  <c r="B1084" i="1"/>
  <c r="O1083" i="1"/>
  <c r="N1083" i="1"/>
  <c r="E1083" i="1"/>
  <c r="A1083" i="1" s="1"/>
  <c r="B1083" i="1"/>
  <c r="O1082" i="1"/>
  <c r="N1082" i="1"/>
  <c r="E1082" i="1"/>
  <c r="A1082" i="1" s="1"/>
  <c r="B1082" i="1"/>
  <c r="O1081" i="1"/>
  <c r="N1081" i="1"/>
  <c r="E1081" i="1"/>
  <c r="A1081" i="1" s="1"/>
  <c r="B1081" i="1"/>
  <c r="O1080" i="1"/>
  <c r="N1080" i="1"/>
  <c r="E1080" i="1"/>
  <c r="A1080" i="1" s="1"/>
  <c r="B1080" i="1"/>
  <c r="O1079" i="1"/>
  <c r="N1079" i="1"/>
  <c r="E1079" i="1"/>
  <c r="A1079" i="1" s="1"/>
  <c r="B1079" i="1"/>
  <c r="O1078" i="1"/>
  <c r="N1078" i="1"/>
  <c r="E1078" i="1"/>
  <c r="A1078" i="1" s="1"/>
  <c r="B1078" i="1"/>
  <c r="O1077" i="1"/>
  <c r="N1077" i="1"/>
  <c r="E1077" i="1"/>
  <c r="A1077" i="1" s="1"/>
  <c r="B1077" i="1"/>
  <c r="O1076" i="1"/>
  <c r="N1076" i="1"/>
  <c r="E1076" i="1"/>
  <c r="A1076" i="1" s="1"/>
  <c r="B1076" i="1"/>
  <c r="O1075" i="1"/>
  <c r="N1075" i="1"/>
  <c r="E1075" i="1"/>
  <c r="A1075" i="1" s="1"/>
  <c r="B1075" i="1"/>
  <c r="O1074" i="1"/>
  <c r="N1074" i="1"/>
  <c r="E1074" i="1"/>
  <c r="A1074" i="1" s="1"/>
  <c r="B1074" i="1"/>
  <c r="O1073" i="1"/>
  <c r="N1073" i="1"/>
  <c r="E1073" i="1"/>
  <c r="A1073" i="1" s="1"/>
  <c r="B1073" i="1"/>
  <c r="O1072" i="1"/>
  <c r="N1072" i="1"/>
  <c r="E1072" i="1"/>
  <c r="A1072" i="1" s="1"/>
  <c r="B1072" i="1"/>
  <c r="O1071" i="1"/>
  <c r="N1071" i="1"/>
  <c r="E1071" i="1"/>
  <c r="A1071" i="1" s="1"/>
  <c r="B1071" i="1"/>
  <c r="O1070" i="1"/>
  <c r="N1070" i="1"/>
  <c r="E1070" i="1"/>
  <c r="A1070" i="1" s="1"/>
  <c r="B1070" i="1"/>
  <c r="O1069" i="1"/>
  <c r="N1069" i="1"/>
  <c r="E1069" i="1"/>
  <c r="A1069" i="1" s="1"/>
  <c r="B1069" i="1"/>
  <c r="O1068" i="1"/>
  <c r="N1068" i="1"/>
  <c r="E1068" i="1"/>
  <c r="A1068" i="1" s="1"/>
  <c r="B1068" i="1"/>
  <c r="O1067" i="1"/>
  <c r="N1067" i="1"/>
  <c r="E1067" i="1"/>
  <c r="A1067" i="1" s="1"/>
  <c r="B1067" i="1"/>
  <c r="O1066" i="1"/>
  <c r="N1066" i="1"/>
  <c r="E1066" i="1"/>
  <c r="A1066" i="1" s="1"/>
  <c r="B1066" i="1"/>
  <c r="O1065" i="1"/>
  <c r="N1065" i="1"/>
  <c r="E1065" i="1"/>
  <c r="A1065" i="1" s="1"/>
  <c r="B1065" i="1"/>
  <c r="O1064" i="1"/>
  <c r="N1064" i="1"/>
  <c r="E1064" i="1"/>
  <c r="A1064" i="1" s="1"/>
  <c r="B1064" i="1"/>
  <c r="O1063" i="1"/>
  <c r="N1063" i="1"/>
  <c r="E1063" i="1"/>
  <c r="A1063" i="1" s="1"/>
  <c r="B1063" i="1"/>
  <c r="O1062" i="1"/>
  <c r="N1062" i="1"/>
  <c r="E1062" i="1"/>
  <c r="A1062" i="1" s="1"/>
  <c r="B1062" i="1"/>
  <c r="O1061" i="1"/>
  <c r="N1061" i="1"/>
  <c r="E1061" i="1"/>
  <c r="A1061" i="1" s="1"/>
  <c r="B1061" i="1"/>
  <c r="O1060" i="1"/>
  <c r="N1060" i="1"/>
  <c r="E1060" i="1"/>
  <c r="A1060" i="1" s="1"/>
  <c r="B1060" i="1"/>
  <c r="O1059" i="1"/>
  <c r="N1059" i="1"/>
  <c r="E1059" i="1"/>
  <c r="A1059" i="1" s="1"/>
  <c r="B1059" i="1"/>
  <c r="O1058" i="1"/>
  <c r="N1058" i="1"/>
  <c r="E1058" i="1"/>
  <c r="A1058" i="1" s="1"/>
  <c r="B1058" i="1"/>
  <c r="O1057" i="1"/>
  <c r="N1057" i="1"/>
  <c r="E1057" i="1"/>
  <c r="A1057" i="1" s="1"/>
  <c r="B1057" i="1"/>
  <c r="O1056" i="1"/>
  <c r="N1056" i="1"/>
  <c r="E1056" i="1"/>
  <c r="A1056" i="1" s="1"/>
  <c r="B1056" i="1"/>
  <c r="O1055" i="1"/>
  <c r="N1055" i="1"/>
  <c r="E1055" i="1"/>
  <c r="A1055" i="1" s="1"/>
  <c r="B1055" i="1"/>
  <c r="O1054" i="1"/>
  <c r="N1054" i="1"/>
  <c r="E1054" i="1"/>
  <c r="A1054" i="1" s="1"/>
  <c r="B1054" i="1"/>
  <c r="O1053" i="1"/>
  <c r="N1053" i="1"/>
  <c r="E1053" i="1"/>
  <c r="A1053" i="1" s="1"/>
  <c r="B1053" i="1"/>
  <c r="O1052" i="1"/>
  <c r="N1052" i="1"/>
  <c r="E1052" i="1"/>
  <c r="A1052" i="1" s="1"/>
  <c r="B1052" i="1"/>
  <c r="O1051" i="1"/>
  <c r="N1051" i="1"/>
  <c r="E1051" i="1"/>
  <c r="A1051" i="1" s="1"/>
  <c r="B1051" i="1"/>
  <c r="O1050" i="1"/>
  <c r="N1050" i="1"/>
  <c r="E1050" i="1"/>
  <c r="A1050" i="1" s="1"/>
  <c r="B1050" i="1"/>
  <c r="O1049" i="1"/>
  <c r="N1049" i="1"/>
  <c r="E1049" i="1"/>
  <c r="A1049" i="1" s="1"/>
  <c r="B1049" i="1"/>
  <c r="O1048" i="1"/>
  <c r="N1048" i="1"/>
  <c r="E1048" i="1"/>
  <c r="A1048" i="1" s="1"/>
  <c r="B1048" i="1"/>
  <c r="O1047" i="1"/>
  <c r="N1047" i="1"/>
  <c r="E1047" i="1"/>
  <c r="A1047" i="1" s="1"/>
  <c r="B1047" i="1"/>
  <c r="O1046" i="1"/>
  <c r="N1046" i="1"/>
  <c r="E1046" i="1"/>
  <c r="A1046" i="1" s="1"/>
  <c r="B1046" i="1"/>
  <c r="O1045" i="1"/>
  <c r="N1045" i="1"/>
  <c r="E1045" i="1"/>
  <c r="A1045" i="1" s="1"/>
  <c r="B1045" i="1"/>
  <c r="O1044" i="1"/>
  <c r="N1044" i="1"/>
  <c r="E1044" i="1"/>
  <c r="A1044" i="1" s="1"/>
  <c r="B1044" i="1"/>
  <c r="O1043" i="1"/>
  <c r="N1043" i="1"/>
  <c r="E1043" i="1"/>
  <c r="A1043" i="1" s="1"/>
  <c r="B1043" i="1"/>
  <c r="O1042" i="1"/>
  <c r="N1042" i="1"/>
  <c r="E1042" i="1"/>
  <c r="A1042" i="1" s="1"/>
  <c r="B1042" i="1"/>
  <c r="O1041" i="1"/>
  <c r="N1041" i="1"/>
  <c r="E1041" i="1"/>
  <c r="A1041" i="1" s="1"/>
  <c r="B1041" i="1"/>
  <c r="O1040" i="1"/>
  <c r="N1040" i="1"/>
  <c r="E1040" i="1"/>
  <c r="A1040" i="1" s="1"/>
  <c r="B1040" i="1"/>
  <c r="O1039" i="1"/>
  <c r="N1039" i="1"/>
  <c r="E1039" i="1"/>
  <c r="A1039" i="1" s="1"/>
  <c r="B1039" i="1"/>
  <c r="O1038" i="1"/>
  <c r="N1038" i="1"/>
  <c r="E1038" i="1"/>
  <c r="A1038" i="1" s="1"/>
  <c r="B1038" i="1"/>
  <c r="O1037" i="1"/>
  <c r="N1037" i="1"/>
  <c r="E1037" i="1"/>
  <c r="A1037" i="1" s="1"/>
  <c r="B1037" i="1"/>
  <c r="O1036" i="1"/>
  <c r="N1036" i="1"/>
  <c r="E1036" i="1"/>
  <c r="A1036" i="1" s="1"/>
  <c r="B1036" i="1"/>
  <c r="O1035" i="1"/>
  <c r="N1035" i="1"/>
  <c r="E1035" i="1"/>
  <c r="A1035" i="1" s="1"/>
  <c r="B1035" i="1"/>
  <c r="O1034" i="1"/>
  <c r="N1034" i="1"/>
  <c r="E1034" i="1"/>
  <c r="A1034" i="1" s="1"/>
  <c r="B1034" i="1"/>
  <c r="O1033" i="1"/>
  <c r="N1033" i="1"/>
  <c r="E1033" i="1"/>
  <c r="A1033" i="1" s="1"/>
  <c r="B1033" i="1"/>
  <c r="O1032" i="1"/>
  <c r="N1032" i="1"/>
  <c r="E1032" i="1"/>
  <c r="A1032" i="1" s="1"/>
  <c r="B1032" i="1"/>
  <c r="O1031" i="1"/>
  <c r="N1031" i="1"/>
  <c r="E1031" i="1"/>
  <c r="A1031" i="1" s="1"/>
  <c r="B1031" i="1"/>
  <c r="O1030" i="1"/>
  <c r="N1030" i="1"/>
  <c r="E1030" i="1"/>
  <c r="A1030" i="1" s="1"/>
  <c r="B1030" i="1"/>
  <c r="O1029" i="1"/>
  <c r="N1029" i="1"/>
  <c r="E1029" i="1"/>
  <c r="A1029" i="1" s="1"/>
  <c r="B1029" i="1"/>
  <c r="O1028" i="1"/>
  <c r="N1028" i="1"/>
  <c r="E1028" i="1"/>
  <c r="A1028" i="1" s="1"/>
  <c r="B1028" i="1"/>
  <c r="O1027" i="1"/>
  <c r="N1027" i="1"/>
  <c r="E1027" i="1"/>
  <c r="A1027" i="1" s="1"/>
  <c r="B1027" i="1"/>
  <c r="O1026" i="1"/>
  <c r="N1026" i="1"/>
  <c r="E1026" i="1"/>
  <c r="A1026" i="1" s="1"/>
  <c r="B1026" i="1"/>
  <c r="O1025" i="1"/>
  <c r="N1025" i="1"/>
  <c r="E1025" i="1"/>
  <c r="A1025" i="1" s="1"/>
  <c r="B1025" i="1"/>
  <c r="O1024" i="1"/>
  <c r="N1024" i="1"/>
  <c r="E1024" i="1"/>
  <c r="A1024" i="1" s="1"/>
  <c r="B1024" i="1"/>
  <c r="O1023" i="1"/>
  <c r="N1023" i="1"/>
  <c r="E1023" i="1"/>
  <c r="A1023" i="1" s="1"/>
  <c r="B1023" i="1"/>
  <c r="O1022" i="1"/>
  <c r="N1022" i="1"/>
  <c r="E1022" i="1"/>
  <c r="A1022" i="1" s="1"/>
  <c r="B1022" i="1"/>
  <c r="O1021" i="1"/>
  <c r="N1021" i="1"/>
  <c r="E1021" i="1"/>
  <c r="A1021" i="1" s="1"/>
  <c r="B1021" i="1"/>
  <c r="O1020" i="1"/>
  <c r="N1020" i="1"/>
  <c r="E1020" i="1"/>
  <c r="A1020" i="1" s="1"/>
  <c r="B1020" i="1"/>
  <c r="O1019" i="1"/>
  <c r="N1019" i="1"/>
  <c r="E1019" i="1"/>
  <c r="A1019" i="1" s="1"/>
  <c r="B1019" i="1"/>
  <c r="O1018" i="1"/>
  <c r="N1018" i="1"/>
  <c r="E1018" i="1"/>
  <c r="A1018" i="1" s="1"/>
  <c r="B1018" i="1"/>
  <c r="O1017" i="1"/>
  <c r="N1017" i="1"/>
  <c r="E1017" i="1"/>
  <c r="A1017" i="1" s="1"/>
  <c r="B1017" i="1"/>
  <c r="O1016" i="1"/>
  <c r="N1016" i="1"/>
  <c r="E1016" i="1"/>
  <c r="A1016" i="1" s="1"/>
  <c r="B1016" i="1"/>
  <c r="O1015" i="1"/>
  <c r="N1015" i="1"/>
  <c r="E1015" i="1"/>
  <c r="A1015" i="1" s="1"/>
  <c r="B1015" i="1"/>
  <c r="O1014" i="1"/>
  <c r="N1014" i="1"/>
  <c r="E1014" i="1"/>
  <c r="A1014" i="1" s="1"/>
  <c r="B1014" i="1"/>
  <c r="O1013" i="1"/>
  <c r="N1013" i="1"/>
  <c r="E1013" i="1"/>
  <c r="A1013" i="1" s="1"/>
  <c r="B1013" i="1"/>
  <c r="O1012" i="1"/>
  <c r="N1012" i="1"/>
  <c r="E1012" i="1"/>
  <c r="A1012" i="1" s="1"/>
  <c r="B1012" i="1"/>
  <c r="O1011" i="1"/>
  <c r="N1011" i="1"/>
  <c r="E1011" i="1"/>
  <c r="A1011" i="1" s="1"/>
  <c r="B1011" i="1"/>
  <c r="O1010" i="1"/>
  <c r="N1010" i="1"/>
  <c r="E1010" i="1"/>
  <c r="A1010" i="1" s="1"/>
  <c r="B1010" i="1"/>
  <c r="O1009" i="1"/>
  <c r="N1009" i="1"/>
  <c r="E1009" i="1"/>
  <c r="A1009" i="1" s="1"/>
  <c r="B1009" i="1"/>
  <c r="O1008" i="1"/>
  <c r="N1008" i="1"/>
  <c r="E1008" i="1"/>
  <c r="A1008" i="1" s="1"/>
  <c r="B1008" i="1"/>
  <c r="O1007" i="1"/>
  <c r="N1007" i="1"/>
  <c r="E1007" i="1"/>
  <c r="A1007" i="1" s="1"/>
  <c r="B1007" i="1"/>
  <c r="O1006" i="1"/>
  <c r="N1006" i="1"/>
  <c r="E1006" i="1"/>
  <c r="A1006" i="1" s="1"/>
  <c r="B1006" i="1"/>
  <c r="O1005" i="1"/>
  <c r="N1005" i="1"/>
  <c r="E1005" i="1"/>
  <c r="A1005" i="1" s="1"/>
  <c r="B1005" i="1"/>
  <c r="O1004" i="1"/>
  <c r="N1004" i="1"/>
  <c r="E1004" i="1"/>
  <c r="A1004" i="1" s="1"/>
  <c r="B1004" i="1"/>
  <c r="O1003" i="1"/>
  <c r="N1003" i="1"/>
  <c r="E1003" i="1"/>
  <c r="A1003" i="1" s="1"/>
  <c r="B1003" i="1"/>
  <c r="O1002" i="1"/>
  <c r="N1002" i="1"/>
  <c r="E1002" i="1"/>
  <c r="A1002" i="1" s="1"/>
  <c r="B1002" i="1"/>
  <c r="O1001" i="1"/>
  <c r="N1001" i="1"/>
  <c r="E1001" i="1"/>
  <c r="A1001" i="1" s="1"/>
  <c r="B1001" i="1"/>
  <c r="O1000" i="1"/>
  <c r="N1000" i="1"/>
  <c r="E1000" i="1"/>
  <c r="A1000" i="1" s="1"/>
  <c r="B1000" i="1"/>
  <c r="O999" i="1"/>
  <c r="N999" i="1"/>
  <c r="E999" i="1"/>
  <c r="A999" i="1" s="1"/>
  <c r="B999" i="1"/>
  <c r="O998" i="1"/>
  <c r="N998" i="1"/>
  <c r="E998" i="1"/>
  <c r="A998" i="1" s="1"/>
  <c r="B998" i="1"/>
  <c r="O997" i="1"/>
  <c r="N997" i="1"/>
  <c r="E997" i="1"/>
  <c r="A997" i="1" s="1"/>
  <c r="B997" i="1"/>
  <c r="O996" i="1"/>
  <c r="N996" i="1"/>
  <c r="E996" i="1"/>
  <c r="A996" i="1" s="1"/>
  <c r="B996" i="1"/>
  <c r="O995" i="1"/>
  <c r="N995" i="1"/>
  <c r="E995" i="1"/>
  <c r="A995" i="1" s="1"/>
  <c r="B995" i="1"/>
  <c r="O994" i="1"/>
  <c r="N994" i="1"/>
  <c r="E994" i="1"/>
  <c r="A994" i="1" s="1"/>
  <c r="B994" i="1"/>
  <c r="O993" i="1"/>
  <c r="N993" i="1"/>
  <c r="E993" i="1"/>
  <c r="A993" i="1" s="1"/>
  <c r="B993" i="1"/>
  <c r="O992" i="1"/>
  <c r="N992" i="1"/>
  <c r="E992" i="1"/>
  <c r="A992" i="1" s="1"/>
  <c r="B992" i="1"/>
  <c r="O991" i="1"/>
  <c r="N991" i="1"/>
  <c r="E991" i="1"/>
  <c r="A991" i="1" s="1"/>
  <c r="B991" i="1"/>
  <c r="O990" i="1"/>
  <c r="N990" i="1"/>
  <c r="E990" i="1"/>
  <c r="A990" i="1" s="1"/>
  <c r="B990" i="1"/>
  <c r="O989" i="1"/>
  <c r="N989" i="1"/>
  <c r="E989" i="1"/>
  <c r="A989" i="1" s="1"/>
  <c r="B989" i="1"/>
  <c r="O988" i="1"/>
  <c r="N988" i="1"/>
  <c r="E988" i="1"/>
  <c r="A988" i="1" s="1"/>
  <c r="B988" i="1"/>
  <c r="O987" i="1"/>
  <c r="N987" i="1"/>
  <c r="E987" i="1"/>
  <c r="A987" i="1" s="1"/>
  <c r="B987" i="1"/>
  <c r="O986" i="1"/>
  <c r="N986" i="1"/>
  <c r="E986" i="1"/>
  <c r="A986" i="1" s="1"/>
  <c r="B986" i="1"/>
  <c r="O985" i="1"/>
  <c r="N985" i="1"/>
  <c r="E985" i="1"/>
  <c r="A985" i="1" s="1"/>
  <c r="B985" i="1"/>
  <c r="O984" i="1"/>
  <c r="N984" i="1"/>
  <c r="E984" i="1"/>
  <c r="A984" i="1" s="1"/>
  <c r="B984" i="1"/>
  <c r="O983" i="1"/>
  <c r="N983" i="1"/>
  <c r="E983" i="1"/>
  <c r="A983" i="1" s="1"/>
  <c r="B983" i="1"/>
  <c r="O982" i="1"/>
  <c r="N982" i="1"/>
  <c r="E982" i="1"/>
  <c r="A982" i="1" s="1"/>
  <c r="B982" i="1"/>
  <c r="O981" i="1"/>
  <c r="N981" i="1"/>
  <c r="E981" i="1"/>
  <c r="A981" i="1" s="1"/>
  <c r="B981" i="1"/>
  <c r="O980" i="1"/>
  <c r="N980" i="1"/>
  <c r="E980" i="1"/>
  <c r="A980" i="1" s="1"/>
  <c r="B980" i="1"/>
  <c r="O979" i="1"/>
  <c r="N979" i="1"/>
  <c r="E979" i="1"/>
  <c r="A979" i="1" s="1"/>
  <c r="B979" i="1"/>
  <c r="O978" i="1"/>
  <c r="N978" i="1"/>
  <c r="E978" i="1"/>
  <c r="A978" i="1" s="1"/>
  <c r="B978" i="1"/>
  <c r="O977" i="1"/>
  <c r="N977" i="1"/>
  <c r="E977" i="1"/>
  <c r="A977" i="1" s="1"/>
  <c r="B977" i="1"/>
  <c r="O976" i="1"/>
  <c r="N976" i="1"/>
  <c r="E976" i="1"/>
  <c r="A976" i="1" s="1"/>
  <c r="B976" i="1"/>
  <c r="O975" i="1"/>
  <c r="N975" i="1"/>
  <c r="E975" i="1"/>
  <c r="A975" i="1" s="1"/>
  <c r="B975" i="1"/>
  <c r="O974" i="1"/>
  <c r="N974" i="1"/>
  <c r="E974" i="1"/>
  <c r="A974" i="1" s="1"/>
  <c r="B974" i="1"/>
  <c r="O973" i="1"/>
  <c r="N973" i="1"/>
  <c r="E973" i="1"/>
  <c r="A973" i="1" s="1"/>
  <c r="B973" i="1"/>
  <c r="O972" i="1"/>
  <c r="N972" i="1"/>
  <c r="E972" i="1"/>
  <c r="A972" i="1" s="1"/>
  <c r="B972" i="1"/>
  <c r="O971" i="1"/>
  <c r="N971" i="1"/>
  <c r="E971" i="1"/>
  <c r="A971" i="1" s="1"/>
  <c r="B971" i="1"/>
  <c r="O970" i="1"/>
  <c r="N970" i="1"/>
  <c r="E970" i="1"/>
  <c r="A970" i="1" s="1"/>
  <c r="B970" i="1"/>
  <c r="O969" i="1"/>
  <c r="N969" i="1"/>
  <c r="E969" i="1"/>
  <c r="A969" i="1" s="1"/>
  <c r="B969" i="1"/>
  <c r="O968" i="1"/>
  <c r="N968" i="1"/>
  <c r="E968" i="1"/>
  <c r="A968" i="1" s="1"/>
  <c r="B968" i="1"/>
  <c r="O967" i="1"/>
  <c r="N967" i="1"/>
  <c r="E967" i="1"/>
  <c r="A967" i="1" s="1"/>
  <c r="B967" i="1"/>
  <c r="O966" i="1"/>
  <c r="N966" i="1"/>
  <c r="E966" i="1"/>
  <c r="A966" i="1" s="1"/>
  <c r="B966" i="1"/>
  <c r="O965" i="1"/>
  <c r="N965" i="1"/>
  <c r="E965" i="1"/>
  <c r="A965" i="1" s="1"/>
  <c r="B965" i="1"/>
  <c r="O964" i="1"/>
  <c r="N964" i="1"/>
  <c r="E964" i="1"/>
  <c r="A964" i="1" s="1"/>
  <c r="B964" i="1"/>
  <c r="O963" i="1"/>
  <c r="N963" i="1"/>
  <c r="E963" i="1"/>
  <c r="A963" i="1" s="1"/>
  <c r="B963" i="1"/>
  <c r="O962" i="1"/>
  <c r="N962" i="1"/>
  <c r="E962" i="1"/>
  <c r="A962" i="1" s="1"/>
  <c r="B962" i="1"/>
  <c r="O961" i="1"/>
  <c r="N961" i="1"/>
  <c r="E961" i="1"/>
  <c r="A961" i="1" s="1"/>
  <c r="B961" i="1"/>
  <c r="O960" i="1"/>
  <c r="N960" i="1"/>
  <c r="E960" i="1"/>
  <c r="A960" i="1" s="1"/>
  <c r="B960" i="1"/>
  <c r="O959" i="1"/>
  <c r="N959" i="1"/>
  <c r="E959" i="1"/>
  <c r="A959" i="1" s="1"/>
  <c r="B959" i="1"/>
  <c r="O958" i="1"/>
  <c r="N958" i="1"/>
  <c r="E958" i="1"/>
  <c r="A958" i="1" s="1"/>
  <c r="B958" i="1"/>
  <c r="O957" i="1"/>
  <c r="N957" i="1"/>
  <c r="E957" i="1"/>
  <c r="A957" i="1" s="1"/>
  <c r="B957" i="1"/>
  <c r="O956" i="1"/>
  <c r="N956" i="1"/>
  <c r="E956" i="1"/>
  <c r="A956" i="1" s="1"/>
  <c r="B956" i="1"/>
  <c r="O955" i="1"/>
  <c r="N955" i="1"/>
  <c r="E955" i="1"/>
  <c r="A955" i="1" s="1"/>
  <c r="B955" i="1"/>
  <c r="O954" i="1"/>
  <c r="N954" i="1"/>
  <c r="E954" i="1"/>
  <c r="A954" i="1" s="1"/>
  <c r="B954" i="1"/>
  <c r="O953" i="1"/>
  <c r="N953" i="1"/>
  <c r="E953" i="1"/>
  <c r="A953" i="1" s="1"/>
  <c r="B953" i="1"/>
  <c r="O952" i="1"/>
  <c r="N952" i="1"/>
  <c r="E952" i="1"/>
  <c r="A952" i="1" s="1"/>
  <c r="B952" i="1"/>
  <c r="O951" i="1"/>
  <c r="N951" i="1"/>
  <c r="E951" i="1"/>
  <c r="A951" i="1" s="1"/>
  <c r="B951" i="1"/>
  <c r="O950" i="1"/>
  <c r="N950" i="1"/>
  <c r="E950" i="1"/>
  <c r="A950" i="1" s="1"/>
  <c r="B950" i="1"/>
  <c r="O949" i="1"/>
  <c r="N949" i="1"/>
  <c r="E949" i="1"/>
  <c r="A949" i="1" s="1"/>
  <c r="B949" i="1"/>
  <c r="O948" i="1"/>
  <c r="N948" i="1"/>
  <c r="E948" i="1"/>
  <c r="A948" i="1" s="1"/>
  <c r="B948" i="1"/>
  <c r="O947" i="1"/>
  <c r="N947" i="1"/>
  <c r="E947" i="1"/>
  <c r="A947" i="1" s="1"/>
  <c r="B947" i="1"/>
  <c r="O946" i="1"/>
  <c r="N946" i="1"/>
  <c r="E946" i="1"/>
  <c r="A946" i="1" s="1"/>
  <c r="B946" i="1"/>
  <c r="O945" i="1"/>
  <c r="N945" i="1"/>
  <c r="E945" i="1"/>
  <c r="A945" i="1" s="1"/>
  <c r="B945" i="1"/>
  <c r="O944" i="1"/>
  <c r="N944" i="1"/>
  <c r="E944" i="1"/>
  <c r="A944" i="1" s="1"/>
  <c r="B944" i="1"/>
  <c r="O943" i="1"/>
  <c r="N943" i="1"/>
  <c r="E943" i="1"/>
  <c r="A943" i="1" s="1"/>
  <c r="B943" i="1"/>
  <c r="O942" i="1"/>
  <c r="N942" i="1"/>
  <c r="E942" i="1"/>
  <c r="A942" i="1" s="1"/>
  <c r="B942" i="1"/>
  <c r="O941" i="1"/>
  <c r="N941" i="1"/>
  <c r="E941" i="1"/>
  <c r="A941" i="1" s="1"/>
  <c r="B941" i="1"/>
  <c r="O940" i="1"/>
  <c r="N940" i="1"/>
  <c r="E940" i="1"/>
  <c r="A940" i="1" s="1"/>
  <c r="B940" i="1"/>
  <c r="O939" i="1"/>
  <c r="N939" i="1"/>
  <c r="E939" i="1"/>
  <c r="A939" i="1" s="1"/>
  <c r="B939" i="1"/>
  <c r="O938" i="1"/>
  <c r="N938" i="1"/>
  <c r="E938" i="1"/>
  <c r="A938" i="1" s="1"/>
  <c r="B938" i="1"/>
  <c r="O937" i="1"/>
  <c r="N937" i="1"/>
  <c r="E937" i="1"/>
  <c r="A937" i="1" s="1"/>
  <c r="B937" i="1"/>
  <c r="O936" i="1"/>
  <c r="N936" i="1"/>
  <c r="E936" i="1"/>
  <c r="A936" i="1" s="1"/>
  <c r="B936" i="1"/>
  <c r="O935" i="1"/>
  <c r="N935" i="1"/>
  <c r="E935" i="1"/>
  <c r="A935" i="1" s="1"/>
  <c r="B935" i="1"/>
  <c r="O934" i="1"/>
  <c r="N934" i="1"/>
  <c r="E934" i="1"/>
  <c r="A934" i="1" s="1"/>
  <c r="B934" i="1"/>
  <c r="O933" i="1"/>
  <c r="N933" i="1"/>
  <c r="E933" i="1"/>
  <c r="A933" i="1" s="1"/>
  <c r="B933" i="1"/>
  <c r="O932" i="1"/>
  <c r="N932" i="1"/>
  <c r="E932" i="1"/>
  <c r="A932" i="1" s="1"/>
  <c r="B932" i="1"/>
  <c r="O931" i="1"/>
  <c r="N931" i="1"/>
  <c r="E931" i="1"/>
  <c r="A931" i="1" s="1"/>
  <c r="B931" i="1"/>
  <c r="O930" i="1"/>
  <c r="N930" i="1"/>
  <c r="E930" i="1"/>
  <c r="A930" i="1" s="1"/>
  <c r="B930" i="1"/>
  <c r="O929" i="1"/>
  <c r="N929" i="1"/>
  <c r="E929" i="1"/>
  <c r="A929" i="1" s="1"/>
  <c r="B929" i="1"/>
  <c r="O928" i="1"/>
  <c r="N928" i="1"/>
  <c r="E928" i="1"/>
  <c r="A928" i="1" s="1"/>
  <c r="B928" i="1"/>
  <c r="O927" i="1"/>
  <c r="N927" i="1"/>
  <c r="E927" i="1"/>
  <c r="A927" i="1" s="1"/>
  <c r="B927" i="1"/>
  <c r="O926" i="1"/>
  <c r="N926" i="1"/>
  <c r="E926" i="1"/>
  <c r="A926" i="1" s="1"/>
  <c r="B926" i="1"/>
  <c r="O925" i="1"/>
  <c r="N925" i="1"/>
  <c r="E925" i="1"/>
  <c r="A925" i="1" s="1"/>
  <c r="B925" i="1"/>
  <c r="O924" i="1"/>
  <c r="N924" i="1"/>
  <c r="E924" i="1"/>
  <c r="A924" i="1" s="1"/>
  <c r="B924" i="1"/>
  <c r="O923" i="1"/>
  <c r="N923" i="1"/>
  <c r="E923" i="1"/>
  <c r="A923" i="1" s="1"/>
  <c r="B923" i="1"/>
  <c r="O922" i="1"/>
  <c r="N922" i="1"/>
  <c r="E922" i="1"/>
  <c r="A922" i="1" s="1"/>
  <c r="B922" i="1"/>
  <c r="O921" i="1"/>
  <c r="N921" i="1"/>
  <c r="E921" i="1"/>
  <c r="A921" i="1" s="1"/>
  <c r="B921" i="1"/>
  <c r="O920" i="1"/>
  <c r="N920" i="1"/>
  <c r="E920" i="1"/>
  <c r="A920" i="1" s="1"/>
  <c r="B920" i="1"/>
  <c r="O919" i="1"/>
  <c r="N919" i="1"/>
  <c r="E919" i="1"/>
  <c r="A919" i="1" s="1"/>
  <c r="B919" i="1"/>
  <c r="O918" i="1"/>
  <c r="N918" i="1"/>
  <c r="E918" i="1"/>
  <c r="A918" i="1" s="1"/>
  <c r="B918" i="1"/>
  <c r="O917" i="1"/>
  <c r="N917" i="1"/>
  <c r="E917" i="1"/>
  <c r="A917" i="1" s="1"/>
  <c r="B917" i="1"/>
  <c r="O916" i="1"/>
  <c r="N916" i="1"/>
  <c r="E916" i="1"/>
  <c r="A916" i="1" s="1"/>
  <c r="B916" i="1"/>
  <c r="O915" i="1"/>
  <c r="N915" i="1"/>
  <c r="E915" i="1"/>
  <c r="A915" i="1" s="1"/>
  <c r="B915" i="1"/>
  <c r="O914" i="1"/>
  <c r="N914" i="1"/>
  <c r="E914" i="1"/>
  <c r="A914" i="1" s="1"/>
  <c r="B914" i="1"/>
  <c r="O913" i="1"/>
  <c r="N913" i="1"/>
  <c r="E913" i="1"/>
  <c r="A913" i="1" s="1"/>
  <c r="B913" i="1"/>
  <c r="O912" i="1"/>
  <c r="N912" i="1"/>
  <c r="E912" i="1"/>
  <c r="A912" i="1" s="1"/>
  <c r="B912" i="1"/>
  <c r="O911" i="1"/>
  <c r="N911" i="1"/>
  <c r="E911" i="1"/>
  <c r="A911" i="1" s="1"/>
  <c r="B911" i="1"/>
  <c r="O910" i="1"/>
  <c r="N910" i="1"/>
  <c r="E910" i="1"/>
  <c r="A910" i="1" s="1"/>
  <c r="B910" i="1"/>
  <c r="O909" i="1"/>
  <c r="N909" i="1"/>
  <c r="E909" i="1"/>
  <c r="A909" i="1" s="1"/>
  <c r="B909" i="1"/>
  <c r="O908" i="1"/>
  <c r="N908" i="1"/>
  <c r="E908" i="1"/>
  <c r="A908" i="1" s="1"/>
  <c r="B908" i="1"/>
  <c r="O907" i="1"/>
  <c r="N907" i="1"/>
  <c r="E907" i="1"/>
  <c r="A907" i="1" s="1"/>
  <c r="B907" i="1"/>
  <c r="O906" i="1"/>
  <c r="N906" i="1"/>
  <c r="E906" i="1"/>
  <c r="A906" i="1" s="1"/>
  <c r="B906" i="1"/>
  <c r="O905" i="1"/>
  <c r="N905" i="1"/>
  <c r="E905" i="1"/>
  <c r="A905" i="1" s="1"/>
  <c r="B905" i="1"/>
  <c r="O904" i="1"/>
  <c r="N904" i="1"/>
  <c r="E904" i="1"/>
  <c r="A904" i="1" s="1"/>
  <c r="B904" i="1"/>
  <c r="O903" i="1"/>
  <c r="N903" i="1"/>
  <c r="E903" i="1"/>
  <c r="A903" i="1" s="1"/>
  <c r="B903" i="1"/>
  <c r="O902" i="1"/>
  <c r="N902" i="1"/>
  <c r="E902" i="1"/>
  <c r="A902" i="1" s="1"/>
  <c r="B902" i="1"/>
  <c r="O901" i="1"/>
  <c r="N901" i="1"/>
  <c r="E901" i="1"/>
  <c r="A901" i="1" s="1"/>
  <c r="B901" i="1"/>
  <c r="O900" i="1"/>
  <c r="N900" i="1"/>
  <c r="E900" i="1"/>
  <c r="A900" i="1" s="1"/>
  <c r="B900" i="1"/>
  <c r="O899" i="1"/>
  <c r="N899" i="1"/>
  <c r="E899" i="1"/>
  <c r="A899" i="1" s="1"/>
  <c r="B899" i="1"/>
  <c r="O898" i="1"/>
  <c r="N898" i="1"/>
  <c r="E898" i="1"/>
  <c r="A898" i="1" s="1"/>
  <c r="B898" i="1"/>
  <c r="O897" i="1"/>
  <c r="N897" i="1"/>
  <c r="E897" i="1"/>
  <c r="A897" i="1" s="1"/>
  <c r="B897" i="1"/>
  <c r="O896" i="1"/>
  <c r="N896" i="1"/>
  <c r="E896" i="1"/>
  <c r="A896" i="1" s="1"/>
  <c r="B896" i="1"/>
  <c r="O895" i="1"/>
  <c r="N895" i="1"/>
  <c r="E895" i="1"/>
  <c r="A895" i="1" s="1"/>
  <c r="B895" i="1"/>
  <c r="O894" i="1"/>
  <c r="N894" i="1"/>
  <c r="E894" i="1"/>
  <c r="A894" i="1" s="1"/>
  <c r="B894" i="1"/>
  <c r="O893" i="1"/>
  <c r="N893" i="1"/>
  <c r="E893" i="1"/>
  <c r="A893" i="1" s="1"/>
  <c r="B893" i="1"/>
  <c r="O892" i="1"/>
  <c r="N892" i="1"/>
  <c r="E892" i="1"/>
  <c r="A892" i="1" s="1"/>
  <c r="B892" i="1"/>
  <c r="O891" i="1"/>
  <c r="N891" i="1"/>
  <c r="E891" i="1"/>
  <c r="A891" i="1" s="1"/>
  <c r="B891" i="1"/>
  <c r="O890" i="1"/>
  <c r="N890" i="1"/>
  <c r="E890" i="1"/>
  <c r="A890" i="1" s="1"/>
  <c r="B890" i="1"/>
  <c r="O889" i="1"/>
  <c r="N889" i="1"/>
  <c r="E889" i="1"/>
  <c r="A889" i="1" s="1"/>
  <c r="B889" i="1"/>
  <c r="O888" i="1"/>
  <c r="N888" i="1"/>
  <c r="E888" i="1"/>
  <c r="A888" i="1" s="1"/>
  <c r="B888" i="1"/>
  <c r="O887" i="1"/>
  <c r="N887" i="1"/>
  <c r="E887" i="1"/>
  <c r="A887" i="1" s="1"/>
  <c r="B887" i="1"/>
  <c r="O886" i="1"/>
  <c r="N886" i="1"/>
  <c r="E886" i="1"/>
  <c r="A886" i="1" s="1"/>
  <c r="B886" i="1"/>
  <c r="O885" i="1"/>
  <c r="N885" i="1"/>
  <c r="E885" i="1"/>
  <c r="A885" i="1" s="1"/>
  <c r="B885" i="1"/>
  <c r="O884" i="1"/>
  <c r="N884" i="1"/>
  <c r="E884" i="1"/>
  <c r="A884" i="1" s="1"/>
  <c r="B884" i="1"/>
  <c r="O883" i="1"/>
  <c r="N883" i="1"/>
  <c r="E883" i="1"/>
  <c r="A883" i="1" s="1"/>
  <c r="B883" i="1"/>
  <c r="O882" i="1"/>
  <c r="N882" i="1"/>
  <c r="E882" i="1"/>
  <c r="A882" i="1" s="1"/>
  <c r="B882" i="1"/>
  <c r="O881" i="1"/>
  <c r="N881" i="1"/>
  <c r="E881" i="1"/>
  <c r="A881" i="1" s="1"/>
  <c r="B881" i="1"/>
  <c r="O880" i="1"/>
  <c r="N880" i="1"/>
  <c r="E880" i="1"/>
  <c r="A880" i="1" s="1"/>
  <c r="B880" i="1"/>
  <c r="O879" i="1"/>
  <c r="N879" i="1"/>
  <c r="E879" i="1"/>
  <c r="A879" i="1" s="1"/>
  <c r="B879" i="1"/>
  <c r="O878" i="1"/>
  <c r="N878" i="1"/>
  <c r="E878" i="1"/>
  <c r="A878" i="1" s="1"/>
  <c r="B878" i="1"/>
  <c r="O877" i="1"/>
  <c r="N877" i="1"/>
  <c r="E877" i="1"/>
  <c r="A877" i="1" s="1"/>
  <c r="B877" i="1"/>
  <c r="O876" i="1"/>
  <c r="N876" i="1"/>
  <c r="E876" i="1"/>
  <c r="A876" i="1" s="1"/>
  <c r="B876" i="1"/>
  <c r="O875" i="1"/>
  <c r="N875" i="1"/>
  <c r="E875" i="1"/>
  <c r="A875" i="1" s="1"/>
  <c r="B875" i="1"/>
  <c r="O874" i="1"/>
  <c r="N874" i="1"/>
  <c r="E874" i="1"/>
  <c r="A874" i="1" s="1"/>
  <c r="B874" i="1"/>
  <c r="O873" i="1"/>
  <c r="N873" i="1"/>
  <c r="E873" i="1"/>
  <c r="A873" i="1" s="1"/>
  <c r="B873" i="1"/>
  <c r="O872" i="1"/>
  <c r="N872" i="1"/>
  <c r="E872" i="1"/>
  <c r="A872" i="1" s="1"/>
  <c r="B872" i="1"/>
  <c r="O871" i="1"/>
  <c r="N871" i="1"/>
  <c r="E871" i="1"/>
  <c r="A871" i="1" s="1"/>
  <c r="B871" i="1"/>
  <c r="O870" i="1"/>
  <c r="N870" i="1"/>
  <c r="E870" i="1"/>
  <c r="A870" i="1" s="1"/>
  <c r="B870" i="1"/>
  <c r="O869" i="1"/>
  <c r="N869" i="1"/>
  <c r="E869" i="1"/>
  <c r="A869" i="1" s="1"/>
  <c r="B869" i="1"/>
  <c r="O868" i="1"/>
  <c r="N868" i="1"/>
  <c r="E868" i="1"/>
  <c r="A868" i="1" s="1"/>
  <c r="B868" i="1"/>
  <c r="O867" i="1"/>
  <c r="N867" i="1"/>
  <c r="E867" i="1"/>
  <c r="A867" i="1" s="1"/>
  <c r="B867" i="1"/>
  <c r="O866" i="1"/>
  <c r="N866" i="1"/>
  <c r="E866" i="1"/>
  <c r="A866" i="1" s="1"/>
  <c r="B866" i="1"/>
  <c r="O865" i="1"/>
  <c r="N865" i="1"/>
  <c r="E865" i="1"/>
  <c r="A865" i="1" s="1"/>
  <c r="B865" i="1"/>
  <c r="O864" i="1"/>
  <c r="N864" i="1"/>
  <c r="E864" i="1"/>
  <c r="A864" i="1" s="1"/>
  <c r="B864" i="1"/>
  <c r="O863" i="1"/>
  <c r="N863" i="1"/>
  <c r="E863" i="1"/>
  <c r="A863" i="1" s="1"/>
  <c r="B863" i="1"/>
  <c r="O862" i="1"/>
  <c r="N862" i="1"/>
  <c r="E862" i="1"/>
  <c r="A862" i="1" s="1"/>
  <c r="B862" i="1"/>
  <c r="O861" i="1"/>
  <c r="N861" i="1"/>
  <c r="E861" i="1"/>
  <c r="A861" i="1" s="1"/>
  <c r="B861" i="1"/>
  <c r="O860" i="1"/>
  <c r="N860" i="1"/>
  <c r="E860" i="1"/>
  <c r="A860" i="1" s="1"/>
  <c r="B860" i="1"/>
  <c r="O859" i="1"/>
  <c r="N859" i="1"/>
  <c r="E859" i="1"/>
  <c r="A859" i="1" s="1"/>
  <c r="B859" i="1"/>
  <c r="O858" i="1"/>
  <c r="N858" i="1"/>
  <c r="E858" i="1"/>
  <c r="A858" i="1" s="1"/>
  <c r="B858" i="1"/>
  <c r="O857" i="1"/>
  <c r="N857" i="1"/>
  <c r="E857" i="1"/>
  <c r="A857" i="1" s="1"/>
  <c r="B857" i="1"/>
  <c r="O856" i="1"/>
  <c r="N856" i="1"/>
  <c r="E856" i="1"/>
  <c r="A856" i="1" s="1"/>
  <c r="B856" i="1"/>
  <c r="O855" i="1"/>
  <c r="N855" i="1"/>
  <c r="E855" i="1"/>
  <c r="A855" i="1" s="1"/>
  <c r="B855" i="1"/>
  <c r="O854" i="1"/>
  <c r="N854" i="1"/>
  <c r="E854" i="1"/>
  <c r="A854" i="1" s="1"/>
  <c r="B854" i="1"/>
  <c r="O853" i="1"/>
  <c r="N853" i="1"/>
  <c r="E853" i="1"/>
  <c r="A853" i="1" s="1"/>
  <c r="B853" i="1"/>
  <c r="O852" i="1"/>
  <c r="N852" i="1"/>
  <c r="E852" i="1"/>
  <c r="A852" i="1" s="1"/>
  <c r="B852" i="1"/>
  <c r="O851" i="1"/>
  <c r="N851" i="1"/>
  <c r="E851" i="1"/>
  <c r="A851" i="1" s="1"/>
  <c r="B851" i="1"/>
  <c r="O850" i="1"/>
  <c r="N850" i="1"/>
  <c r="E850" i="1"/>
  <c r="A850" i="1" s="1"/>
  <c r="B850" i="1"/>
  <c r="O849" i="1"/>
  <c r="N849" i="1"/>
  <c r="E849" i="1"/>
  <c r="A849" i="1" s="1"/>
  <c r="B849" i="1"/>
  <c r="O848" i="1"/>
  <c r="N848" i="1"/>
  <c r="E848" i="1"/>
  <c r="A848" i="1" s="1"/>
  <c r="B848" i="1"/>
  <c r="O847" i="1"/>
  <c r="N847" i="1"/>
  <c r="E847" i="1"/>
  <c r="A847" i="1" s="1"/>
  <c r="B847" i="1"/>
  <c r="O846" i="1"/>
  <c r="N846" i="1"/>
  <c r="E846" i="1"/>
  <c r="A846" i="1" s="1"/>
  <c r="B846" i="1"/>
  <c r="O845" i="1"/>
  <c r="N845" i="1"/>
  <c r="E845" i="1"/>
  <c r="A845" i="1" s="1"/>
  <c r="B845" i="1"/>
  <c r="O844" i="1"/>
  <c r="N844" i="1"/>
  <c r="E844" i="1"/>
  <c r="A844" i="1" s="1"/>
  <c r="B844" i="1"/>
  <c r="O843" i="1"/>
  <c r="N843" i="1"/>
  <c r="E843" i="1"/>
  <c r="A843" i="1" s="1"/>
  <c r="B843" i="1"/>
  <c r="O842" i="1"/>
  <c r="N842" i="1"/>
  <c r="E842" i="1"/>
  <c r="A842" i="1" s="1"/>
  <c r="B842" i="1"/>
  <c r="O841" i="1"/>
  <c r="N841" i="1"/>
  <c r="E841" i="1"/>
  <c r="A841" i="1" s="1"/>
  <c r="B841" i="1"/>
  <c r="O840" i="1"/>
  <c r="N840" i="1"/>
  <c r="E840" i="1"/>
  <c r="A840" i="1" s="1"/>
  <c r="B840" i="1"/>
  <c r="O839" i="1"/>
  <c r="N839" i="1"/>
  <c r="E839" i="1"/>
  <c r="A839" i="1" s="1"/>
  <c r="B839" i="1"/>
  <c r="O838" i="1"/>
  <c r="N838" i="1"/>
  <c r="E838" i="1"/>
  <c r="A838" i="1" s="1"/>
  <c r="B838" i="1"/>
  <c r="O837" i="1"/>
  <c r="N837" i="1"/>
  <c r="E837" i="1"/>
  <c r="A837" i="1" s="1"/>
  <c r="B837" i="1"/>
  <c r="O836" i="1"/>
  <c r="N836" i="1"/>
  <c r="E836" i="1"/>
  <c r="A836" i="1" s="1"/>
  <c r="B836" i="1"/>
  <c r="O835" i="1"/>
  <c r="N835" i="1"/>
  <c r="E835" i="1"/>
  <c r="A835" i="1" s="1"/>
  <c r="B835" i="1"/>
  <c r="O834" i="1"/>
  <c r="N834" i="1"/>
  <c r="E834" i="1"/>
  <c r="A834" i="1" s="1"/>
  <c r="B834" i="1"/>
  <c r="O833" i="1"/>
  <c r="N833" i="1"/>
  <c r="E833" i="1"/>
  <c r="A833" i="1" s="1"/>
  <c r="B833" i="1"/>
  <c r="O832" i="1"/>
  <c r="N832" i="1"/>
  <c r="E832" i="1"/>
  <c r="A832" i="1" s="1"/>
  <c r="B832" i="1"/>
  <c r="O831" i="1"/>
  <c r="N831" i="1"/>
  <c r="E831" i="1"/>
  <c r="A831" i="1" s="1"/>
  <c r="B831" i="1"/>
  <c r="O830" i="1"/>
  <c r="N830" i="1"/>
  <c r="E830" i="1"/>
  <c r="A830" i="1" s="1"/>
  <c r="B830" i="1"/>
  <c r="O829" i="1"/>
  <c r="N829" i="1"/>
  <c r="E829" i="1"/>
  <c r="A829" i="1" s="1"/>
  <c r="B829" i="1"/>
  <c r="O828" i="1"/>
  <c r="N828" i="1"/>
  <c r="E828" i="1"/>
  <c r="A828" i="1" s="1"/>
  <c r="B828" i="1"/>
  <c r="O827" i="1"/>
  <c r="N827" i="1"/>
  <c r="E827" i="1"/>
  <c r="A827" i="1" s="1"/>
  <c r="B827" i="1"/>
  <c r="O826" i="1"/>
  <c r="N826" i="1"/>
  <c r="E826" i="1"/>
  <c r="A826" i="1" s="1"/>
  <c r="B826" i="1"/>
  <c r="O825" i="1"/>
  <c r="N825" i="1"/>
  <c r="E825" i="1"/>
  <c r="A825" i="1" s="1"/>
  <c r="B825" i="1"/>
  <c r="O824" i="1"/>
  <c r="N824" i="1"/>
  <c r="E824" i="1"/>
  <c r="A824" i="1" s="1"/>
  <c r="B824" i="1"/>
  <c r="O823" i="1"/>
  <c r="N823" i="1"/>
  <c r="E823" i="1"/>
  <c r="A823" i="1" s="1"/>
  <c r="B823" i="1"/>
  <c r="O822" i="1"/>
  <c r="N822" i="1"/>
  <c r="E822" i="1"/>
  <c r="A822" i="1" s="1"/>
  <c r="B822" i="1"/>
  <c r="O821" i="1"/>
  <c r="N821" i="1"/>
  <c r="E821" i="1"/>
  <c r="A821" i="1" s="1"/>
  <c r="B821" i="1"/>
  <c r="O820" i="1"/>
  <c r="N820" i="1"/>
  <c r="E820" i="1"/>
  <c r="A820" i="1" s="1"/>
  <c r="B820" i="1"/>
  <c r="O819" i="1"/>
  <c r="N819" i="1"/>
  <c r="E819" i="1"/>
  <c r="A819" i="1" s="1"/>
  <c r="B819" i="1"/>
  <c r="O818" i="1"/>
  <c r="N818" i="1"/>
  <c r="E818" i="1"/>
  <c r="A818" i="1" s="1"/>
  <c r="B818" i="1"/>
  <c r="O817" i="1"/>
  <c r="N817" i="1"/>
  <c r="E817" i="1"/>
  <c r="A817" i="1" s="1"/>
  <c r="B817" i="1"/>
  <c r="O816" i="1"/>
  <c r="N816" i="1"/>
  <c r="E816" i="1"/>
  <c r="A816" i="1" s="1"/>
  <c r="B816" i="1"/>
  <c r="O815" i="1"/>
  <c r="N815" i="1"/>
  <c r="E815" i="1"/>
  <c r="A815" i="1" s="1"/>
  <c r="B815" i="1"/>
  <c r="O814" i="1"/>
  <c r="N814" i="1"/>
  <c r="E814" i="1"/>
  <c r="A814" i="1" s="1"/>
  <c r="B814" i="1"/>
  <c r="O813" i="1"/>
  <c r="N813" i="1"/>
  <c r="E813" i="1"/>
  <c r="A813" i="1" s="1"/>
  <c r="B813" i="1"/>
  <c r="O812" i="1"/>
  <c r="N812" i="1"/>
  <c r="E812" i="1"/>
  <c r="A812" i="1" s="1"/>
  <c r="B812" i="1"/>
  <c r="O811" i="1"/>
  <c r="N811" i="1"/>
  <c r="E811" i="1"/>
  <c r="A811" i="1" s="1"/>
  <c r="B811" i="1"/>
  <c r="O810" i="1"/>
  <c r="N810" i="1"/>
  <c r="E810" i="1"/>
  <c r="A810" i="1" s="1"/>
  <c r="B810" i="1"/>
  <c r="O809" i="1"/>
  <c r="N809" i="1"/>
  <c r="E809" i="1"/>
  <c r="A809" i="1" s="1"/>
  <c r="B809" i="1"/>
  <c r="O808" i="1"/>
  <c r="N808" i="1"/>
  <c r="E808" i="1"/>
  <c r="A808" i="1" s="1"/>
  <c r="B808" i="1"/>
  <c r="O807" i="1"/>
  <c r="N807" i="1"/>
  <c r="E807" i="1"/>
  <c r="A807" i="1" s="1"/>
  <c r="B807" i="1"/>
  <c r="O806" i="1"/>
  <c r="N806" i="1"/>
  <c r="E806" i="1"/>
  <c r="A806" i="1" s="1"/>
  <c r="B806" i="1"/>
  <c r="O805" i="1"/>
  <c r="N805" i="1"/>
  <c r="E805" i="1"/>
  <c r="A805" i="1" s="1"/>
  <c r="B805" i="1"/>
  <c r="O804" i="1"/>
  <c r="N804" i="1"/>
  <c r="E804" i="1"/>
  <c r="A804" i="1" s="1"/>
  <c r="B804" i="1"/>
  <c r="O803" i="1"/>
  <c r="N803" i="1"/>
  <c r="E803" i="1"/>
  <c r="A803" i="1" s="1"/>
  <c r="B803" i="1"/>
  <c r="O802" i="1"/>
  <c r="N802" i="1"/>
  <c r="E802" i="1"/>
  <c r="A802" i="1" s="1"/>
  <c r="B802" i="1"/>
  <c r="O801" i="1"/>
  <c r="N801" i="1"/>
  <c r="E801" i="1"/>
  <c r="A801" i="1" s="1"/>
  <c r="B801" i="1"/>
  <c r="O800" i="1"/>
  <c r="N800" i="1"/>
  <c r="E800" i="1"/>
  <c r="A800" i="1" s="1"/>
  <c r="B800" i="1"/>
  <c r="O799" i="1"/>
  <c r="N799" i="1"/>
  <c r="E799" i="1"/>
  <c r="A799" i="1" s="1"/>
  <c r="B799" i="1"/>
  <c r="O798" i="1"/>
  <c r="N798" i="1"/>
  <c r="E798" i="1"/>
  <c r="A798" i="1" s="1"/>
  <c r="B798" i="1"/>
  <c r="O797" i="1"/>
  <c r="N797" i="1"/>
  <c r="E797" i="1"/>
  <c r="A797" i="1" s="1"/>
  <c r="B797" i="1"/>
  <c r="O796" i="1"/>
  <c r="N796" i="1"/>
  <c r="E796" i="1"/>
  <c r="A796" i="1" s="1"/>
  <c r="B796" i="1"/>
  <c r="O795" i="1"/>
  <c r="N795" i="1"/>
  <c r="E795" i="1"/>
  <c r="A795" i="1" s="1"/>
  <c r="B795" i="1"/>
  <c r="O794" i="1"/>
  <c r="N794" i="1"/>
  <c r="E794" i="1"/>
  <c r="A794" i="1" s="1"/>
  <c r="B794" i="1"/>
  <c r="O793" i="1"/>
  <c r="N793" i="1"/>
  <c r="E793" i="1"/>
  <c r="A793" i="1" s="1"/>
  <c r="B793" i="1"/>
  <c r="O792" i="1"/>
  <c r="N792" i="1"/>
  <c r="E792" i="1"/>
  <c r="A792" i="1" s="1"/>
  <c r="B792" i="1"/>
  <c r="O791" i="1"/>
  <c r="N791" i="1"/>
  <c r="E791" i="1"/>
  <c r="A791" i="1" s="1"/>
  <c r="B791" i="1"/>
  <c r="O790" i="1"/>
  <c r="N790" i="1"/>
  <c r="E790" i="1"/>
  <c r="A790" i="1" s="1"/>
  <c r="B790" i="1"/>
  <c r="O789" i="1"/>
  <c r="N789" i="1"/>
  <c r="E789" i="1"/>
  <c r="A789" i="1" s="1"/>
  <c r="B789" i="1"/>
  <c r="O788" i="1"/>
  <c r="N788" i="1"/>
  <c r="E788" i="1"/>
  <c r="A788" i="1" s="1"/>
  <c r="B788" i="1"/>
  <c r="O787" i="1"/>
  <c r="N787" i="1"/>
  <c r="E787" i="1"/>
  <c r="A787" i="1" s="1"/>
  <c r="B787" i="1"/>
  <c r="O786" i="1"/>
  <c r="N786" i="1"/>
  <c r="E786" i="1"/>
  <c r="A786" i="1" s="1"/>
  <c r="B786" i="1"/>
  <c r="O785" i="1"/>
  <c r="N785" i="1"/>
  <c r="E785" i="1"/>
  <c r="A785" i="1" s="1"/>
  <c r="B785" i="1"/>
  <c r="O784" i="1"/>
  <c r="N784" i="1"/>
  <c r="E784" i="1"/>
  <c r="A784" i="1" s="1"/>
  <c r="B784" i="1"/>
  <c r="O783" i="1"/>
  <c r="N783" i="1"/>
  <c r="E783" i="1"/>
  <c r="A783" i="1" s="1"/>
  <c r="B783" i="1"/>
  <c r="O782" i="1"/>
  <c r="N782" i="1"/>
  <c r="E782" i="1"/>
  <c r="A782" i="1" s="1"/>
  <c r="B782" i="1"/>
  <c r="O781" i="1"/>
  <c r="N781" i="1"/>
  <c r="E781" i="1"/>
  <c r="A781" i="1" s="1"/>
  <c r="B781" i="1"/>
  <c r="O780" i="1"/>
  <c r="N780" i="1"/>
  <c r="E780" i="1"/>
  <c r="A780" i="1" s="1"/>
  <c r="B780" i="1"/>
  <c r="O779" i="1"/>
  <c r="N779" i="1"/>
  <c r="E779" i="1"/>
  <c r="A779" i="1" s="1"/>
  <c r="B779" i="1"/>
  <c r="O778" i="1"/>
  <c r="N778" i="1"/>
  <c r="E778" i="1"/>
  <c r="A778" i="1" s="1"/>
  <c r="B778" i="1"/>
  <c r="O777" i="1"/>
  <c r="N777" i="1"/>
  <c r="E777" i="1"/>
  <c r="A777" i="1" s="1"/>
  <c r="B777" i="1"/>
  <c r="O776" i="1"/>
  <c r="N776" i="1"/>
  <c r="E776" i="1"/>
  <c r="A776" i="1" s="1"/>
  <c r="B776" i="1"/>
  <c r="O775" i="1"/>
  <c r="N775" i="1"/>
  <c r="E775" i="1"/>
  <c r="A775" i="1" s="1"/>
  <c r="B775" i="1"/>
  <c r="O774" i="1"/>
  <c r="N774" i="1"/>
  <c r="E774" i="1"/>
  <c r="A774" i="1" s="1"/>
  <c r="B774" i="1"/>
  <c r="O773" i="1"/>
  <c r="N773" i="1"/>
  <c r="E773" i="1"/>
  <c r="A773" i="1" s="1"/>
  <c r="B773" i="1"/>
  <c r="O772" i="1"/>
  <c r="N772" i="1"/>
  <c r="E772" i="1"/>
  <c r="A772" i="1" s="1"/>
  <c r="B772" i="1"/>
  <c r="O771" i="1"/>
  <c r="N771" i="1"/>
  <c r="E771" i="1"/>
  <c r="A771" i="1" s="1"/>
  <c r="B771" i="1"/>
  <c r="O770" i="1"/>
  <c r="N770" i="1"/>
  <c r="E770" i="1"/>
  <c r="A770" i="1" s="1"/>
  <c r="B770" i="1"/>
  <c r="O769" i="1"/>
  <c r="N769" i="1"/>
  <c r="E769" i="1"/>
  <c r="A769" i="1" s="1"/>
  <c r="B769" i="1"/>
  <c r="O768" i="1"/>
  <c r="N768" i="1"/>
  <c r="E768" i="1"/>
  <c r="A768" i="1" s="1"/>
  <c r="B768" i="1"/>
  <c r="O767" i="1"/>
  <c r="N767" i="1"/>
  <c r="E767" i="1"/>
  <c r="A767" i="1" s="1"/>
  <c r="B767" i="1"/>
  <c r="O766" i="1"/>
  <c r="N766" i="1"/>
  <c r="E766" i="1"/>
  <c r="A766" i="1" s="1"/>
  <c r="B766" i="1"/>
  <c r="O765" i="1"/>
  <c r="N765" i="1"/>
  <c r="E765" i="1"/>
  <c r="A765" i="1" s="1"/>
  <c r="B765" i="1"/>
  <c r="O764" i="1"/>
  <c r="N764" i="1"/>
  <c r="E764" i="1"/>
  <c r="A764" i="1" s="1"/>
  <c r="B764" i="1"/>
  <c r="O763" i="1"/>
  <c r="N763" i="1"/>
  <c r="E763" i="1"/>
  <c r="A763" i="1" s="1"/>
  <c r="B763" i="1"/>
  <c r="O762" i="1"/>
  <c r="N762" i="1"/>
  <c r="E762" i="1"/>
  <c r="A762" i="1" s="1"/>
  <c r="B762" i="1"/>
  <c r="O761" i="1"/>
  <c r="N761" i="1"/>
  <c r="E761" i="1"/>
  <c r="A761" i="1" s="1"/>
  <c r="B761" i="1"/>
  <c r="O760" i="1"/>
  <c r="N760" i="1"/>
  <c r="E760" i="1"/>
  <c r="A760" i="1" s="1"/>
  <c r="B760" i="1"/>
  <c r="O759" i="1"/>
  <c r="N759" i="1"/>
  <c r="E759" i="1"/>
  <c r="A759" i="1" s="1"/>
  <c r="B759" i="1"/>
  <c r="O758" i="1"/>
  <c r="N758" i="1"/>
  <c r="E758" i="1"/>
  <c r="A758" i="1" s="1"/>
  <c r="B758" i="1"/>
  <c r="O757" i="1"/>
  <c r="N757" i="1"/>
  <c r="E757" i="1"/>
  <c r="A757" i="1" s="1"/>
  <c r="B757" i="1"/>
  <c r="O756" i="1"/>
  <c r="N756" i="1"/>
  <c r="E756" i="1"/>
  <c r="A756" i="1" s="1"/>
  <c r="B756" i="1"/>
  <c r="O755" i="1"/>
  <c r="N755" i="1"/>
  <c r="E755" i="1"/>
  <c r="A755" i="1" s="1"/>
  <c r="B755" i="1"/>
  <c r="O754" i="1"/>
  <c r="N754" i="1"/>
  <c r="E754" i="1"/>
  <c r="A754" i="1" s="1"/>
  <c r="B754" i="1"/>
  <c r="O753" i="1"/>
  <c r="N753" i="1"/>
  <c r="E753" i="1"/>
  <c r="A753" i="1" s="1"/>
  <c r="B753" i="1"/>
  <c r="O752" i="1"/>
  <c r="N752" i="1"/>
  <c r="E752" i="1"/>
  <c r="A752" i="1" s="1"/>
  <c r="B752" i="1"/>
  <c r="O751" i="1"/>
  <c r="N751" i="1"/>
  <c r="E751" i="1"/>
  <c r="A751" i="1" s="1"/>
  <c r="B751" i="1"/>
  <c r="O750" i="1"/>
  <c r="N750" i="1"/>
  <c r="E750" i="1"/>
  <c r="A750" i="1" s="1"/>
  <c r="B750" i="1"/>
  <c r="O749" i="1"/>
  <c r="N749" i="1"/>
  <c r="E749" i="1"/>
  <c r="A749" i="1" s="1"/>
  <c r="B749" i="1"/>
  <c r="O748" i="1"/>
  <c r="N748" i="1"/>
  <c r="E748" i="1"/>
  <c r="A748" i="1" s="1"/>
  <c r="B748" i="1"/>
  <c r="O747" i="1"/>
  <c r="N747" i="1"/>
  <c r="E747" i="1"/>
  <c r="A747" i="1" s="1"/>
  <c r="B747" i="1"/>
  <c r="O746" i="1"/>
  <c r="N746" i="1"/>
  <c r="E746" i="1"/>
  <c r="A746" i="1" s="1"/>
  <c r="B746" i="1"/>
  <c r="O745" i="1"/>
  <c r="N745" i="1"/>
  <c r="E745" i="1"/>
  <c r="A745" i="1" s="1"/>
  <c r="B745" i="1"/>
  <c r="O744" i="1"/>
  <c r="N744" i="1"/>
  <c r="E744" i="1"/>
  <c r="A744" i="1" s="1"/>
  <c r="B744" i="1"/>
  <c r="O743" i="1"/>
  <c r="N743" i="1"/>
  <c r="E743" i="1"/>
  <c r="A743" i="1" s="1"/>
  <c r="B743" i="1"/>
  <c r="O742" i="1"/>
  <c r="N742" i="1"/>
  <c r="E742" i="1"/>
  <c r="A742" i="1" s="1"/>
  <c r="B742" i="1"/>
  <c r="O741" i="1"/>
  <c r="N741" i="1"/>
  <c r="E741" i="1"/>
  <c r="A741" i="1" s="1"/>
  <c r="B741" i="1"/>
  <c r="O740" i="1"/>
  <c r="N740" i="1"/>
  <c r="E740" i="1"/>
  <c r="A740" i="1" s="1"/>
  <c r="B740" i="1"/>
  <c r="O739" i="1"/>
  <c r="N739" i="1"/>
  <c r="E739" i="1"/>
  <c r="A739" i="1" s="1"/>
  <c r="B739" i="1"/>
  <c r="O738" i="1"/>
  <c r="N738" i="1"/>
  <c r="E738" i="1"/>
  <c r="A738" i="1" s="1"/>
  <c r="B738" i="1"/>
  <c r="O737" i="1"/>
  <c r="N737" i="1"/>
  <c r="E737" i="1"/>
  <c r="A737" i="1" s="1"/>
  <c r="B737" i="1"/>
  <c r="O736" i="1"/>
  <c r="N736" i="1"/>
  <c r="E736" i="1"/>
  <c r="A736" i="1" s="1"/>
  <c r="B736" i="1"/>
  <c r="O735" i="1"/>
  <c r="N735" i="1"/>
  <c r="E735" i="1"/>
  <c r="A735" i="1" s="1"/>
  <c r="B735" i="1"/>
  <c r="O734" i="1"/>
  <c r="N734" i="1"/>
  <c r="E734" i="1"/>
  <c r="A734" i="1" s="1"/>
  <c r="B734" i="1"/>
  <c r="O733" i="1"/>
  <c r="N733" i="1"/>
  <c r="E733" i="1"/>
  <c r="A733" i="1" s="1"/>
  <c r="B733" i="1"/>
  <c r="O732" i="1"/>
  <c r="N732" i="1"/>
  <c r="E732" i="1"/>
  <c r="A732" i="1" s="1"/>
  <c r="B732" i="1"/>
  <c r="O731" i="1"/>
  <c r="N731" i="1"/>
  <c r="E731" i="1"/>
  <c r="A731" i="1" s="1"/>
  <c r="B731" i="1"/>
  <c r="O730" i="1"/>
  <c r="N730" i="1"/>
  <c r="E730" i="1"/>
  <c r="A730" i="1" s="1"/>
  <c r="B730" i="1"/>
  <c r="O729" i="1"/>
  <c r="N729" i="1"/>
  <c r="E729" i="1"/>
  <c r="A729" i="1" s="1"/>
  <c r="B729" i="1"/>
  <c r="O728" i="1"/>
  <c r="N728" i="1"/>
  <c r="E728" i="1"/>
  <c r="A728" i="1" s="1"/>
  <c r="B728" i="1"/>
  <c r="O727" i="1"/>
  <c r="N727" i="1"/>
  <c r="E727" i="1"/>
  <c r="A727" i="1" s="1"/>
  <c r="B727" i="1"/>
  <c r="O726" i="1"/>
  <c r="N726" i="1"/>
  <c r="E726" i="1"/>
  <c r="A726" i="1" s="1"/>
  <c r="B726" i="1"/>
  <c r="O725" i="1"/>
  <c r="N725" i="1"/>
  <c r="E725" i="1"/>
  <c r="A725" i="1" s="1"/>
  <c r="B725" i="1"/>
  <c r="O724" i="1"/>
  <c r="N724" i="1"/>
  <c r="E724" i="1"/>
  <c r="A724" i="1" s="1"/>
  <c r="B724" i="1"/>
  <c r="O723" i="1"/>
  <c r="N723" i="1"/>
  <c r="E723" i="1"/>
  <c r="A723" i="1" s="1"/>
  <c r="B723" i="1"/>
  <c r="O722" i="1"/>
  <c r="N722" i="1"/>
  <c r="E722" i="1"/>
  <c r="A722" i="1" s="1"/>
  <c r="B722" i="1"/>
  <c r="O721" i="1"/>
  <c r="N721" i="1"/>
  <c r="E721" i="1"/>
  <c r="A721" i="1" s="1"/>
  <c r="B721" i="1" s="1"/>
  <c r="O720" i="1"/>
  <c r="N720" i="1"/>
  <c r="E720" i="1"/>
  <c r="A720" i="1" s="1"/>
  <c r="B720" i="1" s="1"/>
  <c r="O719" i="1"/>
  <c r="N719" i="1"/>
  <c r="E719" i="1"/>
  <c r="A719" i="1" s="1"/>
  <c r="B719" i="1" s="1"/>
  <c r="O718" i="1"/>
  <c r="N718" i="1"/>
  <c r="E718" i="1"/>
  <c r="A718" i="1" s="1"/>
  <c r="B718" i="1" s="1"/>
  <c r="O717" i="1"/>
  <c r="N717" i="1"/>
  <c r="E717" i="1"/>
  <c r="A717" i="1" s="1"/>
  <c r="B717" i="1" s="1"/>
  <c r="O716" i="1"/>
  <c r="N716" i="1"/>
  <c r="E716" i="1"/>
  <c r="A716" i="1" s="1"/>
  <c r="B716" i="1" s="1"/>
  <c r="O715" i="1"/>
  <c r="N715" i="1"/>
  <c r="E715" i="1"/>
  <c r="A715" i="1" s="1"/>
  <c r="B715" i="1" s="1"/>
  <c r="O714" i="1"/>
  <c r="N714" i="1"/>
  <c r="E714" i="1"/>
  <c r="A714" i="1" s="1"/>
  <c r="B714" i="1" s="1"/>
  <c r="O713" i="1"/>
  <c r="N713" i="1"/>
  <c r="E713" i="1"/>
  <c r="A713" i="1" s="1"/>
  <c r="B713" i="1" s="1"/>
  <c r="O712" i="1"/>
  <c r="N712" i="1"/>
  <c r="E712" i="1"/>
  <c r="A712" i="1" s="1"/>
  <c r="B712" i="1" s="1"/>
  <c r="O711" i="1"/>
  <c r="N711" i="1"/>
  <c r="E711" i="1"/>
  <c r="A711" i="1" s="1"/>
  <c r="B711" i="1" s="1"/>
  <c r="O710" i="1"/>
  <c r="N710" i="1"/>
  <c r="E710" i="1"/>
  <c r="A710" i="1" s="1"/>
  <c r="B710" i="1" s="1"/>
  <c r="O709" i="1"/>
  <c r="N709" i="1"/>
  <c r="E709" i="1"/>
  <c r="A709" i="1" s="1"/>
  <c r="B709" i="1" s="1"/>
  <c r="O708" i="1"/>
  <c r="N708" i="1"/>
  <c r="E708" i="1"/>
  <c r="A708" i="1" s="1"/>
  <c r="B708" i="1" s="1"/>
  <c r="O707" i="1"/>
  <c r="N707" i="1"/>
  <c r="E707" i="1"/>
  <c r="A707" i="1" s="1"/>
  <c r="B707" i="1" s="1"/>
  <c r="O706" i="1"/>
  <c r="N706" i="1"/>
  <c r="E706" i="1"/>
  <c r="A706" i="1" s="1"/>
  <c r="B706" i="1" s="1"/>
  <c r="O705" i="1"/>
  <c r="N705" i="1"/>
  <c r="E705" i="1"/>
  <c r="A705" i="1" s="1"/>
  <c r="B705" i="1" s="1"/>
  <c r="O704" i="1"/>
  <c r="N704" i="1"/>
  <c r="E704" i="1"/>
  <c r="A704" i="1" s="1"/>
  <c r="B704" i="1" s="1"/>
  <c r="O703" i="1"/>
  <c r="N703" i="1"/>
  <c r="E703" i="1"/>
  <c r="A703" i="1" s="1"/>
  <c r="B703" i="1" s="1"/>
  <c r="O702" i="1"/>
  <c r="N702" i="1"/>
  <c r="E702" i="1"/>
  <c r="A702" i="1" s="1"/>
  <c r="B702" i="1" s="1"/>
  <c r="O701" i="1"/>
  <c r="N701" i="1"/>
  <c r="E701" i="1"/>
  <c r="A701" i="1" s="1"/>
  <c r="B701" i="1" s="1"/>
  <c r="O700" i="1"/>
  <c r="N700" i="1"/>
  <c r="E700" i="1"/>
  <c r="A700" i="1" s="1"/>
  <c r="B700" i="1" s="1"/>
  <c r="O699" i="1"/>
  <c r="N699" i="1"/>
  <c r="E699" i="1"/>
  <c r="A699" i="1" s="1"/>
  <c r="B699" i="1" s="1"/>
  <c r="O698" i="1"/>
  <c r="N698" i="1"/>
  <c r="E698" i="1"/>
  <c r="A698" i="1" s="1"/>
  <c r="B698" i="1" s="1"/>
  <c r="O697" i="1"/>
  <c r="N697" i="1"/>
  <c r="E697" i="1"/>
  <c r="A697" i="1" s="1"/>
  <c r="B697" i="1" s="1"/>
  <c r="O696" i="1"/>
  <c r="N696" i="1"/>
  <c r="E696" i="1"/>
  <c r="A696" i="1" s="1"/>
  <c r="B696" i="1" s="1"/>
  <c r="O695" i="1"/>
  <c r="N695" i="1"/>
  <c r="E695" i="1"/>
  <c r="A695" i="1" s="1"/>
  <c r="B695" i="1" s="1"/>
  <c r="O694" i="1"/>
  <c r="N694" i="1"/>
  <c r="E694" i="1"/>
  <c r="A694" i="1" s="1"/>
  <c r="B694" i="1" s="1"/>
  <c r="O693" i="1"/>
  <c r="N693" i="1"/>
  <c r="E693" i="1"/>
  <c r="A693" i="1" s="1"/>
  <c r="B693" i="1" s="1"/>
  <c r="O692" i="1"/>
  <c r="N692" i="1"/>
  <c r="E692" i="1"/>
  <c r="A692" i="1" s="1"/>
  <c r="B692" i="1" s="1"/>
  <c r="O691" i="1"/>
  <c r="N691" i="1"/>
  <c r="E691" i="1"/>
  <c r="A691" i="1" s="1"/>
  <c r="B691" i="1" s="1"/>
  <c r="O690" i="1"/>
  <c r="N690" i="1"/>
  <c r="E690" i="1"/>
  <c r="A690" i="1" s="1"/>
  <c r="B690" i="1" s="1"/>
  <c r="O689" i="1"/>
  <c r="N689" i="1"/>
  <c r="E689" i="1"/>
  <c r="A689" i="1" s="1"/>
  <c r="B689" i="1" s="1"/>
  <c r="O688" i="1"/>
  <c r="N688" i="1"/>
  <c r="E688" i="1"/>
  <c r="A688" i="1" s="1"/>
  <c r="B688" i="1" s="1"/>
  <c r="O687" i="1"/>
  <c r="N687" i="1"/>
  <c r="E687" i="1"/>
  <c r="A687" i="1" s="1"/>
  <c r="B687" i="1" s="1"/>
  <c r="O686" i="1"/>
  <c r="N686" i="1"/>
  <c r="E686" i="1"/>
  <c r="A686" i="1" s="1"/>
  <c r="B686" i="1" s="1"/>
  <c r="O685" i="1"/>
  <c r="N685" i="1"/>
  <c r="E685" i="1"/>
  <c r="A685" i="1" s="1"/>
  <c r="B685" i="1" s="1"/>
  <c r="O684" i="1"/>
  <c r="N684" i="1"/>
  <c r="E684" i="1"/>
  <c r="A684" i="1" s="1"/>
  <c r="B684" i="1" s="1"/>
  <c r="O683" i="1"/>
  <c r="N683" i="1"/>
  <c r="E683" i="1"/>
  <c r="A683" i="1" s="1"/>
  <c r="B683" i="1" s="1"/>
  <c r="O682" i="1"/>
  <c r="N682" i="1"/>
  <c r="E682" i="1"/>
  <c r="A682" i="1" s="1"/>
  <c r="B682" i="1" s="1"/>
  <c r="O681" i="1"/>
  <c r="N681" i="1"/>
  <c r="E681" i="1"/>
  <c r="A681" i="1" s="1"/>
  <c r="B681" i="1" s="1"/>
  <c r="O680" i="1"/>
  <c r="N680" i="1"/>
  <c r="E680" i="1"/>
  <c r="A680" i="1" s="1"/>
  <c r="B680" i="1" s="1"/>
  <c r="O679" i="1"/>
  <c r="N679" i="1"/>
  <c r="E679" i="1"/>
  <c r="A679" i="1" s="1"/>
  <c r="B679" i="1" s="1"/>
  <c r="O678" i="1"/>
  <c r="N678" i="1"/>
  <c r="E678" i="1"/>
  <c r="A678" i="1" s="1"/>
  <c r="B678" i="1" s="1"/>
  <c r="O677" i="1"/>
  <c r="N677" i="1"/>
  <c r="E677" i="1"/>
  <c r="A677" i="1" s="1"/>
  <c r="B677" i="1" s="1"/>
  <c r="O676" i="1"/>
  <c r="N676" i="1"/>
  <c r="E676" i="1"/>
  <c r="A676" i="1" s="1"/>
  <c r="B676" i="1" s="1"/>
  <c r="O675" i="1"/>
  <c r="N675" i="1"/>
  <c r="E675" i="1"/>
  <c r="A675" i="1" s="1"/>
  <c r="B675" i="1" s="1"/>
  <c r="O674" i="1"/>
  <c r="N674" i="1"/>
  <c r="E674" i="1"/>
  <c r="A674" i="1" s="1"/>
  <c r="B674" i="1" s="1"/>
  <c r="O673" i="1"/>
  <c r="N673" i="1"/>
  <c r="E673" i="1"/>
  <c r="A673" i="1" s="1"/>
  <c r="B673" i="1" s="1"/>
  <c r="O672" i="1"/>
  <c r="N672" i="1"/>
  <c r="E672" i="1"/>
  <c r="A672" i="1" s="1"/>
  <c r="B672" i="1" s="1"/>
  <c r="O671" i="1"/>
  <c r="N671" i="1"/>
  <c r="E671" i="1"/>
  <c r="A671" i="1" s="1"/>
  <c r="B671" i="1" s="1"/>
  <c r="O670" i="1"/>
  <c r="N670" i="1"/>
  <c r="E670" i="1"/>
  <c r="A670" i="1" s="1"/>
  <c r="B670" i="1" s="1"/>
  <c r="O669" i="1"/>
  <c r="N669" i="1"/>
  <c r="E669" i="1"/>
  <c r="A669" i="1" s="1"/>
  <c r="B669" i="1" s="1"/>
  <c r="O668" i="1"/>
  <c r="N668" i="1"/>
  <c r="E668" i="1"/>
  <c r="A668" i="1" s="1"/>
  <c r="B668" i="1" s="1"/>
  <c r="O667" i="1"/>
  <c r="N667" i="1"/>
  <c r="E667" i="1"/>
  <c r="A667" i="1" s="1"/>
  <c r="B667" i="1" s="1"/>
  <c r="O666" i="1"/>
  <c r="N666" i="1"/>
  <c r="E666" i="1"/>
  <c r="A666" i="1" s="1"/>
  <c r="B666" i="1" s="1"/>
  <c r="O665" i="1"/>
  <c r="N665" i="1"/>
  <c r="E665" i="1"/>
  <c r="A665" i="1" s="1"/>
  <c r="B665" i="1" s="1"/>
  <c r="O664" i="1"/>
  <c r="N664" i="1"/>
  <c r="E664" i="1"/>
  <c r="A664" i="1" s="1"/>
  <c r="B664" i="1" s="1"/>
  <c r="O663" i="1"/>
  <c r="N663" i="1"/>
  <c r="E663" i="1"/>
  <c r="A663" i="1" s="1"/>
  <c r="B663" i="1" s="1"/>
  <c r="O662" i="1"/>
  <c r="N662" i="1"/>
  <c r="E662" i="1"/>
  <c r="A662" i="1" s="1"/>
  <c r="B662" i="1" s="1"/>
  <c r="O661" i="1"/>
  <c r="N661" i="1"/>
  <c r="E661" i="1"/>
  <c r="A661" i="1" s="1"/>
  <c r="B661" i="1" s="1"/>
  <c r="O660" i="1"/>
  <c r="N660" i="1"/>
  <c r="E660" i="1"/>
  <c r="A660" i="1" s="1"/>
  <c r="B660" i="1" s="1"/>
  <c r="O659" i="1"/>
  <c r="N659" i="1"/>
  <c r="E659" i="1"/>
  <c r="A659" i="1" s="1"/>
  <c r="B659" i="1" s="1"/>
  <c r="O658" i="1"/>
  <c r="N658" i="1"/>
  <c r="E658" i="1"/>
  <c r="A658" i="1" s="1"/>
  <c r="B658" i="1" s="1"/>
  <c r="O657" i="1"/>
  <c r="N657" i="1"/>
  <c r="E657" i="1"/>
  <c r="A657" i="1" s="1"/>
  <c r="B657" i="1" s="1"/>
  <c r="O656" i="1"/>
  <c r="N656" i="1"/>
  <c r="E656" i="1"/>
  <c r="A656" i="1" s="1"/>
  <c r="B656" i="1" s="1"/>
  <c r="O655" i="1"/>
  <c r="N655" i="1"/>
  <c r="E655" i="1"/>
  <c r="A655" i="1" s="1"/>
  <c r="B655" i="1" s="1"/>
  <c r="O654" i="1"/>
  <c r="N654" i="1"/>
  <c r="E654" i="1"/>
  <c r="A654" i="1" s="1"/>
  <c r="B654" i="1" s="1"/>
  <c r="O653" i="1"/>
  <c r="N653" i="1"/>
  <c r="E653" i="1"/>
  <c r="A653" i="1" s="1"/>
  <c r="B653" i="1" s="1"/>
  <c r="O652" i="1"/>
  <c r="N652" i="1"/>
  <c r="E652" i="1"/>
  <c r="A652" i="1" s="1"/>
  <c r="B652" i="1" s="1"/>
  <c r="O651" i="1"/>
  <c r="N651" i="1"/>
  <c r="E651" i="1"/>
  <c r="A651" i="1" s="1"/>
  <c r="B651" i="1" s="1"/>
  <c r="O650" i="1"/>
  <c r="N650" i="1"/>
  <c r="E650" i="1"/>
  <c r="A650" i="1" s="1"/>
  <c r="B650" i="1" s="1"/>
  <c r="O649" i="1"/>
  <c r="N649" i="1"/>
  <c r="E649" i="1"/>
  <c r="A649" i="1" s="1"/>
  <c r="B649" i="1" s="1"/>
  <c r="O648" i="1"/>
  <c r="N648" i="1"/>
  <c r="E648" i="1"/>
  <c r="A648" i="1" s="1"/>
  <c r="B648" i="1" s="1"/>
  <c r="O647" i="1"/>
  <c r="N647" i="1"/>
  <c r="E647" i="1"/>
  <c r="A647" i="1" s="1"/>
  <c r="B647" i="1" s="1"/>
  <c r="O646" i="1"/>
  <c r="N646" i="1"/>
  <c r="E646" i="1"/>
  <c r="A646" i="1" s="1"/>
  <c r="B646" i="1" s="1"/>
  <c r="O645" i="1"/>
  <c r="N645" i="1"/>
  <c r="E645" i="1"/>
  <c r="A645" i="1" s="1"/>
  <c r="B645" i="1" s="1"/>
  <c r="O644" i="1"/>
  <c r="N644" i="1"/>
  <c r="E644" i="1"/>
  <c r="A644" i="1" s="1"/>
  <c r="B644" i="1" s="1"/>
  <c r="O643" i="1"/>
  <c r="N643" i="1"/>
  <c r="E643" i="1"/>
  <c r="A643" i="1" s="1"/>
  <c r="B643" i="1" s="1"/>
  <c r="O642" i="1"/>
  <c r="N642" i="1"/>
  <c r="E642" i="1"/>
  <c r="A642" i="1" s="1"/>
  <c r="B642" i="1" s="1"/>
  <c r="O641" i="1"/>
  <c r="N641" i="1"/>
  <c r="E641" i="1"/>
  <c r="A641" i="1" s="1"/>
  <c r="B641" i="1" s="1"/>
  <c r="O640" i="1"/>
  <c r="N640" i="1"/>
  <c r="E640" i="1"/>
  <c r="A640" i="1" s="1"/>
  <c r="B640" i="1" s="1"/>
  <c r="O639" i="1"/>
  <c r="N639" i="1"/>
  <c r="E639" i="1"/>
  <c r="A639" i="1" s="1"/>
  <c r="B639" i="1" s="1"/>
  <c r="O638" i="1"/>
  <c r="N638" i="1"/>
  <c r="E638" i="1"/>
  <c r="A638" i="1" s="1"/>
  <c r="B638" i="1" s="1"/>
  <c r="O637" i="1"/>
  <c r="N637" i="1"/>
  <c r="E637" i="1"/>
  <c r="A637" i="1" s="1"/>
  <c r="B637" i="1" s="1"/>
  <c r="O636" i="1"/>
  <c r="N636" i="1"/>
  <c r="E636" i="1"/>
  <c r="A636" i="1" s="1"/>
  <c r="B636" i="1" s="1"/>
  <c r="O635" i="1"/>
  <c r="N635" i="1"/>
  <c r="E635" i="1"/>
  <c r="A635" i="1" s="1"/>
  <c r="B635" i="1" s="1"/>
  <c r="O634" i="1"/>
  <c r="N634" i="1"/>
  <c r="E634" i="1"/>
  <c r="A634" i="1" s="1"/>
  <c r="B634" i="1" s="1"/>
  <c r="O633" i="1"/>
  <c r="N633" i="1"/>
  <c r="E633" i="1"/>
  <c r="A633" i="1" s="1"/>
  <c r="B633" i="1" s="1"/>
  <c r="O632" i="1"/>
  <c r="N632" i="1"/>
  <c r="E632" i="1"/>
  <c r="A632" i="1" s="1"/>
  <c r="B632" i="1" s="1"/>
  <c r="O631" i="1"/>
  <c r="N631" i="1"/>
  <c r="E631" i="1"/>
  <c r="A631" i="1" s="1"/>
  <c r="B631" i="1" s="1"/>
  <c r="O630" i="1"/>
  <c r="N630" i="1"/>
  <c r="E630" i="1"/>
  <c r="A630" i="1" s="1"/>
  <c r="B630" i="1" s="1"/>
  <c r="O629" i="1"/>
  <c r="N629" i="1"/>
  <c r="E629" i="1"/>
  <c r="A629" i="1" s="1"/>
  <c r="B629" i="1" s="1"/>
  <c r="O628" i="1"/>
  <c r="N628" i="1"/>
  <c r="E628" i="1"/>
  <c r="A628" i="1" s="1"/>
  <c r="B628" i="1" s="1"/>
  <c r="O627" i="1"/>
  <c r="N627" i="1"/>
  <c r="E627" i="1"/>
  <c r="A627" i="1" s="1"/>
  <c r="B627" i="1" s="1"/>
  <c r="O626" i="1"/>
  <c r="N626" i="1"/>
  <c r="E626" i="1"/>
  <c r="A626" i="1" s="1"/>
  <c r="B626" i="1" s="1"/>
  <c r="O625" i="1"/>
  <c r="N625" i="1"/>
  <c r="E625" i="1"/>
  <c r="A625" i="1" s="1"/>
  <c r="B625" i="1" s="1"/>
  <c r="O624" i="1"/>
  <c r="N624" i="1"/>
  <c r="E624" i="1"/>
  <c r="A624" i="1" s="1"/>
  <c r="B624" i="1" s="1"/>
  <c r="O623" i="1"/>
  <c r="N623" i="1"/>
  <c r="E623" i="1"/>
  <c r="A623" i="1" s="1"/>
  <c r="B623" i="1" s="1"/>
  <c r="O622" i="1"/>
  <c r="N622" i="1"/>
  <c r="E622" i="1"/>
  <c r="A622" i="1" s="1"/>
  <c r="B622" i="1" s="1"/>
  <c r="O621" i="1"/>
  <c r="N621" i="1"/>
  <c r="E621" i="1"/>
  <c r="A621" i="1" s="1"/>
  <c r="B621" i="1" s="1"/>
  <c r="O620" i="1"/>
  <c r="N620" i="1"/>
  <c r="E620" i="1"/>
  <c r="A620" i="1" s="1"/>
  <c r="B620" i="1" s="1"/>
  <c r="O619" i="1"/>
  <c r="N619" i="1"/>
  <c r="E619" i="1"/>
  <c r="A619" i="1" s="1"/>
  <c r="B619" i="1" s="1"/>
  <c r="O618" i="1"/>
  <c r="N618" i="1"/>
  <c r="E618" i="1"/>
  <c r="A618" i="1" s="1"/>
  <c r="B618" i="1" s="1"/>
  <c r="O617" i="1"/>
  <c r="N617" i="1"/>
  <c r="E617" i="1"/>
  <c r="A617" i="1" s="1"/>
  <c r="B617" i="1" s="1"/>
  <c r="O616" i="1"/>
  <c r="N616" i="1"/>
  <c r="E616" i="1"/>
  <c r="A616" i="1" s="1"/>
  <c r="B616" i="1" s="1"/>
  <c r="O615" i="1"/>
  <c r="N615" i="1"/>
  <c r="E615" i="1"/>
  <c r="A615" i="1" s="1"/>
  <c r="B615" i="1" s="1"/>
  <c r="O614" i="1"/>
  <c r="N614" i="1"/>
  <c r="E614" i="1"/>
  <c r="A614" i="1" s="1"/>
  <c r="B614" i="1" s="1"/>
  <c r="O613" i="1"/>
  <c r="N613" i="1"/>
  <c r="E613" i="1"/>
  <c r="A613" i="1" s="1"/>
  <c r="B613" i="1" s="1"/>
  <c r="O612" i="1"/>
  <c r="N612" i="1"/>
  <c r="E612" i="1"/>
  <c r="A612" i="1" s="1"/>
  <c r="B612" i="1" s="1"/>
  <c r="O611" i="1"/>
  <c r="N611" i="1"/>
  <c r="E611" i="1"/>
  <c r="A611" i="1" s="1"/>
  <c r="B611" i="1" s="1"/>
  <c r="O610" i="1"/>
  <c r="N610" i="1"/>
  <c r="E610" i="1"/>
  <c r="A610" i="1" s="1"/>
  <c r="B610" i="1" s="1"/>
  <c r="O609" i="1"/>
  <c r="N609" i="1"/>
  <c r="E609" i="1"/>
  <c r="A609" i="1" s="1"/>
  <c r="B609" i="1" s="1"/>
  <c r="O608" i="1"/>
  <c r="N608" i="1"/>
  <c r="E608" i="1"/>
  <c r="A608" i="1" s="1"/>
  <c r="B608" i="1" s="1"/>
  <c r="O607" i="1"/>
  <c r="N607" i="1"/>
  <c r="E607" i="1"/>
  <c r="A607" i="1" s="1"/>
  <c r="B607" i="1" s="1"/>
  <c r="O606" i="1"/>
  <c r="N606" i="1"/>
  <c r="E606" i="1"/>
  <c r="A606" i="1" s="1"/>
  <c r="B606" i="1" s="1"/>
  <c r="O605" i="1"/>
  <c r="N605" i="1"/>
  <c r="E605" i="1"/>
  <c r="A605" i="1" s="1"/>
  <c r="B605" i="1" s="1"/>
  <c r="O604" i="1"/>
  <c r="N604" i="1"/>
  <c r="E604" i="1"/>
  <c r="A604" i="1" s="1"/>
  <c r="B604" i="1" s="1"/>
  <c r="O603" i="1"/>
  <c r="N603" i="1"/>
  <c r="E603" i="1"/>
  <c r="A603" i="1" s="1"/>
  <c r="B603" i="1" s="1"/>
  <c r="O602" i="1"/>
  <c r="N602" i="1"/>
  <c r="E602" i="1"/>
  <c r="A602" i="1" s="1"/>
  <c r="B602" i="1" s="1"/>
  <c r="O601" i="1"/>
  <c r="N601" i="1"/>
  <c r="E601" i="1"/>
  <c r="A601" i="1" s="1"/>
  <c r="B601" i="1" s="1"/>
  <c r="O600" i="1"/>
  <c r="N600" i="1"/>
  <c r="E600" i="1"/>
  <c r="A600" i="1" s="1"/>
  <c r="B600" i="1" s="1"/>
  <c r="O599" i="1"/>
  <c r="N599" i="1"/>
  <c r="E599" i="1"/>
  <c r="A599" i="1" s="1"/>
  <c r="B599" i="1" s="1"/>
  <c r="O598" i="1"/>
  <c r="N598" i="1"/>
  <c r="E598" i="1"/>
  <c r="A598" i="1" s="1"/>
  <c r="B598" i="1" s="1"/>
  <c r="O597" i="1"/>
  <c r="N597" i="1"/>
  <c r="E597" i="1"/>
  <c r="A597" i="1" s="1"/>
  <c r="B597" i="1" s="1"/>
  <c r="O596" i="1"/>
  <c r="N596" i="1"/>
  <c r="E596" i="1"/>
  <c r="A596" i="1" s="1"/>
  <c r="B596" i="1" s="1"/>
  <c r="O595" i="1"/>
  <c r="N595" i="1"/>
  <c r="E595" i="1"/>
  <c r="A595" i="1" s="1"/>
  <c r="B595" i="1" s="1"/>
  <c r="O594" i="1"/>
  <c r="N594" i="1"/>
  <c r="E594" i="1"/>
  <c r="A594" i="1" s="1"/>
  <c r="O593" i="1"/>
  <c r="N593" i="1"/>
  <c r="E593" i="1"/>
  <c r="A593" i="1" s="1"/>
  <c r="B593" i="1" s="1"/>
  <c r="O592" i="1"/>
  <c r="N592" i="1"/>
  <c r="E592" i="1"/>
  <c r="A592" i="1" s="1"/>
  <c r="B592" i="1" s="1"/>
  <c r="O591" i="1"/>
  <c r="N591" i="1"/>
  <c r="E591" i="1"/>
  <c r="A591" i="1" s="1"/>
  <c r="B591" i="1" s="1"/>
  <c r="O590" i="1"/>
  <c r="N590" i="1"/>
  <c r="E590" i="1"/>
  <c r="A590" i="1" s="1"/>
  <c r="O589" i="1"/>
  <c r="N589" i="1"/>
  <c r="E589" i="1"/>
  <c r="A589" i="1" s="1"/>
  <c r="B589" i="1" s="1"/>
  <c r="O588" i="1"/>
  <c r="N588" i="1"/>
  <c r="E588" i="1"/>
  <c r="A588" i="1" s="1"/>
  <c r="B588" i="1" s="1"/>
  <c r="O587" i="1"/>
  <c r="N587" i="1"/>
  <c r="E587" i="1"/>
  <c r="A587" i="1" s="1"/>
  <c r="O586" i="1"/>
  <c r="N586" i="1"/>
  <c r="E586" i="1"/>
  <c r="A586" i="1" s="1"/>
  <c r="B586" i="1" s="1"/>
  <c r="O585" i="1"/>
  <c r="N585" i="1"/>
  <c r="E585" i="1"/>
  <c r="A585" i="1" s="1"/>
  <c r="B585" i="1" s="1"/>
  <c r="O584" i="1"/>
  <c r="N584" i="1"/>
  <c r="E584" i="1"/>
  <c r="A584" i="1" s="1"/>
  <c r="B584" i="1" s="1"/>
  <c r="O583" i="1"/>
  <c r="N583" i="1"/>
  <c r="E583" i="1"/>
  <c r="A583" i="1" s="1"/>
  <c r="B583" i="1" s="1"/>
  <c r="O582" i="1"/>
  <c r="N582" i="1"/>
  <c r="E582" i="1"/>
  <c r="A582" i="1" s="1"/>
  <c r="B582" i="1" s="1"/>
  <c r="O581" i="1"/>
  <c r="N581" i="1"/>
  <c r="E581" i="1"/>
  <c r="A581" i="1" s="1"/>
  <c r="B581" i="1" s="1"/>
  <c r="O580" i="1"/>
  <c r="N580" i="1"/>
  <c r="E580" i="1"/>
  <c r="A580" i="1" s="1"/>
  <c r="B580" i="1" s="1"/>
  <c r="O579" i="1"/>
  <c r="N579" i="1"/>
  <c r="E579" i="1"/>
  <c r="A579" i="1" s="1"/>
  <c r="B579" i="1" s="1"/>
  <c r="O578" i="1"/>
  <c r="N578" i="1"/>
  <c r="E578" i="1"/>
  <c r="A578" i="1" s="1"/>
  <c r="B578" i="1" s="1"/>
  <c r="O577" i="1"/>
  <c r="N577" i="1"/>
  <c r="E577" i="1"/>
  <c r="A577" i="1" s="1"/>
  <c r="B577" i="1" s="1"/>
  <c r="O576" i="1"/>
  <c r="N576" i="1"/>
  <c r="E576" i="1"/>
  <c r="A576" i="1" s="1"/>
  <c r="B576" i="1" s="1"/>
  <c r="O575" i="1"/>
  <c r="N575" i="1"/>
  <c r="E575" i="1"/>
  <c r="A575" i="1" s="1"/>
  <c r="B575" i="1" s="1"/>
  <c r="O574" i="1"/>
  <c r="N574" i="1"/>
  <c r="E574" i="1"/>
  <c r="A574" i="1" s="1"/>
  <c r="B574" i="1" s="1"/>
  <c r="O573" i="1"/>
  <c r="N573" i="1"/>
  <c r="E573" i="1"/>
  <c r="A573" i="1" s="1"/>
  <c r="B573" i="1" s="1"/>
  <c r="O572" i="1"/>
  <c r="N572" i="1"/>
  <c r="E572" i="1"/>
  <c r="A572" i="1" s="1"/>
  <c r="B572" i="1" s="1"/>
  <c r="O571" i="1"/>
  <c r="N571" i="1"/>
  <c r="E571" i="1"/>
  <c r="A571" i="1" s="1"/>
  <c r="B571" i="1" s="1"/>
  <c r="O570" i="1"/>
  <c r="N570" i="1"/>
  <c r="E570" i="1"/>
  <c r="A570" i="1" s="1"/>
  <c r="B570" i="1" s="1"/>
  <c r="O569" i="1"/>
  <c r="N569" i="1"/>
  <c r="E569" i="1"/>
  <c r="A569" i="1" s="1"/>
  <c r="B569" i="1" s="1"/>
  <c r="O568" i="1"/>
  <c r="N568" i="1"/>
  <c r="E568" i="1"/>
  <c r="A568" i="1" s="1"/>
  <c r="B568" i="1" s="1"/>
  <c r="O567" i="1"/>
  <c r="N567" i="1"/>
  <c r="E567" i="1"/>
  <c r="A567" i="1" s="1"/>
  <c r="B567" i="1" s="1"/>
  <c r="O566" i="1"/>
  <c r="N566" i="1"/>
  <c r="E566" i="1"/>
  <c r="A566" i="1" s="1"/>
  <c r="B566" i="1" s="1"/>
  <c r="O565" i="1"/>
  <c r="N565" i="1"/>
  <c r="E565" i="1"/>
  <c r="A565" i="1" s="1"/>
  <c r="B565" i="1" s="1"/>
  <c r="O564" i="1"/>
  <c r="N564" i="1"/>
  <c r="E564" i="1"/>
  <c r="A564" i="1" s="1"/>
  <c r="B564" i="1" s="1"/>
  <c r="O563" i="1"/>
  <c r="N563" i="1"/>
  <c r="E563" i="1"/>
  <c r="A563" i="1" s="1"/>
  <c r="B563" i="1" s="1"/>
  <c r="O562" i="1"/>
  <c r="N562" i="1"/>
  <c r="E562" i="1"/>
  <c r="A562" i="1" s="1"/>
  <c r="B562" i="1" s="1"/>
  <c r="O561" i="1"/>
  <c r="N561" i="1"/>
  <c r="E561" i="1"/>
  <c r="A561" i="1" s="1"/>
  <c r="B561" i="1" s="1"/>
  <c r="O560" i="1"/>
  <c r="N560" i="1"/>
  <c r="E560" i="1"/>
  <c r="A560" i="1" s="1"/>
  <c r="B560" i="1" s="1"/>
  <c r="O559" i="1"/>
  <c r="N559" i="1"/>
  <c r="E559" i="1"/>
  <c r="A559" i="1" s="1"/>
  <c r="B559" i="1" s="1"/>
  <c r="O558" i="1"/>
  <c r="N558" i="1"/>
  <c r="E558" i="1"/>
  <c r="A558" i="1" s="1"/>
  <c r="B558" i="1" s="1"/>
  <c r="O557" i="1"/>
  <c r="N557" i="1"/>
  <c r="E557" i="1"/>
  <c r="A557" i="1" s="1"/>
  <c r="B557" i="1" s="1"/>
  <c r="O556" i="1"/>
  <c r="N556" i="1"/>
  <c r="E556" i="1"/>
  <c r="A556" i="1" s="1"/>
  <c r="B556" i="1" s="1"/>
  <c r="O555" i="1"/>
  <c r="N555" i="1"/>
  <c r="E555" i="1"/>
  <c r="A555" i="1" s="1"/>
  <c r="B555" i="1" s="1"/>
  <c r="O554" i="1"/>
  <c r="N554" i="1"/>
  <c r="E554" i="1"/>
  <c r="A554" i="1" s="1"/>
  <c r="B554" i="1" s="1"/>
  <c r="O553" i="1"/>
  <c r="N553" i="1"/>
  <c r="E553" i="1"/>
  <c r="A553" i="1" s="1"/>
  <c r="B553" i="1" s="1"/>
  <c r="O552" i="1"/>
  <c r="N552" i="1"/>
  <c r="E552" i="1"/>
  <c r="A552" i="1" s="1"/>
  <c r="O551" i="1"/>
  <c r="N551" i="1"/>
  <c r="E551" i="1"/>
  <c r="A551" i="1" s="1"/>
  <c r="B551" i="1" s="1"/>
  <c r="O550" i="1"/>
  <c r="N550" i="1"/>
  <c r="E550" i="1"/>
  <c r="A550" i="1" s="1"/>
  <c r="B550" i="1" s="1"/>
  <c r="O549" i="1"/>
  <c r="N549" i="1"/>
  <c r="E549" i="1"/>
  <c r="A549" i="1" s="1"/>
  <c r="B549" i="1" s="1"/>
  <c r="O548" i="1"/>
  <c r="N548" i="1"/>
  <c r="E548" i="1"/>
  <c r="A548" i="1" s="1"/>
  <c r="B548" i="1" s="1"/>
  <c r="O547" i="1"/>
  <c r="N547" i="1"/>
  <c r="E547" i="1"/>
  <c r="A547" i="1" s="1"/>
  <c r="B547" i="1" s="1"/>
  <c r="O546" i="1"/>
  <c r="N546" i="1"/>
  <c r="E546" i="1"/>
  <c r="A546" i="1" s="1"/>
  <c r="B546" i="1" s="1"/>
  <c r="O545" i="1"/>
  <c r="N545" i="1"/>
  <c r="E545" i="1"/>
  <c r="A545" i="1" s="1"/>
  <c r="B545" i="1" s="1"/>
  <c r="O544" i="1"/>
  <c r="N544" i="1"/>
  <c r="E544" i="1"/>
  <c r="A544" i="1" s="1"/>
  <c r="B544" i="1" s="1"/>
  <c r="O543" i="1"/>
  <c r="N543" i="1"/>
  <c r="E543" i="1"/>
  <c r="A543" i="1" s="1"/>
  <c r="B543" i="1" s="1"/>
  <c r="O542" i="1"/>
  <c r="N542" i="1"/>
  <c r="E542" i="1"/>
  <c r="A542" i="1" s="1"/>
  <c r="O541" i="1"/>
  <c r="N541" i="1"/>
  <c r="E541" i="1"/>
  <c r="A541" i="1" s="1"/>
  <c r="B541" i="1" s="1"/>
  <c r="O540" i="1"/>
  <c r="N540" i="1"/>
  <c r="E540" i="1"/>
  <c r="A540" i="1" s="1"/>
  <c r="B540" i="1" s="1"/>
  <c r="O539" i="1"/>
  <c r="N539" i="1"/>
  <c r="E539" i="1"/>
  <c r="A539" i="1" s="1"/>
  <c r="B539" i="1" s="1"/>
  <c r="O538" i="1"/>
  <c r="N538" i="1"/>
  <c r="E538" i="1"/>
  <c r="A538" i="1" s="1"/>
  <c r="B538" i="1" s="1"/>
  <c r="O537" i="1"/>
  <c r="N537" i="1"/>
  <c r="E537" i="1"/>
  <c r="A537" i="1" s="1"/>
  <c r="B537" i="1" s="1"/>
  <c r="O536" i="1"/>
  <c r="N536" i="1"/>
  <c r="E536" i="1"/>
  <c r="A536" i="1" s="1"/>
  <c r="B536" i="1" s="1"/>
  <c r="O535" i="1"/>
  <c r="N535" i="1"/>
  <c r="E535" i="1"/>
  <c r="A535" i="1" s="1"/>
  <c r="O534" i="1"/>
  <c r="N534" i="1"/>
  <c r="E534" i="1"/>
  <c r="A534" i="1" s="1"/>
  <c r="O533" i="1"/>
  <c r="N533" i="1"/>
  <c r="E533" i="1"/>
  <c r="A533" i="1" s="1"/>
  <c r="B533" i="1" s="1"/>
  <c r="O532" i="1"/>
  <c r="N532" i="1"/>
  <c r="E532" i="1"/>
  <c r="A532" i="1" s="1"/>
  <c r="B532" i="1" s="1"/>
  <c r="O531" i="1"/>
  <c r="N531" i="1"/>
  <c r="E531" i="1"/>
  <c r="A531" i="1" s="1"/>
  <c r="B531" i="1" s="1"/>
  <c r="O530" i="1"/>
  <c r="N530" i="1"/>
  <c r="E530" i="1"/>
  <c r="A530" i="1" s="1"/>
  <c r="B530" i="1" s="1"/>
  <c r="O529" i="1"/>
  <c r="N529" i="1"/>
  <c r="E529" i="1"/>
  <c r="A529" i="1" s="1"/>
  <c r="B529" i="1" s="1"/>
  <c r="O528" i="1"/>
  <c r="N528" i="1"/>
  <c r="E528" i="1"/>
  <c r="A528" i="1" s="1"/>
  <c r="B528" i="1" s="1"/>
  <c r="O527" i="1"/>
  <c r="N527" i="1"/>
  <c r="E527" i="1"/>
  <c r="A527" i="1" s="1"/>
  <c r="B527" i="1" s="1"/>
  <c r="O526" i="1"/>
  <c r="N526" i="1"/>
  <c r="E526" i="1"/>
  <c r="A526" i="1" s="1"/>
  <c r="O525" i="1"/>
  <c r="N525" i="1"/>
  <c r="E525" i="1"/>
  <c r="A525" i="1" s="1"/>
  <c r="B525" i="1" s="1"/>
  <c r="O524" i="1"/>
  <c r="N524" i="1"/>
  <c r="E524" i="1"/>
  <c r="A524" i="1" s="1"/>
  <c r="B524" i="1" s="1"/>
  <c r="O523" i="1"/>
  <c r="N523" i="1"/>
  <c r="E523" i="1"/>
  <c r="A523" i="1" s="1"/>
  <c r="B523" i="1" s="1"/>
  <c r="O522" i="1"/>
  <c r="N522" i="1"/>
  <c r="E522" i="1"/>
  <c r="A522" i="1" s="1"/>
  <c r="B522" i="1" s="1"/>
  <c r="O521" i="1"/>
  <c r="N521" i="1"/>
  <c r="E521" i="1"/>
  <c r="A521" i="1" s="1"/>
  <c r="B521" i="1" s="1"/>
  <c r="O520" i="1"/>
  <c r="N520" i="1"/>
  <c r="E520" i="1"/>
  <c r="A520" i="1" s="1"/>
  <c r="B520" i="1" s="1"/>
  <c r="O519" i="1"/>
  <c r="N519" i="1"/>
  <c r="E519" i="1"/>
  <c r="A519" i="1" s="1"/>
  <c r="B519" i="1" s="1"/>
  <c r="O518" i="1"/>
  <c r="N518" i="1"/>
  <c r="E518" i="1"/>
  <c r="A518" i="1" s="1"/>
  <c r="B518" i="1" s="1"/>
  <c r="O517" i="1"/>
  <c r="N517" i="1"/>
  <c r="E517" i="1"/>
  <c r="A517" i="1" s="1"/>
  <c r="B517" i="1" s="1"/>
  <c r="O516" i="1"/>
  <c r="N516" i="1"/>
  <c r="E516" i="1"/>
  <c r="A516" i="1" s="1"/>
  <c r="B516" i="1" s="1"/>
  <c r="O515" i="1"/>
  <c r="N515" i="1"/>
  <c r="E515" i="1"/>
  <c r="A515" i="1" s="1"/>
  <c r="B515" i="1" s="1"/>
  <c r="O514" i="1"/>
  <c r="N514" i="1"/>
  <c r="E514" i="1"/>
  <c r="A514" i="1" s="1"/>
  <c r="B514" i="1" s="1"/>
  <c r="O513" i="1"/>
  <c r="N513" i="1"/>
  <c r="E513" i="1"/>
  <c r="A513" i="1" s="1"/>
  <c r="B513" i="1" s="1"/>
  <c r="O512" i="1"/>
  <c r="N512" i="1"/>
  <c r="E512" i="1"/>
  <c r="A512" i="1" s="1"/>
  <c r="B512" i="1" s="1"/>
  <c r="O511" i="1"/>
  <c r="N511" i="1"/>
  <c r="E511" i="1"/>
  <c r="A511" i="1" s="1"/>
  <c r="B511" i="1" s="1"/>
  <c r="O510" i="1"/>
  <c r="N510" i="1"/>
  <c r="E510" i="1"/>
  <c r="A510" i="1" s="1"/>
  <c r="B510" i="1" s="1"/>
  <c r="O509" i="1"/>
  <c r="N509" i="1"/>
  <c r="E509" i="1"/>
  <c r="A509" i="1" s="1"/>
  <c r="O508" i="1"/>
  <c r="N508" i="1"/>
  <c r="E508" i="1"/>
  <c r="A508" i="1" s="1"/>
  <c r="B508" i="1" s="1"/>
  <c r="O507" i="1"/>
  <c r="N507" i="1"/>
  <c r="E507" i="1"/>
  <c r="A507" i="1" s="1"/>
  <c r="B507" i="1" s="1"/>
  <c r="O506" i="1"/>
  <c r="N506" i="1"/>
  <c r="E506" i="1"/>
  <c r="A506" i="1" s="1"/>
  <c r="B506" i="1" s="1"/>
  <c r="O505" i="1"/>
  <c r="N505" i="1"/>
  <c r="E505" i="1"/>
  <c r="A505" i="1" s="1"/>
  <c r="B505" i="1" s="1"/>
  <c r="O504" i="1"/>
  <c r="N504" i="1"/>
  <c r="E504" i="1"/>
  <c r="A504" i="1" s="1"/>
  <c r="B504" i="1" s="1"/>
  <c r="O503" i="1"/>
  <c r="N503" i="1"/>
  <c r="E503" i="1"/>
  <c r="A503" i="1" s="1"/>
  <c r="B503" i="1" s="1"/>
  <c r="O502" i="1"/>
  <c r="N502" i="1"/>
  <c r="E502" i="1"/>
  <c r="A502" i="1" s="1"/>
  <c r="B502" i="1" s="1"/>
  <c r="O501" i="1"/>
  <c r="N501" i="1"/>
  <c r="E501" i="1"/>
  <c r="A501" i="1" s="1"/>
  <c r="B501" i="1" s="1"/>
  <c r="O500" i="1"/>
  <c r="N500" i="1"/>
  <c r="E500" i="1"/>
  <c r="A500" i="1" s="1"/>
  <c r="B500" i="1" s="1"/>
  <c r="O499" i="1"/>
  <c r="N499" i="1"/>
  <c r="E499" i="1"/>
  <c r="A499" i="1" s="1"/>
  <c r="B499" i="1" s="1"/>
  <c r="O498" i="1"/>
  <c r="N498" i="1"/>
  <c r="E498" i="1"/>
  <c r="A498" i="1" s="1"/>
  <c r="B498" i="1" s="1"/>
  <c r="O497" i="1"/>
  <c r="N497" i="1"/>
  <c r="A497" i="1"/>
  <c r="B497" i="1" s="1"/>
  <c r="O496" i="1"/>
  <c r="N496" i="1"/>
  <c r="E496" i="1"/>
  <c r="A496" i="1" s="1"/>
  <c r="B496" i="1" s="1"/>
  <c r="O495" i="1"/>
  <c r="N495" i="1"/>
  <c r="E495" i="1"/>
  <c r="A495" i="1" s="1"/>
  <c r="B495" i="1" s="1"/>
  <c r="O494" i="1"/>
  <c r="N494" i="1"/>
  <c r="E494" i="1"/>
  <c r="A494" i="1" s="1"/>
  <c r="B494" i="1" s="1"/>
  <c r="O493" i="1"/>
  <c r="N493" i="1"/>
  <c r="E493" i="1"/>
  <c r="A493" i="1" s="1"/>
  <c r="B493" i="1" s="1"/>
  <c r="O492" i="1"/>
  <c r="N492" i="1"/>
  <c r="E492" i="1"/>
  <c r="A492" i="1" s="1"/>
  <c r="B492" i="1" s="1"/>
  <c r="O491" i="1"/>
  <c r="N491" i="1"/>
  <c r="E491" i="1"/>
  <c r="A491" i="1" s="1"/>
  <c r="B491" i="1" s="1"/>
  <c r="O490" i="1"/>
  <c r="N490" i="1"/>
  <c r="E490" i="1"/>
  <c r="A490" i="1" s="1"/>
  <c r="B490" i="1" s="1"/>
  <c r="O489" i="1"/>
  <c r="N489" i="1"/>
  <c r="E489" i="1"/>
  <c r="A489" i="1" s="1"/>
  <c r="B489" i="1" s="1"/>
  <c r="O488" i="1"/>
  <c r="N488" i="1"/>
  <c r="E488" i="1"/>
  <c r="A488" i="1" s="1"/>
  <c r="O487" i="1"/>
  <c r="N487" i="1"/>
  <c r="E487" i="1"/>
  <c r="A487" i="1" s="1"/>
  <c r="B487" i="1" s="1"/>
  <c r="O486" i="1"/>
  <c r="N486" i="1"/>
  <c r="E486" i="1"/>
  <c r="A486" i="1" s="1"/>
  <c r="B486" i="1" s="1"/>
  <c r="O485" i="1"/>
  <c r="N485" i="1"/>
  <c r="E485" i="1"/>
  <c r="A485" i="1" s="1"/>
  <c r="B485" i="1" s="1"/>
  <c r="O484" i="1"/>
  <c r="N484" i="1"/>
  <c r="E484" i="1"/>
  <c r="A484" i="1" s="1"/>
  <c r="B484" i="1" s="1"/>
  <c r="O483" i="1"/>
  <c r="N483" i="1"/>
  <c r="E483" i="1"/>
  <c r="A483" i="1" s="1"/>
  <c r="B483" i="1" s="1"/>
  <c r="O482" i="1"/>
  <c r="N482" i="1"/>
  <c r="E482" i="1"/>
  <c r="A482" i="1" s="1"/>
  <c r="B482" i="1" s="1"/>
  <c r="O481" i="1"/>
  <c r="N481" i="1"/>
  <c r="E481" i="1"/>
  <c r="A481" i="1" s="1"/>
  <c r="B481" i="1" s="1"/>
  <c r="O480" i="1"/>
  <c r="N480" i="1"/>
  <c r="E480" i="1"/>
  <c r="A480" i="1" s="1"/>
  <c r="B480" i="1" s="1"/>
  <c r="O479" i="1"/>
  <c r="N479" i="1"/>
  <c r="E479" i="1"/>
  <c r="A479" i="1" s="1"/>
  <c r="B479" i="1" s="1"/>
  <c r="O478" i="1"/>
  <c r="N478" i="1"/>
  <c r="E478" i="1"/>
  <c r="A478" i="1" s="1"/>
  <c r="B478" i="1" s="1"/>
  <c r="O477" i="1"/>
  <c r="N477" i="1"/>
  <c r="E477" i="1"/>
  <c r="A477" i="1" s="1"/>
  <c r="B477" i="1" s="1"/>
  <c r="O476" i="1"/>
  <c r="N476" i="1"/>
  <c r="E476" i="1"/>
  <c r="A476" i="1" s="1"/>
  <c r="B476" i="1" s="1"/>
  <c r="O475" i="1"/>
  <c r="N475" i="1"/>
  <c r="E475" i="1"/>
  <c r="A475" i="1" s="1"/>
  <c r="B475" i="1" s="1"/>
  <c r="O474" i="1"/>
  <c r="N474" i="1"/>
  <c r="E474" i="1"/>
  <c r="A474" i="1" s="1"/>
  <c r="B474" i="1" s="1"/>
  <c r="O473" i="1"/>
  <c r="N473" i="1"/>
  <c r="E473" i="1"/>
  <c r="A473" i="1" s="1"/>
  <c r="B473" i="1" s="1"/>
  <c r="O472" i="1"/>
  <c r="N472" i="1"/>
  <c r="E472" i="1"/>
  <c r="A472" i="1" s="1"/>
  <c r="B472" i="1" s="1"/>
  <c r="O471" i="1"/>
  <c r="N471" i="1"/>
  <c r="E471" i="1"/>
  <c r="A471" i="1" s="1"/>
  <c r="B471" i="1" s="1"/>
  <c r="O470" i="1"/>
  <c r="N470" i="1"/>
  <c r="E470" i="1"/>
  <c r="A470" i="1" s="1"/>
  <c r="B470" i="1" s="1"/>
  <c r="O469" i="1"/>
  <c r="N469" i="1"/>
  <c r="E469" i="1"/>
  <c r="A469" i="1" s="1"/>
  <c r="B469" i="1" s="1"/>
  <c r="O468" i="1"/>
  <c r="N468" i="1"/>
  <c r="E468" i="1"/>
  <c r="A468" i="1" s="1"/>
  <c r="B468" i="1" s="1"/>
  <c r="O467" i="1"/>
  <c r="N467" i="1"/>
  <c r="E467" i="1"/>
  <c r="A467" i="1" s="1"/>
  <c r="B467" i="1" s="1"/>
  <c r="O466" i="1"/>
  <c r="N466" i="1"/>
  <c r="E466" i="1"/>
  <c r="A466" i="1" s="1"/>
  <c r="B466" i="1" s="1"/>
  <c r="O465" i="1"/>
  <c r="N465" i="1"/>
  <c r="E465" i="1"/>
  <c r="A465" i="1" s="1"/>
  <c r="B465" i="1" s="1"/>
  <c r="O464" i="1"/>
  <c r="N464" i="1"/>
  <c r="E464" i="1"/>
  <c r="A464" i="1" s="1"/>
  <c r="B464" i="1" s="1"/>
  <c r="O463" i="1"/>
  <c r="N463" i="1"/>
  <c r="E463" i="1"/>
  <c r="A463" i="1" s="1"/>
  <c r="B463" i="1" s="1"/>
  <c r="O462" i="1"/>
  <c r="N462" i="1"/>
  <c r="E462" i="1"/>
  <c r="A462" i="1" s="1"/>
  <c r="B462" i="1" s="1"/>
  <c r="O461" i="1"/>
  <c r="N461" i="1"/>
  <c r="E461" i="1"/>
  <c r="A461" i="1" s="1"/>
  <c r="B461" i="1" s="1"/>
  <c r="O460" i="1"/>
  <c r="N460" i="1"/>
  <c r="E460" i="1"/>
  <c r="A460" i="1" s="1"/>
  <c r="B460" i="1" s="1"/>
  <c r="O459" i="1"/>
  <c r="N459" i="1"/>
  <c r="E459" i="1"/>
  <c r="A459" i="1" s="1"/>
  <c r="B459" i="1" s="1"/>
  <c r="O458" i="1"/>
  <c r="N458" i="1"/>
  <c r="E458" i="1"/>
  <c r="A458" i="1" s="1"/>
  <c r="B458" i="1" s="1"/>
  <c r="O457" i="1"/>
  <c r="N457" i="1"/>
  <c r="E457" i="1"/>
  <c r="A457" i="1" s="1"/>
  <c r="B457" i="1" s="1"/>
  <c r="O456" i="1"/>
  <c r="N456" i="1"/>
  <c r="E456" i="1"/>
  <c r="A456" i="1" s="1"/>
  <c r="B456" i="1" s="1"/>
  <c r="O455" i="1"/>
  <c r="N455" i="1"/>
  <c r="E455" i="1"/>
  <c r="A455" i="1" s="1"/>
  <c r="B455" i="1" s="1"/>
  <c r="O454" i="1"/>
  <c r="N454" i="1"/>
  <c r="E454" i="1"/>
  <c r="A454" i="1" s="1"/>
  <c r="B454" i="1" s="1"/>
  <c r="O453" i="1"/>
  <c r="N453" i="1"/>
  <c r="E453" i="1"/>
  <c r="A453" i="1" s="1"/>
  <c r="B453" i="1" s="1"/>
  <c r="O452" i="1"/>
  <c r="N452" i="1"/>
  <c r="E452" i="1"/>
  <c r="A452" i="1" s="1"/>
  <c r="B452" i="1" s="1"/>
  <c r="O451" i="1"/>
  <c r="N451" i="1"/>
  <c r="E451" i="1"/>
  <c r="A451" i="1" s="1"/>
  <c r="B451" i="1" s="1"/>
  <c r="O450" i="1"/>
  <c r="N450" i="1"/>
  <c r="E450" i="1"/>
  <c r="A450" i="1" s="1"/>
  <c r="B450" i="1" s="1"/>
  <c r="O449" i="1"/>
  <c r="N449" i="1"/>
  <c r="E449" i="1"/>
  <c r="A449" i="1" s="1"/>
  <c r="B449" i="1" s="1"/>
  <c r="O448" i="1"/>
  <c r="N448" i="1"/>
  <c r="E448" i="1"/>
  <c r="A448" i="1" s="1"/>
  <c r="B448" i="1" s="1"/>
  <c r="O447" i="1"/>
  <c r="N447" i="1"/>
  <c r="E447" i="1"/>
  <c r="A447" i="1" s="1"/>
  <c r="B447" i="1" s="1"/>
  <c r="O446" i="1"/>
  <c r="N446" i="1"/>
  <c r="E446" i="1"/>
  <c r="A446" i="1" s="1"/>
  <c r="B446" i="1" s="1"/>
  <c r="O445" i="1"/>
  <c r="N445" i="1"/>
  <c r="E445" i="1"/>
  <c r="A445" i="1" s="1"/>
  <c r="B445" i="1" s="1"/>
  <c r="O444" i="1"/>
  <c r="N444" i="1"/>
  <c r="E444" i="1"/>
  <c r="A444" i="1" s="1"/>
  <c r="B444" i="1" s="1"/>
  <c r="O443" i="1"/>
  <c r="N443" i="1"/>
  <c r="E443" i="1"/>
  <c r="A443" i="1" s="1"/>
  <c r="B443" i="1" s="1"/>
  <c r="O442" i="1"/>
  <c r="N442" i="1"/>
  <c r="E442" i="1"/>
  <c r="A442" i="1" s="1"/>
  <c r="B442" i="1" s="1"/>
  <c r="O441" i="1"/>
  <c r="N441" i="1"/>
  <c r="E441" i="1"/>
  <c r="A441" i="1" s="1"/>
  <c r="B441" i="1" s="1"/>
  <c r="O440" i="1"/>
  <c r="N440" i="1"/>
  <c r="E440" i="1"/>
  <c r="A440" i="1" s="1"/>
  <c r="B440" i="1" s="1"/>
  <c r="O439" i="1"/>
  <c r="N439" i="1"/>
  <c r="E439" i="1"/>
  <c r="A439" i="1" s="1"/>
  <c r="B439" i="1" s="1"/>
  <c r="O438" i="1"/>
  <c r="N438" i="1"/>
  <c r="E438" i="1"/>
  <c r="A438" i="1" s="1"/>
  <c r="B438" i="1" s="1"/>
  <c r="O437" i="1"/>
  <c r="N437" i="1"/>
  <c r="E437" i="1"/>
  <c r="A437" i="1" s="1"/>
  <c r="B437" i="1" s="1"/>
  <c r="O436" i="1"/>
  <c r="N436" i="1"/>
  <c r="E436" i="1"/>
  <c r="A436" i="1" s="1"/>
  <c r="B436" i="1" s="1"/>
  <c r="O435" i="1"/>
  <c r="N435" i="1"/>
  <c r="E435" i="1"/>
  <c r="A435" i="1" s="1"/>
  <c r="B435" i="1" s="1"/>
  <c r="O434" i="1"/>
  <c r="N434" i="1"/>
  <c r="E434" i="1"/>
  <c r="A434" i="1" s="1"/>
  <c r="B434" i="1" s="1"/>
  <c r="O433" i="1"/>
  <c r="N433" i="1"/>
  <c r="E433" i="1"/>
  <c r="A433" i="1" s="1"/>
  <c r="B433" i="1" s="1"/>
  <c r="O432" i="1"/>
  <c r="N432" i="1"/>
  <c r="E432" i="1"/>
  <c r="A432" i="1" s="1"/>
  <c r="B432" i="1" s="1"/>
  <c r="O431" i="1"/>
  <c r="N431" i="1"/>
  <c r="E431" i="1"/>
  <c r="A431" i="1" s="1"/>
  <c r="B431" i="1" s="1"/>
  <c r="O430" i="1"/>
  <c r="N430" i="1"/>
  <c r="E430" i="1"/>
  <c r="A430" i="1" s="1"/>
  <c r="B430" i="1" s="1"/>
  <c r="O429" i="1"/>
  <c r="N429" i="1"/>
  <c r="E429" i="1"/>
  <c r="A429" i="1" s="1"/>
  <c r="B429" i="1" s="1"/>
  <c r="O428" i="1"/>
  <c r="N428" i="1"/>
  <c r="E428" i="1"/>
  <c r="A428" i="1" s="1"/>
  <c r="B428" i="1" s="1"/>
  <c r="O427" i="1"/>
  <c r="N427" i="1"/>
  <c r="E427" i="1"/>
  <c r="A427" i="1" s="1"/>
  <c r="B427" i="1" s="1"/>
  <c r="O426" i="1"/>
  <c r="N426" i="1"/>
  <c r="E426" i="1"/>
  <c r="A426" i="1" s="1"/>
  <c r="B426" i="1" s="1"/>
  <c r="O425" i="1"/>
  <c r="N425" i="1"/>
  <c r="E425" i="1"/>
  <c r="A425" i="1" s="1"/>
  <c r="B425" i="1" s="1"/>
  <c r="O424" i="1"/>
  <c r="N424" i="1"/>
  <c r="E424" i="1"/>
  <c r="A424" i="1" s="1"/>
  <c r="B424" i="1" s="1"/>
  <c r="O423" i="1"/>
  <c r="N423" i="1"/>
  <c r="E423" i="1"/>
  <c r="A423" i="1" s="1"/>
  <c r="B423" i="1" s="1"/>
  <c r="O422" i="1"/>
  <c r="N422" i="1"/>
  <c r="E422" i="1"/>
  <c r="A422" i="1" s="1"/>
  <c r="B422" i="1" s="1"/>
  <c r="O421" i="1"/>
  <c r="N421" i="1"/>
  <c r="E421" i="1"/>
  <c r="A421" i="1" s="1"/>
  <c r="B421" i="1" s="1"/>
  <c r="O420" i="1"/>
  <c r="N420" i="1"/>
  <c r="E420" i="1"/>
  <c r="A420" i="1" s="1"/>
  <c r="B420" i="1" s="1"/>
  <c r="O419" i="1"/>
  <c r="N419" i="1"/>
  <c r="E419" i="1"/>
  <c r="A419" i="1" s="1"/>
  <c r="B419" i="1" s="1"/>
  <c r="O418" i="1"/>
  <c r="N418" i="1"/>
  <c r="E418" i="1"/>
  <c r="A418" i="1" s="1"/>
  <c r="B418" i="1" s="1"/>
  <c r="O417" i="1"/>
  <c r="N417" i="1"/>
  <c r="E417" i="1"/>
  <c r="A417" i="1" s="1"/>
  <c r="B417" i="1" s="1"/>
  <c r="O416" i="1"/>
  <c r="N416" i="1"/>
  <c r="E416" i="1"/>
  <c r="A416" i="1" s="1"/>
  <c r="B416" i="1" s="1"/>
  <c r="O415" i="1"/>
  <c r="N415" i="1"/>
  <c r="E415" i="1"/>
  <c r="A415" i="1" s="1"/>
  <c r="B415" i="1" s="1"/>
  <c r="O414" i="1"/>
  <c r="N414" i="1"/>
  <c r="E414" i="1"/>
  <c r="A414" i="1" s="1"/>
  <c r="B414" i="1" s="1"/>
  <c r="O413" i="1"/>
  <c r="N413" i="1"/>
  <c r="E413" i="1"/>
  <c r="A413" i="1" s="1"/>
  <c r="B413" i="1" s="1"/>
  <c r="O412" i="1"/>
  <c r="N412" i="1"/>
  <c r="E412" i="1"/>
  <c r="A412" i="1" s="1"/>
  <c r="B412" i="1" s="1"/>
  <c r="O411" i="1"/>
  <c r="N411" i="1"/>
  <c r="E411" i="1"/>
  <c r="A411" i="1" s="1"/>
  <c r="B411" i="1" s="1"/>
  <c r="O410" i="1"/>
  <c r="N410" i="1"/>
  <c r="E410" i="1"/>
  <c r="A410" i="1" s="1"/>
  <c r="B410" i="1" s="1"/>
  <c r="O409" i="1"/>
  <c r="N409" i="1"/>
  <c r="E409" i="1"/>
  <c r="A409" i="1" s="1"/>
  <c r="B409" i="1" s="1"/>
  <c r="O408" i="1"/>
  <c r="N408" i="1"/>
  <c r="E408" i="1"/>
  <c r="A408" i="1" s="1"/>
  <c r="B408" i="1" s="1"/>
  <c r="O407" i="1"/>
  <c r="N407" i="1"/>
  <c r="E407" i="1"/>
  <c r="A407" i="1" s="1"/>
  <c r="B407" i="1" s="1"/>
  <c r="O406" i="1"/>
  <c r="N406" i="1"/>
  <c r="A406" i="1"/>
  <c r="B406" i="1"/>
  <c r="O405" i="1"/>
  <c r="N405" i="1"/>
  <c r="E405" i="1"/>
  <c r="A405" i="1" s="1"/>
  <c r="B405" i="1" s="1"/>
  <c r="O404" i="1"/>
  <c r="N404" i="1"/>
  <c r="E404" i="1"/>
  <c r="A404" i="1" s="1"/>
  <c r="B404" i="1" s="1"/>
  <c r="O403" i="1"/>
  <c r="N403" i="1"/>
  <c r="E403" i="1"/>
  <c r="A403" i="1" s="1"/>
  <c r="B403" i="1" s="1"/>
  <c r="O402" i="1"/>
  <c r="N402" i="1"/>
  <c r="E402" i="1"/>
  <c r="A402" i="1" s="1"/>
  <c r="B402" i="1" s="1"/>
  <c r="O401" i="1"/>
  <c r="N401" i="1"/>
  <c r="E401" i="1"/>
  <c r="A401" i="1" s="1"/>
  <c r="B401" i="1" s="1"/>
  <c r="O400" i="1"/>
  <c r="N400" i="1"/>
  <c r="E400" i="1"/>
  <c r="A400" i="1" s="1"/>
  <c r="B400" i="1" s="1"/>
  <c r="O399" i="1"/>
  <c r="N399" i="1"/>
  <c r="E399" i="1"/>
  <c r="A399" i="1" s="1"/>
  <c r="B399" i="1" s="1"/>
  <c r="O398" i="1"/>
  <c r="N398" i="1"/>
  <c r="E398" i="1"/>
  <c r="A398" i="1" s="1"/>
  <c r="B398" i="1" s="1"/>
  <c r="O397" i="1"/>
  <c r="N397" i="1"/>
  <c r="E397" i="1"/>
  <c r="A397" i="1" s="1"/>
  <c r="B397" i="1" s="1"/>
  <c r="O396" i="1"/>
  <c r="N396" i="1"/>
  <c r="E396" i="1"/>
  <c r="A396" i="1" s="1"/>
  <c r="B396" i="1" s="1"/>
  <c r="O395" i="1"/>
  <c r="N395" i="1"/>
  <c r="E395" i="1"/>
  <c r="A395" i="1" s="1"/>
  <c r="B395" i="1" s="1"/>
  <c r="O394" i="1"/>
  <c r="N394" i="1"/>
  <c r="E394" i="1"/>
  <c r="A394" i="1" s="1"/>
  <c r="B394" i="1" s="1"/>
  <c r="O393" i="1"/>
  <c r="N393" i="1"/>
  <c r="E393" i="1"/>
  <c r="A393" i="1" s="1"/>
  <c r="B393" i="1" s="1"/>
  <c r="O392" i="1"/>
  <c r="N392" i="1"/>
  <c r="E392" i="1"/>
  <c r="A392" i="1" s="1"/>
  <c r="B392" i="1" s="1"/>
  <c r="O391" i="1"/>
  <c r="N391" i="1"/>
  <c r="E391" i="1"/>
  <c r="A391" i="1" s="1"/>
  <c r="B391" i="1" s="1"/>
  <c r="O390" i="1"/>
  <c r="N390" i="1"/>
  <c r="E390" i="1"/>
  <c r="A390" i="1" s="1"/>
  <c r="B390" i="1" s="1"/>
  <c r="O389" i="1"/>
  <c r="N389" i="1"/>
  <c r="E389" i="1"/>
  <c r="A389" i="1" s="1"/>
  <c r="B389" i="1" s="1"/>
  <c r="O388" i="1"/>
  <c r="N388" i="1"/>
  <c r="E388" i="1"/>
  <c r="A388" i="1" s="1"/>
  <c r="B388" i="1" s="1"/>
  <c r="O387" i="1"/>
  <c r="N387" i="1"/>
  <c r="E387" i="1"/>
  <c r="A387" i="1" s="1"/>
  <c r="B387" i="1" s="1"/>
  <c r="O386" i="1"/>
  <c r="N386" i="1"/>
  <c r="E386" i="1"/>
  <c r="A386" i="1" s="1"/>
  <c r="B386" i="1" s="1"/>
  <c r="O385" i="1"/>
  <c r="N385" i="1"/>
  <c r="E385" i="1"/>
  <c r="A385" i="1" s="1"/>
  <c r="B385" i="1" s="1"/>
  <c r="O384" i="1"/>
  <c r="N384" i="1"/>
  <c r="E384" i="1"/>
  <c r="A384" i="1" s="1"/>
  <c r="B384" i="1" s="1"/>
  <c r="O383" i="1"/>
  <c r="N383" i="1"/>
  <c r="E383" i="1"/>
  <c r="A383" i="1" s="1"/>
  <c r="B383" i="1" s="1"/>
  <c r="O382" i="1"/>
  <c r="N382" i="1"/>
  <c r="E382" i="1"/>
  <c r="A382" i="1" s="1"/>
  <c r="B382" i="1" s="1"/>
  <c r="O381" i="1"/>
  <c r="N381" i="1"/>
  <c r="E381" i="1"/>
  <c r="A381" i="1" s="1"/>
  <c r="B381" i="1" s="1"/>
  <c r="O380" i="1"/>
  <c r="N380" i="1"/>
  <c r="E380" i="1"/>
  <c r="A380" i="1" s="1"/>
  <c r="B380" i="1" s="1"/>
  <c r="O379" i="1"/>
  <c r="N379" i="1"/>
  <c r="E379" i="1"/>
  <c r="A379" i="1" s="1"/>
  <c r="B379" i="1" s="1"/>
  <c r="O378" i="1"/>
  <c r="N378" i="1"/>
  <c r="E378" i="1"/>
  <c r="A378" i="1" s="1"/>
  <c r="B378" i="1" s="1"/>
  <c r="O377" i="1"/>
  <c r="N377" i="1"/>
  <c r="E377" i="1"/>
  <c r="A377" i="1" s="1"/>
  <c r="B377" i="1" s="1"/>
  <c r="O376" i="1"/>
  <c r="N376" i="1"/>
  <c r="E376" i="1"/>
  <c r="A376" i="1" s="1"/>
  <c r="B376" i="1" s="1"/>
  <c r="O375" i="1"/>
  <c r="N375" i="1"/>
  <c r="E375" i="1"/>
  <c r="A375" i="1" s="1"/>
  <c r="B375" i="1" s="1"/>
  <c r="O374" i="1"/>
  <c r="N374" i="1"/>
  <c r="E374" i="1"/>
  <c r="A374" i="1" s="1"/>
  <c r="B374" i="1" s="1"/>
  <c r="O373" i="1"/>
  <c r="N373" i="1"/>
  <c r="E373" i="1"/>
  <c r="A373" i="1" s="1"/>
  <c r="B373" i="1" s="1"/>
  <c r="O372" i="1"/>
  <c r="N372" i="1"/>
  <c r="E372" i="1"/>
  <c r="A372" i="1" s="1"/>
  <c r="B372" i="1" s="1"/>
  <c r="O371" i="1"/>
  <c r="N371" i="1"/>
  <c r="E371" i="1"/>
  <c r="A371" i="1" s="1"/>
  <c r="B371" i="1" s="1"/>
  <c r="O370" i="1"/>
  <c r="N370" i="1"/>
  <c r="E370" i="1"/>
  <c r="A370" i="1" s="1"/>
  <c r="B370" i="1" s="1"/>
  <c r="O369" i="1"/>
  <c r="N369" i="1"/>
  <c r="E369" i="1"/>
  <c r="A369" i="1" s="1"/>
  <c r="B369" i="1" s="1"/>
  <c r="O368" i="1"/>
  <c r="N368" i="1"/>
  <c r="E368" i="1"/>
  <c r="A368" i="1" s="1"/>
  <c r="B368" i="1" s="1"/>
  <c r="O367" i="1"/>
  <c r="N367" i="1"/>
  <c r="E367" i="1"/>
  <c r="A367" i="1" s="1"/>
  <c r="B367" i="1"/>
  <c r="O366" i="1"/>
  <c r="N366" i="1"/>
  <c r="E366" i="1"/>
  <c r="A366" i="1" s="1"/>
  <c r="B366" i="1" s="1"/>
  <c r="O365" i="1"/>
  <c r="N365" i="1"/>
  <c r="E365" i="1"/>
  <c r="A365" i="1" s="1"/>
  <c r="B365" i="1" s="1"/>
  <c r="O364" i="1"/>
  <c r="N364" i="1"/>
  <c r="E364" i="1"/>
  <c r="A364" i="1" s="1"/>
  <c r="B364" i="1" s="1"/>
  <c r="O363" i="1"/>
  <c r="N363" i="1"/>
  <c r="E363" i="1"/>
  <c r="A363" i="1" s="1"/>
  <c r="B363" i="1" s="1"/>
  <c r="O362" i="1"/>
  <c r="N362" i="1"/>
  <c r="E362" i="1"/>
  <c r="A362" i="1" s="1"/>
  <c r="B362" i="1" s="1"/>
  <c r="O361" i="1"/>
  <c r="N361" i="1"/>
  <c r="E361" i="1"/>
  <c r="A361" i="1" s="1"/>
  <c r="B361" i="1" s="1"/>
  <c r="O360" i="1"/>
  <c r="N360" i="1"/>
  <c r="E360" i="1"/>
  <c r="A360" i="1" s="1"/>
  <c r="B360" i="1" s="1"/>
  <c r="O359" i="1"/>
  <c r="N359" i="1"/>
  <c r="E359" i="1"/>
  <c r="A359" i="1" s="1"/>
  <c r="B359" i="1" s="1"/>
  <c r="O358" i="1"/>
  <c r="N358" i="1"/>
  <c r="E358" i="1"/>
  <c r="A358" i="1" s="1"/>
  <c r="B358" i="1" s="1"/>
  <c r="O357" i="1"/>
  <c r="N357" i="1"/>
  <c r="E357" i="1"/>
  <c r="A357" i="1" s="1"/>
  <c r="B357" i="1" s="1"/>
  <c r="O356" i="1"/>
  <c r="N356" i="1"/>
  <c r="E356" i="1"/>
  <c r="A356" i="1" s="1"/>
  <c r="B356" i="1" s="1"/>
  <c r="O355" i="1"/>
  <c r="N355" i="1"/>
  <c r="E355" i="1"/>
  <c r="A355" i="1" s="1"/>
  <c r="B355" i="1" s="1"/>
  <c r="O354" i="1"/>
  <c r="N354" i="1"/>
  <c r="E354" i="1"/>
  <c r="A354" i="1" s="1"/>
  <c r="B354" i="1" s="1"/>
  <c r="O353" i="1"/>
  <c r="N353" i="1"/>
  <c r="E353" i="1"/>
  <c r="A353" i="1" s="1"/>
  <c r="B353" i="1" s="1"/>
  <c r="O352" i="1"/>
  <c r="N352" i="1"/>
  <c r="E352" i="1"/>
  <c r="A352" i="1" s="1"/>
  <c r="B352" i="1" s="1"/>
  <c r="O351" i="1"/>
  <c r="N351" i="1"/>
  <c r="E351" i="1"/>
  <c r="A351" i="1" s="1"/>
  <c r="B351" i="1" s="1"/>
  <c r="O350" i="1"/>
  <c r="N350" i="1"/>
  <c r="E350" i="1"/>
  <c r="A350" i="1" s="1"/>
  <c r="B350" i="1" s="1"/>
  <c r="O349" i="1"/>
  <c r="N349" i="1"/>
  <c r="E349" i="1"/>
  <c r="A349" i="1" s="1"/>
  <c r="B349" i="1" s="1"/>
  <c r="O348" i="1"/>
  <c r="N348" i="1"/>
  <c r="E348" i="1"/>
  <c r="A348" i="1" s="1"/>
  <c r="B348" i="1" s="1"/>
  <c r="O347" i="1"/>
  <c r="N347" i="1"/>
  <c r="E347" i="1"/>
  <c r="A347" i="1" s="1"/>
  <c r="B347" i="1" s="1"/>
  <c r="O346" i="1"/>
  <c r="N346" i="1"/>
  <c r="E346" i="1"/>
  <c r="A346" i="1" s="1"/>
  <c r="B346" i="1" s="1"/>
  <c r="O345" i="1"/>
  <c r="N345" i="1"/>
  <c r="E345" i="1"/>
  <c r="A345" i="1" s="1"/>
  <c r="B345" i="1" s="1"/>
  <c r="O344" i="1"/>
  <c r="N344" i="1"/>
  <c r="E344" i="1"/>
  <c r="A344" i="1" s="1"/>
  <c r="B344" i="1" s="1"/>
  <c r="O343" i="1"/>
  <c r="N343" i="1"/>
  <c r="E343" i="1"/>
  <c r="A343" i="1" s="1"/>
  <c r="B343" i="1" s="1"/>
  <c r="O342" i="1"/>
  <c r="N342" i="1"/>
  <c r="E342" i="1"/>
  <c r="A342" i="1" s="1"/>
  <c r="B342" i="1" s="1"/>
  <c r="O341" i="1"/>
  <c r="N341" i="1"/>
  <c r="E341" i="1"/>
  <c r="A341" i="1" s="1"/>
  <c r="B341" i="1" s="1"/>
  <c r="O340" i="1"/>
  <c r="N340" i="1"/>
  <c r="E340" i="1"/>
  <c r="A340" i="1" s="1"/>
  <c r="B340" i="1" s="1"/>
  <c r="O339" i="1"/>
  <c r="N339" i="1"/>
  <c r="E339" i="1"/>
  <c r="A339" i="1" s="1"/>
  <c r="B339" i="1" s="1"/>
  <c r="O338" i="1"/>
  <c r="N338" i="1"/>
  <c r="E338" i="1"/>
  <c r="A338" i="1" s="1"/>
  <c r="B338" i="1" s="1"/>
  <c r="O337" i="1"/>
  <c r="N337" i="1"/>
  <c r="E337" i="1"/>
  <c r="A337" i="1" s="1"/>
  <c r="B337" i="1" s="1"/>
  <c r="O336" i="1"/>
  <c r="N336" i="1"/>
  <c r="E336" i="1"/>
  <c r="A336" i="1" s="1"/>
  <c r="B336" i="1" s="1"/>
  <c r="O335" i="1"/>
  <c r="N335" i="1"/>
  <c r="E335" i="1"/>
  <c r="A335" i="1" s="1"/>
  <c r="B335" i="1" s="1"/>
  <c r="O334" i="1"/>
  <c r="N334" i="1"/>
  <c r="E334" i="1"/>
  <c r="A334" i="1" s="1"/>
  <c r="B334" i="1" s="1"/>
  <c r="O333" i="1"/>
  <c r="N333" i="1"/>
  <c r="E333" i="1"/>
  <c r="A333" i="1" s="1"/>
  <c r="B333" i="1" s="1"/>
  <c r="O332" i="1"/>
  <c r="N332" i="1"/>
  <c r="E332" i="1"/>
  <c r="A332" i="1" s="1"/>
  <c r="B332" i="1" s="1"/>
  <c r="O331" i="1"/>
  <c r="N331" i="1"/>
  <c r="E331" i="1"/>
  <c r="A331" i="1" s="1"/>
  <c r="B331" i="1" s="1"/>
  <c r="O330" i="1"/>
  <c r="N330" i="1"/>
  <c r="E330" i="1"/>
  <c r="A330" i="1" s="1"/>
  <c r="B330" i="1" s="1"/>
  <c r="O329" i="1"/>
  <c r="N329" i="1"/>
  <c r="E329" i="1"/>
  <c r="A329" i="1" s="1"/>
  <c r="B329" i="1" s="1"/>
  <c r="O328" i="1"/>
  <c r="N328" i="1"/>
  <c r="E328" i="1"/>
  <c r="A328" i="1" s="1"/>
  <c r="B328" i="1" s="1"/>
  <c r="O327" i="1"/>
  <c r="N327" i="1"/>
  <c r="E327" i="1"/>
  <c r="A327" i="1" s="1"/>
  <c r="B327" i="1" s="1"/>
  <c r="O326" i="1"/>
  <c r="N326" i="1"/>
  <c r="E326" i="1"/>
  <c r="A326" i="1" s="1"/>
  <c r="B326" i="1" s="1"/>
  <c r="O325" i="1"/>
  <c r="N325" i="1"/>
  <c r="E325" i="1"/>
  <c r="A325" i="1" s="1"/>
  <c r="B325" i="1" s="1"/>
  <c r="O324" i="1"/>
  <c r="N324" i="1"/>
  <c r="E324" i="1"/>
  <c r="A324" i="1" s="1"/>
  <c r="B324" i="1" s="1"/>
  <c r="O323" i="1"/>
  <c r="N323" i="1"/>
  <c r="E323" i="1"/>
  <c r="A323" i="1" s="1"/>
  <c r="B323" i="1" s="1"/>
  <c r="O322" i="1"/>
  <c r="N322" i="1"/>
  <c r="E322" i="1"/>
  <c r="A322" i="1" s="1"/>
  <c r="B322" i="1" s="1"/>
  <c r="O321" i="1"/>
  <c r="N321" i="1"/>
  <c r="E321" i="1"/>
  <c r="A321" i="1" s="1"/>
  <c r="O320" i="1"/>
  <c r="N320" i="1"/>
  <c r="E320" i="1"/>
  <c r="A320" i="1" s="1"/>
  <c r="B320" i="1" s="1"/>
  <c r="O319" i="1"/>
  <c r="N319" i="1"/>
  <c r="E319" i="1"/>
  <c r="A319" i="1" s="1"/>
  <c r="B319" i="1" s="1"/>
  <c r="O318" i="1"/>
  <c r="N318" i="1"/>
  <c r="E318" i="1"/>
  <c r="A318" i="1" s="1"/>
  <c r="O317" i="1"/>
  <c r="N317" i="1"/>
  <c r="E317" i="1"/>
  <c r="A317" i="1" s="1"/>
  <c r="B317" i="1" s="1"/>
  <c r="O316" i="1"/>
  <c r="N316" i="1"/>
  <c r="E316" i="1"/>
  <c r="A316" i="1" s="1"/>
  <c r="B316" i="1" s="1"/>
  <c r="O315" i="1"/>
  <c r="N315" i="1"/>
  <c r="E315" i="1"/>
  <c r="A315" i="1" s="1"/>
  <c r="B315" i="1" s="1"/>
  <c r="O314" i="1"/>
  <c r="N314" i="1"/>
  <c r="E314" i="1"/>
  <c r="A314" i="1" s="1"/>
  <c r="B314" i="1" s="1"/>
  <c r="O313" i="1"/>
  <c r="N313" i="1"/>
  <c r="E313" i="1"/>
  <c r="A313" i="1" s="1"/>
  <c r="B313" i="1" s="1"/>
  <c r="O312" i="1"/>
  <c r="N312" i="1"/>
  <c r="E312" i="1"/>
  <c r="A312" i="1" s="1"/>
  <c r="B312" i="1" s="1"/>
  <c r="O311" i="1"/>
  <c r="N311" i="1"/>
  <c r="E311" i="1"/>
  <c r="A311" i="1" s="1"/>
  <c r="B311" i="1" s="1"/>
  <c r="O310" i="1"/>
  <c r="N310" i="1"/>
  <c r="E310" i="1"/>
  <c r="A310" i="1" s="1"/>
  <c r="B310" i="1" s="1"/>
  <c r="O309" i="1"/>
  <c r="N309" i="1"/>
  <c r="E309" i="1"/>
  <c r="A309" i="1" s="1"/>
  <c r="B309" i="1" s="1"/>
  <c r="O308" i="1"/>
  <c r="N308" i="1"/>
  <c r="E308" i="1"/>
  <c r="A308" i="1" s="1"/>
  <c r="B308" i="1" s="1"/>
  <c r="O307" i="1"/>
  <c r="N307" i="1"/>
  <c r="E307" i="1"/>
  <c r="A307" i="1" s="1"/>
  <c r="B307" i="1" s="1"/>
  <c r="O306" i="1"/>
  <c r="N306" i="1"/>
  <c r="E306" i="1"/>
  <c r="A306" i="1" s="1"/>
  <c r="B306" i="1" s="1"/>
  <c r="O305" i="1"/>
  <c r="N305" i="1"/>
  <c r="E305" i="1"/>
  <c r="A305" i="1" s="1"/>
  <c r="B305" i="1" s="1"/>
  <c r="O304" i="1"/>
  <c r="N304" i="1"/>
  <c r="E304" i="1"/>
  <c r="A304" i="1" s="1"/>
  <c r="B304" i="1" s="1"/>
  <c r="O303" i="1"/>
  <c r="N303" i="1"/>
  <c r="E303" i="1"/>
  <c r="A303" i="1" s="1"/>
  <c r="B303" i="1" s="1"/>
  <c r="O302" i="1"/>
  <c r="N302" i="1"/>
  <c r="E302" i="1"/>
  <c r="A302" i="1" s="1"/>
  <c r="B302" i="1" s="1"/>
  <c r="O301" i="1"/>
  <c r="N301" i="1"/>
  <c r="E301" i="1"/>
  <c r="A301" i="1" s="1"/>
  <c r="B301" i="1" s="1"/>
  <c r="O300" i="1"/>
  <c r="N300" i="1"/>
  <c r="E300" i="1"/>
  <c r="A300" i="1" s="1"/>
  <c r="B300" i="1" s="1"/>
  <c r="O299" i="1"/>
  <c r="N299" i="1"/>
  <c r="E299" i="1"/>
  <c r="A299" i="1" s="1"/>
  <c r="B299" i="1" s="1"/>
  <c r="O298" i="1"/>
  <c r="N298" i="1"/>
  <c r="E298" i="1"/>
  <c r="A298" i="1" s="1"/>
  <c r="B298" i="1" s="1"/>
  <c r="O297" i="1"/>
  <c r="N297" i="1"/>
  <c r="E297" i="1"/>
  <c r="A297" i="1" s="1"/>
  <c r="B297" i="1" s="1"/>
  <c r="O296" i="1"/>
  <c r="N296" i="1"/>
  <c r="E296" i="1"/>
  <c r="A296" i="1" s="1"/>
  <c r="B296" i="1" s="1"/>
  <c r="O295" i="1"/>
  <c r="N295" i="1"/>
  <c r="E295" i="1"/>
  <c r="A295" i="1" s="1"/>
  <c r="B295" i="1" s="1"/>
  <c r="O294" i="1"/>
  <c r="N294" i="1"/>
  <c r="A294" i="1"/>
  <c r="B294" i="1" s="1"/>
  <c r="O293" i="1"/>
  <c r="N293" i="1"/>
  <c r="E293" i="1"/>
  <c r="A293" i="1" s="1"/>
  <c r="B293" i="1" s="1"/>
  <c r="O292" i="1"/>
  <c r="N292" i="1"/>
  <c r="A292" i="1"/>
  <c r="B292" i="1" s="1"/>
  <c r="O291" i="1"/>
  <c r="N291" i="1"/>
  <c r="A291" i="1"/>
  <c r="B291" i="1"/>
  <c r="O290" i="1"/>
  <c r="N290" i="1"/>
  <c r="E290" i="1"/>
  <c r="A290" i="1" s="1"/>
  <c r="B290" i="1" s="1"/>
  <c r="O289" i="1"/>
  <c r="N289" i="1"/>
  <c r="E289" i="1"/>
  <c r="A289" i="1" s="1"/>
  <c r="B289" i="1" s="1"/>
  <c r="O288" i="1"/>
  <c r="N288" i="1"/>
  <c r="A288" i="1"/>
  <c r="B288" i="1" s="1"/>
  <c r="O287" i="1"/>
  <c r="N287" i="1"/>
  <c r="E287" i="1"/>
  <c r="A287" i="1" s="1"/>
  <c r="B287" i="1" s="1"/>
  <c r="O286" i="1"/>
  <c r="N286" i="1"/>
  <c r="E286" i="1"/>
  <c r="A286" i="1" s="1"/>
  <c r="B286" i="1" s="1"/>
  <c r="O285" i="1"/>
  <c r="N285" i="1"/>
  <c r="A285" i="1"/>
  <c r="B285" i="1" s="1"/>
  <c r="O284" i="1"/>
  <c r="N284" i="1"/>
  <c r="A284" i="1"/>
  <c r="B284" i="1" s="1"/>
  <c r="O283" i="1"/>
  <c r="N283" i="1"/>
  <c r="A283" i="1"/>
  <c r="B283" i="1" s="1"/>
  <c r="O282" i="1"/>
  <c r="N282" i="1"/>
  <c r="E282" i="1"/>
  <c r="A282" i="1" s="1"/>
  <c r="B282" i="1" s="1"/>
  <c r="O281" i="1"/>
  <c r="N281" i="1"/>
  <c r="E281" i="1"/>
  <c r="A281" i="1" s="1"/>
  <c r="B281" i="1" s="1"/>
  <c r="O280" i="1"/>
  <c r="N280" i="1"/>
  <c r="E280" i="1"/>
  <c r="A280" i="1" s="1"/>
  <c r="B280" i="1" s="1"/>
  <c r="O279" i="1"/>
  <c r="N279" i="1"/>
  <c r="E279" i="1"/>
  <c r="A279" i="1" s="1"/>
  <c r="B279" i="1" s="1"/>
  <c r="O278" i="1"/>
  <c r="N278" i="1"/>
  <c r="E278" i="1"/>
  <c r="A278" i="1" s="1"/>
  <c r="B278" i="1" s="1"/>
  <c r="O277" i="1"/>
  <c r="N277" i="1"/>
  <c r="E277" i="1"/>
  <c r="A277" i="1" s="1"/>
  <c r="B277" i="1" s="1"/>
  <c r="O276" i="1"/>
  <c r="N276" i="1"/>
  <c r="E276" i="1"/>
  <c r="A276" i="1" s="1"/>
  <c r="B276" i="1" s="1"/>
  <c r="O275" i="1"/>
  <c r="N275" i="1"/>
  <c r="E275" i="1"/>
  <c r="A275" i="1" s="1"/>
  <c r="B275" i="1" s="1"/>
  <c r="O274" i="1"/>
  <c r="N274" i="1"/>
  <c r="E274" i="1"/>
  <c r="A274" i="1" s="1"/>
  <c r="B274" i="1" s="1"/>
  <c r="O273" i="1"/>
  <c r="N273" i="1"/>
  <c r="E273" i="1"/>
  <c r="A273" i="1" s="1"/>
  <c r="B273" i="1" s="1"/>
  <c r="O272" i="1"/>
  <c r="N272" i="1"/>
  <c r="A272" i="1"/>
  <c r="B272" i="1" s="1"/>
  <c r="O271" i="1"/>
  <c r="N271" i="1"/>
  <c r="E271" i="1"/>
  <c r="A271" i="1" s="1"/>
  <c r="B271" i="1" s="1"/>
  <c r="O270" i="1"/>
  <c r="N270" i="1"/>
  <c r="E270" i="1"/>
  <c r="A270" i="1" s="1"/>
  <c r="B270" i="1" s="1"/>
  <c r="O269" i="1"/>
  <c r="N269" i="1"/>
  <c r="E269" i="1"/>
  <c r="A269" i="1" s="1"/>
  <c r="B269" i="1" s="1"/>
  <c r="O268" i="1"/>
  <c r="N268" i="1"/>
  <c r="E268" i="1"/>
  <c r="A268" i="1" s="1"/>
  <c r="B268" i="1" s="1"/>
  <c r="O267" i="1"/>
  <c r="N267" i="1"/>
  <c r="E267" i="1"/>
  <c r="A267" i="1" s="1"/>
  <c r="B267" i="1" s="1"/>
  <c r="O266" i="1"/>
  <c r="N266" i="1"/>
  <c r="E266" i="1"/>
  <c r="A266" i="1" s="1"/>
  <c r="B266" i="1" s="1"/>
  <c r="O265" i="1"/>
  <c r="N265" i="1"/>
  <c r="E265" i="1"/>
  <c r="A265" i="1" s="1"/>
  <c r="B265" i="1" s="1"/>
  <c r="O264" i="1"/>
  <c r="N264" i="1"/>
  <c r="E264" i="1"/>
  <c r="A264" i="1" s="1"/>
  <c r="B264" i="1" s="1"/>
  <c r="O263" i="1"/>
  <c r="N263" i="1"/>
  <c r="E263" i="1"/>
  <c r="A263" i="1" s="1"/>
  <c r="B263" i="1" s="1"/>
  <c r="O262" i="1"/>
  <c r="N262" i="1"/>
  <c r="E262" i="1"/>
  <c r="A262" i="1" s="1"/>
  <c r="B262" i="1" s="1"/>
  <c r="O261" i="1"/>
  <c r="N261" i="1"/>
  <c r="E261" i="1"/>
  <c r="A261" i="1" s="1"/>
  <c r="B261" i="1" s="1"/>
  <c r="O260" i="1"/>
  <c r="N260" i="1"/>
  <c r="E260" i="1"/>
  <c r="A260" i="1" s="1"/>
  <c r="B260" i="1" s="1"/>
  <c r="O259" i="1"/>
  <c r="N259" i="1"/>
  <c r="E259" i="1"/>
  <c r="A259" i="1" s="1"/>
  <c r="B259" i="1" s="1"/>
  <c r="O258" i="1"/>
  <c r="N258" i="1"/>
  <c r="E258" i="1"/>
  <c r="A258" i="1" s="1"/>
  <c r="B258" i="1" s="1"/>
  <c r="O257" i="1"/>
  <c r="N257" i="1"/>
  <c r="E257" i="1"/>
  <c r="A257" i="1" s="1"/>
  <c r="B257" i="1" s="1"/>
  <c r="O256" i="1"/>
  <c r="N256" i="1"/>
  <c r="E256" i="1"/>
  <c r="A256" i="1" s="1"/>
  <c r="B256" i="1" s="1"/>
  <c r="O255" i="1"/>
  <c r="N255" i="1"/>
  <c r="E255" i="1"/>
  <c r="A255" i="1" s="1"/>
  <c r="B255" i="1" s="1"/>
  <c r="O254" i="1"/>
  <c r="N254" i="1"/>
  <c r="E254" i="1"/>
  <c r="A254" i="1" s="1"/>
  <c r="B254" i="1" s="1"/>
  <c r="O253" i="1"/>
  <c r="N253" i="1"/>
  <c r="E253" i="1"/>
  <c r="A253" i="1" s="1"/>
  <c r="B253" i="1" s="1"/>
  <c r="O252" i="1"/>
  <c r="N252" i="1"/>
  <c r="E252" i="1"/>
  <c r="A252" i="1" s="1"/>
  <c r="B252" i="1" s="1"/>
  <c r="O251" i="1"/>
  <c r="N251" i="1"/>
  <c r="E251" i="1"/>
  <c r="A251" i="1" s="1"/>
  <c r="B251" i="1" s="1"/>
  <c r="O250" i="1"/>
  <c r="N250" i="1"/>
  <c r="E250" i="1"/>
  <c r="A250" i="1" s="1"/>
  <c r="B250" i="1" s="1"/>
  <c r="O249" i="1"/>
  <c r="N249" i="1"/>
  <c r="E249" i="1"/>
  <c r="A249" i="1" s="1"/>
  <c r="B249" i="1" s="1"/>
  <c r="O248" i="1"/>
  <c r="N248" i="1"/>
  <c r="E248" i="1"/>
  <c r="A248" i="1" s="1"/>
  <c r="B248" i="1" s="1"/>
  <c r="O247" i="1"/>
  <c r="N247" i="1"/>
  <c r="E247" i="1"/>
  <c r="A247" i="1" s="1"/>
  <c r="B247" i="1" s="1"/>
  <c r="O246" i="1"/>
  <c r="N246" i="1"/>
  <c r="E246" i="1"/>
  <c r="A246" i="1" s="1"/>
  <c r="B246" i="1" s="1"/>
  <c r="O245" i="1"/>
  <c r="N245" i="1"/>
  <c r="E245" i="1"/>
  <c r="A245" i="1" s="1"/>
  <c r="B245" i="1" s="1"/>
  <c r="O244" i="1"/>
  <c r="N244" i="1"/>
  <c r="E244" i="1"/>
  <c r="A244" i="1" s="1"/>
  <c r="B244" i="1" s="1"/>
  <c r="O243" i="1"/>
  <c r="N243" i="1"/>
  <c r="E243" i="1"/>
  <c r="A243" i="1" s="1"/>
  <c r="B243" i="1" s="1"/>
  <c r="O242" i="1"/>
  <c r="N242" i="1"/>
  <c r="E242" i="1"/>
  <c r="A242" i="1" s="1"/>
  <c r="B242" i="1" s="1"/>
  <c r="O241" i="1"/>
  <c r="N241" i="1"/>
  <c r="E241" i="1"/>
  <c r="A241" i="1" s="1"/>
  <c r="B241" i="1" s="1"/>
  <c r="O240" i="1"/>
  <c r="N240" i="1"/>
  <c r="E240" i="1"/>
  <c r="A240" i="1" s="1"/>
  <c r="B240" i="1" s="1"/>
  <c r="O239" i="1"/>
  <c r="N239" i="1"/>
  <c r="E239" i="1"/>
  <c r="A239" i="1" s="1"/>
  <c r="B239" i="1" s="1"/>
  <c r="O238" i="1"/>
  <c r="N238" i="1"/>
  <c r="E238" i="1"/>
  <c r="A238" i="1" s="1"/>
  <c r="B238" i="1" s="1"/>
  <c r="O237" i="1"/>
  <c r="N237" i="1"/>
  <c r="E237" i="1"/>
  <c r="A237" i="1" s="1"/>
  <c r="B237" i="1" s="1"/>
  <c r="O236" i="1"/>
  <c r="N236" i="1"/>
  <c r="E236" i="1"/>
  <c r="A236" i="1" s="1"/>
  <c r="O235" i="1"/>
  <c r="N235" i="1"/>
  <c r="E235" i="1"/>
  <c r="A235" i="1" s="1"/>
  <c r="B235" i="1" s="1"/>
  <c r="O234" i="1"/>
  <c r="N234" i="1"/>
  <c r="E234" i="1"/>
  <c r="A234" i="1" s="1"/>
  <c r="B234" i="1" s="1"/>
  <c r="O233" i="1"/>
  <c r="N233" i="1"/>
  <c r="E233" i="1"/>
  <c r="A233" i="1" s="1"/>
  <c r="B233" i="1" s="1"/>
  <c r="O232" i="1"/>
  <c r="N232" i="1"/>
  <c r="E232" i="1"/>
  <c r="A232" i="1" s="1"/>
  <c r="B232" i="1" s="1"/>
  <c r="O231" i="1"/>
  <c r="N231" i="1"/>
  <c r="E231" i="1"/>
  <c r="A231" i="1" s="1"/>
  <c r="B231" i="1" s="1"/>
  <c r="O230" i="1"/>
  <c r="N230" i="1"/>
  <c r="E230" i="1"/>
  <c r="A230" i="1" s="1"/>
  <c r="B230" i="1" s="1"/>
  <c r="O229" i="1"/>
  <c r="N229" i="1"/>
  <c r="E229" i="1"/>
  <c r="A229" i="1" s="1"/>
  <c r="O228" i="1"/>
  <c r="N228" i="1"/>
  <c r="E228" i="1"/>
  <c r="A228" i="1" s="1"/>
  <c r="O227" i="1"/>
  <c r="N227" i="1"/>
  <c r="E227" i="1"/>
  <c r="A227" i="1" s="1"/>
  <c r="B227" i="1" s="1"/>
  <c r="O226" i="1"/>
  <c r="N226" i="1"/>
  <c r="E226" i="1"/>
  <c r="A226" i="1" s="1"/>
  <c r="B226" i="1" s="1"/>
  <c r="O225" i="1"/>
  <c r="N225" i="1"/>
  <c r="E225" i="1"/>
  <c r="A225" i="1" s="1"/>
  <c r="O224" i="1"/>
  <c r="N224" i="1"/>
  <c r="E224" i="1"/>
  <c r="A224" i="1" s="1"/>
  <c r="O223" i="1"/>
  <c r="N223" i="1"/>
  <c r="E223" i="1"/>
  <c r="A223" i="1" s="1"/>
  <c r="B223" i="1" s="1"/>
  <c r="O222" i="1"/>
  <c r="N222" i="1"/>
  <c r="E222" i="1"/>
  <c r="A222" i="1" s="1"/>
  <c r="O221" i="1"/>
  <c r="N221" i="1"/>
  <c r="E221" i="1"/>
  <c r="A221" i="1" s="1"/>
  <c r="B221" i="1" s="1"/>
  <c r="O220" i="1"/>
  <c r="N220" i="1"/>
  <c r="E220" i="1"/>
  <c r="A220" i="1" s="1"/>
  <c r="O219" i="1"/>
  <c r="N219" i="1"/>
  <c r="E219" i="1"/>
  <c r="A219" i="1" s="1"/>
  <c r="B219" i="1" s="1"/>
  <c r="O218" i="1"/>
  <c r="N218" i="1"/>
  <c r="E218" i="1"/>
  <c r="A218" i="1" s="1"/>
  <c r="B218" i="1" s="1"/>
  <c r="O217" i="1"/>
  <c r="N217" i="1"/>
  <c r="E217" i="1"/>
  <c r="A217" i="1" s="1"/>
  <c r="O216" i="1"/>
  <c r="N216" i="1"/>
  <c r="E216" i="1"/>
  <c r="A216" i="1" s="1"/>
  <c r="C216" i="4" s="1"/>
  <c r="O215" i="1"/>
  <c r="N215" i="1"/>
  <c r="E215" i="1"/>
  <c r="A215" i="1" s="1"/>
  <c r="B215" i="1" s="1"/>
  <c r="O214" i="1"/>
  <c r="N214" i="1"/>
  <c r="E214" i="1"/>
  <c r="A214" i="1" s="1"/>
  <c r="O213" i="1"/>
  <c r="N213" i="1"/>
  <c r="E213" i="1"/>
  <c r="A213" i="1" s="1"/>
  <c r="B213" i="1" s="1"/>
  <c r="O212" i="1"/>
  <c r="N212" i="1"/>
  <c r="E212" i="1"/>
  <c r="A212" i="1" s="1"/>
  <c r="O211" i="1"/>
  <c r="N211" i="1"/>
  <c r="E211" i="1"/>
  <c r="A211" i="1" s="1"/>
  <c r="B211" i="1" s="1"/>
  <c r="O210" i="1"/>
  <c r="N210" i="1"/>
  <c r="E210" i="1"/>
  <c r="A210" i="1" s="1"/>
  <c r="B210" i="1" s="1"/>
  <c r="O209" i="1"/>
  <c r="N209" i="1"/>
  <c r="E209" i="1"/>
  <c r="A209" i="1" s="1"/>
  <c r="O208" i="1"/>
  <c r="N208" i="1"/>
  <c r="E208" i="1"/>
  <c r="A208" i="1" s="1"/>
  <c r="O207" i="1"/>
  <c r="N207" i="1"/>
  <c r="E207" i="1"/>
  <c r="A207" i="1" s="1"/>
  <c r="B207" i="1" s="1"/>
  <c r="O206" i="1"/>
  <c r="N206" i="1"/>
  <c r="E206" i="1"/>
  <c r="A206" i="1" s="1"/>
  <c r="B206" i="1" s="1"/>
  <c r="O205" i="1"/>
  <c r="N205" i="1"/>
  <c r="E205" i="1"/>
  <c r="A205" i="1" s="1"/>
  <c r="B205" i="1" s="1"/>
  <c r="O204" i="1"/>
  <c r="N204" i="1"/>
  <c r="E204" i="1"/>
  <c r="A204" i="1" s="1"/>
  <c r="O203" i="1"/>
  <c r="N203" i="1"/>
  <c r="E203" i="1"/>
  <c r="A203" i="1" s="1"/>
  <c r="B203" i="1" s="1"/>
  <c r="O202" i="1"/>
  <c r="N202" i="1"/>
  <c r="E202" i="1"/>
  <c r="A202" i="1" s="1"/>
  <c r="B202" i="1" s="1"/>
  <c r="O201" i="1"/>
  <c r="N201" i="1"/>
  <c r="E201" i="1"/>
  <c r="A201" i="1" s="1"/>
  <c r="B201" i="1" s="1"/>
  <c r="O200" i="1"/>
  <c r="N200" i="1"/>
  <c r="E200" i="1"/>
  <c r="A200" i="1" s="1"/>
  <c r="O199" i="1"/>
  <c r="N199" i="1"/>
  <c r="E199" i="1"/>
  <c r="A199" i="1" s="1"/>
  <c r="B199" i="1" s="1"/>
  <c r="O198" i="1"/>
  <c r="N198" i="1"/>
  <c r="E198" i="1"/>
  <c r="A198" i="1" s="1"/>
  <c r="B198" i="1" s="1"/>
  <c r="O197" i="1"/>
  <c r="N197" i="1"/>
  <c r="E197" i="1"/>
  <c r="A197" i="1" s="1"/>
  <c r="B197" i="1" s="1"/>
  <c r="O196" i="1"/>
  <c r="N196" i="1"/>
  <c r="E196" i="1"/>
  <c r="A196" i="1" s="1"/>
  <c r="B196" i="1" s="1"/>
  <c r="O195" i="1"/>
  <c r="N195" i="1"/>
  <c r="E195" i="1"/>
  <c r="A195" i="1" s="1"/>
  <c r="B195" i="1" s="1"/>
  <c r="O194" i="1"/>
  <c r="N194" i="1"/>
  <c r="E194" i="1"/>
  <c r="A194" i="1" s="1"/>
  <c r="B194" i="1" s="1"/>
  <c r="O193" i="1"/>
  <c r="N193" i="1"/>
  <c r="E193" i="1"/>
  <c r="A193" i="1" s="1"/>
  <c r="B193" i="1" s="1"/>
  <c r="O192" i="1"/>
  <c r="N192" i="1"/>
  <c r="E192" i="1"/>
  <c r="A192" i="1" s="1"/>
  <c r="B192" i="1" s="1"/>
  <c r="O191" i="1"/>
  <c r="N191" i="1"/>
  <c r="E191" i="1"/>
  <c r="A191" i="1" s="1"/>
  <c r="O190" i="1"/>
  <c r="N190" i="1"/>
  <c r="E190" i="1"/>
  <c r="A190" i="1" s="1"/>
  <c r="O189" i="1"/>
  <c r="N189" i="1"/>
  <c r="E189" i="1"/>
  <c r="A189" i="1" s="1"/>
  <c r="B189" i="1" s="1"/>
  <c r="O188" i="1"/>
  <c r="N188" i="1"/>
  <c r="E188" i="1"/>
  <c r="A188" i="1" s="1"/>
  <c r="B188" i="1" s="1"/>
  <c r="O187" i="1"/>
  <c r="N187" i="1"/>
  <c r="E187" i="1"/>
  <c r="A187" i="1" s="1"/>
  <c r="O186" i="1"/>
  <c r="N186" i="1"/>
  <c r="E186" i="1"/>
  <c r="A186" i="1" s="1"/>
  <c r="B186" i="1" s="1"/>
  <c r="O185" i="1"/>
  <c r="N185" i="1"/>
  <c r="E185" i="1"/>
  <c r="A185" i="1" s="1"/>
  <c r="B185" i="1" s="1"/>
  <c r="O184" i="1"/>
  <c r="N184" i="1"/>
  <c r="E184" i="1"/>
  <c r="A184" i="1" s="1"/>
  <c r="B184" i="1" s="1"/>
  <c r="O183" i="1"/>
  <c r="N183" i="1"/>
  <c r="E183" i="1"/>
  <c r="A183" i="1" s="1"/>
  <c r="O182" i="1"/>
  <c r="N182" i="1"/>
  <c r="E182" i="1"/>
  <c r="A182" i="1" s="1"/>
  <c r="B182" i="1" s="1"/>
  <c r="O181" i="1"/>
  <c r="N181" i="1"/>
  <c r="E181" i="1"/>
  <c r="A181" i="1" s="1"/>
  <c r="B181" i="1" s="1"/>
  <c r="O180" i="1"/>
  <c r="N180" i="1"/>
  <c r="E180" i="1"/>
  <c r="A180" i="1" s="1"/>
  <c r="B180" i="1" s="1"/>
  <c r="O179" i="1"/>
  <c r="N179" i="1"/>
  <c r="E179" i="1"/>
  <c r="A179" i="1" s="1"/>
  <c r="O178" i="1"/>
  <c r="N178" i="1"/>
  <c r="E178" i="1"/>
  <c r="A178" i="1" s="1"/>
  <c r="B178" i="1" s="1"/>
  <c r="O177" i="1"/>
  <c r="N177" i="1"/>
  <c r="E177" i="1"/>
  <c r="A177" i="1" s="1"/>
  <c r="B177" i="1" s="1"/>
  <c r="O176" i="1"/>
  <c r="N176" i="1"/>
  <c r="E176" i="1"/>
  <c r="A176" i="1" s="1"/>
  <c r="B176" i="1" s="1"/>
  <c r="O175" i="1"/>
  <c r="N175" i="1"/>
  <c r="E175" i="1"/>
  <c r="A175" i="1" s="1"/>
  <c r="B175" i="1" s="1"/>
  <c r="O174" i="1"/>
  <c r="N174" i="1"/>
  <c r="E174" i="1"/>
  <c r="A174" i="1" s="1"/>
  <c r="B174" i="1" s="1"/>
  <c r="O173" i="1"/>
  <c r="N173" i="1"/>
  <c r="E173" i="1"/>
  <c r="A173" i="1" s="1"/>
  <c r="B173" i="1" s="1"/>
  <c r="O172" i="1"/>
  <c r="N172" i="1"/>
  <c r="E172" i="1"/>
  <c r="A172" i="1" s="1"/>
  <c r="B172" i="1" s="1"/>
  <c r="O171" i="1"/>
  <c r="N171" i="1"/>
  <c r="E171" i="1"/>
  <c r="A171" i="1" s="1"/>
  <c r="B171" i="1" s="1"/>
  <c r="O170" i="1"/>
  <c r="N170" i="1"/>
  <c r="E170" i="1"/>
  <c r="A170" i="1" s="1"/>
  <c r="B170" i="1" s="1"/>
  <c r="O169" i="1"/>
  <c r="N169" i="1"/>
  <c r="E169" i="1"/>
  <c r="A169" i="1" s="1"/>
  <c r="B169" i="1" s="1"/>
  <c r="O168" i="1"/>
  <c r="N168" i="1"/>
  <c r="E168" i="1"/>
  <c r="A168" i="1" s="1"/>
  <c r="C168" i="4" s="1"/>
  <c r="O167" i="1"/>
  <c r="N167" i="1"/>
  <c r="E167" i="1"/>
  <c r="A167" i="1" s="1"/>
  <c r="B167" i="1" s="1"/>
  <c r="O166" i="1"/>
  <c r="N166" i="1"/>
  <c r="E166" i="1"/>
  <c r="A166" i="1" s="1"/>
  <c r="B166" i="1" s="1"/>
  <c r="O165" i="1"/>
  <c r="N165" i="1"/>
  <c r="E165" i="1"/>
  <c r="A165" i="1" s="1"/>
  <c r="B165" i="1" s="1"/>
  <c r="O164" i="1"/>
  <c r="N164" i="1"/>
  <c r="E164" i="1"/>
  <c r="A164" i="1" s="1"/>
  <c r="B164" i="1" s="1"/>
  <c r="O163" i="1"/>
  <c r="N163" i="1"/>
  <c r="E163" i="1"/>
  <c r="A163" i="1" s="1"/>
  <c r="B163" i="1" s="1"/>
  <c r="O162" i="1"/>
  <c r="N162" i="1"/>
  <c r="E162" i="1"/>
  <c r="A162" i="1" s="1"/>
  <c r="B162" i="1" s="1"/>
  <c r="O161" i="1"/>
  <c r="N161" i="1"/>
  <c r="E161" i="1"/>
  <c r="A161" i="1" s="1"/>
  <c r="B161" i="1" s="1"/>
  <c r="O160" i="1"/>
  <c r="N160" i="1"/>
  <c r="E160" i="1"/>
  <c r="A160" i="1" s="1"/>
  <c r="C160" i="4" s="1"/>
  <c r="O159" i="1"/>
  <c r="N159" i="1"/>
  <c r="E159" i="1"/>
  <c r="A159" i="1" s="1"/>
  <c r="O158" i="1"/>
  <c r="N158" i="1"/>
  <c r="E158" i="1"/>
  <c r="A158" i="1" s="1"/>
  <c r="B158" i="1" s="1"/>
  <c r="O157" i="1"/>
  <c r="N157" i="1"/>
  <c r="E157" i="1"/>
  <c r="A157" i="1" s="1"/>
  <c r="B157" i="1" s="1"/>
  <c r="O156" i="1"/>
  <c r="N156" i="1"/>
  <c r="E156" i="1"/>
  <c r="A156" i="1" s="1"/>
  <c r="B156" i="1" s="1"/>
  <c r="O155" i="1"/>
  <c r="N155" i="1"/>
  <c r="E155" i="1"/>
  <c r="A155" i="1" s="1"/>
  <c r="B155" i="1" s="1"/>
  <c r="O154" i="1"/>
  <c r="N154" i="1"/>
  <c r="E154" i="1"/>
  <c r="A154" i="1" s="1"/>
  <c r="B154" i="1" s="1"/>
  <c r="O153" i="1"/>
  <c r="N153" i="1"/>
  <c r="E153" i="1"/>
  <c r="A153" i="1" s="1"/>
  <c r="B153" i="1" s="1"/>
  <c r="O152" i="1"/>
  <c r="N152" i="1"/>
  <c r="E152" i="1"/>
  <c r="A152" i="1" s="1"/>
  <c r="B152" i="1" s="1"/>
  <c r="O151" i="1"/>
  <c r="N151" i="1"/>
  <c r="E151" i="1"/>
  <c r="A151" i="1" s="1"/>
  <c r="B151" i="1" s="1"/>
  <c r="O150" i="1"/>
  <c r="N150" i="1"/>
  <c r="E150" i="1"/>
  <c r="A150" i="1" s="1"/>
  <c r="B150" i="1" s="1"/>
  <c r="O149" i="1"/>
  <c r="N149" i="1"/>
  <c r="E149" i="1"/>
  <c r="A149" i="1" s="1"/>
  <c r="B149" i="1" s="1"/>
  <c r="O148" i="1"/>
  <c r="N148" i="1"/>
  <c r="E148" i="1"/>
  <c r="A148" i="1" s="1"/>
  <c r="B148" i="1" s="1"/>
  <c r="O147" i="1"/>
  <c r="N147" i="1"/>
  <c r="E147" i="1"/>
  <c r="A147" i="1" s="1"/>
  <c r="B147" i="1" s="1"/>
  <c r="O146" i="1"/>
  <c r="N146" i="1"/>
  <c r="E146" i="1"/>
  <c r="A146" i="1" s="1"/>
  <c r="B146" i="1" s="1"/>
  <c r="O145" i="1"/>
  <c r="N145" i="1"/>
  <c r="E145" i="1"/>
  <c r="A145" i="1" s="1"/>
  <c r="B145" i="1" s="1"/>
  <c r="O144" i="1"/>
  <c r="N144" i="1"/>
  <c r="E144" i="1"/>
  <c r="A144" i="1" s="1"/>
  <c r="B144" i="1" s="1"/>
  <c r="O143" i="1"/>
  <c r="N143" i="1"/>
  <c r="E143" i="1"/>
  <c r="A143" i="1" s="1"/>
  <c r="B143" i="1" s="1"/>
  <c r="O142" i="1"/>
  <c r="N142" i="1"/>
  <c r="E142" i="1"/>
  <c r="A142" i="1" s="1"/>
  <c r="B142" i="1" s="1"/>
  <c r="O141" i="1"/>
  <c r="N141" i="1"/>
  <c r="E141" i="1"/>
  <c r="A141" i="1" s="1"/>
  <c r="B141" i="1" s="1"/>
  <c r="O140" i="1"/>
  <c r="N140" i="1"/>
  <c r="E140" i="1"/>
  <c r="A140" i="1" s="1"/>
  <c r="B140" i="1" s="1"/>
  <c r="O139" i="1"/>
  <c r="N139" i="1"/>
  <c r="E139" i="1"/>
  <c r="A139" i="1" s="1"/>
  <c r="B139" i="1" s="1"/>
  <c r="O138" i="1"/>
  <c r="N138" i="1"/>
  <c r="E138" i="1"/>
  <c r="A138" i="1" s="1"/>
  <c r="B138" i="1" s="1"/>
  <c r="O137" i="1"/>
  <c r="N137" i="1"/>
  <c r="E137" i="1"/>
  <c r="A137" i="1" s="1"/>
  <c r="B137" i="1" s="1"/>
  <c r="O136" i="1"/>
  <c r="N136" i="1"/>
  <c r="E136" i="1"/>
  <c r="A136" i="1" s="1"/>
  <c r="B136" i="1" s="1"/>
  <c r="O135" i="1"/>
  <c r="N135" i="1"/>
  <c r="E135" i="1"/>
  <c r="A135" i="1" s="1"/>
  <c r="B135" i="1" s="1"/>
  <c r="O134" i="1"/>
  <c r="N134" i="1"/>
  <c r="E134" i="1"/>
  <c r="A134" i="1" s="1"/>
  <c r="B134" i="1" s="1"/>
  <c r="O133" i="1"/>
  <c r="N133" i="1"/>
  <c r="E133" i="1"/>
  <c r="A133" i="1" s="1"/>
  <c r="B133" i="1" s="1"/>
  <c r="O132" i="1"/>
  <c r="N132" i="1"/>
  <c r="E132" i="1"/>
  <c r="A132" i="1" s="1"/>
  <c r="B132" i="1" s="1"/>
  <c r="O131" i="1"/>
  <c r="N131" i="1"/>
  <c r="E131" i="1"/>
  <c r="A131" i="1" s="1"/>
  <c r="B131" i="1" s="1"/>
  <c r="O130" i="1"/>
  <c r="N130" i="1"/>
  <c r="E130" i="1"/>
  <c r="A130" i="1" s="1"/>
  <c r="B130" i="1" s="1"/>
  <c r="O129" i="1"/>
  <c r="N129" i="1"/>
  <c r="E129" i="1"/>
  <c r="A129" i="1" s="1"/>
  <c r="B129" i="1" s="1"/>
  <c r="O128" i="1"/>
  <c r="N128" i="1"/>
  <c r="E128" i="1"/>
  <c r="A128" i="1" s="1"/>
  <c r="B128" i="1" s="1"/>
  <c r="O127" i="1"/>
  <c r="N127" i="1"/>
  <c r="E127" i="1"/>
  <c r="A127" i="1" s="1"/>
  <c r="B127" i="1" s="1"/>
  <c r="O126" i="1"/>
  <c r="N126" i="1"/>
  <c r="E126" i="1"/>
  <c r="A126" i="1" s="1"/>
  <c r="B126" i="1" s="1"/>
  <c r="O125" i="1"/>
  <c r="N125" i="1"/>
  <c r="E125" i="1"/>
  <c r="A125" i="1" s="1"/>
  <c r="B125" i="1" s="1"/>
  <c r="O124" i="1"/>
  <c r="N124" i="1"/>
  <c r="E124" i="1"/>
  <c r="A124" i="1" s="1"/>
  <c r="B124" i="1" s="1"/>
  <c r="O123" i="1"/>
  <c r="N123" i="1"/>
  <c r="E123" i="1"/>
  <c r="A123" i="1" s="1"/>
  <c r="B123" i="1" s="1"/>
  <c r="O122" i="1"/>
  <c r="N122" i="1"/>
  <c r="E122" i="1"/>
  <c r="A122" i="1" s="1"/>
  <c r="B122" i="1" s="1"/>
  <c r="O121" i="1"/>
  <c r="N121" i="1"/>
  <c r="E121" i="1"/>
  <c r="A121" i="1" s="1"/>
  <c r="B121" i="1" s="1"/>
  <c r="O120" i="1"/>
  <c r="N120" i="1"/>
  <c r="E120" i="1"/>
  <c r="A120" i="1" s="1"/>
  <c r="B120" i="1" s="1"/>
  <c r="O119" i="1"/>
  <c r="N119" i="1"/>
  <c r="E119" i="1"/>
  <c r="A119" i="1" s="1"/>
  <c r="O118" i="1"/>
  <c r="N118" i="1"/>
  <c r="E118" i="1"/>
  <c r="A118" i="1" s="1"/>
  <c r="B118" i="1" s="1"/>
  <c r="O117" i="1"/>
  <c r="N117" i="1"/>
  <c r="E117" i="1"/>
  <c r="A117" i="1" s="1"/>
  <c r="B117" i="1" s="1"/>
  <c r="O116" i="1"/>
  <c r="N116" i="1"/>
  <c r="E116" i="1"/>
  <c r="A116" i="1" s="1"/>
  <c r="B116" i="1" s="1"/>
  <c r="O115" i="1"/>
  <c r="N115" i="1"/>
  <c r="E115" i="1"/>
  <c r="A115" i="1" s="1"/>
  <c r="B115" i="1" s="1"/>
  <c r="O114" i="1"/>
  <c r="N114" i="1"/>
  <c r="E114" i="1"/>
  <c r="A114" i="1" s="1"/>
  <c r="B114" i="1" s="1"/>
  <c r="O113" i="1"/>
  <c r="N113" i="1"/>
  <c r="E113" i="1"/>
  <c r="A113" i="1" s="1"/>
  <c r="B113" i="1" s="1"/>
  <c r="O112" i="1"/>
  <c r="N112" i="1"/>
  <c r="E112" i="1"/>
  <c r="A112" i="1" s="1"/>
  <c r="B112" i="1" s="1"/>
  <c r="O111" i="1"/>
  <c r="N111" i="1"/>
  <c r="E111" i="1"/>
  <c r="A111" i="1" s="1"/>
  <c r="B111" i="1" s="1"/>
  <c r="O110" i="1"/>
  <c r="N110" i="1"/>
  <c r="E110" i="1"/>
  <c r="A110" i="1" s="1"/>
  <c r="B110" i="1" s="1"/>
  <c r="O109" i="1"/>
  <c r="N109" i="1"/>
  <c r="E109" i="1"/>
  <c r="A109" i="1" s="1"/>
  <c r="B109" i="1" s="1"/>
  <c r="O108" i="1"/>
  <c r="N108" i="1"/>
  <c r="E108" i="1"/>
  <c r="A108" i="1" s="1"/>
  <c r="B108" i="1" s="1"/>
  <c r="O107" i="1"/>
  <c r="N107" i="1"/>
  <c r="E107" i="1"/>
  <c r="A107" i="1" s="1"/>
  <c r="B107" i="1" s="1"/>
  <c r="O106" i="1"/>
  <c r="N106" i="1"/>
  <c r="E106" i="1"/>
  <c r="A106" i="1" s="1"/>
  <c r="B106" i="1" s="1"/>
  <c r="O105" i="1"/>
  <c r="N105" i="1"/>
  <c r="E105" i="1"/>
  <c r="A105" i="1" s="1"/>
  <c r="B105" i="1" s="1"/>
  <c r="O104" i="1"/>
  <c r="N104" i="1"/>
  <c r="E104" i="1"/>
  <c r="A104" i="1" s="1"/>
  <c r="B104" i="1" s="1"/>
  <c r="O103" i="1"/>
  <c r="N103" i="1"/>
  <c r="E103" i="1"/>
  <c r="A103" i="1" s="1"/>
  <c r="B103" i="1" s="1"/>
  <c r="O102" i="1"/>
  <c r="N102" i="1"/>
  <c r="E102" i="1"/>
  <c r="A102" i="1" s="1"/>
  <c r="B102" i="1" s="1"/>
  <c r="O101" i="1"/>
  <c r="N101" i="1"/>
  <c r="E101" i="1"/>
  <c r="A101" i="1" s="1"/>
  <c r="B101" i="1" s="1"/>
  <c r="O100" i="1"/>
  <c r="N100" i="1"/>
  <c r="E100" i="1"/>
  <c r="A100" i="1" s="1"/>
  <c r="B100" i="1" s="1"/>
  <c r="O99" i="1"/>
  <c r="N99" i="1"/>
  <c r="E99" i="1"/>
  <c r="A99" i="1" s="1"/>
  <c r="O98" i="1"/>
  <c r="N98" i="1"/>
  <c r="E98" i="1"/>
  <c r="A98" i="1" s="1"/>
  <c r="O97" i="1"/>
  <c r="N97" i="1"/>
  <c r="E97" i="1"/>
  <c r="A97" i="1" s="1"/>
  <c r="B97" i="1" s="1"/>
  <c r="O96" i="1"/>
  <c r="N96" i="1"/>
  <c r="E96" i="1"/>
  <c r="A96" i="1" s="1"/>
  <c r="B96" i="1" s="1"/>
  <c r="O95" i="1"/>
  <c r="N95" i="1"/>
  <c r="E95" i="1"/>
  <c r="A95" i="1" s="1"/>
  <c r="B95" i="1" s="1"/>
  <c r="O94" i="1"/>
  <c r="N94" i="1"/>
  <c r="E94" i="1"/>
  <c r="A94" i="1" s="1"/>
  <c r="B94" i="1" s="1"/>
  <c r="O93" i="1"/>
  <c r="N93" i="1"/>
  <c r="E93" i="1"/>
  <c r="A93" i="1" s="1"/>
  <c r="B93" i="1" s="1"/>
  <c r="O92" i="1"/>
  <c r="N92" i="1"/>
  <c r="E92" i="1"/>
  <c r="A92" i="1" s="1"/>
  <c r="B92" i="1" s="1"/>
  <c r="O91" i="1"/>
  <c r="N91" i="1"/>
  <c r="E91" i="1"/>
  <c r="A91" i="1" s="1"/>
  <c r="B91" i="1" s="1"/>
  <c r="O90" i="1"/>
  <c r="N90" i="1"/>
  <c r="E90" i="1"/>
  <c r="A90" i="1" s="1"/>
  <c r="B90" i="1" s="1"/>
  <c r="O89" i="1"/>
  <c r="N89" i="1"/>
  <c r="E89" i="1"/>
  <c r="A89" i="1" s="1"/>
  <c r="B89" i="1" s="1"/>
  <c r="O88" i="1"/>
  <c r="N88" i="1"/>
  <c r="E88" i="1"/>
  <c r="A88" i="1" s="1"/>
  <c r="B88" i="1" s="1"/>
  <c r="O87" i="1"/>
  <c r="N87" i="1"/>
  <c r="E87" i="1"/>
  <c r="A87" i="1" s="1"/>
  <c r="O86" i="1"/>
  <c r="N86" i="1"/>
  <c r="E86" i="1"/>
  <c r="A86" i="1" s="1"/>
  <c r="B86" i="1" s="1"/>
  <c r="O85" i="1"/>
  <c r="N85" i="1"/>
  <c r="E85" i="1"/>
  <c r="A85" i="1" s="1"/>
  <c r="B85" i="1" s="1"/>
  <c r="O84" i="1"/>
  <c r="N84" i="1"/>
  <c r="E84" i="1"/>
  <c r="A84" i="1" s="1"/>
  <c r="O83" i="1"/>
  <c r="N83" i="1"/>
  <c r="E83" i="1"/>
  <c r="A83" i="1" s="1"/>
  <c r="B83" i="1" s="1"/>
  <c r="O82" i="1"/>
  <c r="N82" i="1"/>
  <c r="E82" i="1"/>
  <c r="A82" i="1" s="1"/>
  <c r="B82" i="1" s="1"/>
  <c r="O81" i="1"/>
  <c r="N81" i="1"/>
  <c r="E81" i="1"/>
  <c r="A81" i="1" s="1"/>
  <c r="B81" i="1" s="1"/>
  <c r="O80" i="1"/>
  <c r="N80" i="1"/>
  <c r="E80" i="1"/>
  <c r="A80" i="1" s="1"/>
  <c r="B80" i="1" s="1"/>
  <c r="O79" i="1"/>
  <c r="N79" i="1"/>
  <c r="E79" i="1"/>
  <c r="A79" i="1" s="1"/>
  <c r="B79" i="1" s="1"/>
  <c r="O78" i="1"/>
  <c r="N78" i="1"/>
  <c r="E78" i="1"/>
  <c r="A78" i="1" s="1"/>
  <c r="B78" i="1" s="1"/>
  <c r="O77" i="1"/>
  <c r="N77" i="1"/>
  <c r="E77" i="1"/>
  <c r="A77" i="1" s="1"/>
  <c r="B77" i="1" s="1"/>
  <c r="O76" i="1"/>
  <c r="N76" i="1"/>
  <c r="E76" i="1"/>
  <c r="A76" i="1" s="1"/>
  <c r="O75" i="1"/>
  <c r="N75" i="1"/>
  <c r="E75" i="1"/>
  <c r="A75" i="1" s="1"/>
  <c r="B75" i="1" s="1"/>
  <c r="O74" i="1"/>
  <c r="N74" i="1"/>
  <c r="E74" i="1"/>
  <c r="A74" i="1" s="1"/>
  <c r="B74" i="1" s="1"/>
  <c r="O73" i="1"/>
  <c r="N73" i="1"/>
  <c r="E73" i="1"/>
  <c r="A73" i="1" s="1"/>
  <c r="B73" i="1" s="1"/>
  <c r="O72" i="1"/>
  <c r="N72" i="1"/>
  <c r="E72" i="1"/>
  <c r="A72" i="1" s="1"/>
  <c r="B72" i="1" s="1"/>
  <c r="O71" i="1"/>
  <c r="N71" i="1"/>
  <c r="E71" i="1"/>
  <c r="A71" i="1" s="1"/>
  <c r="O70" i="1"/>
  <c r="N70" i="1"/>
  <c r="E70" i="1"/>
  <c r="A70" i="1" s="1"/>
  <c r="O69" i="1"/>
  <c r="N69" i="1"/>
  <c r="E69" i="1"/>
  <c r="A69" i="1" s="1"/>
  <c r="B69" i="1" s="1"/>
  <c r="O68" i="1"/>
  <c r="N68" i="1"/>
  <c r="E68" i="1"/>
  <c r="A68" i="1" s="1"/>
  <c r="B68" i="1" s="1"/>
  <c r="O67" i="1"/>
  <c r="N67" i="1"/>
  <c r="E67" i="1"/>
  <c r="A67" i="1" s="1"/>
  <c r="O66" i="1"/>
  <c r="N66" i="1"/>
  <c r="E66" i="1"/>
  <c r="A66" i="1" s="1"/>
  <c r="B66" i="1" s="1"/>
  <c r="O65" i="1"/>
  <c r="N65" i="1"/>
  <c r="E65" i="1"/>
  <c r="A65" i="1" s="1"/>
  <c r="B65" i="1" s="1"/>
  <c r="O64" i="1"/>
  <c r="N64" i="1"/>
  <c r="E64" i="1"/>
  <c r="A64" i="1" s="1"/>
  <c r="B64" i="1" s="1"/>
  <c r="O63" i="1"/>
  <c r="N63" i="1"/>
  <c r="E63" i="1"/>
  <c r="A63" i="1" s="1"/>
  <c r="B63" i="1" s="1"/>
  <c r="O62" i="1"/>
  <c r="N62" i="1"/>
  <c r="E62" i="1"/>
  <c r="A62" i="1" s="1"/>
  <c r="B62" i="1" s="1"/>
  <c r="O61" i="1"/>
  <c r="N61" i="1"/>
  <c r="E61" i="1"/>
  <c r="A61" i="1" s="1"/>
  <c r="B61" i="1" s="1"/>
  <c r="O60" i="1"/>
  <c r="N60" i="1"/>
  <c r="E60" i="1"/>
  <c r="A60" i="1" s="1"/>
  <c r="B60" i="1" s="1"/>
  <c r="O59" i="1"/>
  <c r="N59" i="1"/>
  <c r="E59" i="1"/>
  <c r="A59" i="1" s="1"/>
  <c r="O58" i="1"/>
  <c r="N58" i="1"/>
  <c r="E58" i="1"/>
  <c r="A58" i="1" s="1"/>
  <c r="O57" i="1"/>
  <c r="N57" i="1"/>
  <c r="E57" i="1"/>
  <c r="A57" i="1" s="1"/>
  <c r="B57" i="1" s="1"/>
  <c r="O56" i="1"/>
  <c r="N56" i="1"/>
  <c r="E56" i="1"/>
  <c r="A56" i="1" s="1"/>
  <c r="B56" i="1" s="1"/>
  <c r="O55" i="1"/>
  <c r="N55" i="1"/>
  <c r="E55" i="1"/>
  <c r="A55" i="1" s="1"/>
  <c r="O54" i="1"/>
  <c r="N54" i="1"/>
  <c r="E54" i="1"/>
  <c r="A54" i="1" s="1"/>
  <c r="B54" i="1" s="1"/>
  <c r="O53" i="1"/>
  <c r="N53" i="1"/>
  <c r="E53" i="1"/>
  <c r="A53" i="1" s="1"/>
  <c r="B53" i="1" s="1"/>
  <c r="O52" i="1"/>
  <c r="N52" i="1"/>
  <c r="E52" i="1"/>
  <c r="A52" i="1" s="1"/>
  <c r="O51" i="1"/>
  <c r="N51" i="1"/>
  <c r="E51" i="1"/>
  <c r="A51" i="1" s="1"/>
  <c r="O50" i="1"/>
  <c r="N50" i="1"/>
  <c r="E50" i="1"/>
  <c r="A50" i="1" s="1"/>
  <c r="B50" i="1" s="1"/>
  <c r="O49" i="1"/>
  <c r="N49" i="1"/>
  <c r="E49" i="1"/>
  <c r="A49" i="1" s="1"/>
  <c r="B49" i="1" s="1"/>
  <c r="O48" i="1"/>
  <c r="N48" i="1"/>
  <c r="E48" i="1"/>
  <c r="A48" i="1" s="1"/>
  <c r="B48" i="1" s="1"/>
  <c r="O47" i="1"/>
  <c r="N47" i="1"/>
  <c r="E47" i="1"/>
  <c r="A47" i="1" s="1"/>
  <c r="B47" i="1" s="1"/>
  <c r="O46" i="1"/>
  <c r="N46" i="1"/>
  <c r="E46" i="1"/>
  <c r="A46" i="1" s="1"/>
  <c r="B46" i="1" s="1"/>
  <c r="O45" i="1"/>
  <c r="N45" i="1"/>
  <c r="E45" i="1"/>
  <c r="A45" i="1" s="1"/>
  <c r="B45" i="1" s="1"/>
  <c r="O44" i="1"/>
  <c r="N44" i="1"/>
  <c r="E44" i="1"/>
  <c r="A44" i="1" s="1"/>
  <c r="B44" i="1" s="1"/>
  <c r="O43" i="1"/>
  <c r="N43" i="1"/>
  <c r="E43" i="1"/>
  <c r="A43" i="1" s="1"/>
  <c r="B43" i="1" s="1"/>
  <c r="O42" i="1"/>
  <c r="N42" i="1"/>
  <c r="E42" i="1"/>
  <c r="A42" i="1" s="1"/>
  <c r="O41" i="1"/>
  <c r="N41" i="1"/>
  <c r="E41" i="1"/>
  <c r="A41" i="1" s="1"/>
  <c r="B41" i="1" s="1"/>
  <c r="O40" i="1"/>
  <c r="N40" i="1"/>
  <c r="E40" i="1"/>
  <c r="A40" i="1" s="1"/>
  <c r="B40" i="1" s="1"/>
  <c r="O39" i="1"/>
  <c r="N39" i="1"/>
  <c r="E39" i="1"/>
  <c r="A39" i="1" s="1"/>
  <c r="B39" i="1" s="1"/>
  <c r="O38" i="1"/>
  <c r="N38" i="1"/>
  <c r="E38" i="1"/>
  <c r="A38" i="1" s="1"/>
  <c r="B38" i="1" s="1"/>
  <c r="O37" i="1"/>
  <c r="N37" i="1"/>
  <c r="E37" i="1"/>
  <c r="A37" i="1" s="1"/>
  <c r="B37" i="1" s="1"/>
  <c r="O36" i="1"/>
  <c r="N36" i="1"/>
  <c r="E36" i="1"/>
  <c r="A36" i="1" s="1"/>
  <c r="B36" i="1" s="1"/>
  <c r="O35" i="1"/>
  <c r="N35" i="1"/>
  <c r="E35" i="1"/>
  <c r="A35" i="1" s="1"/>
  <c r="B35" i="1" s="1"/>
  <c r="O34" i="1"/>
  <c r="N34" i="1"/>
  <c r="E34" i="1"/>
  <c r="A34" i="1" s="1"/>
  <c r="B34" i="1" s="1"/>
  <c r="O33" i="1"/>
  <c r="N33" i="1"/>
  <c r="E33" i="1"/>
  <c r="A33" i="1" s="1"/>
  <c r="B33" i="1" s="1"/>
  <c r="O32" i="1"/>
  <c r="N32" i="1"/>
  <c r="E32" i="1"/>
  <c r="A32" i="1" s="1"/>
  <c r="B32" i="1" s="1"/>
  <c r="O31" i="1"/>
  <c r="N31" i="1"/>
  <c r="E31" i="1"/>
  <c r="A31" i="1" s="1"/>
  <c r="B31" i="1" s="1"/>
  <c r="O30" i="1"/>
  <c r="N30" i="1"/>
  <c r="E30" i="1"/>
  <c r="A30" i="1" s="1"/>
  <c r="B30" i="1" s="1"/>
  <c r="O29" i="1"/>
  <c r="N29" i="1"/>
  <c r="E29" i="1"/>
  <c r="A29" i="1" s="1"/>
  <c r="B29" i="1" s="1"/>
  <c r="O28" i="1"/>
  <c r="N28" i="1"/>
  <c r="E28" i="1"/>
  <c r="A28" i="1" s="1"/>
  <c r="B28" i="1" s="1"/>
  <c r="O27" i="1"/>
  <c r="N27" i="1"/>
  <c r="E27" i="1"/>
  <c r="A27" i="1" s="1"/>
  <c r="B27" i="1" s="1"/>
  <c r="O26" i="1"/>
  <c r="N26" i="1"/>
  <c r="E26" i="1"/>
  <c r="A26" i="1" s="1"/>
  <c r="B26" i="1" s="1"/>
  <c r="O25" i="1"/>
  <c r="N25" i="1"/>
  <c r="E25" i="1"/>
  <c r="A25" i="1" s="1"/>
  <c r="B25" i="1" s="1"/>
  <c r="O24" i="1"/>
  <c r="N24" i="1"/>
  <c r="E24" i="1"/>
  <c r="A24" i="1" s="1"/>
  <c r="B24" i="1" s="1"/>
  <c r="O23" i="1"/>
  <c r="N23" i="1"/>
  <c r="E23" i="1"/>
  <c r="A23" i="1" s="1"/>
  <c r="B23" i="1" s="1"/>
  <c r="O22" i="1"/>
  <c r="N22" i="1"/>
  <c r="E22" i="1"/>
  <c r="A22" i="1" s="1"/>
  <c r="B22" i="1" s="1"/>
  <c r="O21" i="1"/>
  <c r="N21" i="1"/>
  <c r="E21" i="1"/>
  <c r="A21" i="1" s="1"/>
  <c r="B21" i="1" s="1"/>
  <c r="O20" i="1"/>
  <c r="N20" i="1"/>
  <c r="E20" i="1"/>
  <c r="A20" i="1" s="1"/>
  <c r="B20" i="1" s="1"/>
  <c r="O19" i="1"/>
  <c r="N19" i="1"/>
  <c r="E19" i="1"/>
  <c r="A19" i="1" s="1"/>
  <c r="B19" i="1" s="1"/>
  <c r="O18" i="1"/>
  <c r="N18" i="1"/>
  <c r="E18" i="1"/>
  <c r="A18" i="1" s="1"/>
  <c r="B18" i="1" s="1"/>
  <c r="O17" i="1"/>
  <c r="N17" i="1"/>
  <c r="E17" i="1"/>
  <c r="A17" i="1" s="1"/>
  <c r="B17" i="1" s="1"/>
  <c r="O16" i="1"/>
  <c r="N16" i="1"/>
  <c r="E16" i="1"/>
  <c r="A16" i="1" s="1"/>
  <c r="B16" i="1" s="1"/>
  <c r="O15" i="1"/>
  <c r="N15" i="1"/>
  <c r="E15" i="1"/>
  <c r="A15" i="1" s="1"/>
  <c r="B15" i="1" s="1"/>
  <c r="O14" i="1"/>
  <c r="N14" i="1"/>
  <c r="E14" i="1"/>
  <c r="A14" i="1" s="1"/>
  <c r="B14" i="1" s="1"/>
  <c r="O13" i="1"/>
  <c r="N13" i="1"/>
  <c r="E13" i="1"/>
  <c r="A13" i="1" s="1"/>
  <c r="B13" i="1" s="1"/>
  <c r="O12" i="1"/>
  <c r="N12" i="1"/>
  <c r="E12" i="1"/>
  <c r="A12" i="1" s="1"/>
  <c r="B12" i="1" s="1"/>
  <c r="O11" i="1"/>
  <c r="N11" i="1"/>
  <c r="E11" i="1"/>
  <c r="A11" i="1" s="1"/>
  <c r="B11" i="1" s="1"/>
  <c r="O10" i="1"/>
  <c r="N10" i="1"/>
  <c r="E10" i="1"/>
  <c r="A10" i="1" s="1"/>
  <c r="B10" i="1" s="1"/>
  <c r="O9" i="1"/>
  <c r="N9" i="1"/>
  <c r="E9" i="1"/>
  <c r="A9" i="1" s="1"/>
  <c r="B9" i="1" s="1"/>
  <c r="O8" i="1"/>
  <c r="N8" i="1"/>
  <c r="E8" i="1"/>
  <c r="A8" i="1" s="1"/>
  <c r="O7" i="1"/>
  <c r="N7" i="1"/>
  <c r="E7" i="1"/>
  <c r="A7" i="1" s="1"/>
  <c r="B7" i="1" s="1"/>
  <c r="O6" i="1"/>
  <c r="N6" i="1"/>
  <c r="E6" i="1"/>
  <c r="A6" i="1" s="1"/>
  <c r="O5" i="1"/>
  <c r="N5" i="1"/>
  <c r="E5" i="1"/>
  <c r="A5" i="1" s="1"/>
  <c r="B5" i="1" s="1"/>
  <c r="O4" i="1"/>
  <c r="N4" i="1"/>
  <c r="E4" i="1"/>
  <c r="A4" i="1" s="1"/>
  <c r="O3" i="1"/>
  <c r="N3" i="1"/>
  <c r="E3" i="1"/>
  <c r="A3" i="1" s="1"/>
  <c r="O2" i="1"/>
  <c r="N2" i="1"/>
  <c r="E2" i="1"/>
  <c r="B69" i="4" l="1"/>
  <c r="C229" i="4"/>
  <c r="C52" i="4"/>
  <c r="C84" i="4"/>
  <c r="C212" i="4"/>
  <c r="C220" i="4"/>
  <c r="C588" i="4"/>
  <c r="C51" i="4"/>
  <c r="C59" i="4"/>
  <c r="C179" i="4"/>
  <c r="C187" i="4"/>
  <c r="B606" i="4"/>
  <c r="B102" i="4"/>
  <c r="B118" i="4"/>
  <c r="C190" i="4"/>
  <c r="C214" i="4"/>
  <c r="C222" i="4"/>
  <c r="J129" i="4"/>
  <c r="G424" i="4"/>
  <c r="E1284" i="4"/>
  <c r="J960" i="4"/>
  <c r="I856" i="4"/>
  <c r="B879" i="4"/>
  <c r="C1036" i="4"/>
  <c r="B233" i="4"/>
  <c r="J879" i="4"/>
  <c r="B7" i="2"/>
  <c r="B1060" i="4"/>
  <c r="C42" i="4"/>
  <c r="B1056" i="4"/>
  <c r="G129" i="4"/>
  <c r="I84" i="4"/>
  <c r="E321" i="4"/>
  <c r="C1334" i="4"/>
  <c r="G321" i="4"/>
  <c r="C684" i="4"/>
  <c r="H321" i="4"/>
  <c r="P12" i="3" s="1"/>
  <c r="F440" i="4"/>
  <c r="G829" i="4"/>
  <c r="D1047" i="4"/>
  <c r="I60" i="4"/>
  <c r="E339" i="4"/>
  <c r="H393" i="4"/>
  <c r="E588" i="4"/>
  <c r="E839" i="4"/>
  <c r="G932" i="4"/>
  <c r="G992" i="4"/>
  <c r="I1309" i="4"/>
  <c r="B1393" i="4"/>
  <c r="B90" i="4"/>
  <c r="C150" i="4"/>
  <c r="H245" i="4"/>
  <c r="B268" i="4"/>
  <c r="J462" i="4"/>
  <c r="B498" i="4"/>
  <c r="D521" i="4"/>
  <c r="H528" i="4"/>
  <c r="B575" i="4"/>
  <c r="G1066" i="4"/>
  <c r="B1071" i="4"/>
  <c r="F115" i="4"/>
  <c r="B300" i="4"/>
  <c r="G336" i="4"/>
  <c r="I814" i="4"/>
  <c r="F950" i="4"/>
  <c r="H1079" i="4"/>
  <c r="H50" i="4"/>
  <c r="C196" i="4"/>
  <c r="G591" i="4"/>
  <c r="F183" i="4"/>
  <c r="E190" i="4"/>
  <c r="E196" i="4"/>
  <c r="G479" i="4"/>
  <c r="G578" i="4"/>
  <c r="E724" i="4"/>
  <c r="G747" i="4"/>
  <c r="G879" i="4"/>
  <c r="H885" i="4"/>
  <c r="C1056" i="4"/>
  <c r="C1068" i="4"/>
  <c r="G1074" i="4"/>
  <c r="F1142" i="4"/>
  <c r="E1344" i="4"/>
  <c r="G14" i="4"/>
  <c r="D60" i="4"/>
  <c r="G74" i="4"/>
  <c r="G170" i="4"/>
  <c r="C339" i="4"/>
  <c r="H377" i="4"/>
  <c r="B430" i="4"/>
  <c r="E467" i="4"/>
  <c r="C811" i="4"/>
  <c r="F825" i="4"/>
  <c r="D860" i="4"/>
  <c r="E917" i="4"/>
  <c r="E932" i="4"/>
  <c r="G1030" i="4"/>
  <c r="J14" i="4"/>
  <c r="I36" i="4"/>
  <c r="E90" i="4"/>
  <c r="D96" i="4"/>
  <c r="F151" i="4"/>
  <c r="G196" i="4"/>
  <c r="C290" i="4"/>
  <c r="I311" i="4"/>
  <c r="H424" i="4"/>
  <c r="G470" i="4"/>
  <c r="F596" i="4"/>
  <c r="H726" i="4"/>
  <c r="E753" i="4"/>
  <c r="E1032" i="4"/>
  <c r="H1036" i="4"/>
  <c r="E1181" i="4"/>
  <c r="G1387" i="4"/>
  <c r="I4" i="2"/>
  <c r="J1032" i="4"/>
  <c r="F44" i="4"/>
  <c r="G86" i="4"/>
  <c r="H119" i="4"/>
  <c r="C197" i="4"/>
  <c r="G338" i="4"/>
  <c r="I421" i="4"/>
  <c r="E425" i="4"/>
  <c r="E430" i="4"/>
  <c r="D466" i="4"/>
  <c r="C471" i="4"/>
  <c r="G506" i="4"/>
  <c r="J578" i="4"/>
  <c r="J591" i="4"/>
  <c r="C619" i="4"/>
  <c r="B631" i="4"/>
  <c r="J654" i="4"/>
  <c r="C749" i="4"/>
  <c r="J885" i="4"/>
  <c r="I954" i="4"/>
  <c r="D968" i="4"/>
  <c r="C989" i="4"/>
  <c r="B1104" i="4"/>
  <c r="C1110" i="4"/>
  <c r="B1198" i="4"/>
  <c r="B1250" i="4"/>
  <c r="B1291" i="4"/>
  <c r="F1305" i="4"/>
  <c r="H1348" i="4"/>
  <c r="C70" i="4"/>
  <c r="F4" i="4"/>
  <c r="C38" i="4"/>
  <c r="J106" i="4"/>
  <c r="C175" i="4"/>
  <c r="E235" i="4"/>
  <c r="E325" i="4"/>
  <c r="I425" i="4"/>
  <c r="G453" i="4"/>
  <c r="E471" i="4"/>
  <c r="E527" i="4"/>
  <c r="D619" i="4"/>
  <c r="D693" i="4"/>
  <c r="D708" i="4"/>
  <c r="F715" i="4"/>
  <c r="F749" i="4"/>
  <c r="H815" i="4"/>
  <c r="C868" i="4"/>
  <c r="C880" i="4"/>
  <c r="F922" i="4"/>
  <c r="H929" i="4"/>
  <c r="G989" i="4"/>
  <c r="B993" i="4"/>
  <c r="F1110" i="4"/>
  <c r="G1161" i="4"/>
  <c r="I1214" i="4"/>
  <c r="C1250" i="4"/>
  <c r="F1355" i="4"/>
  <c r="E1377" i="4"/>
  <c r="C191" i="4"/>
  <c r="F175" i="4"/>
  <c r="G619" i="4"/>
  <c r="I737" i="4"/>
  <c r="E796" i="4"/>
  <c r="D829" i="4"/>
  <c r="J989" i="4"/>
  <c r="H993" i="4"/>
  <c r="D1030" i="4"/>
  <c r="D1066" i="4"/>
  <c r="F1126" i="4"/>
  <c r="E1229" i="4"/>
  <c r="E1250" i="4"/>
  <c r="G1286" i="4"/>
  <c r="G1377" i="4"/>
  <c r="E6" i="4"/>
  <c r="F27" i="4"/>
  <c r="C95" i="4"/>
  <c r="I129" i="4"/>
  <c r="G150" i="4"/>
  <c r="H190" i="4"/>
  <c r="D196" i="4"/>
  <c r="D231" i="4"/>
  <c r="D259" i="4"/>
  <c r="E424" i="4"/>
  <c r="C516" i="4"/>
  <c r="J843" i="4"/>
  <c r="F911" i="4"/>
  <c r="B945" i="4"/>
  <c r="C990" i="4"/>
  <c r="B1036" i="4"/>
  <c r="H1093" i="4"/>
  <c r="D1142" i="4"/>
  <c r="C102" i="4"/>
  <c r="G22" i="4"/>
  <c r="C34" i="4"/>
  <c r="E55" i="4"/>
  <c r="F79" i="4"/>
  <c r="E224" i="4"/>
  <c r="I265" i="4"/>
  <c r="C271" i="4"/>
  <c r="E300" i="4"/>
  <c r="G307" i="4"/>
  <c r="D343" i="4"/>
  <c r="I374" i="4"/>
  <c r="C385" i="4"/>
  <c r="G425" i="4"/>
  <c r="C430" i="4"/>
  <c r="C457" i="4"/>
  <c r="G467" i="4"/>
  <c r="G484" i="4"/>
  <c r="B531" i="4"/>
  <c r="G535" i="4"/>
  <c r="G547" i="4"/>
  <c r="G551" i="4"/>
  <c r="H591" i="4"/>
  <c r="B615" i="4"/>
  <c r="C636" i="4"/>
  <c r="J666" i="4"/>
  <c r="B679" i="4"/>
  <c r="J737" i="4"/>
  <c r="D749" i="4"/>
  <c r="D781" i="4"/>
  <c r="J811" i="4"/>
  <c r="J815" i="4"/>
  <c r="B826" i="4"/>
  <c r="I833" i="4"/>
  <c r="F839" i="4"/>
  <c r="I885" i="4"/>
  <c r="I890" i="4"/>
  <c r="I932" i="4"/>
  <c r="I939" i="4"/>
  <c r="F978" i="4"/>
  <c r="F1030" i="4"/>
  <c r="D1036" i="4"/>
  <c r="F1056" i="4"/>
  <c r="C1157" i="4"/>
  <c r="H1173" i="4"/>
  <c r="B1240" i="4"/>
  <c r="D1250" i="4"/>
  <c r="B1261" i="4"/>
  <c r="C1273" i="4"/>
  <c r="J1324" i="4"/>
  <c r="D1331" i="4"/>
  <c r="C1359" i="4"/>
  <c r="G1364" i="4"/>
  <c r="I1377" i="4"/>
  <c r="C1383" i="4"/>
  <c r="I1387" i="4"/>
  <c r="F224" i="4"/>
  <c r="D271" i="4"/>
  <c r="I307" i="4"/>
  <c r="D385" i="4"/>
  <c r="E531" i="4"/>
  <c r="H535" i="4"/>
  <c r="H547" i="4"/>
  <c r="E636" i="4"/>
  <c r="G781" i="4"/>
  <c r="D826" i="4"/>
  <c r="D1157" i="4"/>
  <c r="I1240" i="4"/>
  <c r="E1331" i="4"/>
  <c r="G1359" i="4"/>
  <c r="F1383" i="4"/>
  <c r="H23" i="4"/>
  <c r="D40" i="4"/>
  <c r="E70" i="4"/>
  <c r="H74" i="4"/>
  <c r="C92" i="4"/>
  <c r="C111" i="4"/>
  <c r="H115" i="4"/>
  <c r="I153" i="4"/>
  <c r="C186" i="4"/>
  <c r="F190" i="4"/>
  <c r="D212" i="4"/>
  <c r="H224" i="4"/>
  <c r="G15" i="3" s="1"/>
  <c r="F235" i="4"/>
  <c r="G255" i="4"/>
  <c r="E292" i="4"/>
  <c r="I296" i="4"/>
  <c r="I330" i="4"/>
  <c r="I336" i="4"/>
  <c r="D339" i="4"/>
  <c r="E385" i="4"/>
  <c r="D420" i="4"/>
  <c r="H479" i="4"/>
  <c r="D485" i="4"/>
  <c r="D498" i="4"/>
  <c r="F516" i="4"/>
  <c r="G531" i="4"/>
  <c r="I535" i="4"/>
  <c r="J547" i="4"/>
  <c r="D566" i="4"/>
  <c r="G582" i="4"/>
  <c r="F588" i="4"/>
  <c r="E616" i="4"/>
  <c r="B643" i="4"/>
  <c r="C680" i="4"/>
  <c r="D684" i="4"/>
  <c r="C695" i="4"/>
  <c r="G715" i="4"/>
  <c r="G721" i="4"/>
  <c r="B763" i="4"/>
  <c r="C823" i="4"/>
  <c r="E826" i="4"/>
  <c r="F986" i="4"/>
  <c r="C993" i="4"/>
  <c r="G1034" i="4"/>
  <c r="C1044" i="4"/>
  <c r="D1071" i="4"/>
  <c r="F1076" i="4"/>
  <c r="I1126" i="4"/>
  <c r="G1132" i="4"/>
  <c r="H1157" i="4"/>
  <c r="C1162" i="4"/>
  <c r="B1235" i="4"/>
  <c r="H1305" i="4"/>
  <c r="I1331" i="4"/>
  <c r="I1348" i="4"/>
  <c r="C535" i="4"/>
  <c r="J18" i="4"/>
  <c r="J30" i="4"/>
  <c r="F36" i="4"/>
  <c r="F40" i="4"/>
  <c r="F51" i="4"/>
  <c r="G70" i="4"/>
  <c r="F92" i="4"/>
  <c r="F111" i="4"/>
  <c r="E186" i="4"/>
  <c r="G190" i="4"/>
  <c r="G220" i="4"/>
  <c r="J224" i="4"/>
  <c r="I235" i="4"/>
  <c r="F292" i="4"/>
  <c r="E393" i="4"/>
  <c r="F420" i="4"/>
  <c r="F485" i="4"/>
  <c r="J531" i="4"/>
  <c r="D578" i="4"/>
  <c r="H588" i="4"/>
  <c r="C605" i="4"/>
  <c r="B611" i="4"/>
  <c r="F616" i="4"/>
  <c r="C620" i="4"/>
  <c r="C632" i="4"/>
  <c r="C643" i="4"/>
  <c r="F680" i="4"/>
  <c r="G684" i="4"/>
  <c r="B727" i="4"/>
  <c r="J750" i="4"/>
  <c r="H782" i="4"/>
  <c r="E802" i="4"/>
  <c r="G823" i="4"/>
  <c r="G826" i="4"/>
  <c r="B847" i="4"/>
  <c r="B854" i="4"/>
  <c r="H886" i="4"/>
  <c r="G912" i="4"/>
  <c r="H925" i="4"/>
  <c r="E965" i="4"/>
  <c r="B976" i="4"/>
  <c r="F1044" i="4"/>
  <c r="B1048" i="4"/>
  <c r="F1058" i="4"/>
  <c r="E1096" i="4"/>
  <c r="F1109" i="4"/>
  <c r="H1132" i="4"/>
  <c r="B1248" i="4"/>
  <c r="D1258" i="4"/>
  <c r="C1263" i="4"/>
  <c r="B114" i="4"/>
  <c r="H70" i="4"/>
  <c r="C123" i="4"/>
  <c r="G186" i="4"/>
  <c r="J292" i="4"/>
  <c r="G420" i="4"/>
  <c r="H727" i="4"/>
  <c r="H802" i="4"/>
  <c r="I931" i="4"/>
  <c r="E954" i="4"/>
  <c r="I976" i="4"/>
  <c r="E990" i="4"/>
  <c r="C1032" i="4"/>
  <c r="C1048" i="4"/>
  <c r="H1058" i="4"/>
  <c r="D1068" i="4"/>
  <c r="F1084" i="4"/>
  <c r="I1263" i="4"/>
  <c r="C1294" i="4"/>
  <c r="I1301" i="4"/>
  <c r="I1338" i="4"/>
  <c r="C112" i="4"/>
  <c r="H123" i="4"/>
  <c r="J190" i="4"/>
  <c r="C316" i="4"/>
  <c r="G326" i="4"/>
  <c r="C338" i="4"/>
  <c r="D377" i="4"/>
  <c r="C401" i="4"/>
  <c r="G448" i="4"/>
  <c r="B514" i="4"/>
  <c r="C518" i="4"/>
  <c r="E545" i="4"/>
  <c r="E568" i="4"/>
  <c r="E644" i="4"/>
  <c r="I670" i="4"/>
  <c r="C685" i="4"/>
  <c r="E827" i="4"/>
  <c r="E843" i="4"/>
  <c r="F855" i="4"/>
  <c r="E1068" i="4"/>
  <c r="G1084" i="4"/>
  <c r="B1110" i="4"/>
  <c r="H1214" i="4"/>
  <c r="E1231" i="4"/>
  <c r="G1381" i="4"/>
  <c r="B450" i="4"/>
  <c r="H42" i="4"/>
  <c r="B290" i="4"/>
  <c r="E377" i="4"/>
  <c r="D409" i="4"/>
  <c r="F421" i="4"/>
  <c r="G462" i="4"/>
  <c r="B467" i="4"/>
  <c r="D514" i="4"/>
  <c r="H568" i="4"/>
  <c r="D629" i="4"/>
  <c r="F644" i="4"/>
  <c r="J670" i="4"/>
  <c r="G682" i="4"/>
  <c r="F685" i="4"/>
  <c r="B706" i="4"/>
  <c r="H827" i="4"/>
  <c r="H909" i="4"/>
  <c r="E927" i="4"/>
  <c r="G1024" i="4"/>
  <c r="J1024" i="4"/>
  <c r="E1024" i="4"/>
  <c r="D1024" i="4"/>
  <c r="J10" i="4"/>
  <c r="E19" i="4"/>
  <c r="H34" i="4"/>
  <c r="I37" i="4"/>
  <c r="G58" i="4"/>
  <c r="C66" i="4"/>
  <c r="E107" i="4"/>
  <c r="E122" i="4"/>
  <c r="C154" i="4"/>
  <c r="F186" i="4"/>
  <c r="H196" i="4"/>
  <c r="E212" i="4"/>
  <c r="G216" i="4"/>
  <c r="G224" i="4"/>
  <c r="F228" i="4"/>
  <c r="G231" i="4"/>
  <c r="G235" i="4"/>
  <c r="F260" i="4"/>
  <c r="B264" i="4"/>
  <c r="C276" i="4"/>
  <c r="C281" i="4"/>
  <c r="E290" i="4"/>
  <c r="G292" i="4"/>
  <c r="C306" i="4"/>
  <c r="G343" i="4"/>
  <c r="C357" i="4"/>
  <c r="E370" i="4"/>
  <c r="C414" i="4"/>
  <c r="H440" i="4"/>
  <c r="I457" i="4"/>
  <c r="J479" i="4"/>
  <c r="G495" i="4"/>
  <c r="G502" i="4"/>
  <c r="F521" i="4"/>
  <c r="B534" i="4"/>
  <c r="J535" i="4"/>
  <c r="B542" i="4"/>
  <c r="E556" i="4"/>
  <c r="G575" i="4"/>
  <c r="D605" i="4"/>
  <c r="I668" i="4"/>
  <c r="B668" i="4"/>
  <c r="I867" i="4"/>
  <c r="J867" i="4"/>
  <c r="H867" i="4"/>
  <c r="G918" i="4"/>
  <c r="C933" i="4"/>
  <c r="J933" i="4"/>
  <c r="I933" i="4"/>
  <c r="H933" i="4"/>
  <c r="G933" i="4"/>
  <c r="E933" i="4"/>
  <c r="B1033" i="4"/>
  <c r="J1033" i="4"/>
  <c r="I1033" i="4"/>
  <c r="H1033" i="4"/>
  <c r="B122" i="4"/>
  <c r="G25" i="4"/>
  <c r="J34" i="4"/>
  <c r="B46" i="4"/>
  <c r="B50" i="4"/>
  <c r="J58" i="4"/>
  <c r="H66" i="4"/>
  <c r="H107" i="4"/>
  <c r="G122" i="4"/>
  <c r="E154" i="4"/>
  <c r="F212" i="4"/>
  <c r="H216" i="4"/>
  <c r="K15" i="3" s="1"/>
  <c r="G228" i="4"/>
  <c r="G260" i="4"/>
  <c r="F264" i="4"/>
  <c r="F276" i="4"/>
  <c r="G281" i="4"/>
  <c r="E306" i="4"/>
  <c r="E357" i="4"/>
  <c r="F370" i="4"/>
  <c r="H495" i="4"/>
  <c r="I521" i="4"/>
  <c r="C534" i="4"/>
  <c r="I542" i="4"/>
  <c r="H556" i="4"/>
  <c r="I606" i="4"/>
  <c r="G606" i="4"/>
  <c r="I664" i="4"/>
  <c r="H664" i="4"/>
  <c r="B734" i="4"/>
  <c r="E734" i="4"/>
  <c r="E884" i="4"/>
  <c r="J884" i="4"/>
  <c r="I884" i="4"/>
  <c r="G884" i="4"/>
  <c r="B884" i="4"/>
  <c r="J941" i="4"/>
  <c r="I941" i="4"/>
  <c r="J1000" i="4"/>
  <c r="E1000" i="4"/>
  <c r="G1020" i="4"/>
  <c r="J1020" i="4"/>
  <c r="H1020" i="4"/>
  <c r="E1020" i="4"/>
  <c r="I1067" i="4"/>
  <c r="H1067" i="4"/>
  <c r="E1067" i="4"/>
  <c r="D1067" i="4"/>
  <c r="C1067" i="4"/>
  <c r="C1143" i="4"/>
  <c r="I1143" i="4"/>
  <c r="G1143" i="4"/>
  <c r="D1143" i="4"/>
  <c r="J1227" i="4"/>
  <c r="I1227" i="4"/>
  <c r="H1227" i="4"/>
  <c r="C1328" i="4"/>
  <c r="E1328" i="4"/>
  <c r="G626" i="4"/>
  <c r="J626" i="4"/>
  <c r="E46" i="4"/>
  <c r="B81" i="4"/>
  <c r="B106" i="4"/>
  <c r="H122" i="4"/>
  <c r="H209" i="4"/>
  <c r="D14" i="3" s="1"/>
  <c r="J216" i="4"/>
  <c r="H228" i="4"/>
  <c r="E15" i="3" s="1"/>
  <c r="C258" i="4"/>
  <c r="I260" i="4"/>
  <c r="G264" i="4"/>
  <c r="G276" i="4"/>
  <c r="H281" i="4"/>
  <c r="C291" i="4"/>
  <c r="C341" i="4"/>
  <c r="G357" i="4"/>
  <c r="G379" i="4"/>
  <c r="I415" i="4"/>
  <c r="F464" i="4"/>
  <c r="G480" i="4"/>
  <c r="H491" i="4"/>
  <c r="J495" i="4"/>
  <c r="D534" i="4"/>
  <c r="J542" i="4"/>
  <c r="D562" i="4"/>
  <c r="D567" i="4"/>
  <c r="B567" i="4"/>
  <c r="F794" i="4"/>
  <c r="I794" i="4"/>
  <c r="G794" i="4"/>
  <c r="B794" i="4"/>
  <c r="C822" i="4"/>
  <c r="H822" i="4"/>
  <c r="G822" i="4"/>
  <c r="E822" i="4"/>
  <c r="D1279" i="4"/>
  <c r="I1279" i="4"/>
  <c r="I1314" i="4"/>
  <c r="E1314" i="4"/>
  <c r="H974" i="4"/>
  <c r="F974" i="4"/>
  <c r="H1253" i="4"/>
  <c r="G1253" i="4"/>
  <c r="D1253" i="4"/>
  <c r="E32" i="2"/>
  <c r="H6" i="4"/>
  <c r="B18" i="4"/>
  <c r="C26" i="4"/>
  <c r="F35" i="4"/>
  <c r="E38" i="4"/>
  <c r="H46" i="4"/>
  <c r="J50" i="4"/>
  <c r="F55" i="4"/>
  <c r="E59" i="4"/>
  <c r="D81" i="4"/>
  <c r="J90" i="4"/>
  <c r="C106" i="4"/>
  <c r="H151" i="4"/>
  <c r="F178" i="4"/>
  <c r="E187" i="4"/>
  <c r="E197" i="4"/>
  <c r="I213" i="4"/>
  <c r="J228" i="4"/>
  <c r="D236" i="4"/>
  <c r="I258" i="4"/>
  <c r="I264" i="4"/>
  <c r="E274" i="4"/>
  <c r="D291" i="4"/>
  <c r="D293" i="4"/>
  <c r="G324" i="4"/>
  <c r="E341" i="4"/>
  <c r="C353" i="4"/>
  <c r="F410" i="4"/>
  <c r="G437" i="4"/>
  <c r="F456" i="4"/>
  <c r="G464" i="4"/>
  <c r="C500" i="4"/>
  <c r="G510" i="4"/>
  <c r="E518" i="4"/>
  <c r="G562" i="4"/>
  <c r="C567" i="4"/>
  <c r="D603" i="4"/>
  <c r="J603" i="4"/>
  <c r="H603" i="4"/>
  <c r="B603" i="4"/>
  <c r="I635" i="4"/>
  <c r="H635" i="4"/>
  <c r="E635" i="4"/>
  <c r="B635" i="4"/>
  <c r="J664" i="4"/>
  <c r="H770" i="4"/>
  <c r="D822" i="4"/>
  <c r="I844" i="4"/>
  <c r="C844" i="4"/>
  <c r="I875" i="4"/>
  <c r="E875" i="4"/>
  <c r="I915" i="4"/>
  <c r="C915" i="4"/>
  <c r="F926" i="4"/>
  <c r="J936" i="4"/>
  <c r="D936" i="4"/>
  <c r="B936" i="4"/>
  <c r="D1028" i="4"/>
  <c r="J1028" i="4"/>
  <c r="I1174" i="4"/>
  <c r="H1279" i="4"/>
  <c r="G18" i="4"/>
  <c r="E26" i="4"/>
  <c r="J46" i="4"/>
  <c r="H55" i="4"/>
  <c r="F59" i="4"/>
  <c r="C63" i="4"/>
  <c r="E78" i="4"/>
  <c r="G81" i="4"/>
  <c r="E106" i="4"/>
  <c r="F187" i="4"/>
  <c r="I197" i="4"/>
  <c r="I236" i="4"/>
  <c r="B15" i="3" s="1"/>
  <c r="F243" i="4"/>
  <c r="F274" i="4"/>
  <c r="E291" i="4"/>
  <c r="I293" i="4"/>
  <c r="I303" i="4"/>
  <c r="C307" i="4"/>
  <c r="D311" i="4"/>
  <c r="D315" i="4"/>
  <c r="B336" i="4"/>
  <c r="G341" i="4"/>
  <c r="C377" i="4"/>
  <c r="C405" i="4"/>
  <c r="H420" i="4"/>
  <c r="D424" i="4"/>
  <c r="H456" i="4"/>
  <c r="H464" i="4"/>
  <c r="C479" i="4"/>
  <c r="I486" i="4"/>
  <c r="F500" i="4"/>
  <c r="I510" i="4"/>
  <c r="H515" i="4"/>
  <c r="J562" i="4"/>
  <c r="D582" i="4"/>
  <c r="J598" i="4"/>
  <c r="D598" i="4"/>
  <c r="G603" i="4"/>
  <c r="C748" i="4"/>
  <c r="I748" i="4"/>
  <c r="H748" i="4"/>
  <c r="G748" i="4"/>
  <c r="F748" i="4"/>
  <c r="E748" i="4"/>
  <c r="J904" i="4"/>
  <c r="I904" i="4"/>
  <c r="J1035" i="4"/>
  <c r="H1035" i="4"/>
  <c r="D1035" i="4"/>
  <c r="C1035" i="4"/>
  <c r="C1054" i="4"/>
  <c r="H1054" i="4"/>
  <c r="F1054" i="4"/>
  <c r="D1054" i="4"/>
  <c r="B1054" i="4"/>
  <c r="G1072" i="4"/>
  <c r="D1072" i="4"/>
  <c r="C1072" i="4"/>
  <c r="B1072" i="4"/>
  <c r="G1358" i="4"/>
  <c r="E1358" i="4"/>
  <c r="E22" i="2"/>
  <c r="F3" i="4"/>
  <c r="H18" i="4"/>
  <c r="E74" i="4"/>
  <c r="G78" i="4"/>
  <c r="J81" i="4"/>
  <c r="F95" i="4"/>
  <c r="H106" i="4"/>
  <c r="E115" i="4"/>
  <c r="B186" i="4"/>
  <c r="H187" i="4"/>
  <c r="D224" i="4"/>
  <c r="H243" i="4"/>
  <c r="F248" i="4"/>
  <c r="C255" i="4"/>
  <c r="I274" i="4"/>
  <c r="E307" i="4"/>
  <c r="I456" i="4"/>
  <c r="E479" i="4"/>
  <c r="H500" i="4"/>
  <c r="J671" i="4"/>
  <c r="E671" i="4"/>
  <c r="D748" i="4"/>
  <c r="E904" i="4"/>
  <c r="H961" i="4"/>
  <c r="E961" i="4"/>
  <c r="C961" i="4"/>
  <c r="D1154" i="4"/>
  <c r="F1154" i="4"/>
  <c r="E1154" i="4"/>
  <c r="B1171" i="4"/>
  <c r="D1171" i="4"/>
  <c r="J1218" i="4"/>
  <c r="I1218" i="4"/>
  <c r="D1257" i="4"/>
  <c r="J1292" i="4"/>
  <c r="E1292" i="4"/>
  <c r="J1335" i="4"/>
  <c r="C1358" i="4"/>
  <c r="B216" i="1"/>
  <c r="B216" i="4" s="1"/>
  <c r="D575" i="4"/>
  <c r="J575" i="4"/>
  <c r="I687" i="4"/>
  <c r="J687" i="4"/>
  <c r="G687" i="4"/>
  <c r="F687" i="4"/>
  <c r="C743" i="4"/>
  <c r="E743" i="4"/>
  <c r="D803" i="4"/>
  <c r="H803" i="4"/>
  <c r="G803" i="4"/>
  <c r="I859" i="4"/>
  <c r="J859" i="4"/>
  <c r="G859" i="4"/>
  <c r="F859" i="4"/>
  <c r="E859" i="4"/>
  <c r="C859" i="4"/>
  <c r="I871" i="4"/>
  <c r="J871" i="4"/>
  <c r="H871" i="4"/>
  <c r="G871" i="4"/>
  <c r="H1005" i="4"/>
  <c r="F1005" i="4"/>
  <c r="I1191" i="4"/>
  <c r="H1191" i="4"/>
  <c r="E1191" i="4"/>
  <c r="H616" i="4"/>
  <c r="H636" i="4"/>
  <c r="I680" i="4"/>
  <c r="E684" i="4"/>
  <c r="I715" i="4"/>
  <c r="E749" i="4"/>
  <c r="J829" i="4"/>
  <c r="H879" i="4"/>
  <c r="H990" i="4"/>
  <c r="J993" i="4"/>
  <c r="D1048" i="4"/>
  <c r="D1056" i="4"/>
  <c r="H1068" i="4"/>
  <c r="I1132" i="4"/>
  <c r="J1331" i="4"/>
  <c r="G611" i="4"/>
  <c r="C615" i="4"/>
  <c r="G631" i="4"/>
  <c r="J721" i="4"/>
  <c r="I726" i="4"/>
  <c r="B731" i="4"/>
  <c r="E740" i="4"/>
  <c r="G749" i="4"/>
  <c r="I766" i="4"/>
  <c r="D772" i="4"/>
  <c r="E781" i="4"/>
  <c r="D785" i="4"/>
  <c r="G791" i="4"/>
  <c r="F827" i="4"/>
  <c r="I841" i="4"/>
  <c r="G845" i="4"/>
  <c r="G863" i="4"/>
  <c r="C876" i="4"/>
  <c r="I911" i="4"/>
  <c r="C916" i="4"/>
  <c r="D920" i="4"/>
  <c r="I923" i="4"/>
  <c r="F927" i="4"/>
  <c r="G953" i="4"/>
  <c r="C985" i="4"/>
  <c r="G1001" i="4"/>
  <c r="D1032" i="4"/>
  <c r="D1038" i="4"/>
  <c r="G1043" i="4"/>
  <c r="D1060" i="4"/>
  <c r="B1088" i="4"/>
  <c r="J1100" i="4"/>
  <c r="D1105" i="4"/>
  <c r="G1109" i="4"/>
  <c r="D1169" i="4"/>
  <c r="F1181" i="4"/>
  <c r="B1211" i="4"/>
  <c r="C1216" i="4"/>
  <c r="C1219" i="4"/>
  <c r="F1248" i="4"/>
  <c r="C1251" i="4"/>
  <c r="E1258" i="4"/>
  <c r="J1266" i="4"/>
  <c r="D1278" i="4"/>
  <c r="E1280" i="4"/>
  <c r="F1284" i="4"/>
  <c r="F1293" i="4"/>
  <c r="I1332" i="4"/>
  <c r="C1347" i="4"/>
  <c r="G1355" i="4"/>
  <c r="B1369" i="4"/>
  <c r="I1397" i="4"/>
  <c r="H611" i="4"/>
  <c r="E615" i="4"/>
  <c r="H631" i="4"/>
  <c r="G643" i="4"/>
  <c r="B670" i="4"/>
  <c r="C731" i="4"/>
  <c r="F740" i="4"/>
  <c r="I749" i="4"/>
  <c r="G772" i="4"/>
  <c r="H791" i="4"/>
  <c r="I845" i="4"/>
  <c r="J916" i="4"/>
  <c r="E920" i="4"/>
  <c r="I927" i="4"/>
  <c r="D932" i="4"/>
  <c r="I943" i="4"/>
  <c r="C967" i="4"/>
  <c r="D971" i="4"/>
  <c r="H1001" i="4"/>
  <c r="G1038" i="4"/>
  <c r="B1047" i="4"/>
  <c r="E1060" i="4"/>
  <c r="C1084" i="4"/>
  <c r="E1088" i="4"/>
  <c r="G1105" i="4"/>
  <c r="H1113" i="4"/>
  <c r="B1118" i="4"/>
  <c r="H1160" i="4"/>
  <c r="E1169" i="4"/>
  <c r="E1173" i="4"/>
  <c r="E1177" i="4"/>
  <c r="H1181" i="4"/>
  <c r="E1216" i="4"/>
  <c r="D1224" i="4"/>
  <c r="H1228" i="4"/>
  <c r="D1251" i="4"/>
  <c r="G1258" i="4"/>
  <c r="G1278" i="4"/>
  <c r="G1284" i="4"/>
  <c r="I1293" i="4"/>
  <c r="F1347" i="4"/>
  <c r="I1351" i="4"/>
  <c r="I1355" i="4"/>
  <c r="E596" i="4"/>
  <c r="H615" i="4"/>
  <c r="J631" i="4"/>
  <c r="G662" i="4"/>
  <c r="I666" i="4"/>
  <c r="H670" i="4"/>
  <c r="D685" i="4"/>
  <c r="B718" i="4"/>
  <c r="H778" i="4"/>
  <c r="I791" i="4"/>
  <c r="D802" i="4"/>
  <c r="J845" i="4"/>
  <c r="I920" i="4"/>
  <c r="F1032" i="4"/>
  <c r="D1034" i="4"/>
  <c r="F1060" i="4"/>
  <c r="I1113" i="4"/>
  <c r="D1126" i="4"/>
  <c r="I1134" i="4"/>
  <c r="I1160" i="4"/>
  <c r="G1169" i="4"/>
  <c r="G1173" i="4"/>
  <c r="F1177" i="4"/>
  <c r="D1200" i="4"/>
  <c r="H1206" i="4"/>
  <c r="F1216" i="4"/>
  <c r="E1224" i="4"/>
  <c r="E1251" i="4"/>
  <c r="H1258" i="4"/>
  <c r="H1278" i="4"/>
  <c r="C1331" i="4"/>
  <c r="J1251" i="4"/>
  <c r="I1278" i="4"/>
  <c r="C297" i="4"/>
  <c r="I297" i="4"/>
  <c r="H297" i="4"/>
  <c r="I308" i="4"/>
  <c r="E308" i="4"/>
  <c r="I526" i="4"/>
  <c r="G526" i="4"/>
  <c r="D526" i="4"/>
  <c r="J546" i="4"/>
  <c r="E546" i="4"/>
  <c r="J592" i="4"/>
  <c r="H592" i="4"/>
  <c r="C592" i="4"/>
  <c r="D1153" i="4"/>
  <c r="H1153" i="4"/>
  <c r="G1153" i="4"/>
  <c r="F1153" i="4"/>
  <c r="C1153" i="4"/>
  <c r="E1153" i="4"/>
  <c r="E19" i="2"/>
  <c r="F12" i="4"/>
  <c r="D32" i="4"/>
  <c r="B54" i="4"/>
  <c r="F67" i="4"/>
  <c r="G101" i="4"/>
  <c r="C103" i="4"/>
  <c r="G109" i="4"/>
  <c r="G117" i="4"/>
  <c r="E126" i="4"/>
  <c r="C146" i="4"/>
  <c r="G149" i="4"/>
  <c r="H167" i="4"/>
  <c r="F167" i="4"/>
  <c r="G297" i="4"/>
  <c r="H422" i="4"/>
  <c r="J422" i="4"/>
  <c r="I435" i="4"/>
  <c r="J435" i="4"/>
  <c r="G435" i="4"/>
  <c r="C463" i="4"/>
  <c r="J463" i="4"/>
  <c r="H463" i="4"/>
  <c r="G463" i="4"/>
  <c r="E463" i="4"/>
  <c r="I798" i="4"/>
  <c r="H798" i="4"/>
  <c r="H808" i="4"/>
  <c r="D808" i="4"/>
  <c r="G5" i="4"/>
  <c r="I12" i="4"/>
  <c r="C15" i="4"/>
  <c r="H26" i="4"/>
  <c r="B29" i="4"/>
  <c r="F32" i="4"/>
  <c r="G38" i="4"/>
  <c r="G54" i="4"/>
  <c r="H59" i="4"/>
  <c r="E62" i="4"/>
  <c r="H67" i="4"/>
  <c r="E71" i="4"/>
  <c r="C75" i="4"/>
  <c r="J78" i="4"/>
  <c r="G89" i="4"/>
  <c r="E91" i="4"/>
  <c r="I101" i="4"/>
  <c r="H103" i="4"/>
  <c r="J126" i="4"/>
  <c r="B130" i="4"/>
  <c r="C139" i="4"/>
  <c r="C143" i="4"/>
  <c r="E146" i="4"/>
  <c r="C275" i="4"/>
  <c r="I275" i="4"/>
  <c r="G275" i="4"/>
  <c r="E275" i="4"/>
  <c r="D275" i="4"/>
  <c r="F280" i="4"/>
  <c r="J280" i="4"/>
  <c r="I280" i="4"/>
  <c r="G280" i="4"/>
  <c r="I441" i="4"/>
  <c r="G441" i="4"/>
  <c r="F441" i="4"/>
  <c r="J455" i="4"/>
  <c r="I455" i="4"/>
  <c r="H455" i="4"/>
  <c r="E455" i="4"/>
  <c r="C455" i="4"/>
  <c r="B455" i="4"/>
  <c r="J765" i="4"/>
  <c r="C765" i="4"/>
  <c r="I790" i="4"/>
  <c r="G790" i="4"/>
  <c r="J790" i="4"/>
  <c r="B546" i="4"/>
  <c r="I18" i="2"/>
  <c r="I5" i="2"/>
  <c r="E27" i="2"/>
  <c r="E31" i="2"/>
  <c r="E3" i="4"/>
  <c r="I5" i="4"/>
  <c r="I8" i="4"/>
  <c r="E15" i="4"/>
  <c r="E22" i="4"/>
  <c r="D25" i="4"/>
  <c r="J26" i="4"/>
  <c r="I29" i="4"/>
  <c r="E35" i="4"/>
  <c r="G37" i="4"/>
  <c r="H38" i="4"/>
  <c r="E51" i="4"/>
  <c r="H54" i="4"/>
  <c r="G62" i="4"/>
  <c r="B66" i="4"/>
  <c r="H75" i="4"/>
  <c r="E86" i="4"/>
  <c r="F91" i="4"/>
  <c r="C130" i="4"/>
  <c r="E139" i="4"/>
  <c r="E143" i="4"/>
  <c r="G146" i="4"/>
  <c r="D150" i="4"/>
  <c r="E150" i="4"/>
  <c r="E178" i="4"/>
  <c r="F227" i="4"/>
  <c r="I227" i="4"/>
  <c r="H251" i="4"/>
  <c r="B280" i="4"/>
  <c r="E314" i="4"/>
  <c r="D345" i="4"/>
  <c r="H345" i="4"/>
  <c r="G345" i="4"/>
  <c r="E345" i="4"/>
  <c r="C345" i="4"/>
  <c r="I504" i="4"/>
  <c r="H504" i="4"/>
  <c r="J522" i="4"/>
  <c r="G522" i="4"/>
  <c r="D579" i="4"/>
  <c r="J579" i="4"/>
  <c r="H579" i="4"/>
  <c r="G579" i="4"/>
  <c r="B579" i="4"/>
  <c r="F716" i="4"/>
  <c r="I716" i="4"/>
  <c r="H716" i="4"/>
  <c r="G716" i="4"/>
  <c r="C716" i="4"/>
  <c r="B138" i="4"/>
  <c r="E17" i="2"/>
  <c r="E34" i="2"/>
  <c r="J5" i="4"/>
  <c r="F15" i="4"/>
  <c r="J29" i="4"/>
  <c r="J38" i="4"/>
  <c r="J54" i="4"/>
  <c r="H62" i="4"/>
  <c r="H91" i="4"/>
  <c r="E130" i="4"/>
  <c r="F139" i="4"/>
  <c r="F143" i="4"/>
  <c r="J146" i="4"/>
  <c r="J163" i="4"/>
  <c r="F163" i="4"/>
  <c r="E163" i="4"/>
  <c r="C163" i="4"/>
  <c r="F237" i="4"/>
  <c r="I237" i="4"/>
  <c r="H237" i="4"/>
  <c r="G237" i="4"/>
  <c r="D237" i="4"/>
  <c r="J304" i="4"/>
  <c r="I304" i="4"/>
  <c r="G304" i="4"/>
  <c r="E450" i="4"/>
  <c r="D450" i="4"/>
  <c r="D586" i="4"/>
  <c r="E586" i="4"/>
  <c r="B126" i="4"/>
  <c r="H3" i="4"/>
  <c r="B14" i="4"/>
  <c r="C19" i="4"/>
  <c r="H22" i="4"/>
  <c r="I25" i="4"/>
  <c r="E27" i="4"/>
  <c r="B34" i="4"/>
  <c r="H35" i="4"/>
  <c r="J42" i="4"/>
  <c r="C46" i="4"/>
  <c r="H51" i="4"/>
  <c r="H58" i="4"/>
  <c r="E66" i="4"/>
  <c r="H79" i="4"/>
  <c r="H86" i="4"/>
  <c r="C90" i="4"/>
  <c r="E95" i="4"/>
  <c r="F99" i="4"/>
  <c r="E102" i="4"/>
  <c r="F107" i="4"/>
  <c r="E111" i="4"/>
  <c r="G130" i="4"/>
  <c r="H143" i="4"/>
  <c r="J147" i="4"/>
  <c r="F147" i="4"/>
  <c r="D154" i="4"/>
  <c r="J154" i="4"/>
  <c r="J158" i="4"/>
  <c r="H158" i="4"/>
  <c r="G158" i="4"/>
  <c r="B170" i="4"/>
  <c r="H178" i="4"/>
  <c r="H195" i="4"/>
  <c r="F195" i="4"/>
  <c r="C195" i="4"/>
  <c r="G227" i="4"/>
  <c r="B237" i="4"/>
  <c r="B304" i="4"/>
  <c r="H381" i="4"/>
  <c r="G381" i="4"/>
  <c r="I482" i="4"/>
  <c r="J482" i="4"/>
  <c r="E482" i="4"/>
  <c r="B168" i="1"/>
  <c r="B168" i="4" s="1"/>
  <c r="H99" i="4"/>
  <c r="G102" i="4"/>
  <c r="H130" i="4"/>
  <c r="H221" i="4"/>
  <c r="J221" i="4"/>
  <c r="C237" i="4"/>
  <c r="C287" i="4"/>
  <c r="G287" i="4"/>
  <c r="H439" i="4"/>
  <c r="C439" i="4"/>
  <c r="B439" i="4"/>
  <c r="I573" i="4"/>
  <c r="G573" i="4"/>
  <c r="D573" i="4"/>
  <c r="E24" i="2"/>
  <c r="E33" i="2"/>
  <c r="G6" i="4"/>
  <c r="H14" i="4"/>
  <c r="F19" i="4"/>
  <c r="C23" i="4"/>
  <c r="B26" i="4"/>
  <c r="H27" i="4"/>
  <c r="E34" i="4"/>
  <c r="B38" i="4"/>
  <c r="C40" i="4"/>
  <c r="G46" i="4"/>
  <c r="G50" i="4"/>
  <c r="H63" i="4"/>
  <c r="J66" i="4"/>
  <c r="C78" i="4"/>
  <c r="E87" i="4"/>
  <c r="H90" i="4"/>
  <c r="H102" i="4"/>
  <c r="J130" i="4"/>
  <c r="E221" i="4"/>
  <c r="I244" i="4"/>
  <c r="E244" i="4"/>
  <c r="C259" i="4"/>
  <c r="I259" i="4"/>
  <c r="G259" i="4"/>
  <c r="D287" i="4"/>
  <c r="I312" i="4"/>
  <c r="J312" i="4"/>
  <c r="G312" i="4"/>
  <c r="E312" i="4"/>
  <c r="C312" i="4"/>
  <c r="D349" i="4"/>
  <c r="G349" i="4"/>
  <c r="E349" i="4"/>
  <c r="C349" i="4"/>
  <c r="J369" i="4"/>
  <c r="H369" i="4"/>
  <c r="G369" i="4"/>
  <c r="E369" i="4"/>
  <c r="C369" i="4"/>
  <c r="G325" i="4"/>
  <c r="E353" i="4"/>
  <c r="D401" i="4"/>
  <c r="H405" i="4"/>
  <c r="E409" i="4"/>
  <c r="E414" i="4"/>
  <c r="F601" i="4"/>
  <c r="I601" i="4"/>
  <c r="D607" i="4"/>
  <c r="C607" i="4"/>
  <c r="B607" i="4"/>
  <c r="J612" i="4"/>
  <c r="H612" i="4"/>
  <c r="I659" i="4"/>
  <c r="C659" i="4"/>
  <c r="F659" i="4"/>
  <c r="J663" i="4"/>
  <c r="H663" i="4"/>
  <c r="C663" i="4"/>
  <c r="I688" i="4"/>
  <c r="C688" i="4"/>
  <c r="H717" i="4"/>
  <c r="F717" i="4"/>
  <c r="B717" i="4"/>
  <c r="I717" i="4"/>
  <c r="H809" i="4"/>
  <c r="I809" i="4"/>
  <c r="G809" i="4"/>
  <c r="E809" i="4"/>
  <c r="C809" i="4"/>
  <c r="D840" i="4"/>
  <c r="C840" i="4"/>
  <c r="G212" i="4"/>
  <c r="I276" i="4"/>
  <c r="F290" i="4"/>
  <c r="G291" i="4"/>
  <c r="E295" i="4"/>
  <c r="I318" i="4"/>
  <c r="E335" i="4"/>
  <c r="G339" i="4"/>
  <c r="H341" i="4"/>
  <c r="G353" i="4"/>
  <c r="C365" i="4"/>
  <c r="G376" i="4"/>
  <c r="H385" i="4"/>
  <c r="E401" i="4"/>
  <c r="F409" i="4"/>
  <c r="C413" i="4"/>
  <c r="F414" i="4"/>
  <c r="I420" i="4"/>
  <c r="I424" i="4"/>
  <c r="I430" i="4"/>
  <c r="B447" i="4"/>
  <c r="H471" i="4"/>
  <c r="G485" i="4"/>
  <c r="F489" i="4"/>
  <c r="G496" i="4"/>
  <c r="E499" i="4"/>
  <c r="C512" i="4"/>
  <c r="G514" i="4"/>
  <c r="G516" i="4"/>
  <c r="G520" i="4"/>
  <c r="E534" i="4"/>
  <c r="C544" i="4"/>
  <c r="C548" i="4"/>
  <c r="I556" i="4"/>
  <c r="E567" i="4"/>
  <c r="I582" i="4"/>
  <c r="H596" i="4"/>
  <c r="D601" i="4"/>
  <c r="E607" i="4"/>
  <c r="G610" i="4"/>
  <c r="E612" i="4"/>
  <c r="B659" i="4"/>
  <c r="G717" i="4"/>
  <c r="F761" i="4"/>
  <c r="J761" i="4"/>
  <c r="G761" i="4"/>
  <c r="J830" i="4"/>
  <c r="H830" i="4"/>
  <c r="F1099" i="4"/>
  <c r="I1099" i="4"/>
  <c r="E1099" i="4"/>
  <c r="C1099" i="4"/>
  <c r="D1099" i="4"/>
  <c r="H186" i="4"/>
  <c r="F204" i="4"/>
  <c r="D208" i="4"/>
  <c r="E211" i="4"/>
  <c r="H212" i="4"/>
  <c r="AS14" i="3" s="1"/>
  <c r="D216" i="4"/>
  <c r="E229" i="4"/>
  <c r="G290" i="4"/>
  <c r="H291" i="4"/>
  <c r="G335" i="4"/>
  <c r="E365" i="4"/>
  <c r="I376" i="4"/>
  <c r="H401" i="4"/>
  <c r="H409" i="4"/>
  <c r="D413" i="4"/>
  <c r="J430" i="4"/>
  <c r="G499" i="4"/>
  <c r="E512" i="4"/>
  <c r="J514" i="4"/>
  <c r="G532" i="4"/>
  <c r="G534" i="4"/>
  <c r="E544" i="4"/>
  <c r="E552" i="4"/>
  <c r="G567" i="4"/>
  <c r="B571" i="4"/>
  <c r="D577" i="4"/>
  <c r="B587" i="4"/>
  <c r="G607" i="4"/>
  <c r="J610" i="4"/>
  <c r="F612" i="4"/>
  <c r="J622" i="4"/>
  <c r="I639" i="4"/>
  <c r="G639" i="4"/>
  <c r="D639" i="4"/>
  <c r="C639" i="4"/>
  <c r="E647" i="4"/>
  <c r="C647" i="4"/>
  <c r="D659" i="4"/>
  <c r="C675" i="4"/>
  <c r="E675" i="4"/>
  <c r="H686" i="4"/>
  <c r="B686" i="4"/>
  <c r="J686" i="4"/>
  <c r="G686" i="4"/>
  <c r="E686" i="4"/>
  <c r="I804" i="4"/>
  <c r="D804" i="4"/>
  <c r="H850" i="4"/>
  <c r="G850" i="4"/>
  <c r="G1083" i="4"/>
  <c r="B1083" i="4"/>
  <c r="C1304" i="4"/>
  <c r="J1304" i="4"/>
  <c r="H1304" i="4"/>
  <c r="G1304" i="4"/>
  <c r="E1304" i="4"/>
  <c r="I1329" i="4"/>
  <c r="C1329" i="4"/>
  <c r="E1329" i="4"/>
  <c r="I176" i="4"/>
  <c r="J186" i="4"/>
  <c r="E191" i="4"/>
  <c r="G204" i="4"/>
  <c r="E208" i="4"/>
  <c r="G211" i="4"/>
  <c r="J212" i="4"/>
  <c r="E216" i="4"/>
  <c r="D228" i="4"/>
  <c r="I229" i="4"/>
  <c r="F236" i="4"/>
  <c r="G248" i="4"/>
  <c r="E258" i="4"/>
  <c r="C265" i="4"/>
  <c r="H277" i="4"/>
  <c r="I290" i="4"/>
  <c r="G293" i="4"/>
  <c r="B296" i="4"/>
  <c r="E303" i="4"/>
  <c r="E305" i="4"/>
  <c r="G315" i="4"/>
  <c r="B324" i="4"/>
  <c r="E326" i="4"/>
  <c r="I335" i="4"/>
  <c r="G365" i="4"/>
  <c r="J376" i="4"/>
  <c r="C379" i="4"/>
  <c r="C393" i="4"/>
  <c r="E413" i="4"/>
  <c r="C415" i="4"/>
  <c r="C421" i="4"/>
  <c r="C425" i="4"/>
  <c r="D457" i="4"/>
  <c r="D462" i="4"/>
  <c r="E466" i="4"/>
  <c r="E480" i="4"/>
  <c r="C486" i="4"/>
  <c r="B495" i="4"/>
  <c r="H499" i="4"/>
  <c r="B502" i="4"/>
  <c r="D505" i="4"/>
  <c r="H512" i="4"/>
  <c r="H532" i="4"/>
  <c r="I534" i="4"/>
  <c r="H536" i="4"/>
  <c r="S13" i="3" s="1"/>
  <c r="F544" i="4"/>
  <c r="B547" i="4"/>
  <c r="D557" i="4"/>
  <c r="D561" i="4"/>
  <c r="H567" i="4"/>
  <c r="H571" i="4"/>
  <c r="C583" i="4"/>
  <c r="C587" i="4"/>
  <c r="H607" i="4"/>
  <c r="D611" i="4"/>
  <c r="E611" i="4"/>
  <c r="C611" i="4"/>
  <c r="E639" i="4"/>
  <c r="C686" i="4"/>
  <c r="H741" i="4"/>
  <c r="F741" i="4"/>
  <c r="E741" i="4"/>
  <c r="D741" i="4"/>
  <c r="B741" i="4"/>
  <c r="H773" i="4"/>
  <c r="D773" i="4"/>
  <c r="B773" i="4"/>
  <c r="I773" i="4"/>
  <c r="F773" i="4"/>
  <c r="D787" i="4"/>
  <c r="C787" i="4"/>
  <c r="B787" i="4"/>
  <c r="I787" i="4"/>
  <c r="H787" i="4"/>
  <c r="J850" i="4"/>
  <c r="H906" i="4"/>
  <c r="I906" i="4"/>
  <c r="G906" i="4"/>
  <c r="F906" i="4"/>
  <c r="C906" i="4"/>
  <c r="D1232" i="4"/>
  <c r="F1232" i="4"/>
  <c r="G1232" i="4"/>
  <c r="B197" i="4"/>
  <c r="G208" i="4"/>
  <c r="I211" i="4"/>
  <c r="F216" i="4"/>
  <c r="I225" i="4"/>
  <c r="AO15" i="3" s="1"/>
  <c r="E228" i="4"/>
  <c r="G236" i="4"/>
  <c r="C243" i="4"/>
  <c r="D245" i="4"/>
  <c r="I248" i="4"/>
  <c r="F258" i="4"/>
  <c r="C260" i="4"/>
  <c r="H265" i="4"/>
  <c r="C274" i="4"/>
  <c r="E285" i="4"/>
  <c r="H293" i="4"/>
  <c r="G303" i="4"/>
  <c r="F326" i="4"/>
  <c r="I340" i="4"/>
  <c r="D379" i="4"/>
  <c r="D393" i="4"/>
  <c r="E410" i="4"/>
  <c r="G413" i="4"/>
  <c r="E421" i="4"/>
  <c r="C424" i="4"/>
  <c r="D425" i="4"/>
  <c r="F437" i="4"/>
  <c r="E440" i="4"/>
  <c r="E457" i="4"/>
  <c r="E462" i="4"/>
  <c r="J466" i="4"/>
  <c r="B479" i="4"/>
  <c r="F480" i="4"/>
  <c r="F484" i="4"/>
  <c r="D486" i="4"/>
  <c r="F505" i="4"/>
  <c r="D510" i="4"/>
  <c r="I512" i="4"/>
  <c r="I544" i="4"/>
  <c r="E547" i="4"/>
  <c r="J571" i="4"/>
  <c r="J607" i="4"/>
  <c r="J639" i="4"/>
  <c r="F769" i="4"/>
  <c r="J769" i="4"/>
  <c r="I769" i="4"/>
  <c r="H413" i="4"/>
  <c r="J608" i="4"/>
  <c r="H608" i="4"/>
  <c r="F608" i="4"/>
  <c r="J620" i="4"/>
  <c r="F620" i="4"/>
  <c r="J640" i="4"/>
  <c r="E640" i="4"/>
  <c r="H640" i="4"/>
  <c r="J656" i="4"/>
  <c r="C656" i="4"/>
  <c r="E720" i="4"/>
  <c r="F720" i="4"/>
  <c r="D720" i="4"/>
  <c r="G728" i="4"/>
  <c r="H728" i="4"/>
  <c r="F728" i="4"/>
  <c r="J733" i="4"/>
  <c r="I733" i="4"/>
  <c r="C733" i="4"/>
  <c r="H738" i="4"/>
  <c r="C738" i="4"/>
  <c r="C780" i="4"/>
  <c r="E780" i="4"/>
  <c r="D780" i="4"/>
  <c r="H780" i="4"/>
  <c r="G780" i="4"/>
  <c r="H1013" i="4"/>
  <c r="B1013" i="4"/>
  <c r="C1013" i="4"/>
  <c r="J1213" i="4"/>
  <c r="G1213" i="4"/>
  <c r="D1213" i="4"/>
  <c r="B1213" i="4"/>
  <c r="C1213" i="4"/>
  <c r="D657" i="4"/>
  <c r="C657" i="4"/>
  <c r="J679" i="4"/>
  <c r="E679" i="4"/>
  <c r="I679" i="4"/>
  <c r="D759" i="4"/>
  <c r="I759" i="4"/>
  <c r="G759" i="4"/>
  <c r="F759" i="4"/>
  <c r="E759" i="4"/>
  <c r="B759" i="4"/>
  <c r="H793" i="4"/>
  <c r="G793" i="4"/>
  <c r="F793" i="4"/>
  <c r="D793" i="4"/>
  <c r="I824" i="4"/>
  <c r="F824" i="4"/>
  <c r="C824" i="4"/>
  <c r="J921" i="4"/>
  <c r="B921" i="4"/>
  <c r="E934" i="4"/>
  <c r="I934" i="4"/>
  <c r="H934" i="4"/>
  <c r="G934" i="4"/>
  <c r="F934" i="4"/>
  <c r="J1040" i="4"/>
  <c r="F1040" i="4"/>
  <c r="D1040" i="4"/>
  <c r="B1040" i="4"/>
  <c r="C1040" i="4"/>
  <c r="H1195" i="4"/>
  <c r="I1195" i="4"/>
  <c r="F1195" i="4"/>
  <c r="G1195" i="4"/>
  <c r="J635" i="4"/>
  <c r="H668" i="4"/>
  <c r="H682" i="4"/>
  <c r="F708" i="4"/>
  <c r="H724" i="4"/>
  <c r="E727" i="4"/>
  <c r="G743" i="4"/>
  <c r="G753" i="4"/>
  <c r="E772" i="4"/>
  <c r="E785" i="4"/>
  <c r="I802" i="4"/>
  <c r="E811" i="4"/>
  <c r="E823" i="4"/>
  <c r="H826" i="4"/>
  <c r="J827" i="4"/>
  <c r="J833" i="4"/>
  <c r="C847" i="4"/>
  <c r="D854" i="4"/>
  <c r="G855" i="4"/>
  <c r="H863" i="4"/>
  <c r="C867" i="4"/>
  <c r="F875" i="4"/>
  <c r="I886" i="4"/>
  <c r="I909" i="4"/>
  <c r="D916" i="4"/>
  <c r="G917" i="4"/>
  <c r="H918" i="4"/>
  <c r="J932" i="4"/>
  <c r="E936" i="4"/>
  <c r="H953" i="4"/>
  <c r="D961" i="4"/>
  <c r="J961" i="4"/>
  <c r="D965" i="4"/>
  <c r="H965" i="4"/>
  <c r="C965" i="4"/>
  <c r="D975" i="4"/>
  <c r="I975" i="4"/>
  <c r="C975" i="4"/>
  <c r="I1061" i="4"/>
  <c r="H1061" i="4"/>
  <c r="F1061" i="4"/>
  <c r="H1094" i="4"/>
  <c r="D1094" i="4"/>
  <c r="G1094" i="4"/>
  <c r="D1167" i="4"/>
  <c r="I1167" i="4"/>
  <c r="B1238" i="4"/>
  <c r="J1238" i="4"/>
  <c r="G1238" i="4"/>
  <c r="I1395" i="4"/>
  <c r="G1395" i="4"/>
  <c r="F1395" i="4"/>
  <c r="E1395" i="4"/>
  <c r="E591" i="4"/>
  <c r="C616" i="4"/>
  <c r="B619" i="4"/>
  <c r="C644" i="4"/>
  <c r="G654" i="4"/>
  <c r="G666" i="4"/>
  <c r="J668" i="4"/>
  <c r="J682" i="4"/>
  <c r="B685" i="4"/>
  <c r="G708" i="4"/>
  <c r="B721" i="4"/>
  <c r="G727" i="4"/>
  <c r="C737" i="4"/>
  <c r="I743" i="4"/>
  <c r="B749" i="4"/>
  <c r="F772" i="4"/>
  <c r="B778" i="4"/>
  <c r="G782" i="4"/>
  <c r="G785" i="4"/>
  <c r="B791" i="4"/>
  <c r="F811" i="4"/>
  <c r="B822" i="4"/>
  <c r="F823" i="4"/>
  <c r="J826" i="4"/>
  <c r="B845" i="4"/>
  <c r="E854" i="4"/>
  <c r="H855" i="4"/>
  <c r="J863" i="4"/>
  <c r="E867" i="4"/>
  <c r="C872" i="4"/>
  <c r="G875" i="4"/>
  <c r="B885" i="4"/>
  <c r="J913" i="4"/>
  <c r="E916" i="4"/>
  <c r="H917" i="4"/>
  <c r="I918" i="4"/>
  <c r="D924" i="4"/>
  <c r="C927" i="4"/>
  <c r="I936" i="4"/>
  <c r="B961" i="4"/>
  <c r="B965" i="4"/>
  <c r="F975" i="4"/>
  <c r="J1061" i="4"/>
  <c r="E1078" i="4"/>
  <c r="F1094" i="4"/>
  <c r="F1133" i="4"/>
  <c r="E1133" i="4"/>
  <c r="G1148" i="4"/>
  <c r="D1267" i="4"/>
  <c r="I1267" i="4"/>
  <c r="H1267" i="4"/>
  <c r="E1267" i="4"/>
  <c r="J1300" i="4"/>
  <c r="H1300" i="4"/>
  <c r="F1300" i="4"/>
  <c r="D1300" i="4"/>
  <c r="I1311" i="4"/>
  <c r="D1311" i="4"/>
  <c r="C1311" i="4"/>
  <c r="I708" i="4"/>
  <c r="G811" i="4"/>
  <c r="G854" i="4"/>
  <c r="F867" i="4"/>
  <c r="H875" i="4"/>
  <c r="G916" i="4"/>
  <c r="I917" i="4"/>
  <c r="D973" i="4"/>
  <c r="J973" i="4"/>
  <c r="H973" i="4"/>
  <c r="C973" i="4"/>
  <c r="I1011" i="4"/>
  <c r="G1011" i="4"/>
  <c r="F1011" i="4"/>
  <c r="E1011" i="4"/>
  <c r="C1011" i="4"/>
  <c r="I1019" i="4"/>
  <c r="F1019" i="4"/>
  <c r="F1075" i="4"/>
  <c r="B1075" i="4"/>
  <c r="H1075" i="4"/>
  <c r="D1075" i="4"/>
  <c r="C1089" i="4"/>
  <c r="H1089" i="4"/>
  <c r="I1391" i="4"/>
  <c r="G1391" i="4"/>
  <c r="F1391" i="4"/>
  <c r="C1391" i="4"/>
  <c r="B658" i="4"/>
  <c r="I701" i="4"/>
  <c r="E726" i="4"/>
  <c r="I727" i="4"/>
  <c r="D740" i="4"/>
  <c r="B766" i="4"/>
  <c r="I772" i="4"/>
  <c r="C781" i="4"/>
  <c r="C786" i="4"/>
  <c r="C802" i="4"/>
  <c r="H811" i="4"/>
  <c r="H823" i="4"/>
  <c r="C827" i="4"/>
  <c r="F852" i="4"/>
  <c r="H854" i="4"/>
  <c r="F856" i="4"/>
  <c r="C864" i="4"/>
  <c r="G867" i="4"/>
  <c r="J875" i="4"/>
  <c r="B888" i="4"/>
  <c r="C899" i="4"/>
  <c r="E911" i="4"/>
  <c r="I916" i="4"/>
  <c r="J917" i="4"/>
  <c r="E925" i="4"/>
  <c r="H941" i="4"/>
  <c r="C954" i="4"/>
  <c r="B973" i="4"/>
  <c r="B1011" i="4"/>
  <c r="D1019" i="4"/>
  <c r="C1046" i="4"/>
  <c r="F1046" i="4"/>
  <c r="D1046" i="4"/>
  <c r="B1046" i="4"/>
  <c r="J1063" i="4"/>
  <c r="H1063" i="4"/>
  <c r="B1063" i="4"/>
  <c r="C1075" i="4"/>
  <c r="H1230" i="4"/>
  <c r="D1230" i="4"/>
  <c r="B1230" i="4"/>
  <c r="I1246" i="4"/>
  <c r="J1246" i="4"/>
  <c r="E1246" i="4"/>
  <c r="D1246" i="4"/>
  <c r="B1246" i="4"/>
  <c r="I1282" i="4"/>
  <c r="J1282" i="4"/>
  <c r="G1282" i="4"/>
  <c r="C1282" i="4"/>
  <c r="E1391" i="4"/>
  <c r="G1016" i="4"/>
  <c r="E1016" i="4"/>
  <c r="C1022" i="4"/>
  <c r="G1022" i="4"/>
  <c r="F1022" i="4"/>
  <c r="D1022" i="4"/>
  <c r="F1025" i="4"/>
  <c r="H1025" i="4"/>
  <c r="J1025" i="4"/>
  <c r="J1049" i="4"/>
  <c r="I1049" i="4"/>
  <c r="B1049" i="4"/>
  <c r="G1085" i="4"/>
  <c r="F1085" i="4"/>
  <c r="I1102" i="4"/>
  <c r="J1102" i="4"/>
  <c r="G1155" i="4"/>
  <c r="D1155" i="4"/>
  <c r="B1155" i="4"/>
  <c r="I1215" i="4"/>
  <c r="G1215" i="4"/>
  <c r="F1215" i="4"/>
  <c r="E1215" i="4"/>
  <c r="D1215" i="4"/>
  <c r="C1215" i="4"/>
  <c r="I1372" i="4"/>
  <c r="E1372" i="4"/>
  <c r="C1372" i="4"/>
  <c r="C855" i="4"/>
  <c r="E918" i="4"/>
  <c r="F923" i="4"/>
  <c r="I925" i="4"/>
  <c r="F939" i="4"/>
  <c r="H954" i="4"/>
  <c r="H970" i="4"/>
  <c r="C970" i="4"/>
  <c r="E1002" i="4"/>
  <c r="H1011" i="4"/>
  <c r="D1016" i="4"/>
  <c r="H1019" i="4"/>
  <c r="H1022" i="4"/>
  <c r="I1025" i="4"/>
  <c r="F1103" i="4"/>
  <c r="I1103" i="4"/>
  <c r="B1164" i="4"/>
  <c r="J1164" i="4"/>
  <c r="H1215" i="4"/>
  <c r="D1372" i="4"/>
  <c r="G635" i="4"/>
  <c r="D643" i="4"/>
  <c r="I740" i="4"/>
  <c r="D753" i="4"/>
  <c r="J758" i="4"/>
  <c r="F781" i="4"/>
  <c r="E792" i="4"/>
  <c r="G802" i="4"/>
  <c r="B811" i="4"/>
  <c r="G827" i="4"/>
  <c r="F833" i="4"/>
  <c r="E855" i="4"/>
  <c r="B863" i="4"/>
  <c r="C875" i="4"/>
  <c r="C886" i="4"/>
  <c r="G890" i="4"/>
  <c r="C917" i="4"/>
  <c r="F918" i="4"/>
  <c r="G923" i="4"/>
  <c r="G939" i="4"/>
  <c r="I967" i="4"/>
  <c r="D967" i="4"/>
  <c r="I1000" i="4"/>
  <c r="H1000" i="4"/>
  <c r="H1016" i="4"/>
  <c r="C1026" i="4"/>
  <c r="G1026" i="4"/>
  <c r="F1026" i="4"/>
  <c r="D1026" i="4"/>
  <c r="B1051" i="4"/>
  <c r="J1051" i="4"/>
  <c r="C1070" i="4"/>
  <c r="F1070" i="4"/>
  <c r="D1070" i="4"/>
  <c r="B1070" i="4"/>
  <c r="I1082" i="4"/>
  <c r="J1082" i="4"/>
  <c r="F1115" i="4"/>
  <c r="I1115" i="4"/>
  <c r="H1115" i="4"/>
  <c r="D1115" i="4"/>
  <c r="J1165" i="4"/>
  <c r="H1165" i="4"/>
  <c r="G1165" i="4"/>
  <c r="D1165" i="4"/>
  <c r="C1165" i="4"/>
  <c r="D1271" i="4"/>
  <c r="E1271" i="4"/>
  <c r="B1271" i="4"/>
  <c r="D1297" i="4"/>
  <c r="C1297" i="4"/>
  <c r="F1349" i="4"/>
  <c r="J1349" i="4"/>
  <c r="I1349" i="4"/>
  <c r="G1349" i="4"/>
  <c r="B1349" i="4"/>
  <c r="H1378" i="4"/>
  <c r="I1378" i="4"/>
  <c r="E1378" i="4"/>
  <c r="H1032" i="4"/>
  <c r="G1035" i="4"/>
  <c r="C1047" i="4"/>
  <c r="F1048" i="4"/>
  <c r="G1054" i="4"/>
  <c r="E1056" i="4"/>
  <c r="G1058" i="4"/>
  <c r="J1060" i="4"/>
  <c r="F1066" i="4"/>
  <c r="F1067" i="4"/>
  <c r="C1071" i="4"/>
  <c r="F1072" i="4"/>
  <c r="H1084" i="4"/>
  <c r="C1088" i="4"/>
  <c r="F1105" i="4"/>
  <c r="I1110" i="4"/>
  <c r="E1142" i="4"/>
  <c r="I1154" i="4"/>
  <c r="G1157" i="4"/>
  <c r="F1169" i="4"/>
  <c r="I1171" i="4"/>
  <c r="G1177" i="4"/>
  <c r="G1181" i="4"/>
  <c r="G1191" i="4"/>
  <c r="J1214" i="4"/>
  <c r="H1218" i="4"/>
  <c r="F1224" i="4"/>
  <c r="F1253" i="4"/>
  <c r="D1292" i="4"/>
  <c r="G1305" i="4"/>
  <c r="E1347" i="4"/>
  <c r="E1359" i="4"/>
  <c r="H1043" i="4"/>
  <c r="E1047" i="4"/>
  <c r="J1054" i="4"/>
  <c r="H1056" i="4"/>
  <c r="J1066" i="4"/>
  <c r="E1071" i="4"/>
  <c r="F1088" i="4"/>
  <c r="H1105" i="4"/>
  <c r="I1142" i="4"/>
  <c r="H1169" i="4"/>
  <c r="E1200" i="4"/>
  <c r="D1216" i="4"/>
  <c r="G1250" i="4"/>
  <c r="I1253" i="4"/>
  <c r="F1257" i="4"/>
  <c r="C1261" i="4"/>
  <c r="F1280" i="4"/>
  <c r="G1292" i="4"/>
  <c r="D1294" i="4"/>
  <c r="F1314" i="4"/>
  <c r="E1334" i="4"/>
  <c r="I1347" i="4"/>
  <c r="I1359" i="4"/>
  <c r="I1364" i="4"/>
  <c r="E1369" i="4"/>
  <c r="F990" i="4"/>
  <c r="E993" i="4"/>
  <c r="C1001" i="4"/>
  <c r="C1020" i="4"/>
  <c r="F1024" i="4"/>
  <c r="B1032" i="4"/>
  <c r="G1047" i="4"/>
  <c r="J1056" i="4"/>
  <c r="B1068" i="4"/>
  <c r="G1071" i="4"/>
  <c r="G1088" i="4"/>
  <c r="G1126" i="4"/>
  <c r="D1173" i="4"/>
  <c r="B1205" i="4"/>
  <c r="D1249" i="4"/>
  <c r="J1250" i="4"/>
  <c r="F1252" i="4"/>
  <c r="H1257" i="4"/>
  <c r="C1259" i="4"/>
  <c r="D1261" i="4"/>
  <c r="F1277" i="4"/>
  <c r="C1279" i="4"/>
  <c r="G1280" i="4"/>
  <c r="H1292" i="4"/>
  <c r="G1294" i="4"/>
  <c r="G1334" i="4"/>
  <c r="C1342" i="4"/>
  <c r="G1369" i="4"/>
  <c r="G1383" i="4"/>
  <c r="C1399" i="4"/>
  <c r="I1088" i="4"/>
  <c r="C1229" i="4"/>
  <c r="B1231" i="4"/>
  <c r="G1252" i="4"/>
  <c r="F1259" i="4"/>
  <c r="H1266" i="4"/>
  <c r="E1279" i="4"/>
  <c r="H1280" i="4"/>
  <c r="I1286" i="4"/>
  <c r="E1291" i="4"/>
  <c r="I1294" i="4"/>
  <c r="B1298" i="4"/>
  <c r="B1328" i="4"/>
  <c r="G1332" i="4"/>
  <c r="H1334" i="4"/>
  <c r="C1338" i="4"/>
  <c r="D1342" i="4"/>
  <c r="G1348" i="4"/>
  <c r="I1369" i="4"/>
  <c r="I1373" i="4"/>
  <c r="E1399" i="4"/>
  <c r="G1160" i="4"/>
  <c r="E1162" i="4"/>
  <c r="C1169" i="4"/>
  <c r="F1173" i="4"/>
  <c r="D1181" i="4"/>
  <c r="G1214" i="4"/>
  <c r="C1224" i="4"/>
  <c r="B1227" i="4"/>
  <c r="D1229" i="4"/>
  <c r="D1231" i="4"/>
  <c r="B1251" i="4"/>
  <c r="I1252" i="4"/>
  <c r="B1258" i="4"/>
  <c r="G1259" i="4"/>
  <c r="C1278" i="4"/>
  <c r="G1279" i="4"/>
  <c r="E1293" i="4"/>
  <c r="G1298" i="4"/>
  <c r="F1301" i="4"/>
  <c r="H1316" i="4"/>
  <c r="H1332" i="4"/>
  <c r="J1373" i="4"/>
  <c r="I1392" i="4"/>
  <c r="F1399" i="4"/>
  <c r="J1135" i="4"/>
  <c r="C228" i="4"/>
  <c r="B228" i="1"/>
  <c r="B228" i="4" s="1"/>
  <c r="C8" i="4"/>
  <c r="B8" i="1"/>
  <c r="B8" i="4" s="1"/>
  <c r="C6" i="4"/>
  <c r="B6" i="1"/>
  <c r="B6" i="4" s="1"/>
  <c r="C224" i="4"/>
  <c r="B224" i="1"/>
  <c r="B224" i="4" s="1"/>
  <c r="C527" i="4"/>
  <c r="B526" i="1"/>
  <c r="B527" i="4" s="1"/>
  <c r="C591" i="4"/>
  <c r="B590" i="1"/>
  <c r="B591" i="4" s="1"/>
  <c r="C67" i="4"/>
  <c r="B67" i="1"/>
  <c r="B67" i="4" s="1"/>
  <c r="I88" i="4"/>
  <c r="F88" i="4"/>
  <c r="D88" i="4"/>
  <c r="D142" i="4"/>
  <c r="J142" i="4"/>
  <c r="H142" i="4"/>
  <c r="G142" i="4"/>
  <c r="E142" i="4"/>
  <c r="C142" i="4"/>
  <c r="B142" i="4"/>
  <c r="D755" i="4"/>
  <c r="F755" i="4"/>
  <c r="C755" i="4"/>
  <c r="B755" i="4"/>
  <c r="I755" i="4"/>
  <c r="H755" i="4"/>
  <c r="B214" i="1"/>
  <c r="B214" i="4" s="1"/>
  <c r="J57" i="4"/>
  <c r="I57" i="4"/>
  <c r="G57" i="4"/>
  <c r="D57" i="4"/>
  <c r="B57" i="4"/>
  <c r="D94" i="4"/>
  <c r="J94" i="4"/>
  <c r="H94" i="4"/>
  <c r="G94" i="4"/>
  <c r="E94" i="4"/>
  <c r="C94" i="4"/>
  <c r="B94" i="4"/>
  <c r="D110" i="4"/>
  <c r="J110" i="4"/>
  <c r="H110" i="4"/>
  <c r="G110" i="4"/>
  <c r="E110" i="4"/>
  <c r="C110" i="4"/>
  <c r="B110" i="4"/>
  <c r="D118" i="4"/>
  <c r="J118" i="4"/>
  <c r="H118" i="4"/>
  <c r="G118" i="4"/>
  <c r="E118" i="4"/>
  <c r="D166" i="4"/>
  <c r="C166" i="4"/>
  <c r="H166" i="4"/>
  <c r="J166" i="4"/>
  <c r="G166" i="4"/>
  <c r="F166" i="4"/>
  <c r="E166" i="4"/>
  <c r="B166" i="4"/>
  <c r="H240" i="4"/>
  <c r="I240" i="4"/>
  <c r="E240" i="4"/>
  <c r="C240" i="4"/>
  <c r="D240" i="4"/>
  <c r="B240" i="4"/>
  <c r="I446" i="4"/>
  <c r="G446" i="4"/>
  <c r="E446" i="4"/>
  <c r="B446" i="4"/>
  <c r="J446" i="4"/>
  <c r="C446" i="4"/>
  <c r="J519" i="4"/>
  <c r="I519" i="4"/>
  <c r="E519" i="4"/>
  <c r="G519" i="4"/>
  <c r="H519" i="4"/>
  <c r="C519" i="4"/>
  <c r="B519" i="4"/>
  <c r="I752" i="4"/>
  <c r="H752" i="4"/>
  <c r="E752" i="4"/>
  <c r="F752" i="4"/>
  <c r="C752" i="4"/>
  <c r="E935" i="4"/>
  <c r="D935" i="4"/>
  <c r="B222" i="1"/>
  <c r="B222" i="4" s="1"/>
  <c r="B534" i="1"/>
  <c r="B535" i="4" s="1"/>
  <c r="E16" i="2"/>
  <c r="J7" i="4"/>
  <c r="H7" i="4"/>
  <c r="F7" i="4"/>
  <c r="E7" i="4"/>
  <c r="C7" i="4"/>
  <c r="E503" i="4"/>
  <c r="C503" i="4"/>
  <c r="J503" i="4"/>
  <c r="H503" i="4"/>
  <c r="I503" i="4"/>
  <c r="G503" i="4"/>
  <c r="B503" i="4"/>
  <c r="H938" i="4"/>
  <c r="I938" i="4"/>
  <c r="F938" i="4"/>
  <c r="C938" i="4"/>
  <c r="G938" i="4"/>
  <c r="J1045" i="4"/>
  <c r="I1045" i="4"/>
  <c r="F1045" i="4"/>
  <c r="H1045" i="4"/>
  <c r="H217" i="4"/>
  <c r="I217" i="4"/>
  <c r="H257" i="4"/>
  <c r="D257" i="4"/>
  <c r="E257" i="4"/>
  <c r="H329" i="4"/>
  <c r="E329" i="4"/>
  <c r="C329" i="4"/>
  <c r="I651" i="4"/>
  <c r="J651" i="4"/>
  <c r="H651" i="4"/>
  <c r="G651" i="4"/>
  <c r="D651" i="4"/>
  <c r="E651" i="4"/>
  <c r="C651" i="4"/>
  <c r="B651" i="4"/>
  <c r="G895" i="4"/>
  <c r="F895" i="4"/>
  <c r="E895" i="4"/>
  <c r="C895" i="4"/>
  <c r="I895" i="4"/>
  <c r="J49" i="4"/>
  <c r="G49" i="4"/>
  <c r="D49" i="4"/>
  <c r="B49" i="4"/>
  <c r="I494" i="4"/>
  <c r="C494" i="4"/>
  <c r="J494" i="4"/>
  <c r="G494" i="4"/>
  <c r="B494" i="4"/>
  <c r="D494" i="4"/>
  <c r="I16" i="4"/>
  <c r="F16" i="4"/>
  <c r="J135" i="4"/>
  <c r="H135" i="4"/>
  <c r="F135" i="4"/>
  <c r="E135" i="4"/>
  <c r="C135" i="4"/>
  <c r="F233" i="4"/>
  <c r="I233" i="4"/>
  <c r="H233" i="4"/>
  <c r="E233" i="4"/>
  <c r="I436" i="4"/>
  <c r="G436" i="4"/>
  <c r="C436" i="4"/>
  <c r="F436" i="4"/>
  <c r="J83" i="4"/>
  <c r="H83" i="4"/>
  <c r="F83" i="4"/>
  <c r="E83" i="4"/>
  <c r="C83" i="4"/>
  <c r="F254" i="4"/>
  <c r="J254" i="4"/>
  <c r="C254" i="4"/>
  <c r="B254" i="4"/>
  <c r="J360" i="4"/>
  <c r="I360" i="4"/>
  <c r="G360" i="4"/>
  <c r="B360" i="4"/>
  <c r="E360" i="4"/>
  <c r="I452" i="4"/>
  <c r="F452" i="4"/>
  <c r="G452" i="4"/>
  <c r="C452" i="4"/>
  <c r="J53" i="4"/>
  <c r="I53" i="4"/>
  <c r="G53" i="4"/>
  <c r="D53" i="4"/>
  <c r="J270" i="4"/>
  <c r="F270" i="4"/>
  <c r="B270" i="4"/>
  <c r="C270" i="4"/>
  <c r="I346" i="4"/>
  <c r="F346" i="4"/>
  <c r="E346" i="4"/>
  <c r="I533" i="4"/>
  <c r="G533" i="4"/>
  <c r="D533" i="4"/>
  <c r="F533" i="4"/>
  <c r="E21" i="2"/>
  <c r="D162" i="4"/>
  <c r="F162" i="4"/>
  <c r="D174" i="4"/>
  <c r="C174" i="4"/>
  <c r="H174" i="4"/>
  <c r="D182" i="4"/>
  <c r="E182" i="4"/>
  <c r="J182" i="4"/>
  <c r="D194" i="4"/>
  <c r="H194" i="4"/>
  <c r="C194" i="4"/>
  <c r="H249" i="4"/>
  <c r="G249" i="4"/>
  <c r="C249" i="4"/>
  <c r="G261" i="4"/>
  <c r="E261" i="4"/>
  <c r="D261" i="4"/>
  <c r="I417" i="4"/>
  <c r="G417" i="4"/>
  <c r="F417" i="4"/>
  <c r="E417" i="4"/>
  <c r="C417" i="4"/>
  <c r="I434" i="4"/>
  <c r="E434" i="4"/>
  <c r="G473" i="4"/>
  <c r="I473" i="4"/>
  <c r="F473" i="4"/>
  <c r="D473" i="4"/>
  <c r="I478" i="4"/>
  <c r="J478" i="4"/>
  <c r="G478" i="4"/>
  <c r="D478" i="4"/>
  <c r="G487" i="4"/>
  <c r="I487" i="4"/>
  <c r="E487" i="4"/>
  <c r="C487" i="4"/>
  <c r="B487" i="4"/>
  <c r="I501" i="4"/>
  <c r="G501" i="4"/>
  <c r="F593" i="4"/>
  <c r="D593" i="4"/>
  <c r="I683" i="4"/>
  <c r="J683" i="4"/>
  <c r="H683" i="4"/>
  <c r="E683" i="4"/>
  <c r="J689" i="4"/>
  <c r="I689" i="4"/>
  <c r="J698" i="4"/>
  <c r="G698" i="4"/>
  <c r="F712" i="4"/>
  <c r="D712" i="4"/>
  <c r="C838" i="4"/>
  <c r="J838" i="4"/>
  <c r="H838" i="4"/>
  <c r="G838" i="4"/>
  <c r="E838" i="4"/>
  <c r="B838" i="4"/>
  <c r="D838" i="4"/>
  <c r="E901" i="4"/>
  <c r="C901" i="4"/>
  <c r="B901" i="4"/>
  <c r="J901" i="4"/>
  <c r="H901" i="4"/>
  <c r="I901" i="4"/>
  <c r="J908" i="4"/>
  <c r="I908" i="4"/>
  <c r="D908" i="4"/>
  <c r="G908" i="4"/>
  <c r="E1178" i="4"/>
  <c r="D1178" i="4"/>
  <c r="C1178" i="4"/>
  <c r="F1178" i="4"/>
  <c r="I1319" i="4"/>
  <c r="G1319" i="4"/>
  <c r="E1319" i="4"/>
  <c r="D1319" i="4"/>
  <c r="C1319" i="4"/>
  <c r="J1319" i="4"/>
  <c r="B1319" i="4"/>
  <c r="E26" i="2"/>
  <c r="E30" i="2"/>
  <c r="C11" i="4"/>
  <c r="B21" i="4"/>
  <c r="C31" i="4"/>
  <c r="C64" i="4"/>
  <c r="B73" i="4"/>
  <c r="B82" i="4"/>
  <c r="D85" i="4"/>
  <c r="E98" i="4"/>
  <c r="C104" i="4"/>
  <c r="E114" i="4"/>
  <c r="C120" i="4"/>
  <c r="E127" i="4"/>
  <c r="B134" i="4"/>
  <c r="B162" i="4"/>
  <c r="J171" i="4"/>
  <c r="E171" i="4"/>
  <c r="B174" i="4"/>
  <c r="B182" i="4"/>
  <c r="B194" i="4"/>
  <c r="I200" i="4"/>
  <c r="F200" i="4"/>
  <c r="I249" i="4"/>
  <c r="H261" i="4"/>
  <c r="I278" i="4"/>
  <c r="G278" i="4"/>
  <c r="I302" i="4"/>
  <c r="F302" i="4"/>
  <c r="I317" i="4"/>
  <c r="G317" i="4"/>
  <c r="J344" i="4"/>
  <c r="E344" i="4"/>
  <c r="J361" i="4"/>
  <c r="H361" i="4"/>
  <c r="E361" i="4"/>
  <c r="B417" i="4"/>
  <c r="I431" i="4"/>
  <c r="H431" i="4"/>
  <c r="G431" i="4"/>
  <c r="B431" i="4"/>
  <c r="B434" i="4"/>
  <c r="I468" i="4"/>
  <c r="G468" i="4"/>
  <c r="E473" i="4"/>
  <c r="B478" i="4"/>
  <c r="H487" i="4"/>
  <c r="D501" i="4"/>
  <c r="I517" i="4"/>
  <c r="G517" i="4"/>
  <c r="F517" i="4"/>
  <c r="G537" i="4"/>
  <c r="I537" i="4"/>
  <c r="D537" i="4"/>
  <c r="F537" i="4"/>
  <c r="D555" i="4"/>
  <c r="J555" i="4"/>
  <c r="H555" i="4"/>
  <c r="E555" i="4"/>
  <c r="G555" i="4"/>
  <c r="C555" i="4"/>
  <c r="C593" i="4"/>
  <c r="J604" i="4"/>
  <c r="H604" i="4"/>
  <c r="F604" i="4"/>
  <c r="C604" i="4"/>
  <c r="E604" i="4"/>
  <c r="I681" i="4"/>
  <c r="G681" i="4"/>
  <c r="J681" i="4"/>
  <c r="G683" i="4"/>
  <c r="D689" i="4"/>
  <c r="J897" i="4"/>
  <c r="H897" i="4"/>
  <c r="G901" i="4"/>
  <c r="J988" i="4"/>
  <c r="B988" i="4"/>
  <c r="G1008" i="4"/>
  <c r="J1008" i="4"/>
  <c r="H1008" i="4"/>
  <c r="E1008" i="4"/>
  <c r="C1008" i="4"/>
  <c r="D1008" i="4"/>
  <c r="B1008" i="4"/>
  <c r="J1017" i="4"/>
  <c r="I1017" i="4"/>
  <c r="H1017" i="4"/>
  <c r="C1017" i="4"/>
  <c r="D1149" i="4"/>
  <c r="H1149" i="4"/>
  <c r="G1149" i="4"/>
  <c r="F1149" i="4"/>
  <c r="C1149" i="4"/>
  <c r="E1149" i="4"/>
  <c r="I1178" i="4"/>
  <c r="F1398" i="4"/>
  <c r="H1398" i="4"/>
  <c r="G1398" i="4"/>
  <c r="E1398" i="4"/>
  <c r="C1398" i="4"/>
  <c r="E20" i="2"/>
  <c r="E2" i="4"/>
  <c r="B10" i="4"/>
  <c r="E11" i="4"/>
  <c r="D21" i="4"/>
  <c r="J22" i="4"/>
  <c r="G26" i="4"/>
  <c r="B30" i="4"/>
  <c r="E31" i="4"/>
  <c r="D33" i="4"/>
  <c r="G34" i="4"/>
  <c r="C39" i="4"/>
  <c r="C43" i="4"/>
  <c r="C47" i="4"/>
  <c r="J62" i="4"/>
  <c r="D64" i="4"/>
  <c r="G66" i="4"/>
  <c r="D68" i="4"/>
  <c r="J70" i="4"/>
  <c r="D73" i="4"/>
  <c r="J74" i="4"/>
  <c r="D77" i="4"/>
  <c r="H78" i="4"/>
  <c r="C82" i="4"/>
  <c r="I85" i="4"/>
  <c r="J86" i="4"/>
  <c r="G90" i="4"/>
  <c r="H95" i="4"/>
  <c r="G98" i="4"/>
  <c r="J102" i="4"/>
  <c r="D104" i="4"/>
  <c r="G106" i="4"/>
  <c r="H111" i="4"/>
  <c r="G114" i="4"/>
  <c r="D120" i="4"/>
  <c r="J122" i="4"/>
  <c r="F127" i="4"/>
  <c r="E131" i="4"/>
  <c r="C134" i="4"/>
  <c r="E138" i="4"/>
  <c r="H139" i="4"/>
  <c r="H146" i="4"/>
  <c r="H150" i="4"/>
  <c r="H154" i="4"/>
  <c r="C162" i="4"/>
  <c r="C171" i="4"/>
  <c r="E174" i="4"/>
  <c r="C182" i="4"/>
  <c r="J191" i="4"/>
  <c r="F191" i="4"/>
  <c r="E194" i="4"/>
  <c r="I196" i="4"/>
  <c r="B196" i="4"/>
  <c r="F196" i="4"/>
  <c r="D200" i="4"/>
  <c r="H213" i="4"/>
  <c r="E213" i="4"/>
  <c r="F219" i="4"/>
  <c r="I219" i="4"/>
  <c r="E219" i="4"/>
  <c r="J234" i="4"/>
  <c r="H234" i="4"/>
  <c r="H244" i="4"/>
  <c r="G244" i="4"/>
  <c r="I247" i="4"/>
  <c r="E247" i="4"/>
  <c r="I261" i="4"/>
  <c r="E288" i="4"/>
  <c r="J296" i="4"/>
  <c r="G296" i="4"/>
  <c r="C309" i="4"/>
  <c r="E317" i="4"/>
  <c r="F330" i="4"/>
  <c r="E330" i="4"/>
  <c r="C330" i="4"/>
  <c r="E337" i="4"/>
  <c r="C361" i="4"/>
  <c r="I375" i="4"/>
  <c r="C375" i="4"/>
  <c r="I405" i="4"/>
  <c r="G405" i="4"/>
  <c r="E405" i="4"/>
  <c r="D405" i="4"/>
  <c r="B405" i="4"/>
  <c r="B408" i="4"/>
  <c r="D417" i="4"/>
  <c r="C431" i="4"/>
  <c r="D434" i="4"/>
  <c r="J447" i="4"/>
  <c r="I447" i="4"/>
  <c r="H447" i="4"/>
  <c r="C447" i="4"/>
  <c r="I450" i="4"/>
  <c r="J450" i="4"/>
  <c r="C468" i="4"/>
  <c r="C478" i="4"/>
  <c r="J487" i="4"/>
  <c r="F501" i="4"/>
  <c r="I515" i="4"/>
  <c r="J515" i="4"/>
  <c r="E515" i="4"/>
  <c r="G515" i="4"/>
  <c r="D517" i="4"/>
  <c r="D551" i="4"/>
  <c r="E551" i="4"/>
  <c r="C551" i="4"/>
  <c r="B551" i="4"/>
  <c r="H551" i="4"/>
  <c r="B555" i="4"/>
  <c r="F572" i="4"/>
  <c r="I572" i="4"/>
  <c r="E572" i="4"/>
  <c r="I584" i="4"/>
  <c r="H584" i="4"/>
  <c r="E584" i="4"/>
  <c r="F674" i="4"/>
  <c r="I674" i="4"/>
  <c r="H674" i="4"/>
  <c r="G674" i="4"/>
  <c r="D674" i="4"/>
  <c r="E674" i="4"/>
  <c r="C674" i="4"/>
  <c r="B674" i="4"/>
  <c r="C681" i="4"/>
  <c r="G689" i="4"/>
  <c r="D695" i="4"/>
  <c r="I695" i="4"/>
  <c r="H695" i="4"/>
  <c r="G695" i="4"/>
  <c r="E695" i="4"/>
  <c r="F695" i="4"/>
  <c r="F706" i="4"/>
  <c r="I706" i="4"/>
  <c r="H706" i="4"/>
  <c r="G706" i="4"/>
  <c r="D706" i="4"/>
  <c r="E706" i="4"/>
  <c r="F730" i="4"/>
  <c r="I730" i="4"/>
  <c r="G730" i="4"/>
  <c r="D730" i="4"/>
  <c r="E730" i="4"/>
  <c r="C730" i="4"/>
  <c r="B730" i="4"/>
  <c r="F770" i="4"/>
  <c r="G770" i="4"/>
  <c r="E770" i="4"/>
  <c r="D770" i="4"/>
  <c r="B770" i="4"/>
  <c r="I770" i="4"/>
  <c r="F774" i="4"/>
  <c r="E774" i="4"/>
  <c r="D774" i="4"/>
  <c r="B774" i="4"/>
  <c r="H774" i="4"/>
  <c r="F806" i="4"/>
  <c r="E806" i="4"/>
  <c r="H806" i="4"/>
  <c r="D806" i="4"/>
  <c r="C878" i="4"/>
  <c r="E878" i="4"/>
  <c r="D878" i="4"/>
  <c r="B878" i="4"/>
  <c r="J878" i="4"/>
  <c r="H878" i="4"/>
  <c r="G878" i="4"/>
  <c r="I979" i="4"/>
  <c r="D979" i="4"/>
  <c r="I6" i="2"/>
  <c r="E25" i="2"/>
  <c r="E29" i="2"/>
  <c r="G2" i="4"/>
  <c r="C10" i="4"/>
  <c r="F11" i="4"/>
  <c r="G21" i="4"/>
  <c r="C30" i="4"/>
  <c r="F31" i="4"/>
  <c r="G33" i="4"/>
  <c r="E39" i="4"/>
  <c r="E43" i="4"/>
  <c r="E47" i="4"/>
  <c r="F64" i="4"/>
  <c r="F68" i="4"/>
  <c r="G73" i="4"/>
  <c r="G77" i="4"/>
  <c r="E82" i="4"/>
  <c r="H98" i="4"/>
  <c r="H114" i="4"/>
  <c r="H127" i="4"/>
  <c r="F131" i="4"/>
  <c r="E134" i="4"/>
  <c r="G138" i="4"/>
  <c r="J159" i="4"/>
  <c r="F159" i="4"/>
  <c r="E162" i="4"/>
  <c r="D170" i="4"/>
  <c r="C170" i="4"/>
  <c r="H170" i="4"/>
  <c r="F171" i="4"/>
  <c r="F174" i="4"/>
  <c r="J179" i="4"/>
  <c r="E179" i="4"/>
  <c r="F182" i="4"/>
  <c r="F194" i="4"/>
  <c r="E200" i="4"/>
  <c r="I262" i="4"/>
  <c r="E262" i="4"/>
  <c r="J286" i="4"/>
  <c r="C286" i="4"/>
  <c r="H299" i="4"/>
  <c r="D299" i="4"/>
  <c r="H309" i="4"/>
  <c r="H317" i="4"/>
  <c r="D361" i="4"/>
  <c r="I397" i="4"/>
  <c r="G397" i="4"/>
  <c r="E397" i="4"/>
  <c r="D397" i="4"/>
  <c r="B397" i="4"/>
  <c r="G408" i="4"/>
  <c r="H417" i="4"/>
  <c r="J431" i="4"/>
  <c r="J434" i="4"/>
  <c r="F468" i="4"/>
  <c r="E478" i="4"/>
  <c r="I483" i="4"/>
  <c r="B483" i="4"/>
  <c r="J483" i="4"/>
  <c r="E483" i="4"/>
  <c r="G488" i="4"/>
  <c r="I488" i="4"/>
  <c r="H488" i="4"/>
  <c r="E488" i="4"/>
  <c r="E511" i="4"/>
  <c r="C511" i="4"/>
  <c r="I511" i="4"/>
  <c r="F681" i="4"/>
  <c r="I725" i="4"/>
  <c r="J725" i="4"/>
  <c r="G725" i="4"/>
  <c r="B725" i="4"/>
  <c r="F725" i="4"/>
  <c r="I831" i="4"/>
  <c r="F831" i="4"/>
  <c r="E831" i="4"/>
  <c r="C831" i="4"/>
  <c r="J831" i="4"/>
  <c r="H831" i="4"/>
  <c r="B831" i="4"/>
  <c r="G831" i="4"/>
  <c r="C870" i="4"/>
  <c r="E870" i="4"/>
  <c r="D870" i="4"/>
  <c r="B870" i="4"/>
  <c r="J870" i="4"/>
  <c r="H870" i="4"/>
  <c r="I955" i="4"/>
  <c r="G955" i="4"/>
  <c r="F955" i="4"/>
  <c r="C955" i="4"/>
  <c r="H2" i="4"/>
  <c r="B4" i="6" s="1"/>
  <c r="E10" i="4"/>
  <c r="H11" i="4"/>
  <c r="E30" i="4"/>
  <c r="H31" i="4"/>
  <c r="I33" i="4"/>
  <c r="F39" i="4"/>
  <c r="F43" i="4"/>
  <c r="F47" i="4"/>
  <c r="I77" i="4"/>
  <c r="G82" i="4"/>
  <c r="J98" i="4"/>
  <c r="J114" i="4"/>
  <c r="H131" i="4"/>
  <c r="G134" i="4"/>
  <c r="H138" i="4"/>
  <c r="J155" i="4"/>
  <c r="F155" i="4"/>
  <c r="D158" i="4"/>
  <c r="C158" i="4"/>
  <c r="G162" i="4"/>
  <c r="H171" i="4"/>
  <c r="G174" i="4"/>
  <c r="G182" i="4"/>
  <c r="G194" i="4"/>
  <c r="G200" i="4"/>
  <c r="I220" i="4"/>
  <c r="D220" i="4"/>
  <c r="H220" i="4"/>
  <c r="I222" i="4"/>
  <c r="G222" i="4"/>
  <c r="F310" i="4"/>
  <c r="C310" i="4"/>
  <c r="C327" i="4"/>
  <c r="G361" i="4"/>
  <c r="J373" i="4"/>
  <c r="H373" i="4"/>
  <c r="G373" i="4"/>
  <c r="D373" i="4"/>
  <c r="B380" i="4"/>
  <c r="I389" i="4"/>
  <c r="G389" i="4"/>
  <c r="E389" i="4"/>
  <c r="D389" i="4"/>
  <c r="B389" i="4"/>
  <c r="C397" i="4"/>
  <c r="J408" i="4"/>
  <c r="J417" i="4"/>
  <c r="I432" i="4"/>
  <c r="H432" i="4"/>
  <c r="E432" i="4"/>
  <c r="J438" i="4"/>
  <c r="I438" i="4"/>
  <c r="G438" i="4"/>
  <c r="D438" i="4"/>
  <c r="B438" i="4"/>
  <c r="J454" i="4"/>
  <c r="I454" i="4"/>
  <c r="G454" i="4"/>
  <c r="C454" i="4"/>
  <c r="I469" i="4"/>
  <c r="G469" i="4"/>
  <c r="F469" i="4"/>
  <c r="D469" i="4"/>
  <c r="G483" i="4"/>
  <c r="F488" i="4"/>
  <c r="B511" i="4"/>
  <c r="J642" i="4"/>
  <c r="G642" i="4"/>
  <c r="J648" i="4"/>
  <c r="F648" i="4"/>
  <c r="H648" i="4"/>
  <c r="E648" i="4"/>
  <c r="C648" i="4"/>
  <c r="D719" i="4"/>
  <c r="I719" i="4"/>
  <c r="G719" i="4"/>
  <c r="E719" i="4"/>
  <c r="F719" i="4"/>
  <c r="C719" i="4"/>
  <c r="F744" i="4"/>
  <c r="D744" i="4"/>
  <c r="C744" i="4"/>
  <c r="I744" i="4"/>
  <c r="H767" i="4"/>
  <c r="J767" i="4"/>
  <c r="G870" i="4"/>
  <c r="G944" i="4"/>
  <c r="J944" i="4"/>
  <c r="E964" i="4"/>
  <c r="D964" i="4"/>
  <c r="J964" i="4"/>
  <c r="I964" i="4"/>
  <c r="B964" i="4"/>
  <c r="G964" i="4"/>
  <c r="E23" i="2"/>
  <c r="E28" i="2"/>
  <c r="J2" i="4"/>
  <c r="D8" i="4"/>
  <c r="G10" i="4"/>
  <c r="C14" i="4"/>
  <c r="C18" i="4"/>
  <c r="B22" i="4"/>
  <c r="E23" i="4"/>
  <c r="D29" i="4"/>
  <c r="G30" i="4"/>
  <c r="H39" i="4"/>
  <c r="E42" i="4"/>
  <c r="H43" i="4"/>
  <c r="H47" i="4"/>
  <c r="C50" i="4"/>
  <c r="C54" i="4"/>
  <c r="B62" i="4"/>
  <c r="E63" i="4"/>
  <c r="F71" i="4"/>
  <c r="B74" i="4"/>
  <c r="E75" i="4"/>
  <c r="C79" i="4"/>
  <c r="H82" i="4"/>
  <c r="D84" i="4"/>
  <c r="B86" i="4"/>
  <c r="F87" i="4"/>
  <c r="E103" i="4"/>
  <c r="I109" i="4"/>
  <c r="D112" i="4"/>
  <c r="I117" i="4"/>
  <c r="E119" i="4"/>
  <c r="E123" i="4"/>
  <c r="G126" i="4"/>
  <c r="H134" i="4"/>
  <c r="D136" i="4"/>
  <c r="J138" i="4"/>
  <c r="C147" i="4"/>
  <c r="C151" i="4"/>
  <c r="C155" i="4"/>
  <c r="B158" i="4"/>
  <c r="H159" i="4"/>
  <c r="H162" i="4"/>
  <c r="J167" i="4"/>
  <c r="E167" i="4"/>
  <c r="E170" i="4"/>
  <c r="J174" i="4"/>
  <c r="D178" i="4"/>
  <c r="B178" i="4"/>
  <c r="G178" i="4"/>
  <c r="H179" i="4"/>
  <c r="H182" i="4"/>
  <c r="J194" i="4"/>
  <c r="H200" i="4"/>
  <c r="I204" i="4"/>
  <c r="AO14" i="3" s="1"/>
  <c r="E204" i="4"/>
  <c r="J204" i="4"/>
  <c r="I214" i="4"/>
  <c r="F214" i="4"/>
  <c r="E220" i="4"/>
  <c r="F222" i="4"/>
  <c r="F239" i="4"/>
  <c r="D239" i="4"/>
  <c r="C239" i="4"/>
  <c r="I242" i="4"/>
  <c r="C282" i="4"/>
  <c r="F286" i="4"/>
  <c r="G327" i="4"/>
  <c r="I342" i="4"/>
  <c r="E342" i="4"/>
  <c r="C342" i="4"/>
  <c r="C373" i="4"/>
  <c r="I380" i="4"/>
  <c r="C389" i="4"/>
  <c r="H397" i="4"/>
  <c r="J418" i="4"/>
  <c r="F418" i="4"/>
  <c r="C418" i="4"/>
  <c r="C432" i="4"/>
  <c r="C438" i="4"/>
  <c r="I448" i="4"/>
  <c r="H448" i="4"/>
  <c r="F448" i="4"/>
  <c r="I451" i="4"/>
  <c r="G451" i="4"/>
  <c r="E451" i="4"/>
  <c r="B451" i="4"/>
  <c r="B454" i="4"/>
  <c r="J470" i="4"/>
  <c r="I470" i="4"/>
  <c r="D470" i="4"/>
  <c r="G472" i="4"/>
  <c r="F472" i="4"/>
  <c r="E472" i="4"/>
  <c r="C472" i="4"/>
  <c r="H475" i="4"/>
  <c r="H511" i="4"/>
  <c r="D599" i="4"/>
  <c r="H599" i="4"/>
  <c r="G599" i="4"/>
  <c r="E599" i="4"/>
  <c r="B599" i="4"/>
  <c r="J599" i="4"/>
  <c r="C599" i="4"/>
  <c r="I623" i="4"/>
  <c r="J623" i="4"/>
  <c r="H623" i="4"/>
  <c r="G623" i="4"/>
  <c r="D623" i="4"/>
  <c r="E623" i="4"/>
  <c r="B719" i="4"/>
  <c r="H744" i="4"/>
  <c r="B767" i="4"/>
  <c r="I784" i="4"/>
  <c r="H784" i="4"/>
  <c r="E784" i="4"/>
  <c r="F784" i="4"/>
  <c r="C862" i="4"/>
  <c r="E862" i="4"/>
  <c r="D862" i="4"/>
  <c r="B862" i="4"/>
  <c r="J862" i="4"/>
  <c r="H862" i="4"/>
  <c r="G862" i="4"/>
  <c r="J937" i="4"/>
  <c r="G937" i="4"/>
  <c r="E937" i="4"/>
  <c r="B937" i="4"/>
  <c r="D957" i="4"/>
  <c r="J957" i="4"/>
  <c r="C957" i="4"/>
  <c r="G957" i="4"/>
  <c r="E957" i="4"/>
  <c r="B957" i="4"/>
  <c r="H957" i="4"/>
  <c r="E18" i="2"/>
  <c r="J6" i="4"/>
  <c r="H10" i="4"/>
  <c r="E14" i="4"/>
  <c r="H15" i="4"/>
  <c r="E18" i="4"/>
  <c r="H19" i="4"/>
  <c r="C22" i="4"/>
  <c r="F23" i="4"/>
  <c r="C27" i="4"/>
  <c r="H30" i="4"/>
  <c r="C32" i="4"/>
  <c r="C35" i="4"/>
  <c r="G42" i="4"/>
  <c r="E50" i="4"/>
  <c r="E54" i="4"/>
  <c r="E58" i="4"/>
  <c r="C62" i="4"/>
  <c r="F63" i="4"/>
  <c r="E67" i="4"/>
  <c r="H71" i="4"/>
  <c r="C74" i="4"/>
  <c r="F75" i="4"/>
  <c r="B78" i="4"/>
  <c r="E79" i="4"/>
  <c r="J82" i="4"/>
  <c r="C86" i="4"/>
  <c r="H87" i="4"/>
  <c r="C91" i="4"/>
  <c r="E99" i="4"/>
  <c r="F103" i="4"/>
  <c r="C107" i="4"/>
  <c r="C115" i="4"/>
  <c r="F119" i="4"/>
  <c r="F123" i="4"/>
  <c r="H126" i="4"/>
  <c r="J134" i="4"/>
  <c r="B146" i="4"/>
  <c r="E147" i="4"/>
  <c r="B150" i="4"/>
  <c r="E151" i="4"/>
  <c r="B154" i="4"/>
  <c r="E155" i="4"/>
  <c r="E158" i="4"/>
  <c r="J162" i="4"/>
  <c r="I165" i="4"/>
  <c r="C167" i="4"/>
  <c r="F170" i="4"/>
  <c r="J175" i="4"/>
  <c r="E175" i="4"/>
  <c r="C178" i="4"/>
  <c r="J183" i="4"/>
  <c r="H183" i="4"/>
  <c r="C192" i="4"/>
  <c r="J195" i="4"/>
  <c r="E195" i="4"/>
  <c r="J200" i="4"/>
  <c r="D204" i="4"/>
  <c r="I208" i="4"/>
  <c r="H208" i="4"/>
  <c r="F208" i="4"/>
  <c r="H214" i="4"/>
  <c r="F220" i="4"/>
  <c r="H222" i="4"/>
  <c r="H15" i="3" s="1"/>
  <c r="I239" i="4"/>
  <c r="H273" i="4"/>
  <c r="E273" i="4"/>
  <c r="G277" i="4"/>
  <c r="E277" i="4"/>
  <c r="D277" i="4"/>
  <c r="I316" i="4"/>
  <c r="G316" i="4"/>
  <c r="E316" i="4"/>
  <c r="B316" i="4"/>
  <c r="J328" i="4"/>
  <c r="E328" i="4"/>
  <c r="B328" i="4"/>
  <c r="E373" i="4"/>
  <c r="J381" i="4"/>
  <c r="E381" i="4"/>
  <c r="D381" i="4"/>
  <c r="C381" i="4"/>
  <c r="H389" i="4"/>
  <c r="J397" i="4"/>
  <c r="J406" i="4"/>
  <c r="F406" i="4"/>
  <c r="C406" i="4"/>
  <c r="D411" i="4"/>
  <c r="E418" i="4"/>
  <c r="J427" i="4"/>
  <c r="H427" i="4"/>
  <c r="G432" i="4"/>
  <c r="J439" i="4"/>
  <c r="I439" i="4"/>
  <c r="E439" i="4"/>
  <c r="E441" i="4"/>
  <c r="D441" i="4"/>
  <c r="C441" i="4"/>
  <c r="C448" i="4"/>
  <c r="J451" i="4"/>
  <c r="D454" i="4"/>
  <c r="B470" i="4"/>
  <c r="H472" i="4"/>
  <c r="I509" i="4"/>
  <c r="C509" i="4"/>
  <c r="J511" i="4"/>
  <c r="I530" i="4"/>
  <c r="J530" i="4"/>
  <c r="D530" i="4"/>
  <c r="G530" i="4"/>
  <c r="E530" i="4"/>
  <c r="B530" i="4"/>
  <c r="I549" i="4"/>
  <c r="G549" i="4"/>
  <c r="D549" i="4"/>
  <c r="D563" i="4"/>
  <c r="J563" i="4"/>
  <c r="H563" i="4"/>
  <c r="G563" i="4"/>
  <c r="C563" i="4"/>
  <c r="E563" i="4"/>
  <c r="B563" i="4"/>
  <c r="B623" i="4"/>
  <c r="J628" i="4"/>
  <c r="H628" i="4"/>
  <c r="F628" i="4"/>
  <c r="C628" i="4"/>
  <c r="J677" i="4"/>
  <c r="E677" i="4"/>
  <c r="D677" i="4"/>
  <c r="B677" i="4"/>
  <c r="I677" i="4"/>
  <c r="J693" i="4"/>
  <c r="I693" i="4"/>
  <c r="G693" i="4"/>
  <c r="E693" i="4"/>
  <c r="F693" i="4"/>
  <c r="H777" i="4"/>
  <c r="I777" i="4"/>
  <c r="G777" i="4"/>
  <c r="E777" i="4"/>
  <c r="B777" i="4"/>
  <c r="C784" i="4"/>
  <c r="F820" i="4"/>
  <c r="I820" i="4"/>
  <c r="D820" i="4"/>
  <c r="C820" i="4"/>
  <c r="G837" i="4"/>
  <c r="D837" i="4"/>
  <c r="B837" i="4"/>
  <c r="C846" i="4"/>
  <c r="G846" i="4"/>
  <c r="E846" i="4"/>
  <c r="D846" i="4"/>
  <c r="J846" i="4"/>
  <c r="H846" i="4"/>
  <c r="B846" i="4"/>
  <c r="C866" i="4"/>
  <c r="J866" i="4"/>
  <c r="H866" i="4"/>
  <c r="E866" i="4"/>
  <c r="G866" i="4"/>
  <c r="D866" i="4"/>
  <c r="B866" i="4"/>
  <c r="I937" i="4"/>
  <c r="F197" i="4"/>
  <c r="H235" i="4"/>
  <c r="J248" i="4"/>
  <c r="G258" i="4"/>
  <c r="H259" i="4"/>
  <c r="J260" i="4"/>
  <c r="G274" i="4"/>
  <c r="H275" i="4"/>
  <c r="J276" i="4"/>
  <c r="I292" i="4"/>
  <c r="G385" i="4"/>
  <c r="G393" i="4"/>
  <c r="G401" i="4"/>
  <c r="G409" i="4"/>
  <c r="F413" i="4"/>
  <c r="G421" i="4"/>
  <c r="I440" i="4"/>
  <c r="I462" i="4"/>
  <c r="I463" i="4"/>
  <c r="I464" i="4"/>
  <c r="I471" i="4"/>
  <c r="H480" i="4"/>
  <c r="I498" i="4"/>
  <c r="E498" i="4"/>
  <c r="D502" i="4"/>
  <c r="C502" i="4"/>
  <c r="J502" i="4"/>
  <c r="J518" i="4"/>
  <c r="I518" i="4"/>
  <c r="D518" i="4"/>
  <c r="I527" i="4"/>
  <c r="H527" i="4"/>
  <c r="F561" i="4"/>
  <c r="G561" i="4"/>
  <c r="I645" i="4"/>
  <c r="D645" i="4"/>
  <c r="I671" i="4"/>
  <c r="H671" i="4"/>
  <c r="G671" i="4"/>
  <c r="B671" i="4"/>
  <c r="J690" i="4"/>
  <c r="I690" i="4"/>
  <c r="H690" i="4"/>
  <c r="D690" i="4"/>
  <c r="F738" i="4"/>
  <c r="G738" i="4"/>
  <c r="E738" i="4"/>
  <c r="D738" i="4"/>
  <c r="B738" i="4"/>
  <c r="F798" i="4"/>
  <c r="E798" i="4"/>
  <c r="C798" i="4"/>
  <c r="B798" i="4"/>
  <c r="H804" i="4"/>
  <c r="G804" i="4"/>
  <c r="F804" i="4"/>
  <c r="E804" i="4"/>
  <c r="C804" i="4"/>
  <c r="I847" i="4"/>
  <c r="G847" i="4"/>
  <c r="F847" i="4"/>
  <c r="E847" i="4"/>
  <c r="H847" i="4"/>
  <c r="I1015" i="4"/>
  <c r="D1015" i="4"/>
  <c r="C1015" i="4"/>
  <c r="B1015" i="4"/>
  <c r="H1015" i="4"/>
  <c r="J1015" i="4"/>
  <c r="F1015" i="4"/>
  <c r="E1015" i="4"/>
  <c r="G594" i="4"/>
  <c r="J594" i="4"/>
  <c r="I594" i="4"/>
  <c r="D594" i="4"/>
  <c r="I613" i="4"/>
  <c r="C613" i="4"/>
  <c r="J624" i="4"/>
  <c r="F624" i="4"/>
  <c r="I627" i="4"/>
  <c r="G627" i="4"/>
  <c r="E627" i="4"/>
  <c r="D627" i="4"/>
  <c r="B627" i="4"/>
  <c r="I638" i="4"/>
  <c r="G638" i="4"/>
  <c r="J652" i="4"/>
  <c r="F652" i="4"/>
  <c r="I655" i="4"/>
  <c r="F655" i="4"/>
  <c r="E655" i="4"/>
  <c r="D655" i="4"/>
  <c r="B655" i="4"/>
  <c r="I667" i="4"/>
  <c r="F667" i="4"/>
  <c r="E667" i="4"/>
  <c r="D667" i="4"/>
  <c r="B667" i="4"/>
  <c r="J678" i="4"/>
  <c r="I678" i="4"/>
  <c r="D678" i="4"/>
  <c r="J691" i="4"/>
  <c r="I691" i="4"/>
  <c r="J694" i="4"/>
  <c r="I694" i="4"/>
  <c r="H694" i="4"/>
  <c r="E694" i="4"/>
  <c r="H696" i="4"/>
  <c r="G696" i="4"/>
  <c r="E696" i="4"/>
  <c r="J707" i="4"/>
  <c r="H707" i="4"/>
  <c r="F707" i="4"/>
  <c r="J713" i="4"/>
  <c r="F713" i="4"/>
  <c r="E713" i="4"/>
  <c r="B713" i="4"/>
  <c r="H745" i="4"/>
  <c r="I745" i="4"/>
  <c r="G745" i="4"/>
  <c r="E745" i="4"/>
  <c r="B745" i="4"/>
  <c r="J757" i="4"/>
  <c r="D757" i="4"/>
  <c r="B757" i="4"/>
  <c r="F762" i="4"/>
  <c r="G762" i="4"/>
  <c r="E762" i="4"/>
  <c r="D762" i="4"/>
  <c r="B762" i="4"/>
  <c r="D771" i="4"/>
  <c r="H771" i="4"/>
  <c r="E771" i="4"/>
  <c r="I835" i="4"/>
  <c r="G835" i="4"/>
  <c r="F835" i="4"/>
  <c r="E835" i="4"/>
  <c r="J835" i="4"/>
  <c r="C835" i="4"/>
  <c r="C874" i="4"/>
  <c r="J874" i="4"/>
  <c r="H874" i="4"/>
  <c r="E874" i="4"/>
  <c r="G874" i="4"/>
  <c r="D874" i="4"/>
  <c r="B874" i="4"/>
  <c r="D969" i="4"/>
  <c r="J969" i="4"/>
  <c r="C969" i="4"/>
  <c r="H969" i="4"/>
  <c r="G969" i="4"/>
  <c r="B969" i="4"/>
  <c r="E969" i="4"/>
  <c r="G1012" i="4"/>
  <c r="J1012" i="4"/>
  <c r="H1012" i="4"/>
  <c r="D1012" i="4"/>
  <c r="E1012" i="4"/>
  <c r="B1012" i="4"/>
  <c r="G1064" i="4"/>
  <c r="F1064" i="4"/>
  <c r="E1064" i="4"/>
  <c r="D1064" i="4"/>
  <c r="B1064" i="4"/>
  <c r="J1064" i="4"/>
  <c r="H1064" i="4"/>
  <c r="C1064" i="4"/>
  <c r="H1086" i="4"/>
  <c r="D1086" i="4"/>
  <c r="C1086" i="4"/>
  <c r="B1086" i="4"/>
  <c r="I1086" i="4"/>
  <c r="G1086" i="4"/>
  <c r="F1086" i="4"/>
  <c r="E1086" i="4"/>
  <c r="D1116" i="4"/>
  <c r="G1116" i="4"/>
  <c r="F1116" i="4"/>
  <c r="C1116" i="4"/>
  <c r="H1116" i="4"/>
  <c r="I1141" i="4"/>
  <c r="C1141" i="4"/>
  <c r="I1156" i="4"/>
  <c r="H1156" i="4"/>
  <c r="J1156" i="4"/>
  <c r="H1234" i="4"/>
  <c r="I1234" i="4"/>
  <c r="G1234" i="4"/>
  <c r="E1234" i="4"/>
  <c r="D1234" i="4"/>
  <c r="C1234" i="4"/>
  <c r="B1234" i="4"/>
  <c r="J258" i="4"/>
  <c r="J274" i="4"/>
  <c r="J385" i="4"/>
  <c r="J393" i="4"/>
  <c r="J401" i="4"/>
  <c r="J409" i="4"/>
  <c r="I496" i="4"/>
  <c r="F496" i="4"/>
  <c r="F504" i="4"/>
  <c r="E504" i="4"/>
  <c r="I520" i="4"/>
  <c r="F520" i="4"/>
  <c r="J543" i="4"/>
  <c r="I543" i="4"/>
  <c r="E543" i="4"/>
  <c r="D550" i="4"/>
  <c r="C550" i="4"/>
  <c r="B550" i="4"/>
  <c r="J550" i="4"/>
  <c r="D559" i="4"/>
  <c r="J559" i="4"/>
  <c r="H559" i="4"/>
  <c r="E559" i="4"/>
  <c r="D595" i="4"/>
  <c r="H595" i="4"/>
  <c r="I597" i="4"/>
  <c r="F597" i="4"/>
  <c r="C597" i="4"/>
  <c r="J600" i="4"/>
  <c r="H600" i="4"/>
  <c r="E600" i="4"/>
  <c r="D613" i="4"/>
  <c r="C624" i="4"/>
  <c r="C627" i="4"/>
  <c r="J638" i="4"/>
  <c r="C652" i="4"/>
  <c r="C655" i="4"/>
  <c r="J660" i="4"/>
  <c r="F660" i="4"/>
  <c r="I663" i="4"/>
  <c r="F663" i="4"/>
  <c r="E663" i="4"/>
  <c r="D663" i="4"/>
  <c r="B663" i="4"/>
  <c r="C667" i="4"/>
  <c r="B678" i="4"/>
  <c r="F691" i="4"/>
  <c r="C694" i="4"/>
  <c r="C696" i="4"/>
  <c r="B707" i="4"/>
  <c r="I713" i="4"/>
  <c r="D736" i="4"/>
  <c r="C745" i="4"/>
  <c r="D751" i="4"/>
  <c r="G751" i="4"/>
  <c r="F751" i="4"/>
  <c r="E751" i="4"/>
  <c r="B751" i="4"/>
  <c r="C762" i="4"/>
  <c r="G771" i="4"/>
  <c r="C775" i="4"/>
  <c r="D795" i="4"/>
  <c r="H795" i="4"/>
  <c r="F795" i="4"/>
  <c r="B795" i="4"/>
  <c r="J818" i="4"/>
  <c r="I818" i="4"/>
  <c r="G818" i="4"/>
  <c r="B835" i="4"/>
  <c r="C842" i="4"/>
  <c r="H842" i="4"/>
  <c r="G842" i="4"/>
  <c r="E842" i="4"/>
  <c r="J842" i="4"/>
  <c r="B842" i="4"/>
  <c r="J893" i="4"/>
  <c r="I893" i="4"/>
  <c r="H893" i="4"/>
  <c r="E893" i="4"/>
  <c r="G1006" i="4"/>
  <c r="I1006" i="4"/>
  <c r="H1006" i="4"/>
  <c r="F1006" i="4"/>
  <c r="C1012" i="4"/>
  <c r="I1039" i="4"/>
  <c r="H1039" i="4"/>
  <c r="F1039" i="4"/>
  <c r="J1039" i="4"/>
  <c r="G1039" i="4"/>
  <c r="D1039" i="4"/>
  <c r="E1039" i="4"/>
  <c r="B1039" i="4"/>
  <c r="J1065" i="4"/>
  <c r="B1065" i="4"/>
  <c r="I1065" i="4"/>
  <c r="B409" i="4"/>
  <c r="J413" i="4"/>
  <c r="B422" i="4"/>
  <c r="B435" i="4"/>
  <c r="D453" i="4"/>
  <c r="C456" i="4"/>
  <c r="B462" i="4"/>
  <c r="B463" i="4"/>
  <c r="C464" i="4"/>
  <c r="B482" i="4"/>
  <c r="E486" i="4"/>
  <c r="G486" i="4"/>
  <c r="C496" i="4"/>
  <c r="C504" i="4"/>
  <c r="C520" i="4"/>
  <c r="I525" i="4"/>
  <c r="I528" i="4"/>
  <c r="E528" i="4"/>
  <c r="H543" i="4"/>
  <c r="I546" i="4"/>
  <c r="G546" i="4"/>
  <c r="E550" i="4"/>
  <c r="B559" i="4"/>
  <c r="E595" i="4"/>
  <c r="D597" i="4"/>
  <c r="C600" i="4"/>
  <c r="E624" i="4"/>
  <c r="H627" i="4"/>
  <c r="I647" i="4"/>
  <c r="J647" i="4"/>
  <c r="H647" i="4"/>
  <c r="G647" i="4"/>
  <c r="D647" i="4"/>
  <c r="E652" i="4"/>
  <c r="G655" i="4"/>
  <c r="C660" i="4"/>
  <c r="G667" i="4"/>
  <c r="I672" i="4"/>
  <c r="H672" i="4"/>
  <c r="E672" i="4"/>
  <c r="E678" i="4"/>
  <c r="H691" i="4"/>
  <c r="D694" i="4"/>
  <c r="D696" i="4"/>
  <c r="J705" i="4"/>
  <c r="I705" i="4"/>
  <c r="F705" i="4"/>
  <c r="C705" i="4"/>
  <c r="C707" i="4"/>
  <c r="J714" i="4"/>
  <c r="I714" i="4"/>
  <c r="E714" i="4"/>
  <c r="I736" i="4"/>
  <c r="C751" i="4"/>
  <c r="C758" i="4"/>
  <c r="I762" i="4"/>
  <c r="F776" i="4"/>
  <c r="D776" i="4"/>
  <c r="C776" i="4"/>
  <c r="D783" i="4"/>
  <c r="G783" i="4"/>
  <c r="F783" i="4"/>
  <c r="E783" i="4"/>
  <c r="B783" i="4"/>
  <c r="E795" i="4"/>
  <c r="H805" i="4"/>
  <c r="I805" i="4"/>
  <c r="F805" i="4"/>
  <c r="E805" i="4"/>
  <c r="C805" i="4"/>
  <c r="I808" i="4"/>
  <c r="F808" i="4"/>
  <c r="B818" i="4"/>
  <c r="H835" i="4"/>
  <c r="D842" i="4"/>
  <c r="J889" i="4"/>
  <c r="G889" i="4"/>
  <c r="I889" i="4"/>
  <c r="E889" i="4"/>
  <c r="B889" i="4"/>
  <c r="G894" i="4"/>
  <c r="I894" i="4"/>
  <c r="H894" i="4"/>
  <c r="E948" i="4"/>
  <c r="I948" i="4"/>
  <c r="G948" i="4"/>
  <c r="D948" i="4"/>
  <c r="B948" i="4"/>
  <c r="C1039" i="4"/>
  <c r="H163" i="4"/>
  <c r="I221" i="4"/>
  <c r="D229" i="4"/>
  <c r="E236" i="4"/>
  <c r="E237" i="4"/>
  <c r="I243" i="4"/>
  <c r="E253" i="4"/>
  <c r="H349" i="4"/>
  <c r="H353" i="4"/>
  <c r="H357" i="4"/>
  <c r="H365" i="4"/>
  <c r="D369" i="4"/>
  <c r="G377" i="4"/>
  <c r="B385" i="4"/>
  <c r="B393" i="4"/>
  <c r="B401" i="4"/>
  <c r="C409" i="4"/>
  <c r="C410" i="4"/>
  <c r="B413" i="4"/>
  <c r="B421" i="4"/>
  <c r="E435" i="4"/>
  <c r="D437" i="4"/>
  <c r="C440" i="4"/>
  <c r="F453" i="4"/>
  <c r="E456" i="4"/>
  <c r="F457" i="4"/>
  <c r="B466" i="4"/>
  <c r="J467" i="4"/>
  <c r="B471" i="4"/>
  <c r="I477" i="4"/>
  <c r="C480" i="4"/>
  <c r="D482" i="4"/>
  <c r="C484" i="4"/>
  <c r="B486" i="4"/>
  <c r="G489" i="4"/>
  <c r="D489" i="4"/>
  <c r="I495" i="4"/>
  <c r="E495" i="4"/>
  <c r="E496" i="4"/>
  <c r="I499" i="4"/>
  <c r="B499" i="4"/>
  <c r="I502" i="4"/>
  <c r="G504" i="4"/>
  <c r="G518" i="4"/>
  <c r="E520" i="4"/>
  <c r="C526" i="4"/>
  <c r="B526" i="4"/>
  <c r="J526" i="4"/>
  <c r="C528" i="4"/>
  <c r="G536" i="4"/>
  <c r="F536" i="4"/>
  <c r="E536" i="4"/>
  <c r="D546" i="4"/>
  <c r="G550" i="4"/>
  <c r="C559" i="4"/>
  <c r="D583" i="4"/>
  <c r="H583" i="4"/>
  <c r="G583" i="4"/>
  <c r="E583" i="4"/>
  <c r="B583" i="4"/>
  <c r="D587" i="4"/>
  <c r="J587" i="4"/>
  <c r="H587" i="4"/>
  <c r="E587" i="4"/>
  <c r="G595" i="4"/>
  <c r="F600" i="4"/>
  <c r="H624" i="4"/>
  <c r="J627" i="4"/>
  <c r="B647" i="4"/>
  <c r="H652" i="4"/>
  <c r="H655" i="4"/>
  <c r="E660" i="4"/>
  <c r="G663" i="4"/>
  <c r="D665" i="4"/>
  <c r="H667" i="4"/>
  <c r="D672" i="4"/>
  <c r="G692" i="4"/>
  <c r="I692" i="4"/>
  <c r="H692" i="4"/>
  <c r="F692" i="4"/>
  <c r="G694" i="4"/>
  <c r="F696" i="4"/>
  <c r="D705" i="4"/>
  <c r="G707" i="4"/>
  <c r="B714" i="4"/>
  <c r="F734" i="4"/>
  <c r="I734" i="4"/>
  <c r="H734" i="4"/>
  <c r="C734" i="4"/>
  <c r="J739" i="4"/>
  <c r="H739" i="4"/>
  <c r="C739" i="4"/>
  <c r="J747" i="4"/>
  <c r="I747" i="4"/>
  <c r="F747" i="4"/>
  <c r="I751" i="4"/>
  <c r="G758" i="4"/>
  <c r="D763" i="4"/>
  <c r="H763" i="4"/>
  <c r="E763" i="4"/>
  <c r="H776" i="4"/>
  <c r="C783" i="4"/>
  <c r="B805" i="4"/>
  <c r="C808" i="4"/>
  <c r="J810" i="4"/>
  <c r="H810" i="4"/>
  <c r="D818" i="4"/>
  <c r="F894" i="4"/>
  <c r="J948" i="4"/>
  <c r="D987" i="4"/>
  <c r="I987" i="4"/>
  <c r="I996" i="4"/>
  <c r="J996" i="4"/>
  <c r="G996" i="4"/>
  <c r="I1031" i="4"/>
  <c r="H1031" i="4"/>
  <c r="G1031" i="4"/>
  <c r="F1031" i="4"/>
  <c r="D1031" i="4"/>
  <c r="J1031" i="4"/>
  <c r="C1031" i="4"/>
  <c r="B1031" i="4"/>
  <c r="F1125" i="4"/>
  <c r="I1125" i="4"/>
  <c r="G1125" i="4"/>
  <c r="E1125" i="4"/>
  <c r="C1125" i="4"/>
  <c r="H1125" i="4"/>
  <c r="H516" i="4"/>
  <c r="H531" i="4"/>
  <c r="G615" i="4"/>
  <c r="E619" i="4"/>
  <c r="H620" i="4"/>
  <c r="H639" i="4"/>
  <c r="E643" i="4"/>
  <c r="H644" i="4"/>
  <c r="E659" i="4"/>
  <c r="F684" i="4"/>
  <c r="E685" i="4"/>
  <c r="G740" i="4"/>
  <c r="J743" i="4"/>
  <c r="I819" i="4"/>
  <c r="J819" i="4"/>
  <c r="H819" i="4"/>
  <c r="G819" i="4"/>
  <c r="I851" i="4"/>
  <c r="F851" i="4"/>
  <c r="E851" i="4"/>
  <c r="C851" i="4"/>
  <c r="J857" i="4"/>
  <c r="I857" i="4"/>
  <c r="G857" i="4"/>
  <c r="B857" i="4"/>
  <c r="J861" i="4"/>
  <c r="I861" i="4"/>
  <c r="J877" i="4"/>
  <c r="I877" i="4"/>
  <c r="E891" i="4"/>
  <c r="I891" i="4"/>
  <c r="G891" i="4"/>
  <c r="F891" i="4"/>
  <c r="C891" i="4"/>
  <c r="J928" i="4"/>
  <c r="G928" i="4"/>
  <c r="D949" i="4"/>
  <c r="J949" i="4"/>
  <c r="H949" i="4"/>
  <c r="G949" i="4"/>
  <c r="C949" i="4"/>
  <c r="F959" i="4"/>
  <c r="D959" i="4"/>
  <c r="I959" i="4"/>
  <c r="C959" i="4"/>
  <c r="D977" i="4"/>
  <c r="B977" i="4"/>
  <c r="H977" i="4"/>
  <c r="J977" i="4"/>
  <c r="E977" i="4"/>
  <c r="D981" i="4"/>
  <c r="C981" i="4"/>
  <c r="J981" i="4"/>
  <c r="G981" i="4"/>
  <c r="E981" i="4"/>
  <c r="B981" i="4"/>
  <c r="D985" i="4"/>
  <c r="B985" i="4"/>
  <c r="H985" i="4"/>
  <c r="J985" i="4"/>
  <c r="E985" i="4"/>
  <c r="D997" i="4"/>
  <c r="E997" i="4"/>
  <c r="C997" i="4"/>
  <c r="J997" i="4"/>
  <c r="G997" i="4"/>
  <c r="F997" i="4"/>
  <c r="B997" i="4"/>
  <c r="I1003" i="4"/>
  <c r="D1003" i="4"/>
  <c r="C1003" i="4"/>
  <c r="B1003" i="4"/>
  <c r="J1003" i="4"/>
  <c r="G1003" i="4"/>
  <c r="E1003" i="4"/>
  <c r="D1124" i="4"/>
  <c r="I1124" i="4"/>
  <c r="H1124" i="4"/>
  <c r="F1124" i="4"/>
  <c r="F1127" i="4"/>
  <c r="G1127" i="4"/>
  <c r="E1127" i="4"/>
  <c r="C1127" i="4"/>
  <c r="H1127" i="4"/>
  <c r="G1180" i="4"/>
  <c r="J1180" i="4"/>
  <c r="H1180" i="4"/>
  <c r="I1180" i="4"/>
  <c r="E1180" i="4"/>
  <c r="I1242" i="4"/>
  <c r="J1242" i="4"/>
  <c r="G1242" i="4"/>
  <c r="F1242" i="4"/>
  <c r="E1242" i="4"/>
  <c r="D1242" i="4"/>
  <c r="C1242" i="4"/>
  <c r="B1242" i="4"/>
  <c r="I1354" i="4"/>
  <c r="H1354" i="4"/>
  <c r="G1354" i="4"/>
  <c r="E1354" i="4"/>
  <c r="C1354" i="4"/>
  <c r="C542" i="4"/>
  <c r="F548" i="4"/>
  <c r="H552" i="4"/>
  <c r="G557" i="4"/>
  <c r="G566" i="4"/>
  <c r="J567" i="4"/>
  <c r="C571" i="4"/>
  <c r="C575" i="4"/>
  <c r="G577" i="4"/>
  <c r="C579" i="4"/>
  <c r="E592" i="4"/>
  <c r="C603" i="4"/>
  <c r="J615" i="4"/>
  <c r="H619" i="4"/>
  <c r="C631" i="4"/>
  <c r="E632" i="4"/>
  <c r="C635" i="4"/>
  <c r="H643" i="4"/>
  <c r="E656" i="4"/>
  <c r="I658" i="4"/>
  <c r="G659" i="4"/>
  <c r="C664" i="4"/>
  <c r="C668" i="4"/>
  <c r="C670" i="4"/>
  <c r="H684" i="4"/>
  <c r="G685" i="4"/>
  <c r="D688" i="4"/>
  <c r="D716" i="4"/>
  <c r="C717" i="4"/>
  <c r="D718" i="4"/>
  <c r="C721" i="4"/>
  <c r="C727" i="4"/>
  <c r="C766" i="4"/>
  <c r="I780" i="4"/>
  <c r="I781" i="4"/>
  <c r="D786" i="4"/>
  <c r="C791" i="4"/>
  <c r="G792" i="4"/>
  <c r="C794" i="4"/>
  <c r="I815" i="4"/>
  <c r="G815" i="4"/>
  <c r="E815" i="4"/>
  <c r="F817" i="4"/>
  <c r="C817" i="4"/>
  <c r="B817" i="4"/>
  <c r="C819" i="4"/>
  <c r="C834" i="4"/>
  <c r="G834" i="4"/>
  <c r="E834" i="4"/>
  <c r="D834" i="4"/>
  <c r="F840" i="4"/>
  <c r="D844" i="4"/>
  <c r="G851" i="4"/>
  <c r="C858" i="4"/>
  <c r="J858" i="4"/>
  <c r="H858" i="4"/>
  <c r="E858" i="4"/>
  <c r="J892" i="4"/>
  <c r="I892" i="4"/>
  <c r="D900" i="4"/>
  <c r="C900" i="4"/>
  <c r="B900" i="4"/>
  <c r="J900" i="4"/>
  <c r="F902" i="4"/>
  <c r="E902" i="4"/>
  <c r="C902" i="4"/>
  <c r="E907" i="4"/>
  <c r="F907" i="4"/>
  <c r="D907" i="4"/>
  <c r="C907" i="4"/>
  <c r="G910" i="4"/>
  <c r="I910" i="4"/>
  <c r="F910" i="4"/>
  <c r="E949" i="4"/>
  <c r="G977" i="4"/>
  <c r="J982" i="4"/>
  <c r="F982" i="4"/>
  <c r="E982" i="4"/>
  <c r="H998" i="4"/>
  <c r="G998" i="4"/>
  <c r="F998" i="4"/>
  <c r="I998" i="4"/>
  <c r="I1023" i="4"/>
  <c r="D1023" i="4"/>
  <c r="C1023" i="4"/>
  <c r="B1023" i="4"/>
  <c r="H1023" i="4"/>
  <c r="G1023" i="4"/>
  <c r="H1136" i="4"/>
  <c r="I1136" i="4"/>
  <c r="J1136" i="4"/>
  <c r="G1136" i="4"/>
  <c r="J1197" i="4"/>
  <c r="B1197" i="4"/>
  <c r="I1322" i="4"/>
  <c r="E1322" i="4"/>
  <c r="G1322" i="4"/>
  <c r="G500" i="4"/>
  <c r="I505" i="4"/>
  <c r="E514" i="4"/>
  <c r="C532" i="4"/>
  <c r="D542" i="4"/>
  <c r="G548" i="4"/>
  <c r="I566" i="4"/>
  <c r="E571" i="4"/>
  <c r="E575" i="4"/>
  <c r="I577" i="4"/>
  <c r="E579" i="4"/>
  <c r="F592" i="4"/>
  <c r="C596" i="4"/>
  <c r="E603" i="4"/>
  <c r="C608" i="4"/>
  <c r="C612" i="4"/>
  <c r="J619" i="4"/>
  <c r="G622" i="4"/>
  <c r="D631" i="4"/>
  <c r="F632" i="4"/>
  <c r="D635" i="4"/>
  <c r="F636" i="4"/>
  <c r="B639" i="4"/>
  <c r="C640" i="4"/>
  <c r="J643" i="4"/>
  <c r="F656" i="4"/>
  <c r="H659" i="4"/>
  <c r="E664" i="4"/>
  <c r="E668" i="4"/>
  <c r="G680" i="4"/>
  <c r="D682" i="4"/>
  <c r="I685" i="4"/>
  <c r="B687" i="4"/>
  <c r="F688" i="4"/>
  <c r="B703" i="4"/>
  <c r="E716" i="4"/>
  <c r="D717" i="4"/>
  <c r="E718" i="4"/>
  <c r="D721" i="4"/>
  <c r="E766" i="4"/>
  <c r="E791" i="4"/>
  <c r="H792" i="4"/>
  <c r="D794" i="4"/>
  <c r="E807" i="4"/>
  <c r="B815" i="4"/>
  <c r="I817" i="4"/>
  <c r="E819" i="4"/>
  <c r="C830" i="4"/>
  <c r="E830" i="4"/>
  <c r="D830" i="4"/>
  <c r="B830" i="4"/>
  <c r="B834" i="4"/>
  <c r="I839" i="4"/>
  <c r="J839" i="4"/>
  <c r="H839" i="4"/>
  <c r="G839" i="4"/>
  <c r="I840" i="4"/>
  <c r="I843" i="4"/>
  <c r="H843" i="4"/>
  <c r="G843" i="4"/>
  <c r="F843" i="4"/>
  <c r="H851" i="4"/>
  <c r="B858" i="4"/>
  <c r="D892" i="4"/>
  <c r="E900" i="4"/>
  <c r="G902" i="4"/>
  <c r="J905" i="4"/>
  <c r="I905" i="4"/>
  <c r="G905" i="4"/>
  <c r="B905" i="4"/>
  <c r="G907" i="4"/>
  <c r="H910" i="4"/>
  <c r="H922" i="4"/>
  <c r="G922" i="4"/>
  <c r="G942" i="4"/>
  <c r="F942" i="4"/>
  <c r="H942" i="4"/>
  <c r="C982" i="4"/>
  <c r="D998" i="4"/>
  <c r="E1023" i="4"/>
  <c r="I1027" i="4"/>
  <c r="H1027" i="4"/>
  <c r="G1027" i="4"/>
  <c r="F1027" i="4"/>
  <c r="D1027" i="4"/>
  <c r="J1027" i="4"/>
  <c r="E1027" i="4"/>
  <c r="B1027" i="4"/>
  <c r="G1194" i="4"/>
  <c r="J1194" i="4"/>
  <c r="H1194" i="4"/>
  <c r="E1194" i="4"/>
  <c r="I1194" i="4"/>
  <c r="C1217" i="4"/>
  <c r="B1217" i="4"/>
  <c r="F532" i="4"/>
  <c r="H548" i="4"/>
  <c r="G571" i="4"/>
  <c r="E631" i="4"/>
  <c r="H632" i="4"/>
  <c r="H656" i="4"/>
  <c r="J659" i="4"/>
  <c r="F664" i="4"/>
  <c r="F668" i="4"/>
  <c r="C687" i="4"/>
  <c r="H688" i="4"/>
  <c r="C715" i="4"/>
  <c r="E717" i="4"/>
  <c r="H718" i="4"/>
  <c r="F727" i="4"/>
  <c r="F733" i="4"/>
  <c r="E737" i="4"/>
  <c r="C740" i="4"/>
  <c r="C741" i="4"/>
  <c r="B753" i="4"/>
  <c r="C759" i="4"/>
  <c r="D761" i="4"/>
  <c r="H766" i="4"/>
  <c r="C772" i="4"/>
  <c r="C773" i="4"/>
  <c r="B781" i="4"/>
  <c r="D782" i="4"/>
  <c r="B785" i="4"/>
  <c r="F791" i="4"/>
  <c r="E794" i="4"/>
  <c r="B802" i="4"/>
  <c r="E803" i="4"/>
  <c r="B809" i="4"/>
  <c r="C815" i="4"/>
  <c r="J817" i="4"/>
  <c r="F819" i="4"/>
  <c r="G825" i="4"/>
  <c r="J825" i="4"/>
  <c r="G830" i="4"/>
  <c r="I832" i="4"/>
  <c r="H832" i="4"/>
  <c r="F832" i="4"/>
  <c r="H834" i="4"/>
  <c r="B839" i="4"/>
  <c r="G841" i="4"/>
  <c r="D841" i="4"/>
  <c r="B841" i="4"/>
  <c r="B843" i="4"/>
  <c r="C850" i="4"/>
  <c r="E850" i="4"/>
  <c r="D850" i="4"/>
  <c r="B850" i="4"/>
  <c r="J851" i="4"/>
  <c r="D858" i="4"/>
  <c r="J869" i="4"/>
  <c r="I869" i="4"/>
  <c r="G892" i="4"/>
  <c r="G896" i="4"/>
  <c r="G900" i="4"/>
  <c r="H902" i="4"/>
  <c r="E905" i="4"/>
  <c r="I907" i="4"/>
  <c r="C922" i="4"/>
  <c r="I942" i="4"/>
  <c r="H982" i="4"/>
  <c r="G999" i="4"/>
  <c r="J999" i="4"/>
  <c r="E999" i="4"/>
  <c r="F999" i="4"/>
  <c r="C999" i="4"/>
  <c r="F1023" i="4"/>
  <c r="C1027" i="4"/>
  <c r="D1096" i="4"/>
  <c r="H1096" i="4"/>
  <c r="G1096" i="4"/>
  <c r="F1096" i="4"/>
  <c r="C1096" i="4"/>
  <c r="I1096" i="4"/>
  <c r="D1120" i="4"/>
  <c r="I1120" i="4"/>
  <c r="G1120" i="4"/>
  <c r="F1120" i="4"/>
  <c r="C1120" i="4"/>
  <c r="B1120" i="4"/>
  <c r="E1120" i="4"/>
  <c r="C1194" i="4"/>
  <c r="I1212" i="4"/>
  <c r="E1212" i="4"/>
  <c r="D1212" i="4"/>
  <c r="F1212" i="4"/>
  <c r="C1212" i="4"/>
  <c r="J940" i="4"/>
  <c r="D940" i="4"/>
  <c r="D945" i="4"/>
  <c r="J945" i="4"/>
  <c r="I1007" i="4"/>
  <c r="H1007" i="4"/>
  <c r="G1007" i="4"/>
  <c r="F1007" i="4"/>
  <c r="D1007" i="4"/>
  <c r="J1009" i="4"/>
  <c r="H1009" i="4"/>
  <c r="C1018" i="4"/>
  <c r="G1018" i="4"/>
  <c r="C1062" i="4"/>
  <c r="H1062" i="4"/>
  <c r="G1062" i="4"/>
  <c r="F1062" i="4"/>
  <c r="B1062" i="4"/>
  <c r="J1062" i="4"/>
  <c r="D1062" i="4"/>
  <c r="I1077" i="4"/>
  <c r="G1077" i="4"/>
  <c r="F1077" i="4"/>
  <c r="D1077" i="4"/>
  <c r="C1077" i="4"/>
  <c r="J1080" i="4"/>
  <c r="I1080" i="4"/>
  <c r="J1087" i="4"/>
  <c r="D1087" i="4"/>
  <c r="E1097" i="4"/>
  <c r="D1097" i="4"/>
  <c r="D1128" i="4"/>
  <c r="H1128" i="4"/>
  <c r="G1128" i="4"/>
  <c r="F1128" i="4"/>
  <c r="C1128" i="4"/>
  <c r="I1128" i="4"/>
  <c r="E1128" i="4"/>
  <c r="B1128" i="4"/>
  <c r="F1187" i="4"/>
  <c r="I1187" i="4"/>
  <c r="J1243" i="4"/>
  <c r="C1243" i="4"/>
  <c r="J1330" i="4"/>
  <c r="G1330" i="4"/>
  <c r="F1330" i="4"/>
  <c r="E1330" i="4"/>
  <c r="C1330" i="4"/>
  <c r="J822" i="4"/>
  <c r="J823" i="4"/>
  <c r="J854" i="4"/>
  <c r="J855" i="4"/>
  <c r="H859" i="4"/>
  <c r="C863" i="4"/>
  <c r="C871" i="4"/>
  <c r="C879" i="4"/>
  <c r="C884" i="4"/>
  <c r="C885" i="4"/>
  <c r="E886" i="4"/>
  <c r="D888" i="4"/>
  <c r="E921" i="4"/>
  <c r="G924" i="4"/>
  <c r="H926" i="4"/>
  <c r="I940" i="4"/>
  <c r="C945" i="4"/>
  <c r="D953" i="4"/>
  <c r="E953" i="4"/>
  <c r="J966" i="4"/>
  <c r="C966" i="4"/>
  <c r="I992" i="4"/>
  <c r="J994" i="4"/>
  <c r="H994" i="4"/>
  <c r="C994" i="4"/>
  <c r="C1007" i="4"/>
  <c r="C1009" i="4"/>
  <c r="F1018" i="4"/>
  <c r="C1042" i="4"/>
  <c r="F1042" i="4"/>
  <c r="B1042" i="4"/>
  <c r="H1042" i="4"/>
  <c r="I1055" i="4"/>
  <c r="F1055" i="4"/>
  <c r="E1055" i="4"/>
  <c r="D1055" i="4"/>
  <c r="B1055" i="4"/>
  <c r="J1055" i="4"/>
  <c r="G1055" i="4"/>
  <c r="H1114" i="4"/>
  <c r="I1114" i="4"/>
  <c r="E1114" i="4"/>
  <c r="G1130" i="4"/>
  <c r="F1130" i="4"/>
  <c r="E1130" i="4"/>
  <c r="C1130" i="4"/>
  <c r="I1130" i="4"/>
  <c r="I1188" i="4"/>
  <c r="E1188" i="4"/>
  <c r="D1188" i="4"/>
  <c r="C1188" i="4"/>
  <c r="F1188" i="4"/>
  <c r="D1203" i="4"/>
  <c r="F1203" i="4"/>
  <c r="E1203" i="4"/>
  <c r="C1203" i="4"/>
  <c r="H1203" i="4"/>
  <c r="D1207" i="4"/>
  <c r="G1207" i="4"/>
  <c r="F1207" i="4"/>
  <c r="H1207" i="4"/>
  <c r="E1207" i="4"/>
  <c r="C1207" i="4"/>
  <c r="H1269" i="4"/>
  <c r="F1269" i="4"/>
  <c r="E1269" i="4"/>
  <c r="D1269" i="4"/>
  <c r="C1269" i="4"/>
  <c r="B1269" i="4"/>
  <c r="I1269" i="4"/>
  <c r="G1269" i="4"/>
  <c r="J1308" i="4"/>
  <c r="I1308" i="4"/>
  <c r="G1308" i="4"/>
  <c r="B1308" i="4"/>
  <c r="B827" i="4"/>
  <c r="E863" i="4"/>
  <c r="E871" i="4"/>
  <c r="E879" i="4"/>
  <c r="D884" i="4"/>
  <c r="E885" i="4"/>
  <c r="F886" i="4"/>
  <c r="E888" i="4"/>
  <c r="C890" i="4"/>
  <c r="B904" i="4"/>
  <c r="G921" i="4"/>
  <c r="C923" i="4"/>
  <c r="I924" i="4"/>
  <c r="I926" i="4"/>
  <c r="B932" i="4"/>
  <c r="B933" i="4"/>
  <c r="C934" i="4"/>
  <c r="C939" i="4"/>
  <c r="C943" i="4"/>
  <c r="E945" i="4"/>
  <c r="B953" i="4"/>
  <c r="I960" i="4"/>
  <c r="B960" i="4"/>
  <c r="E966" i="4"/>
  <c r="G968" i="4"/>
  <c r="I968" i="4"/>
  <c r="G972" i="4"/>
  <c r="J974" i="4"/>
  <c r="C974" i="4"/>
  <c r="J978" i="4"/>
  <c r="E978" i="4"/>
  <c r="G984" i="4"/>
  <c r="B984" i="4"/>
  <c r="J986" i="4"/>
  <c r="E986" i="4"/>
  <c r="D989" i="4"/>
  <c r="E989" i="4"/>
  <c r="J992" i="4"/>
  <c r="E994" i="4"/>
  <c r="J1004" i="4"/>
  <c r="I1004" i="4"/>
  <c r="H1004" i="4"/>
  <c r="D1004" i="4"/>
  <c r="E1007" i="4"/>
  <c r="I1009" i="4"/>
  <c r="H1018" i="4"/>
  <c r="D1042" i="4"/>
  <c r="C1055" i="4"/>
  <c r="I1059" i="4"/>
  <c r="D1059" i="4"/>
  <c r="C1059" i="4"/>
  <c r="B1059" i="4"/>
  <c r="H1059" i="4"/>
  <c r="G1059" i="4"/>
  <c r="F1059" i="4"/>
  <c r="E1059" i="4"/>
  <c r="E1108" i="4"/>
  <c r="G1114" i="4"/>
  <c r="D1117" i="4"/>
  <c r="I1117" i="4"/>
  <c r="H1117" i="4"/>
  <c r="G1117" i="4"/>
  <c r="E1117" i="4"/>
  <c r="C1117" i="4"/>
  <c r="G1203" i="4"/>
  <c r="J1299" i="4"/>
  <c r="I1299" i="4"/>
  <c r="H1299" i="4"/>
  <c r="G1299" i="4"/>
  <c r="E1299" i="4"/>
  <c r="B823" i="4"/>
  <c r="B855" i="4"/>
  <c r="C856" i="4"/>
  <c r="F863" i="4"/>
  <c r="I865" i="4"/>
  <c r="F871" i="4"/>
  <c r="I873" i="4"/>
  <c r="F879" i="4"/>
  <c r="I888" i="4"/>
  <c r="F890" i="4"/>
  <c r="D904" i="4"/>
  <c r="E909" i="4"/>
  <c r="C911" i="4"/>
  <c r="B920" i="4"/>
  <c r="I921" i="4"/>
  <c r="D923" i="4"/>
  <c r="D939" i="4"/>
  <c r="E941" i="4"/>
  <c r="F943" i="4"/>
  <c r="G945" i="4"/>
  <c r="I950" i="4"/>
  <c r="H950" i="4"/>
  <c r="C953" i="4"/>
  <c r="E960" i="4"/>
  <c r="F966" i="4"/>
  <c r="B968" i="4"/>
  <c r="J970" i="4"/>
  <c r="F970" i="4"/>
  <c r="J972" i="4"/>
  <c r="E974" i="4"/>
  <c r="C978" i="4"/>
  <c r="I984" i="4"/>
  <c r="C986" i="4"/>
  <c r="B989" i="4"/>
  <c r="F994" i="4"/>
  <c r="I1002" i="4"/>
  <c r="H1002" i="4"/>
  <c r="J1005" i="4"/>
  <c r="I1005" i="4"/>
  <c r="J1007" i="4"/>
  <c r="G1028" i="4"/>
  <c r="H1028" i="4"/>
  <c r="F1028" i="4"/>
  <c r="E1028" i="4"/>
  <c r="C1028" i="4"/>
  <c r="G1042" i="4"/>
  <c r="I1051" i="4"/>
  <c r="G1051" i="4"/>
  <c r="F1051" i="4"/>
  <c r="E1051" i="4"/>
  <c r="C1051" i="4"/>
  <c r="H1051" i="4"/>
  <c r="H1055" i="4"/>
  <c r="J1059" i="4"/>
  <c r="F1083" i="4"/>
  <c r="I1083" i="4"/>
  <c r="H1083" i="4"/>
  <c r="D1083" i="4"/>
  <c r="E1085" i="4"/>
  <c r="D1085" i="4"/>
  <c r="C1085" i="4"/>
  <c r="I1085" i="4"/>
  <c r="H1085" i="4"/>
  <c r="F1117" i="4"/>
  <c r="J1131" i="4"/>
  <c r="I1131" i="4"/>
  <c r="E1131" i="4"/>
  <c r="G1131" i="4"/>
  <c r="C1131" i="4"/>
  <c r="D1145" i="4"/>
  <c r="H1145" i="4"/>
  <c r="G1145" i="4"/>
  <c r="E1145" i="4"/>
  <c r="F1145" i="4"/>
  <c r="J1274" i="4"/>
  <c r="I1274" i="4"/>
  <c r="C1274" i="4"/>
  <c r="B1274" i="4"/>
  <c r="J1288" i="4"/>
  <c r="H1288" i="4"/>
  <c r="G1288" i="4"/>
  <c r="F1288" i="4"/>
  <c r="E1288" i="4"/>
  <c r="D1288" i="4"/>
  <c r="C1288" i="4"/>
  <c r="J1016" i="4"/>
  <c r="G1019" i="4"/>
  <c r="F1020" i="4"/>
  <c r="H1024" i="4"/>
  <c r="I1035" i="4"/>
  <c r="F1035" i="4"/>
  <c r="G1036" i="4"/>
  <c r="E1036" i="4"/>
  <c r="C1038" i="4"/>
  <c r="F1038" i="4"/>
  <c r="G1044" i="4"/>
  <c r="E1044" i="4"/>
  <c r="D1044" i="4"/>
  <c r="B1044" i="4"/>
  <c r="D1104" i="4"/>
  <c r="I1104" i="4"/>
  <c r="H1104" i="4"/>
  <c r="E1104" i="4"/>
  <c r="H1106" i="4"/>
  <c r="F1106" i="4"/>
  <c r="E1106" i="4"/>
  <c r="C1106" i="4"/>
  <c r="E1109" i="4"/>
  <c r="D1109" i="4"/>
  <c r="C1109" i="4"/>
  <c r="H1168" i="4"/>
  <c r="J1168" i="4"/>
  <c r="I1168" i="4"/>
  <c r="B1168" i="4"/>
  <c r="I1175" i="4"/>
  <c r="J1175" i="4"/>
  <c r="G1192" i="4"/>
  <c r="F1192" i="4"/>
  <c r="E1192" i="4"/>
  <c r="C1192" i="4"/>
  <c r="J1302" i="4"/>
  <c r="B1302" i="4"/>
  <c r="I1345" i="4"/>
  <c r="J1345" i="4"/>
  <c r="G1345" i="4"/>
  <c r="F1345" i="4"/>
  <c r="E1345" i="4"/>
  <c r="C1345" i="4"/>
  <c r="J1019" i="4"/>
  <c r="I1043" i="4"/>
  <c r="F1043" i="4"/>
  <c r="E1043" i="4"/>
  <c r="C1043" i="4"/>
  <c r="C1050" i="4"/>
  <c r="H1050" i="4"/>
  <c r="G1050" i="4"/>
  <c r="F1050" i="4"/>
  <c r="B1050" i="4"/>
  <c r="G1052" i="4"/>
  <c r="F1052" i="4"/>
  <c r="E1052" i="4"/>
  <c r="D1052" i="4"/>
  <c r="B1052" i="4"/>
  <c r="H1078" i="4"/>
  <c r="I1078" i="4"/>
  <c r="F1078" i="4"/>
  <c r="D1078" i="4"/>
  <c r="D1092" i="4"/>
  <c r="I1092" i="4"/>
  <c r="H1092" i="4"/>
  <c r="F1092" i="4"/>
  <c r="F1107" i="4"/>
  <c r="H1107" i="4"/>
  <c r="G1107" i="4"/>
  <c r="E1107" i="4"/>
  <c r="C1107" i="4"/>
  <c r="H1118" i="4"/>
  <c r="I1118" i="4"/>
  <c r="G1118" i="4"/>
  <c r="F1118" i="4"/>
  <c r="D1118" i="4"/>
  <c r="I1179" i="4"/>
  <c r="G1179" i="4"/>
  <c r="D1179" i="4"/>
  <c r="B1179" i="4"/>
  <c r="H1190" i="4"/>
  <c r="C1190" i="4"/>
  <c r="I1192" i="4"/>
  <c r="D1199" i="4"/>
  <c r="H1199" i="4"/>
  <c r="G1199" i="4"/>
  <c r="E1199" i="4"/>
  <c r="D1380" i="4"/>
  <c r="C1380" i="4"/>
  <c r="B1016" i="4"/>
  <c r="B1019" i="4"/>
  <c r="B1024" i="4"/>
  <c r="B1025" i="4"/>
  <c r="F1041" i="4"/>
  <c r="B1043" i="4"/>
  <c r="D1050" i="4"/>
  <c r="C1052" i="4"/>
  <c r="C1074" i="4"/>
  <c r="J1074" i="4"/>
  <c r="H1074" i="4"/>
  <c r="F1074" i="4"/>
  <c r="F1093" i="4"/>
  <c r="I1093" i="4"/>
  <c r="G1093" i="4"/>
  <c r="F1095" i="4"/>
  <c r="G1095" i="4"/>
  <c r="E1095" i="4"/>
  <c r="C1095" i="4"/>
  <c r="B1107" i="4"/>
  <c r="F1134" i="4"/>
  <c r="G1134" i="4"/>
  <c r="I1147" i="4"/>
  <c r="G1147" i="4"/>
  <c r="C1147" i="4"/>
  <c r="F1150" i="4"/>
  <c r="I1150" i="4"/>
  <c r="J1161" i="4"/>
  <c r="E1161" i="4"/>
  <c r="D1161" i="4"/>
  <c r="C1161" i="4"/>
  <c r="C1179" i="4"/>
  <c r="E1186" i="4"/>
  <c r="C1186" i="4"/>
  <c r="B1186" i="4"/>
  <c r="J1193" i="4"/>
  <c r="I1193" i="4"/>
  <c r="G1193" i="4"/>
  <c r="D1193" i="4"/>
  <c r="C1199" i="4"/>
  <c r="J1202" i="4"/>
  <c r="I1202" i="4"/>
  <c r="H1202" i="4"/>
  <c r="I1219" i="4"/>
  <c r="G1219" i="4"/>
  <c r="F1219" i="4"/>
  <c r="E1219" i="4"/>
  <c r="D1219" i="4"/>
  <c r="H1219" i="4"/>
  <c r="I1255" i="4"/>
  <c r="H1255" i="4"/>
  <c r="E1255" i="4"/>
  <c r="D1255" i="4"/>
  <c r="C1255" i="4"/>
  <c r="B1255" i="4"/>
  <c r="G1268" i="4"/>
  <c r="F1268" i="4"/>
  <c r="E1268" i="4"/>
  <c r="D1268" i="4"/>
  <c r="C1268" i="4"/>
  <c r="I1268" i="4"/>
  <c r="G961" i="4"/>
  <c r="G965" i="4"/>
  <c r="G973" i="4"/>
  <c r="G993" i="4"/>
  <c r="C1000" i="4"/>
  <c r="J1001" i="4"/>
  <c r="J1011" i="4"/>
  <c r="C1016" i="4"/>
  <c r="C1019" i="4"/>
  <c r="B1020" i="4"/>
  <c r="C1024" i="4"/>
  <c r="H1026" i="4"/>
  <c r="H1030" i="4"/>
  <c r="C1034" i="4"/>
  <c r="F1034" i="4"/>
  <c r="E1035" i="4"/>
  <c r="F1036" i="4"/>
  <c r="H1038" i="4"/>
  <c r="G1040" i="4"/>
  <c r="H1040" i="4"/>
  <c r="E1040" i="4"/>
  <c r="D1043" i="4"/>
  <c r="J1044" i="4"/>
  <c r="J1050" i="4"/>
  <c r="H1052" i="4"/>
  <c r="I1063" i="4"/>
  <c r="G1063" i="4"/>
  <c r="F1063" i="4"/>
  <c r="E1063" i="4"/>
  <c r="C1063" i="4"/>
  <c r="B1074" i="4"/>
  <c r="C1078" i="4"/>
  <c r="C1093" i="4"/>
  <c r="H1095" i="4"/>
  <c r="D1107" i="4"/>
  <c r="C1118" i="4"/>
  <c r="C1134" i="4"/>
  <c r="G1144" i="4"/>
  <c r="I1144" i="4"/>
  <c r="H1144" i="4"/>
  <c r="E1144" i="4"/>
  <c r="B1147" i="4"/>
  <c r="C1150" i="4"/>
  <c r="F1161" i="4"/>
  <c r="E1166" i="4"/>
  <c r="J1179" i="4"/>
  <c r="I1186" i="4"/>
  <c r="C1193" i="4"/>
  <c r="F1199" i="4"/>
  <c r="E1202" i="4"/>
  <c r="J1206" i="4"/>
  <c r="E1206" i="4"/>
  <c r="B1206" i="4"/>
  <c r="I1206" i="4"/>
  <c r="B1219" i="4"/>
  <c r="B1222" i="4"/>
  <c r="J1255" i="4"/>
  <c r="H1268" i="4"/>
  <c r="I1363" i="4"/>
  <c r="G1363" i="4"/>
  <c r="F1363" i="4"/>
  <c r="C1363" i="4"/>
  <c r="I1374" i="4"/>
  <c r="H1374" i="4"/>
  <c r="G1374" i="4"/>
  <c r="C1374" i="4"/>
  <c r="G1046" i="4"/>
  <c r="F1047" i="4"/>
  <c r="E1048" i="4"/>
  <c r="J1058" i="4"/>
  <c r="H1060" i="4"/>
  <c r="H1066" i="4"/>
  <c r="G1067" i="4"/>
  <c r="F1068" i="4"/>
  <c r="G1070" i="4"/>
  <c r="F1071" i="4"/>
  <c r="E1072" i="4"/>
  <c r="E1075" i="4"/>
  <c r="I1094" i="4"/>
  <c r="G1099" i="4"/>
  <c r="J1143" i="4"/>
  <c r="J1160" i="4"/>
  <c r="H1177" i="4"/>
  <c r="G1201" i="4"/>
  <c r="D1201" i="4"/>
  <c r="D1211" i="4"/>
  <c r="E1211" i="4"/>
  <c r="C1211" i="4"/>
  <c r="I1223" i="4"/>
  <c r="E1223" i="4"/>
  <c r="D1223" i="4"/>
  <c r="C1223" i="4"/>
  <c r="B1223" i="4"/>
  <c r="J1256" i="4"/>
  <c r="I1256" i="4"/>
  <c r="H1256" i="4"/>
  <c r="F1256" i="4"/>
  <c r="H1260" i="4"/>
  <c r="I1260" i="4"/>
  <c r="F1260" i="4"/>
  <c r="E1260" i="4"/>
  <c r="D1260" i="4"/>
  <c r="J1296" i="4"/>
  <c r="G1296" i="4"/>
  <c r="F1296" i="4"/>
  <c r="E1296" i="4"/>
  <c r="D1296" i="4"/>
  <c r="C1296" i="4"/>
  <c r="I1320" i="4"/>
  <c r="H1320" i="4"/>
  <c r="G1320" i="4"/>
  <c r="E1320" i="4"/>
  <c r="C1320" i="4"/>
  <c r="I1346" i="4"/>
  <c r="H1346" i="4"/>
  <c r="G1346" i="4"/>
  <c r="E1346" i="4"/>
  <c r="I1368" i="4"/>
  <c r="G1368" i="4"/>
  <c r="E1368" i="4"/>
  <c r="J1046" i="4"/>
  <c r="H1047" i="4"/>
  <c r="H1048" i="4"/>
  <c r="J1067" i="4"/>
  <c r="J1068" i="4"/>
  <c r="J1070" i="4"/>
  <c r="H1071" i="4"/>
  <c r="H1072" i="4"/>
  <c r="C1201" i="4"/>
  <c r="C1205" i="4"/>
  <c r="F1211" i="4"/>
  <c r="J1220" i="4"/>
  <c r="F1220" i="4"/>
  <c r="E1220" i="4"/>
  <c r="D1220" i="4"/>
  <c r="G1223" i="4"/>
  <c r="I1225" i="4"/>
  <c r="D1225" i="4"/>
  <c r="J1236" i="4"/>
  <c r="I1236" i="4"/>
  <c r="I1313" i="4"/>
  <c r="F1313" i="4"/>
  <c r="J1320" i="4"/>
  <c r="D1346" i="4"/>
  <c r="I1350" i="4"/>
  <c r="H1350" i="4"/>
  <c r="G1350" i="4"/>
  <c r="E1350" i="4"/>
  <c r="C1350" i="4"/>
  <c r="D1368" i="4"/>
  <c r="J1047" i="4"/>
  <c r="J1048" i="4"/>
  <c r="B1058" i="4"/>
  <c r="J1071" i="4"/>
  <c r="J1072" i="4"/>
  <c r="I1075" i="4"/>
  <c r="G1082" i="4"/>
  <c r="B1100" i="4"/>
  <c r="E1103" i="4"/>
  <c r="D1110" i="4"/>
  <c r="H1133" i="4"/>
  <c r="E1135" i="4"/>
  <c r="G1137" i="4"/>
  <c r="B1143" i="4"/>
  <c r="C1154" i="4"/>
  <c r="I1155" i="4"/>
  <c r="E1157" i="4"/>
  <c r="B1160" i="4"/>
  <c r="I1162" i="4"/>
  <c r="E1165" i="4"/>
  <c r="C1167" i="4"/>
  <c r="D1174" i="4"/>
  <c r="C1177" i="4"/>
  <c r="F1182" i="4"/>
  <c r="I1201" i="4"/>
  <c r="D1205" i="4"/>
  <c r="G1211" i="4"/>
  <c r="H1223" i="4"/>
  <c r="I1254" i="4"/>
  <c r="F1254" i="4"/>
  <c r="E1254" i="4"/>
  <c r="D1254" i="4"/>
  <c r="C1254" i="4"/>
  <c r="B1254" i="4"/>
  <c r="I1264" i="4"/>
  <c r="C1264" i="4"/>
  <c r="I1281" i="4"/>
  <c r="G1281" i="4"/>
  <c r="F1281" i="4"/>
  <c r="E1281" i="4"/>
  <c r="G1318" i="4"/>
  <c r="F1318" i="4"/>
  <c r="E1318" i="4"/>
  <c r="D1318" i="4"/>
  <c r="C1318" i="4"/>
  <c r="I1321" i="4"/>
  <c r="H1321" i="4"/>
  <c r="G1321" i="4"/>
  <c r="F1321" i="4"/>
  <c r="E1321" i="4"/>
  <c r="I1360" i="4"/>
  <c r="G1360" i="4"/>
  <c r="E1360" i="4"/>
  <c r="I1382" i="4"/>
  <c r="H1382" i="4"/>
  <c r="G1382" i="4"/>
  <c r="E1382" i="4"/>
  <c r="I1386" i="4"/>
  <c r="H1386" i="4"/>
  <c r="G1386" i="4"/>
  <c r="I1396" i="4"/>
  <c r="G1396" i="4"/>
  <c r="E1396" i="4"/>
  <c r="D1396" i="4"/>
  <c r="D1058" i="4"/>
  <c r="C1060" i="4"/>
  <c r="B1066" i="4"/>
  <c r="B1094" i="4"/>
  <c r="B1099" i="4"/>
  <c r="H1103" i="4"/>
  <c r="E1110" i="4"/>
  <c r="F1113" i="4"/>
  <c r="B1115" i="4"/>
  <c r="B1126" i="4"/>
  <c r="C1132" i="4"/>
  <c r="I1133" i="4"/>
  <c r="I1135" i="4"/>
  <c r="I1137" i="4"/>
  <c r="J1155" i="4"/>
  <c r="F1157" i="4"/>
  <c r="F1165" i="4"/>
  <c r="G1167" i="4"/>
  <c r="C1173" i="4"/>
  <c r="F1174" i="4"/>
  <c r="D1177" i="4"/>
  <c r="C1181" i="4"/>
  <c r="F1191" i="4"/>
  <c r="E1195" i="4"/>
  <c r="I1200" i="4"/>
  <c r="C1200" i="4"/>
  <c r="J1201" i="4"/>
  <c r="G1205" i="4"/>
  <c r="H1211" i="4"/>
  <c r="J1223" i="4"/>
  <c r="C1225" i="4"/>
  <c r="H1233" i="4"/>
  <c r="I1233" i="4"/>
  <c r="F1233" i="4"/>
  <c r="E1233" i="4"/>
  <c r="D1233" i="4"/>
  <c r="C1233" i="4"/>
  <c r="G1254" i="4"/>
  <c r="F1270" i="4"/>
  <c r="G1270" i="4"/>
  <c r="E1270" i="4"/>
  <c r="D1270" i="4"/>
  <c r="C1270" i="4"/>
  <c r="C1281" i="4"/>
  <c r="I1287" i="4"/>
  <c r="H1287" i="4"/>
  <c r="G1287" i="4"/>
  <c r="E1287" i="4"/>
  <c r="B1287" i="4"/>
  <c r="I1318" i="4"/>
  <c r="C1321" i="4"/>
  <c r="G1326" i="4"/>
  <c r="D1326" i="4"/>
  <c r="C1326" i="4"/>
  <c r="I1336" i="4"/>
  <c r="H1336" i="4"/>
  <c r="C1360" i="4"/>
  <c r="E1376" i="4"/>
  <c r="D1376" i="4"/>
  <c r="C1382" i="4"/>
  <c r="C1386" i="4"/>
  <c r="I1213" i="4"/>
  <c r="J1215" i="4"/>
  <c r="F1229" i="4"/>
  <c r="E1230" i="4"/>
  <c r="G1231" i="4"/>
  <c r="F1246" i="4"/>
  <c r="F1250" i="4"/>
  <c r="I1251" i="4"/>
  <c r="J1252" i="4"/>
  <c r="I1258" i="4"/>
  <c r="E1261" i="4"/>
  <c r="F1271" i="4"/>
  <c r="H1284" i="4"/>
  <c r="F1292" i="4"/>
  <c r="G1300" i="4"/>
  <c r="I1304" i="4"/>
  <c r="I1305" i="4"/>
  <c r="J1332" i="4"/>
  <c r="G1347" i="4"/>
  <c r="G1372" i="4"/>
  <c r="B1215" i="4"/>
  <c r="B1218" i="4"/>
  <c r="G1229" i="4"/>
  <c r="F1230" i="4"/>
  <c r="H1231" i="4"/>
  <c r="G1246" i="4"/>
  <c r="I1261" i="4"/>
  <c r="C1267" i="4"/>
  <c r="I1271" i="4"/>
  <c r="B1279" i="4"/>
  <c r="H1229" i="4"/>
  <c r="G1230" i="4"/>
  <c r="G1306" i="4"/>
  <c r="C1316" i="4"/>
  <c r="F1335" i="4"/>
  <c r="B1357" i="4"/>
  <c r="C1367" i="4"/>
  <c r="C1373" i="4"/>
  <c r="B1381" i="4"/>
  <c r="C1392" i="4"/>
  <c r="C1400" i="4"/>
  <c r="I1230" i="4"/>
  <c r="C1232" i="4"/>
  <c r="B1252" i="4"/>
  <c r="E1253" i="4"/>
  <c r="C1258" i="4"/>
  <c r="E1259" i="4"/>
  <c r="F1267" i="4"/>
  <c r="C1286" i="4"/>
  <c r="C1298" i="4"/>
  <c r="D1301" i="4"/>
  <c r="C1305" i="4"/>
  <c r="C1314" i="4"/>
  <c r="E1316" i="4"/>
  <c r="G1324" i="4"/>
  <c r="F1329" i="4"/>
  <c r="B1332" i="4"/>
  <c r="G1335" i="4"/>
  <c r="C1344" i="4"/>
  <c r="D1348" i="4"/>
  <c r="B1353" i="4"/>
  <c r="D1364" i="4"/>
  <c r="E1367" i="4"/>
  <c r="E1373" i="4"/>
  <c r="B1377" i="4"/>
  <c r="C1381" i="4"/>
  <c r="B1385" i="4"/>
  <c r="E1387" i="4"/>
  <c r="E1392" i="4"/>
  <c r="C1395" i="4"/>
  <c r="D1400" i="4"/>
  <c r="E1232" i="4"/>
  <c r="C1252" i="4"/>
  <c r="E1278" i="4"/>
  <c r="F1279" i="4"/>
  <c r="C1284" i="4"/>
  <c r="D1286" i="4"/>
  <c r="D1298" i="4"/>
  <c r="C1300" i="4"/>
  <c r="D1314" i="4"/>
  <c r="C1377" i="4"/>
  <c r="E1381" i="4"/>
  <c r="G1400" i="4"/>
  <c r="C58" i="4"/>
  <c r="B58" i="1"/>
  <c r="B58" i="4" s="1"/>
  <c r="C3" i="4"/>
  <c r="B3" i="1"/>
  <c r="B3" i="4" s="1"/>
  <c r="C55" i="4"/>
  <c r="B55" i="1"/>
  <c r="B55" i="4" s="1"/>
  <c r="C183" i="4"/>
  <c r="B183" i="1"/>
  <c r="B183" i="4" s="1"/>
  <c r="C200" i="4"/>
  <c r="B200" i="1"/>
  <c r="B200" i="4" s="1"/>
  <c r="C99" i="4"/>
  <c r="B99" i="1"/>
  <c r="B99" i="4" s="1"/>
  <c r="C488" i="4"/>
  <c r="B488" i="1"/>
  <c r="B488" i="4" s="1"/>
  <c r="C87" i="4"/>
  <c r="B87" i="1"/>
  <c r="B87" i="4" s="1"/>
  <c r="C159" i="4"/>
  <c r="B159" i="1"/>
  <c r="B159" i="4" s="1"/>
  <c r="C4" i="4"/>
  <c r="B4" i="1"/>
  <c r="B4" i="4" s="1"/>
  <c r="C208" i="4"/>
  <c r="B208" i="1"/>
  <c r="B208" i="4" s="1"/>
  <c r="C217" i="4"/>
  <c r="B217" i="1"/>
  <c r="B217" i="4" s="1"/>
  <c r="C225" i="4"/>
  <c r="B225" i="1"/>
  <c r="B225" i="4" s="1"/>
  <c r="C209" i="4"/>
  <c r="B209" i="1"/>
  <c r="B209" i="4" s="1"/>
  <c r="B321" i="1"/>
  <c r="B321" i="4" s="1"/>
  <c r="C321" i="4"/>
  <c r="B9" i="2"/>
  <c r="B11" i="2" s="1"/>
  <c r="H371" i="4"/>
  <c r="F371" i="4"/>
  <c r="E371" i="4"/>
  <c r="J371" i="4"/>
  <c r="B371" i="4"/>
  <c r="I371" i="4"/>
  <c r="G371" i="4"/>
  <c r="C371" i="4"/>
  <c r="D371" i="4"/>
  <c r="H449" i="4"/>
  <c r="J449" i="4"/>
  <c r="B449" i="4"/>
  <c r="I449" i="4"/>
  <c r="G449" i="4"/>
  <c r="F449" i="4"/>
  <c r="C449" i="4"/>
  <c r="D449" i="4"/>
  <c r="E449" i="4"/>
  <c r="F538" i="4"/>
  <c r="H538" i="4"/>
  <c r="E538" i="4"/>
  <c r="D538" i="4"/>
  <c r="C538" i="4"/>
  <c r="B538" i="4"/>
  <c r="I538" i="4"/>
  <c r="G538" i="4"/>
  <c r="J538" i="4"/>
  <c r="F710" i="4"/>
  <c r="G710" i="4"/>
  <c r="J710" i="4"/>
  <c r="I710" i="4"/>
  <c r="H710" i="4"/>
  <c r="E710" i="4"/>
  <c r="B710" i="4"/>
  <c r="D710" i="4"/>
  <c r="C710" i="4"/>
  <c r="C76" i="4"/>
  <c r="B76" i="1"/>
  <c r="B76" i="4" s="1"/>
  <c r="B160" i="1"/>
  <c r="B160" i="4" s="1"/>
  <c r="I29" i="2"/>
  <c r="B190" i="1"/>
  <c r="B190" i="4" s="1"/>
  <c r="C204" i="4"/>
  <c r="B204" i="1"/>
  <c r="B204" i="4" s="1"/>
  <c r="I21" i="2"/>
  <c r="H124" i="4"/>
  <c r="G124" i="4"/>
  <c r="F124" i="4"/>
  <c r="E124" i="4"/>
  <c r="J124" i="4"/>
  <c r="B124" i="4"/>
  <c r="I124" i="4"/>
  <c r="D124" i="4"/>
  <c r="C124" i="4"/>
  <c r="X14" i="3"/>
  <c r="K14" i="3"/>
  <c r="J4" i="2"/>
  <c r="J6" i="2"/>
  <c r="A2" i="1"/>
  <c r="I31" i="2"/>
  <c r="B220" i="1"/>
  <c r="B220" i="4" s="1"/>
  <c r="C236" i="4"/>
  <c r="B236" i="1"/>
  <c r="B236" i="4" s="1"/>
  <c r="I25" i="2"/>
  <c r="C71" i="4"/>
  <c r="B71" i="1"/>
  <c r="B71" i="4" s="1"/>
  <c r="I28" i="2"/>
  <c r="B8" i="2"/>
  <c r="B52" i="1"/>
  <c r="B52" i="4" s="1"/>
  <c r="B59" i="1"/>
  <c r="B59" i="4" s="1"/>
  <c r="B187" i="1"/>
  <c r="B187" i="4" s="1"/>
  <c r="I30" i="2"/>
  <c r="B229" i="1"/>
  <c r="B229" i="4" s="1"/>
  <c r="C536" i="4"/>
  <c r="B535" i="1"/>
  <c r="B536" i="4" s="1"/>
  <c r="C543" i="4"/>
  <c r="B542" i="1"/>
  <c r="B543" i="4" s="1"/>
  <c r="J5" i="2"/>
  <c r="C98" i="4"/>
  <c r="B98" i="1"/>
  <c r="B98" i="4" s="1"/>
  <c r="C118" i="4"/>
  <c r="C114" i="4"/>
  <c r="C138" i="4"/>
  <c r="C126" i="4"/>
  <c r="C122" i="4"/>
  <c r="C127" i="4"/>
  <c r="C136" i="4"/>
  <c r="C131" i="4"/>
  <c r="C119" i="4"/>
  <c r="I16" i="2"/>
  <c r="C318" i="4"/>
  <c r="B318" i="1"/>
  <c r="B318" i="4" s="1"/>
  <c r="C510" i="4"/>
  <c r="B509" i="1"/>
  <c r="B510" i="4" s="1"/>
  <c r="C553" i="4"/>
  <c r="B552" i="1"/>
  <c r="B553" i="4" s="1"/>
  <c r="B42" i="1"/>
  <c r="B42" i="4" s="1"/>
  <c r="B70" i="1"/>
  <c r="B70" i="4" s="1"/>
  <c r="B84" i="1"/>
  <c r="B84" i="4" s="1"/>
  <c r="B119" i="1"/>
  <c r="B119" i="4" s="1"/>
  <c r="B191" i="1"/>
  <c r="B191" i="4" s="1"/>
  <c r="B212" i="1"/>
  <c r="B212" i="4" s="1"/>
  <c r="B51" i="1"/>
  <c r="B51" i="4" s="1"/>
  <c r="B179" i="1"/>
  <c r="B179" i="4" s="1"/>
  <c r="I26" i="2"/>
  <c r="C595" i="4"/>
  <c r="B594" i="1"/>
  <c r="B595" i="4" s="1"/>
  <c r="I24" i="2"/>
  <c r="I19" i="2"/>
  <c r="H56" i="4"/>
  <c r="G56" i="4"/>
  <c r="E56" i="4"/>
  <c r="J56" i="4"/>
  <c r="B56" i="4"/>
  <c r="I56" i="4"/>
  <c r="F56" i="4"/>
  <c r="D56" i="4"/>
  <c r="C56" i="4"/>
  <c r="H351" i="4"/>
  <c r="F351" i="4"/>
  <c r="E351" i="4"/>
  <c r="J351" i="4"/>
  <c r="B351" i="4"/>
  <c r="I351" i="4"/>
  <c r="C351" i="4"/>
  <c r="D351" i="4"/>
  <c r="G351" i="4"/>
  <c r="H144" i="4"/>
  <c r="G144" i="4"/>
  <c r="F144" i="4"/>
  <c r="E144" i="4"/>
  <c r="D144" i="4"/>
  <c r="J144" i="4"/>
  <c r="B144" i="4"/>
  <c r="I144" i="4"/>
  <c r="C144" i="4"/>
  <c r="H180" i="4"/>
  <c r="G180" i="4"/>
  <c r="F180" i="4"/>
  <c r="E180" i="4"/>
  <c r="D180" i="4"/>
  <c r="J180" i="4"/>
  <c r="B180" i="4"/>
  <c r="I180" i="4"/>
  <c r="C180" i="4"/>
  <c r="H331" i="4"/>
  <c r="F331" i="4"/>
  <c r="J331" i="4"/>
  <c r="B331" i="4"/>
  <c r="D331" i="4"/>
  <c r="C331" i="4"/>
  <c r="G331" i="4"/>
  <c r="I331" i="4"/>
  <c r="E331" i="4"/>
  <c r="I33" i="2"/>
  <c r="I20" i="2"/>
  <c r="I32" i="2"/>
  <c r="I27" i="2"/>
  <c r="I34" i="2"/>
  <c r="B587" i="1"/>
  <c r="B588" i="4" s="1"/>
  <c r="F45" i="4"/>
  <c r="E45" i="4"/>
  <c r="C45" i="4"/>
  <c r="H45" i="4"/>
  <c r="J45" i="4"/>
  <c r="I45" i="4"/>
  <c r="G45" i="4"/>
  <c r="D45" i="4"/>
  <c r="B45" i="4"/>
  <c r="H132" i="4"/>
  <c r="G132" i="4"/>
  <c r="F132" i="4"/>
  <c r="E132" i="4"/>
  <c r="J132" i="4"/>
  <c r="B132" i="4"/>
  <c r="I132" i="4"/>
  <c r="D132" i="4"/>
  <c r="C132" i="4"/>
  <c r="I22" i="2"/>
  <c r="F17" i="4"/>
  <c r="E17" i="4"/>
  <c r="C17" i="4"/>
  <c r="H17" i="4"/>
  <c r="J17" i="4"/>
  <c r="I17" i="4"/>
  <c r="G17" i="4"/>
  <c r="D17" i="4"/>
  <c r="AN14" i="3"/>
  <c r="N14" i="3"/>
  <c r="B17" i="4"/>
  <c r="H28" i="4"/>
  <c r="G28" i="4"/>
  <c r="E28" i="4"/>
  <c r="J28" i="4"/>
  <c r="B28" i="4"/>
  <c r="I28" i="4"/>
  <c r="F28" i="4"/>
  <c r="D28" i="4"/>
  <c r="C28" i="4"/>
  <c r="F177" i="4"/>
  <c r="E177" i="4"/>
  <c r="D177" i="4"/>
  <c r="C177" i="4"/>
  <c r="J177" i="4"/>
  <c r="B177" i="4"/>
  <c r="H177" i="4"/>
  <c r="I177" i="4"/>
  <c r="G177" i="4"/>
  <c r="D252" i="4"/>
  <c r="H252" i="4"/>
  <c r="G252" i="4"/>
  <c r="F252" i="4"/>
  <c r="C252" i="4"/>
  <c r="J252" i="4"/>
  <c r="I252" i="4"/>
  <c r="E252" i="4"/>
  <c r="B252" i="4"/>
  <c r="H80" i="4"/>
  <c r="G80" i="4"/>
  <c r="E80" i="4"/>
  <c r="J80" i="4"/>
  <c r="B80" i="4"/>
  <c r="I80" i="4"/>
  <c r="F80" i="4"/>
  <c r="D80" i="4"/>
  <c r="C80" i="4"/>
  <c r="AS13" i="3"/>
  <c r="Z14" i="3"/>
  <c r="AL14" i="3"/>
  <c r="F13" i="4"/>
  <c r="E13" i="4"/>
  <c r="C13" i="4"/>
  <c r="H13" i="4"/>
  <c r="H24" i="4"/>
  <c r="G24" i="4"/>
  <c r="E24" i="4"/>
  <c r="J24" i="4"/>
  <c r="B24" i="4"/>
  <c r="H52" i="4"/>
  <c r="G52" i="4"/>
  <c r="E52" i="4"/>
  <c r="J52" i="4"/>
  <c r="F69" i="4"/>
  <c r="E69" i="4"/>
  <c r="C69" i="4"/>
  <c r="H69" i="4"/>
  <c r="H76" i="4"/>
  <c r="G76" i="4"/>
  <c r="E76" i="4"/>
  <c r="J76" i="4"/>
  <c r="F97" i="4"/>
  <c r="E97" i="4"/>
  <c r="C97" i="4"/>
  <c r="H97" i="4"/>
  <c r="F105" i="4"/>
  <c r="E105" i="4"/>
  <c r="D105" i="4"/>
  <c r="C105" i="4"/>
  <c r="H105" i="4"/>
  <c r="F121" i="4"/>
  <c r="E121" i="4"/>
  <c r="D121" i="4"/>
  <c r="C121" i="4"/>
  <c r="H121" i="4"/>
  <c r="F137" i="4"/>
  <c r="E137" i="4"/>
  <c r="D137" i="4"/>
  <c r="C137" i="4"/>
  <c r="J137" i="4"/>
  <c r="B137" i="4"/>
  <c r="H137" i="4"/>
  <c r="F141" i="4"/>
  <c r="E141" i="4"/>
  <c r="D141" i="4"/>
  <c r="C141" i="4"/>
  <c r="J141" i="4"/>
  <c r="B141" i="4"/>
  <c r="H141" i="4"/>
  <c r="F157" i="4"/>
  <c r="E157" i="4"/>
  <c r="D157" i="4"/>
  <c r="C157" i="4"/>
  <c r="J157" i="4"/>
  <c r="B157" i="4"/>
  <c r="H157" i="4"/>
  <c r="H160" i="4"/>
  <c r="G160" i="4"/>
  <c r="F160" i="4"/>
  <c r="E160" i="4"/>
  <c r="D160" i="4"/>
  <c r="J160" i="4"/>
  <c r="F189" i="4"/>
  <c r="E189" i="4"/>
  <c r="D189" i="4"/>
  <c r="C189" i="4"/>
  <c r="J189" i="4"/>
  <c r="B189" i="4"/>
  <c r="H189" i="4"/>
  <c r="E198" i="4"/>
  <c r="D198" i="4"/>
  <c r="H198" i="4"/>
  <c r="I14" i="3" s="1"/>
  <c r="G198" i="4"/>
  <c r="F198" i="4"/>
  <c r="C198" i="4"/>
  <c r="B198" i="4"/>
  <c r="J198" i="4"/>
  <c r="C203" i="4"/>
  <c r="J203" i="4"/>
  <c r="B203" i="4"/>
  <c r="H203" i="4"/>
  <c r="G203" i="4"/>
  <c r="F203" i="4"/>
  <c r="E203" i="4"/>
  <c r="D203" i="4"/>
  <c r="C215" i="4"/>
  <c r="J215" i="4"/>
  <c r="B215" i="4"/>
  <c r="H215" i="4"/>
  <c r="I215" i="4"/>
  <c r="G215" i="4"/>
  <c r="F215" i="4"/>
  <c r="E215" i="4"/>
  <c r="D215" i="4"/>
  <c r="E226" i="4"/>
  <c r="D226" i="4"/>
  <c r="J226" i="4"/>
  <c r="B226" i="4"/>
  <c r="I226" i="4"/>
  <c r="H226" i="4"/>
  <c r="G226" i="4"/>
  <c r="C226" i="4"/>
  <c r="F241" i="4"/>
  <c r="G241" i="4"/>
  <c r="E241" i="4"/>
  <c r="C241" i="4"/>
  <c r="I241" i="4"/>
  <c r="J241" i="4"/>
  <c r="H241" i="4"/>
  <c r="B241" i="4"/>
  <c r="J358" i="4"/>
  <c r="B358" i="4"/>
  <c r="H358" i="4"/>
  <c r="G358" i="4"/>
  <c r="D358" i="4"/>
  <c r="E358" i="4"/>
  <c r="C358" i="4"/>
  <c r="I358" i="4"/>
  <c r="F358" i="4"/>
  <c r="F372" i="4"/>
  <c r="D372" i="4"/>
  <c r="C372" i="4"/>
  <c r="H372" i="4"/>
  <c r="I372" i="4"/>
  <c r="B372" i="4"/>
  <c r="J372" i="4"/>
  <c r="G372" i="4"/>
  <c r="E372" i="4"/>
  <c r="D539" i="4"/>
  <c r="F539" i="4"/>
  <c r="G539" i="4"/>
  <c r="E539" i="4"/>
  <c r="C539" i="4"/>
  <c r="B539" i="4"/>
  <c r="I539" i="4"/>
  <c r="J539" i="4"/>
  <c r="H539" i="4"/>
  <c r="F650" i="4"/>
  <c r="E650" i="4"/>
  <c r="D650" i="4"/>
  <c r="C650" i="4"/>
  <c r="H650" i="4"/>
  <c r="J650" i="4"/>
  <c r="B650" i="4"/>
  <c r="I650" i="4"/>
  <c r="G650" i="4"/>
  <c r="F9" i="4"/>
  <c r="E9" i="4"/>
  <c r="C9" i="4"/>
  <c r="H9" i="4"/>
  <c r="H20" i="4"/>
  <c r="G20" i="4"/>
  <c r="E20" i="4"/>
  <c r="J20" i="4"/>
  <c r="B20" i="4"/>
  <c r="F41" i="4"/>
  <c r="E41" i="4"/>
  <c r="C41" i="4"/>
  <c r="H41" i="4"/>
  <c r="H48" i="4"/>
  <c r="G48" i="4"/>
  <c r="E48" i="4"/>
  <c r="J48" i="4"/>
  <c r="B48" i="4"/>
  <c r="F65" i="4"/>
  <c r="E65" i="4"/>
  <c r="C65" i="4"/>
  <c r="H65" i="4"/>
  <c r="H72" i="4"/>
  <c r="G72" i="4"/>
  <c r="E72" i="4"/>
  <c r="J72" i="4"/>
  <c r="B72" i="4"/>
  <c r="F93" i="4"/>
  <c r="E93" i="4"/>
  <c r="C93" i="4"/>
  <c r="H93" i="4"/>
  <c r="H100" i="4"/>
  <c r="G100" i="4"/>
  <c r="F100" i="4"/>
  <c r="E100" i="4"/>
  <c r="J100" i="4"/>
  <c r="B100" i="4"/>
  <c r="H108" i="4"/>
  <c r="G108" i="4"/>
  <c r="F108" i="4"/>
  <c r="E108" i="4"/>
  <c r="J108" i="4"/>
  <c r="B108" i="4"/>
  <c r="H116" i="4"/>
  <c r="G116" i="4"/>
  <c r="F116" i="4"/>
  <c r="E116" i="4"/>
  <c r="J116" i="4"/>
  <c r="B116" i="4"/>
  <c r="H148" i="4"/>
  <c r="G148" i="4"/>
  <c r="F148" i="4"/>
  <c r="E148" i="4"/>
  <c r="D148" i="4"/>
  <c r="J148" i="4"/>
  <c r="B148" i="4"/>
  <c r="F169" i="4"/>
  <c r="E169" i="4"/>
  <c r="D169" i="4"/>
  <c r="C169" i="4"/>
  <c r="J169" i="4"/>
  <c r="B169" i="4"/>
  <c r="H169" i="4"/>
  <c r="H172" i="4"/>
  <c r="G172" i="4"/>
  <c r="F172" i="4"/>
  <c r="E172" i="4"/>
  <c r="D172" i="4"/>
  <c r="J172" i="4"/>
  <c r="B172" i="4"/>
  <c r="F193" i="4"/>
  <c r="E193" i="4"/>
  <c r="D193" i="4"/>
  <c r="C193" i="4"/>
  <c r="J193" i="4"/>
  <c r="B193" i="4"/>
  <c r="H193" i="4"/>
  <c r="D230" i="4"/>
  <c r="G230" i="4"/>
  <c r="F230" i="4"/>
  <c r="C230" i="4"/>
  <c r="I230" i="4"/>
  <c r="J230" i="4"/>
  <c r="H230" i="4"/>
  <c r="E230" i="4"/>
  <c r="B230" i="4"/>
  <c r="D333" i="4"/>
  <c r="J333" i="4"/>
  <c r="B333" i="4"/>
  <c r="F333" i="4"/>
  <c r="I333" i="4"/>
  <c r="H333" i="4"/>
  <c r="E333" i="4"/>
  <c r="C333" i="4"/>
  <c r="F356" i="4"/>
  <c r="D356" i="4"/>
  <c r="C356" i="4"/>
  <c r="H356" i="4"/>
  <c r="J356" i="4"/>
  <c r="I356" i="4"/>
  <c r="E356" i="4"/>
  <c r="B356" i="4"/>
  <c r="H359" i="4"/>
  <c r="F359" i="4"/>
  <c r="E359" i="4"/>
  <c r="J359" i="4"/>
  <c r="B359" i="4"/>
  <c r="I359" i="4"/>
  <c r="D359" i="4"/>
  <c r="G359" i="4"/>
  <c r="C359" i="4"/>
  <c r="F746" i="4"/>
  <c r="E746" i="4"/>
  <c r="C746" i="4"/>
  <c r="I746" i="4"/>
  <c r="J746" i="4"/>
  <c r="H746" i="4"/>
  <c r="B746" i="4"/>
  <c r="G746" i="4"/>
  <c r="D746" i="4"/>
  <c r="J1101" i="4"/>
  <c r="B1101" i="4"/>
  <c r="F1101" i="4"/>
  <c r="E1101" i="4"/>
  <c r="D1101" i="4"/>
  <c r="C1101" i="4"/>
  <c r="H1101" i="4"/>
  <c r="I1101" i="4"/>
  <c r="G1101" i="4"/>
  <c r="J1184" i="4"/>
  <c r="B1184" i="4"/>
  <c r="H1184" i="4"/>
  <c r="I1184" i="4"/>
  <c r="F1184" i="4"/>
  <c r="E1184" i="4"/>
  <c r="C1184" i="4"/>
  <c r="G1184" i="4"/>
  <c r="D1184" i="4"/>
  <c r="I4" i="4"/>
  <c r="B9" i="4"/>
  <c r="D13" i="4"/>
  <c r="H16" i="4"/>
  <c r="G16" i="4"/>
  <c r="E16" i="4"/>
  <c r="J16" i="4"/>
  <c r="B16" i="4"/>
  <c r="C20" i="4"/>
  <c r="I21" i="4"/>
  <c r="D24" i="4"/>
  <c r="F37" i="4"/>
  <c r="E37" i="4"/>
  <c r="C37" i="4"/>
  <c r="H37" i="4"/>
  <c r="B41" i="4"/>
  <c r="H44" i="4"/>
  <c r="M12" i="3" s="1"/>
  <c r="G44" i="4"/>
  <c r="E44" i="4"/>
  <c r="J44" i="4"/>
  <c r="B44" i="4"/>
  <c r="C48" i="4"/>
  <c r="I49" i="4"/>
  <c r="D52" i="4"/>
  <c r="F61" i="4"/>
  <c r="E61" i="4"/>
  <c r="C61" i="4"/>
  <c r="H61" i="4"/>
  <c r="B65" i="4"/>
  <c r="D69" i="4"/>
  <c r="C72" i="4"/>
  <c r="I73" i="4"/>
  <c r="D76" i="4"/>
  <c r="F89" i="4"/>
  <c r="E89" i="4"/>
  <c r="C89" i="4"/>
  <c r="H89" i="4"/>
  <c r="B93" i="4"/>
  <c r="D97" i="4"/>
  <c r="C100" i="4"/>
  <c r="G105" i="4"/>
  <c r="C108" i="4"/>
  <c r="F113" i="4"/>
  <c r="E113" i="4"/>
  <c r="D113" i="4"/>
  <c r="C113" i="4"/>
  <c r="H113" i="4"/>
  <c r="C116" i="4"/>
  <c r="G121" i="4"/>
  <c r="H128" i="4"/>
  <c r="G128" i="4"/>
  <c r="F128" i="4"/>
  <c r="E128" i="4"/>
  <c r="J128" i="4"/>
  <c r="B128" i="4"/>
  <c r="I137" i="4"/>
  <c r="I141" i="4"/>
  <c r="F145" i="4"/>
  <c r="E145" i="4"/>
  <c r="D145" i="4"/>
  <c r="C145" i="4"/>
  <c r="J145" i="4"/>
  <c r="B145" i="4"/>
  <c r="H145" i="4"/>
  <c r="C148" i="4"/>
  <c r="I157" i="4"/>
  <c r="I160" i="4"/>
  <c r="G169" i="4"/>
  <c r="C172" i="4"/>
  <c r="F181" i="4"/>
  <c r="E181" i="4"/>
  <c r="D181" i="4"/>
  <c r="C181" i="4"/>
  <c r="J181" i="4"/>
  <c r="B181" i="4"/>
  <c r="H181" i="4"/>
  <c r="H184" i="4"/>
  <c r="G184" i="4"/>
  <c r="F184" i="4"/>
  <c r="E184" i="4"/>
  <c r="D184" i="4"/>
  <c r="J184" i="4"/>
  <c r="B184" i="4"/>
  <c r="I189" i="4"/>
  <c r="G193" i="4"/>
  <c r="C199" i="4"/>
  <c r="J199" i="4"/>
  <c r="B199" i="4"/>
  <c r="H199" i="4"/>
  <c r="G199" i="4"/>
  <c r="F199" i="4"/>
  <c r="E199" i="4"/>
  <c r="D199" i="4"/>
  <c r="G205" i="4"/>
  <c r="F205" i="4"/>
  <c r="H205" i="4"/>
  <c r="E205" i="4"/>
  <c r="D205" i="4"/>
  <c r="C205" i="4"/>
  <c r="B205" i="4"/>
  <c r="J205" i="4"/>
  <c r="H246" i="4"/>
  <c r="D246" i="4"/>
  <c r="C246" i="4"/>
  <c r="B246" i="4"/>
  <c r="J246" i="4"/>
  <c r="F246" i="4"/>
  <c r="I246" i="4"/>
  <c r="E246" i="4"/>
  <c r="G333" i="4"/>
  <c r="G356" i="4"/>
  <c r="J382" i="4"/>
  <c r="B382" i="4"/>
  <c r="H382" i="4"/>
  <c r="G382" i="4"/>
  <c r="D382" i="4"/>
  <c r="I382" i="4"/>
  <c r="C382" i="4"/>
  <c r="E382" i="4"/>
  <c r="J390" i="4"/>
  <c r="B390" i="4"/>
  <c r="H390" i="4"/>
  <c r="G390" i="4"/>
  <c r="D390" i="4"/>
  <c r="I390" i="4"/>
  <c r="C390" i="4"/>
  <c r="E390" i="4"/>
  <c r="J398" i="4"/>
  <c r="B398" i="4"/>
  <c r="H398" i="4"/>
  <c r="G398" i="4"/>
  <c r="D398" i="4"/>
  <c r="I398" i="4"/>
  <c r="C398" i="4"/>
  <c r="E398" i="4"/>
  <c r="R14" i="3"/>
  <c r="AD14" i="3"/>
  <c r="F5" i="4"/>
  <c r="E5" i="4"/>
  <c r="C5" i="4"/>
  <c r="H5" i="4"/>
  <c r="D9" i="4"/>
  <c r="H12" i="4"/>
  <c r="G12" i="4"/>
  <c r="E12" i="4"/>
  <c r="J12" i="4"/>
  <c r="B12" i="4"/>
  <c r="G13" i="4"/>
  <c r="C16" i="4"/>
  <c r="D20" i="4"/>
  <c r="F24" i="4"/>
  <c r="F33" i="4"/>
  <c r="E33" i="4"/>
  <c r="C33" i="4"/>
  <c r="H33" i="4"/>
  <c r="B37" i="4"/>
  <c r="D41" i="4"/>
  <c r="C44" i="4"/>
  <c r="D48" i="4"/>
  <c r="F52" i="4"/>
  <c r="B61" i="4"/>
  <c r="D65" i="4"/>
  <c r="H68" i="4"/>
  <c r="G68" i="4"/>
  <c r="E68" i="4"/>
  <c r="J68" i="4"/>
  <c r="B68" i="4"/>
  <c r="G69" i="4"/>
  <c r="D72" i="4"/>
  <c r="F76" i="4"/>
  <c r="F85" i="4"/>
  <c r="E85" i="4"/>
  <c r="C85" i="4"/>
  <c r="H85" i="4"/>
  <c r="B89" i="4"/>
  <c r="D93" i="4"/>
  <c r="H96" i="4"/>
  <c r="G96" i="4"/>
  <c r="E96" i="4"/>
  <c r="J96" i="4"/>
  <c r="B96" i="4"/>
  <c r="G97" i="4"/>
  <c r="D100" i="4"/>
  <c r="I105" i="4"/>
  <c r="D108" i="4"/>
  <c r="B113" i="4"/>
  <c r="D116" i="4"/>
  <c r="I121" i="4"/>
  <c r="F125" i="4"/>
  <c r="E125" i="4"/>
  <c r="D125" i="4"/>
  <c r="C125" i="4"/>
  <c r="H125" i="4"/>
  <c r="C128" i="4"/>
  <c r="F133" i="4"/>
  <c r="E133" i="4"/>
  <c r="D133" i="4"/>
  <c r="C133" i="4"/>
  <c r="H133" i="4"/>
  <c r="G145" i="4"/>
  <c r="I148" i="4"/>
  <c r="H152" i="4"/>
  <c r="G152" i="4"/>
  <c r="F152" i="4"/>
  <c r="E152" i="4"/>
  <c r="D152" i="4"/>
  <c r="J152" i="4"/>
  <c r="B152" i="4"/>
  <c r="F161" i="4"/>
  <c r="E161" i="4"/>
  <c r="D161" i="4"/>
  <c r="C161" i="4"/>
  <c r="J161" i="4"/>
  <c r="B161" i="4"/>
  <c r="H161" i="4"/>
  <c r="H164" i="4"/>
  <c r="AB14" i="3" s="1"/>
  <c r="G164" i="4"/>
  <c r="F164" i="4"/>
  <c r="E164" i="4"/>
  <c r="D164" i="4"/>
  <c r="J164" i="4"/>
  <c r="B164" i="4"/>
  <c r="I169" i="4"/>
  <c r="I172" i="4"/>
  <c r="G181" i="4"/>
  <c r="C184" i="4"/>
  <c r="I193" i="4"/>
  <c r="I199" i="4"/>
  <c r="I205" i="4"/>
  <c r="E210" i="4"/>
  <c r="D210" i="4"/>
  <c r="J210" i="4"/>
  <c r="B210" i="4"/>
  <c r="I210" i="4"/>
  <c r="H210" i="4"/>
  <c r="G210" i="4"/>
  <c r="C210" i="4"/>
  <c r="C223" i="4"/>
  <c r="J223" i="4"/>
  <c r="B223" i="4"/>
  <c r="H223" i="4"/>
  <c r="I223" i="4"/>
  <c r="G223" i="4"/>
  <c r="F223" i="4"/>
  <c r="E223" i="4"/>
  <c r="D223" i="4"/>
  <c r="D238" i="4"/>
  <c r="I238" i="4"/>
  <c r="H238" i="4"/>
  <c r="F238" i="4"/>
  <c r="B238" i="4"/>
  <c r="J238" i="4"/>
  <c r="G238" i="4"/>
  <c r="C238" i="4"/>
  <c r="G246" i="4"/>
  <c r="D507" i="4"/>
  <c r="F507" i="4"/>
  <c r="G507" i="4"/>
  <c r="E507" i="4"/>
  <c r="C507" i="4"/>
  <c r="B507" i="4"/>
  <c r="I507" i="4"/>
  <c r="J507" i="4"/>
  <c r="H507" i="4"/>
  <c r="J576" i="4"/>
  <c r="B576" i="4"/>
  <c r="G576" i="4"/>
  <c r="D576" i="4"/>
  <c r="I576" i="4"/>
  <c r="H576" i="4"/>
  <c r="C576" i="4"/>
  <c r="E576" i="4"/>
  <c r="F576" i="4"/>
  <c r="F634" i="4"/>
  <c r="E634" i="4"/>
  <c r="D634" i="4"/>
  <c r="C634" i="4"/>
  <c r="H634" i="4"/>
  <c r="J634" i="4"/>
  <c r="B634" i="4"/>
  <c r="I634" i="4"/>
  <c r="G634" i="4"/>
  <c r="AF14" i="3"/>
  <c r="B5" i="4"/>
  <c r="H8" i="4"/>
  <c r="G8" i="4"/>
  <c r="E8" i="4"/>
  <c r="J8" i="4"/>
  <c r="G9" i="4"/>
  <c r="C12" i="4"/>
  <c r="I13" i="4"/>
  <c r="D16" i="4"/>
  <c r="F20" i="4"/>
  <c r="I24" i="4"/>
  <c r="F29" i="4"/>
  <c r="E29" i="4"/>
  <c r="C29" i="4"/>
  <c r="H29" i="4"/>
  <c r="B33" i="4"/>
  <c r="D37" i="4"/>
  <c r="H40" i="4"/>
  <c r="G40" i="4"/>
  <c r="E40" i="4"/>
  <c r="J40" i="4"/>
  <c r="B40" i="4"/>
  <c r="G41" i="4"/>
  <c r="D44" i="4"/>
  <c r="F48" i="4"/>
  <c r="I52" i="4"/>
  <c r="F57" i="4"/>
  <c r="E57" i="4"/>
  <c r="C57" i="4"/>
  <c r="H57" i="4"/>
  <c r="D61" i="4"/>
  <c r="H64" i="4"/>
  <c r="G64" i="4"/>
  <c r="E64" i="4"/>
  <c r="J64" i="4"/>
  <c r="B64" i="4"/>
  <c r="G65" i="4"/>
  <c r="C68" i="4"/>
  <c r="I69" i="4"/>
  <c r="F72" i="4"/>
  <c r="I76" i="4"/>
  <c r="F81" i="4"/>
  <c r="E81" i="4"/>
  <c r="C81" i="4"/>
  <c r="H81" i="4"/>
  <c r="B85" i="4"/>
  <c r="D89" i="4"/>
  <c r="H92" i="4"/>
  <c r="G92" i="4"/>
  <c r="E92" i="4"/>
  <c r="J92" i="4"/>
  <c r="B92" i="4"/>
  <c r="G93" i="4"/>
  <c r="C96" i="4"/>
  <c r="I97" i="4"/>
  <c r="I100" i="4"/>
  <c r="H104" i="4"/>
  <c r="G104" i="4"/>
  <c r="F104" i="4"/>
  <c r="E104" i="4"/>
  <c r="J104" i="4"/>
  <c r="B104" i="4"/>
  <c r="J105" i="4"/>
  <c r="I108" i="4"/>
  <c r="G113" i="4"/>
  <c r="I116" i="4"/>
  <c r="H120" i="4"/>
  <c r="G120" i="4"/>
  <c r="F120" i="4"/>
  <c r="E120" i="4"/>
  <c r="J120" i="4"/>
  <c r="B120" i="4"/>
  <c r="J121" i="4"/>
  <c r="B125" i="4"/>
  <c r="D128" i="4"/>
  <c r="B133" i="4"/>
  <c r="H136" i="4"/>
  <c r="AQ13" i="3" s="1"/>
  <c r="G136" i="4"/>
  <c r="F136" i="4"/>
  <c r="E136" i="4"/>
  <c r="J136" i="4"/>
  <c r="B136" i="4"/>
  <c r="I145" i="4"/>
  <c r="F149" i="4"/>
  <c r="E149" i="4"/>
  <c r="D149" i="4"/>
  <c r="C149" i="4"/>
  <c r="J149" i="4"/>
  <c r="B149" i="4"/>
  <c r="H149" i="4"/>
  <c r="C152" i="4"/>
  <c r="G161" i="4"/>
  <c r="C164" i="4"/>
  <c r="F173" i="4"/>
  <c r="E173" i="4"/>
  <c r="D173" i="4"/>
  <c r="C173" i="4"/>
  <c r="J173" i="4"/>
  <c r="B173" i="4"/>
  <c r="H173" i="4"/>
  <c r="H176" i="4"/>
  <c r="G176" i="4"/>
  <c r="F176" i="4"/>
  <c r="E176" i="4"/>
  <c r="D176" i="4"/>
  <c r="J176" i="4"/>
  <c r="B176" i="4"/>
  <c r="I181" i="4"/>
  <c r="I184" i="4"/>
  <c r="G201" i="4"/>
  <c r="F201" i="4"/>
  <c r="H201" i="4"/>
  <c r="E201" i="4"/>
  <c r="D201" i="4"/>
  <c r="C201" i="4"/>
  <c r="B201" i="4"/>
  <c r="J201" i="4"/>
  <c r="E206" i="4"/>
  <c r="D206" i="4"/>
  <c r="H206" i="4"/>
  <c r="AP14" i="3" s="1"/>
  <c r="G206" i="4"/>
  <c r="F206" i="4"/>
  <c r="C206" i="4"/>
  <c r="B206" i="4"/>
  <c r="J206" i="4"/>
  <c r="F210" i="4"/>
  <c r="E238" i="4"/>
  <c r="H266" i="4"/>
  <c r="D266" i="4"/>
  <c r="F266" i="4"/>
  <c r="E266" i="4"/>
  <c r="B266" i="4"/>
  <c r="I266" i="4"/>
  <c r="J266" i="4"/>
  <c r="G266" i="4"/>
  <c r="C266" i="4"/>
  <c r="H319" i="4"/>
  <c r="F319" i="4"/>
  <c r="J319" i="4"/>
  <c r="B319" i="4"/>
  <c r="I319" i="4"/>
  <c r="G319" i="4"/>
  <c r="D319" i="4"/>
  <c r="C319" i="4"/>
  <c r="H461" i="4"/>
  <c r="J461" i="4"/>
  <c r="B461" i="4"/>
  <c r="G461" i="4"/>
  <c r="F461" i="4"/>
  <c r="E461" i="4"/>
  <c r="D461" i="4"/>
  <c r="C461" i="4"/>
  <c r="I461" i="4"/>
  <c r="B13" i="3"/>
  <c r="I9" i="4"/>
  <c r="J13" i="4"/>
  <c r="I20" i="4"/>
  <c r="F25" i="4"/>
  <c r="E25" i="4"/>
  <c r="C25" i="4"/>
  <c r="H25" i="4"/>
  <c r="H36" i="4"/>
  <c r="G36" i="4"/>
  <c r="E36" i="4"/>
  <c r="J36" i="4"/>
  <c r="B36" i="4"/>
  <c r="I41" i="4"/>
  <c r="I48" i="4"/>
  <c r="F53" i="4"/>
  <c r="E53" i="4"/>
  <c r="C53" i="4"/>
  <c r="H53" i="4"/>
  <c r="H60" i="4"/>
  <c r="G60" i="4"/>
  <c r="E60" i="4"/>
  <c r="J60" i="4"/>
  <c r="B60" i="4"/>
  <c r="G61" i="4"/>
  <c r="I65" i="4"/>
  <c r="J69" i="4"/>
  <c r="I72" i="4"/>
  <c r="F77" i="4"/>
  <c r="E77" i="4"/>
  <c r="C77" i="4"/>
  <c r="H77" i="4"/>
  <c r="H88" i="4"/>
  <c r="G88" i="4"/>
  <c r="E88" i="4"/>
  <c r="J88" i="4"/>
  <c r="B88" i="4"/>
  <c r="I93" i="4"/>
  <c r="J97" i="4"/>
  <c r="F101" i="4"/>
  <c r="E101" i="4"/>
  <c r="D101" i="4"/>
  <c r="C101" i="4"/>
  <c r="H101" i="4"/>
  <c r="F109" i="4"/>
  <c r="E109" i="4"/>
  <c r="D109" i="4"/>
  <c r="C109" i="4"/>
  <c r="H109" i="4"/>
  <c r="I113" i="4"/>
  <c r="F117" i="4"/>
  <c r="E117" i="4"/>
  <c r="D117" i="4"/>
  <c r="C117" i="4"/>
  <c r="H117" i="4"/>
  <c r="G125" i="4"/>
  <c r="I128" i="4"/>
  <c r="G133" i="4"/>
  <c r="H140" i="4"/>
  <c r="G140" i="4"/>
  <c r="F140" i="4"/>
  <c r="E140" i="4"/>
  <c r="D140" i="4"/>
  <c r="J140" i="4"/>
  <c r="B140" i="4"/>
  <c r="I152" i="4"/>
  <c r="H156" i="4"/>
  <c r="G156" i="4"/>
  <c r="F156" i="4"/>
  <c r="E156" i="4"/>
  <c r="D156" i="4"/>
  <c r="J156" i="4"/>
  <c r="B156" i="4"/>
  <c r="I161" i="4"/>
  <c r="F185" i="4"/>
  <c r="E185" i="4"/>
  <c r="D185" i="4"/>
  <c r="C185" i="4"/>
  <c r="J185" i="4"/>
  <c r="B185" i="4"/>
  <c r="H185" i="4"/>
  <c r="AG14" i="3" s="1"/>
  <c r="H188" i="4"/>
  <c r="M14" i="3" s="1"/>
  <c r="G188" i="4"/>
  <c r="F188" i="4"/>
  <c r="E188" i="4"/>
  <c r="D188" i="4"/>
  <c r="J188" i="4"/>
  <c r="B188" i="4"/>
  <c r="E218" i="4"/>
  <c r="D218" i="4"/>
  <c r="J218" i="4"/>
  <c r="B218" i="4"/>
  <c r="I218" i="4"/>
  <c r="H218" i="4"/>
  <c r="G218" i="4"/>
  <c r="C218" i="4"/>
  <c r="D272" i="4"/>
  <c r="H272" i="4"/>
  <c r="J272" i="4"/>
  <c r="I272" i="4"/>
  <c r="F272" i="4"/>
  <c r="B272" i="4"/>
  <c r="G272" i="4"/>
  <c r="E272" i="4"/>
  <c r="C272" i="4"/>
  <c r="H298" i="4"/>
  <c r="D298" i="4"/>
  <c r="F298" i="4"/>
  <c r="E298" i="4"/>
  <c r="B298" i="4"/>
  <c r="I298" i="4"/>
  <c r="J298" i="4"/>
  <c r="C298" i="4"/>
  <c r="E319" i="4"/>
  <c r="J14" i="3"/>
  <c r="V14" i="3"/>
  <c r="AI14" i="3"/>
  <c r="H4" i="4"/>
  <c r="G4" i="4"/>
  <c r="E4" i="4"/>
  <c r="J4" i="4"/>
  <c r="J9" i="4"/>
  <c r="F21" i="4"/>
  <c r="E21" i="4"/>
  <c r="C21" i="4"/>
  <c r="H21" i="4"/>
  <c r="B25" i="4"/>
  <c r="H32" i="4"/>
  <c r="G32" i="4"/>
  <c r="E32" i="4"/>
  <c r="J32" i="4"/>
  <c r="B32" i="4"/>
  <c r="C36" i="4"/>
  <c r="J41" i="4"/>
  <c r="F49" i="4"/>
  <c r="E49" i="4"/>
  <c r="C49" i="4"/>
  <c r="H49" i="4"/>
  <c r="B53" i="4"/>
  <c r="C60" i="4"/>
  <c r="I61" i="4"/>
  <c r="J65" i="4"/>
  <c r="F73" i="4"/>
  <c r="E73" i="4"/>
  <c r="C73" i="4"/>
  <c r="H73" i="4"/>
  <c r="B77" i="4"/>
  <c r="H84" i="4"/>
  <c r="G84" i="4"/>
  <c r="E84" i="4"/>
  <c r="J84" i="4"/>
  <c r="G85" i="4"/>
  <c r="C88" i="4"/>
  <c r="I89" i="4"/>
  <c r="D92" i="4"/>
  <c r="J93" i="4"/>
  <c r="F96" i="4"/>
  <c r="B101" i="4"/>
  <c r="B109" i="4"/>
  <c r="H112" i="4"/>
  <c r="G112" i="4"/>
  <c r="F112" i="4"/>
  <c r="E112" i="4"/>
  <c r="J112" i="4"/>
  <c r="B112" i="4"/>
  <c r="J113" i="4"/>
  <c r="B117" i="4"/>
  <c r="I125" i="4"/>
  <c r="F129" i="4"/>
  <c r="E129" i="4"/>
  <c r="D129" i="4"/>
  <c r="C129" i="4"/>
  <c r="H129" i="4"/>
  <c r="I133" i="4"/>
  <c r="C140" i="4"/>
  <c r="F153" i="4"/>
  <c r="E153" i="4"/>
  <c r="D153" i="4"/>
  <c r="C153" i="4"/>
  <c r="J153" i="4"/>
  <c r="B153" i="4"/>
  <c r="H153" i="4"/>
  <c r="C156" i="4"/>
  <c r="F165" i="4"/>
  <c r="E165" i="4"/>
  <c r="D165" i="4"/>
  <c r="C165" i="4"/>
  <c r="J165" i="4"/>
  <c r="B165" i="4"/>
  <c r="H165" i="4"/>
  <c r="H168" i="4"/>
  <c r="AC14" i="3" s="1"/>
  <c r="G168" i="4"/>
  <c r="F168" i="4"/>
  <c r="E168" i="4"/>
  <c r="D168" i="4"/>
  <c r="J168" i="4"/>
  <c r="I173" i="4"/>
  <c r="G185" i="4"/>
  <c r="C188" i="4"/>
  <c r="H192" i="4"/>
  <c r="G192" i="4"/>
  <c r="F192" i="4"/>
  <c r="E192" i="4"/>
  <c r="D192" i="4"/>
  <c r="J192" i="4"/>
  <c r="B192" i="4"/>
  <c r="E202" i="4"/>
  <c r="D202" i="4"/>
  <c r="H202" i="4"/>
  <c r="G202" i="4"/>
  <c r="F202" i="4"/>
  <c r="C202" i="4"/>
  <c r="B202" i="4"/>
  <c r="J202" i="4"/>
  <c r="C207" i="4"/>
  <c r="J207" i="4"/>
  <c r="B207" i="4"/>
  <c r="H207" i="4"/>
  <c r="I207" i="4"/>
  <c r="G207" i="4"/>
  <c r="F207" i="4"/>
  <c r="E207" i="4"/>
  <c r="D207" i="4"/>
  <c r="F218" i="4"/>
  <c r="F279" i="4"/>
  <c r="J279" i="4"/>
  <c r="B279" i="4"/>
  <c r="D279" i="4"/>
  <c r="C279" i="4"/>
  <c r="G279" i="4"/>
  <c r="I279" i="4"/>
  <c r="H279" i="4"/>
  <c r="E279" i="4"/>
  <c r="D284" i="4"/>
  <c r="H284" i="4"/>
  <c r="G284" i="4"/>
  <c r="F284" i="4"/>
  <c r="C284" i="4"/>
  <c r="J284" i="4"/>
  <c r="I284" i="4"/>
  <c r="B284" i="4"/>
  <c r="G298" i="4"/>
  <c r="H323" i="4"/>
  <c r="O12" i="3" s="1"/>
  <c r="F323" i="4"/>
  <c r="J323" i="4"/>
  <c r="B323" i="4"/>
  <c r="G323" i="4"/>
  <c r="E323" i="4"/>
  <c r="C323" i="4"/>
  <c r="D323" i="4"/>
  <c r="J386" i="4"/>
  <c r="B386" i="4"/>
  <c r="H386" i="4"/>
  <c r="G386" i="4"/>
  <c r="D386" i="4"/>
  <c r="I386" i="4"/>
  <c r="C386" i="4"/>
  <c r="E386" i="4"/>
  <c r="J394" i="4"/>
  <c r="B394" i="4"/>
  <c r="H394" i="4"/>
  <c r="G394" i="4"/>
  <c r="D394" i="4"/>
  <c r="I394" i="4"/>
  <c r="C394" i="4"/>
  <c r="E394" i="4"/>
  <c r="J402" i="4"/>
  <c r="B402" i="4"/>
  <c r="H402" i="4"/>
  <c r="G402" i="4"/>
  <c r="D402" i="4"/>
  <c r="I402" i="4"/>
  <c r="C402" i="4"/>
  <c r="E402" i="4"/>
  <c r="AT13" i="3"/>
  <c r="Q14" i="3"/>
  <c r="Y14" i="3"/>
  <c r="D3" i="4"/>
  <c r="F6" i="4"/>
  <c r="D7" i="4"/>
  <c r="F10" i="4"/>
  <c r="D11" i="4"/>
  <c r="F14" i="4"/>
  <c r="D15" i="4"/>
  <c r="F18" i="4"/>
  <c r="D19" i="4"/>
  <c r="F22" i="4"/>
  <c r="D23" i="4"/>
  <c r="F26" i="4"/>
  <c r="D27" i="4"/>
  <c r="F30" i="4"/>
  <c r="D31" i="4"/>
  <c r="F34" i="4"/>
  <c r="D35" i="4"/>
  <c r="F38" i="4"/>
  <c r="D39" i="4"/>
  <c r="F42" i="4"/>
  <c r="D43" i="4"/>
  <c r="F46" i="4"/>
  <c r="D47" i="4"/>
  <c r="F50" i="4"/>
  <c r="D51" i="4"/>
  <c r="F54" i="4"/>
  <c r="D55" i="4"/>
  <c r="F58" i="4"/>
  <c r="D59" i="4"/>
  <c r="F62" i="4"/>
  <c r="D63" i="4"/>
  <c r="F66" i="4"/>
  <c r="D67" i="4"/>
  <c r="F70" i="4"/>
  <c r="D71" i="4"/>
  <c r="F74" i="4"/>
  <c r="D75" i="4"/>
  <c r="F78" i="4"/>
  <c r="D79" i="4"/>
  <c r="F82" i="4"/>
  <c r="D83" i="4"/>
  <c r="F86" i="4"/>
  <c r="D87" i="4"/>
  <c r="F90" i="4"/>
  <c r="D91" i="4"/>
  <c r="F94" i="4"/>
  <c r="D95" i="4"/>
  <c r="F98" i="4"/>
  <c r="D99" i="4"/>
  <c r="F102" i="4"/>
  <c r="D103" i="4"/>
  <c r="F106" i="4"/>
  <c r="D107" i="4"/>
  <c r="F110" i="4"/>
  <c r="D111" i="4"/>
  <c r="F114" i="4"/>
  <c r="D115" i="4"/>
  <c r="F118" i="4"/>
  <c r="D119" i="4"/>
  <c r="F122" i="4"/>
  <c r="D123" i="4"/>
  <c r="F126" i="4"/>
  <c r="D127" i="4"/>
  <c r="F130" i="4"/>
  <c r="D131" i="4"/>
  <c r="F134" i="4"/>
  <c r="D135" i="4"/>
  <c r="F138" i="4"/>
  <c r="D139" i="4"/>
  <c r="F142" i="4"/>
  <c r="D143" i="4"/>
  <c r="F146" i="4"/>
  <c r="D147" i="4"/>
  <c r="F150" i="4"/>
  <c r="D151" i="4"/>
  <c r="F154" i="4"/>
  <c r="D155" i="4"/>
  <c r="D159" i="4"/>
  <c r="D163" i="4"/>
  <c r="D167" i="4"/>
  <c r="D171" i="4"/>
  <c r="D175" i="4"/>
  <c r="D179" i="4"/>
  <c r="D183" i="4"/>
  <c r="D187" i="4"/>
  <c r="D191" i="4"/>
  <c r="D195" i="4"/>
  <c r="J197" i="4"/>
  <c r="G209" i="4"/>
  <c r="F209" i="4"/>
  <c r="D209" i="4"/>
  <c r="G217" i="4"/>
  <c r="F217" i="4"/>
  <c r="D217" i="4"/>
  <c r="G225" i="4"/>
  <c r="F225" i="4"/>
  <c r="D225" i="4"/>
  <c r="D268" i="4"/>
  <c r="H268" i="4"/>
  <c r="G268" i="4"/>
  <c r="F268" i="4"/>
  <c r="C268" i="4"/>
  <c r="J268" i="4"/>
  <c r="H282" i="4"/>
  <c r="D282" i="4"/>
  <c r="F282" i="4"/>
  <c r="E282" i="4"/>
  <c r="B282" i="4"/>
  <c r="I282" i="4"/>
  <c r="D288" i="4"/>
  <c r="H288" i="4"/>
  <c r="J288" i="4"/>
  <c r="I288" i="4"/>
  <c r="F288" i="4"/>
  <c r="B288" i="4"/>
  <c r="F295" i="4"/>
  <c r="J295" i="4"/>
  <c r="B295" i="4"/>
  <c r="D295" i="4"/>
  <c r="C295" i="4"/>
  <c r="G295" i="4"/>
  <c r="F308" i="4"/>
  <c r="D308" i="4"/>
  <c r="H308" i="4"/>
  <c r="C308" i="4"/>
  <c r="B308" i="4"/>
  <c r="G308" i="4"/>
  <c r="J310" i="4"/>
  <c r="B310" i="4"/>
  <c r="H310" i="4"/>
  <c r="D310" i="4"/>
  <c r="I310" i="4"/>
  <c r="G310" i="4"/>
  <c r="E310" i="4"/>
  <c r="J314" i="4"/>
  <c r="B314" i="4"/>
  <c r="H314" i="4"/>
  <c r="D314" i="4"/>
  <c r="G314" i="4"/>
  <c r="F314" i="4"/>
  <c r="C314" i="4"/>
  <c r="D337" i="4"/>
  <c r="J337" i="4"/>
  <c r="B337" i="4"/>
  <c r="F337" i="4"/>
  <c r="H337" i="4"/>
  <c r="G337" i="4"/>
  <c r="C337" i="4"/>
  <c r="J362" i="4"/>
  <c r="B362" i="4"/>
  <c r="H362" i="4"/>
  <c r="G362" i="4"/>
  <c r="D362" i="4"/>
  <c r="I362" i="4"/>
  <c r="F362" i="4"/>
  <c r="C362" i="4"/>
  <c r="H367" i="4"/>
  <c r="F367" i="4"/>
  <c r="E367" i="4"/>
  <c r="J367" i="4"/>
  <c r="B367" i="4"/>
  <c r="D367" i="4"/>
  <c r="C367" i="4"/>
  <c r="I367" i="4"/>
  <c r="D423" i="4"/>
  <c r="F423" i="4"/>
  <c r="E423" i="4"/>
  <c r="C423" i="4"/>
  <c r="B423" i="4"/>
  <c r="H423" i="4"/>
  <c r="J423" i="4"/>
  <c r="G423" i="4"/>
  <c r="H445" i="4"/>
  <c r="J445" i="4"/>
  <c r="B445" i="4"/>
  <c r="G445" i="4"/>
  <c r="F445" i="4"/>
  <c r="E445" i="4"/>
  <c r="D445" i="4"/>
  <c r="C445" i="4"/>
  <c r="H465" i="4"/>
  <c r="J465" i="4"/>
  <c r="B465" i="4"/>
  <c r="I465" i="4"/>
  <c r="G465" i="4"/>
  <c r="F465" i="4"/>
  <c r="C465" i="4"/>
  <c r="E465" i="4"/>
  <c r="H529" i="4"/>
  <c r="J529" i="4"/>
  <c r="B529" i="4"/>
  <c r="I529" i="4"/>
  <c r="G529" i="4"/>
  <c r="F529" i="4"/>
  <c r="C529" i="4"/>
  <c r="D529" i="4"/>
  <c r="J580" i="4"/>
  <c r="B580" i="4"/>
  <c r="G580" i="4"/>
  <c r="D580" i="4"/>
  <c r="I580" i="4"/>
  <c r="H580" i="4"/>
  <c r="F580" i="4"/>
  <c r="E580" i="4"/>
  <c r="H637" i="4"/>
  <c r="G637" i="4"/>
  <c r="F637" i="4"/>
  <c r="E637" i="4"/>
  <c r="J637" i="4"/>
  <c r="B637" i="4"/>
  <c r="I637" i="4"/>
  <c r="D637" i="4"/>
  <c r="H232" i="4"/>
  <c r="E232" i="4"/>
  <c r="D232" i="4"/>
  <c r="B232" i="4"/>
  <c r="G232" i="4"/>
  <c r="H250" i="4"/>
  <c r="D250" i="4"/>
  <c r="F250" i="4"/>
  <c r="E250" i="4"/>
  <c r="B250" i="4"/>
  <c r="I250" i="4"/>
  <c r="D256" i="4"/>
  <c r="H256" i="4"/>
  <c r="J256" i="4"/>
  <c r="I256" i="4"/>
  <c r="F256" i="4"/>
  <c r="B256" i="4"/>
  <c r="F263" i="4"/>
  <c r="J263" i="4"/>
  <c r="B263" i="4"/>
  <c r="D263" i="4"/>
  <c r="C263" i="4"/>
  <c r="G263" i="4"/>
  <c r="D301" i="4"/>
  <c r="J301" i="4"/>
  <c r="B301" i="4"/>
  <c r="F301" i="4"/>
  <c r="I301" i="4"/>
  <c r="H301" i="4"/>
  <c r="E301" i="4"/>
  <c r="F320" i="4"/>
  <c r="D320" i="4"/>
  <c r="H320" i="4"/>
  <c r="J320" i="4"/>
  <c r="G320" i="4"/>
  <c r="B320" i="4"/>
  <c r="J334" i="4"/>
  <c r="B334" i="4"/>
  <c r="H334" i="4"/>
  <c r="D334" i="4"/>
  <c r="G334" i="4"/>
  <c r="C334" i="4"/>
  <c r="H347" i="4"/>
  <c r="F347" i="4"/>
  <c r="E347" i="4"/>
  <c r="J347" i="4"/>
  <c r="B347" i="4"/>
  <c r="I347" i="4"/>
  <c r="G347" i="4"/>
  <c r="C347" i="4"/>
  <c r="F352" i="4"/>
  <c r="D352" i="4"/>
  <c r="C352" i="4"/>
  <c r="H352" i="4"/>
  <c r="E352" i="4"/>
  <c r="B352" i="4"/>
  <c r="I352" i="4"/>
  <c r="J354" i="4"/>
  <c r="B354" i="4"/>
  <c r="H354" i="4"/>
  <c r="G354" i="4"/>
  <c r="D354" i="4"/>
  <c r="I354" i="4"/>
  <c r="C354" i="4"/>
  <c r="H363" i="4"/>
  <c r="F363" i="4"/>
  <c r="E363" i="4"/>
  <c r="J363" i="4"/>
  <c r="B363" i="4"/>
  <c r="I363" i="4"/>
  <c r="C363" i="4"/>
  <c r="F368" i="4"/>
  <c r="D368" i="4"/>
  <c r="C368" i="4"/>
  <c r="H368" i="4"/>
  <c r="J368" i="4"/>
  <c r="I368" i="4"/>
  <c r="E368" i="4"/>
  <c r="H383" i="4"/>
  <c r="F383" i="4"/>
  <c r="E383" i="4"/>
  <c r="J383" i="4"/>
  <c r="B383" i="4"/>
  <c r="D383" i="4"/>
  <c r="C383" i="4"/>
  <c r="I383" i="4"/>
  <c r="H387" i="4"/>
  <c r="F387" i="4"/>
  <c r="E387" i="4"/>
  <c r="J387" i="4"/>
  <c r="B387" i="4"/>
  <c r="D387" i="4"/>
  <c r="C387" i="4"/>
  <c r="I387" i="4"/>
  <c r="H391" i="4"/>
  <c r="F391" i="4"/>
  <c r="E391" i="4"/>
  <c r="J391" i="4"/>
  <c r="B391" i="4"/>
  <c r="D391" i="4"/>
  <c r="C391" i="4"/>
  <c r="I391" i="4"/>
  <c r="H395" i="4"/>
  <c r="F395" i="4"/>
  <c r="E395" i="4"/>
  <c r="J395" i="4"/>
  <c r="B395" i="4"/>
  <c r="D395" i="4"/>
  <c r="C395" i="4"/>
  <c r="I395" i="4"/>
  <c r="H399" i="4"/>
  <c r="F399" i="4"/>
  <c r="E399" i="4"/>
  <c r="J399" i="4"/>
  <c r="B399" i="4"/>
  <c r="D399" i="4"/>
  <c r="C399" i="4"/>
  <c r="I399" i="4"/>
  <c r="H403" i="4"/>
  <c r="F403" i="4"/>
  <c r="E403" i="4"/>
  <c r="J403" i="4"/>
  <c r="B403" i="4"/>
  <c r="D403" i="4"/>
  <c r="C403" i="4"/>
  <c r="I403" i="4"/>
  <c r="F412" i="4"/>
  <c r="E412" i="4"/>
  <c r="D412" i="4"/>
  <c r="C412" i="4"/>
  <c r="H412" i="4"/>
  <c r="G412" i="4"/>
  <c r="B412" i="4"/>
  <c r="J412" i="4"/>
  <c r="F442" i="4"/>
  <c r="H442" i="4"/>
  <c r="E442" i="4"/>
  <c r="D442" i="4"/>
  <c r="C442" i="4"/>
  <c r="B442" i="4"/>
  <c r="I442" i="4"/>
  <c r="G442" i="4"/>
  <c r="F458" i="4"/>
  <c r="H458" i="4"/>
  <c r="E458" i="4"/>
  <c r="D458" i="4"/>
  <c r="C458" i="4"/>
  <c r="B458" i="4"/>
  <c r="I458" i="4"/>
  <c r="G458" i="4"/>
  <c r="H621" i="4"/>
  <c r="G621" i="4"/>
  <c r="F621" i="4"/>
  <c r="E621" i="4"/>
  <c r="J621" i="4"/>
  <c r="B621" i="4"/>
  <c r="I621" i="4"/>
  <c r="D621" i="4"/>
  <c r="J946" i="4"/>
  <c r="B946" i="4"/>
  <c r="G946" i="4"/>
  <c r="D946" i="4"/>
  <c r="I946" i="4"/>
  <c r="H946" i="4"/>
  <c r="F946" i="4"/>
  <c r="E946" i="4"/>
  <c r="C946" i="4"/>
  <c r="F956" i="4"/>
  <c r="C956" i="4"/>
  <c r="H956" i="4"/>
  <c r="I956" i="4"/>
  <c r="G956" i="4"/>
  <c r="E956" i="4"/>
  <c r="D956" i="4"/>
  <c r="J956" i="4"/>
  <c r="B956" i="4"/>
  <c r="H1139" i="4"/>
  <c r="F1139" i="4"/>
  <c r="G1139" i="4"/>
  <c r="E1139" i="4"/>
  <c r="D1139" i="4"/>
  <c r="C1139" i="4"/>
  <c r="J1139" i="4"/>
  <c r="B1139" i="4"/>
  <c r="I1139" i="4"/>
  <c r="I2" i="4"/>
  <c r="G3" i="4"/>
  <c r="I6" i="4"/>
  <c r="G7" i="4"/>
  <c r="I10" i="4"/>
  <c r="G11" i="4"/>
  <c r="I14" i="4"/>
  <c r="G15" i="4"/>
  <c r="I18" i="4"/>
  <c r="G19" i="4"/>
  <c r="I22" i="4"/>
  <c r="G23" i="4"/>
  <c r="I26" i="4"/>
  <c r="G27" i="4"/>
  <c r="I30" i="4"/>
  <c r="G31" i="4"/>
  <c r="I34" i="4"/>
  <c r="G35" i="4"/>
  <c r="I38" i="4"/>
  <c r="G39" i="4"/>
  <c r="I42" i="4"/>
  <c r="G43" i="4"/>
  <c r="I46" i="4"/>
  <c r="G47" i="4"/>
  <c r="I50" i="4"/>
  <c r="G51" i="4"/>
  <c r="I54" i="4"/>
  <c r="G55" i="4"/>
  <c r="I58" i="4"/>
  <c r="G59" i="4"/>
  <c r="I62" i="4"/>
  <c r="G63" i="4"/>
  <c r="I66" i="4"/>
  <c r="G67" i="4"/>
  <c r="I70" i="4"/>
  <c r="G71" i="4"/>
  <c r="I74" i="4"/>
  <c r="G75" i="4"/>
  <c r="I78" i="4"/>
  <c r="G79" i="4"/>
  <c r="I82" i="4"/>
  <c r="G83" i="4"/>
  <c r="I86" i="4"/>
  <c r="G87" i="4"/>
  <c r="I90" i="4"/>
  <c r="G91" i="4"/>
  <c r="I94" i="4"/>
  <c r="G95" i="4"/>
  <c r="I98" i="4"/>
  <c r="G99" i="4"/>
  <c r="I102" i="4"/>
  <c r="G103" i="4"/>
  <c r="I106" i="4"/>
  <c r="G107" i="4"/>
  <c r="I110" i="4"/>
  <c r="G111" i="4"/>
  <c r="I114" i="4"/>
  <c r="G115" i="4"/>
  <c r="I118" i="4"/>
  <c r="G119" i="4"/>
  <c r="I122" i="4"/>
  <c r="G123" i="4"/>
  <c r="I126" i="4"/>
  <c r="G127" i="4"/>
  <c r="I130" i="4"/>
  <c r="G131" i="4"/>
  <c r="I134" i="4"/>
  <c r="G135" i="4"/>
  <c r="I138" i="4"/>
  <c r="G139" i="4"/>
  <c r="I142" i="4"/>
  <c r="G143" i="4"/>
  <c r="I146" i="4"/>
  <c r="G147" i="4"/>
  <c r="I150" i="4"/>
  <c r="G151" i="4"/>
  <c r="I154" i="4"/>
  <c r="G155" i="4"/>
  <c r="I158" i="4"/>
  <c r="G159" i="4"/>
  <c r="I162" i="4"/>
  <c r="G163" i="4"/>
  <c r="I166" i="4"/>
  <c r="G167" i="4"/>
  <c r="I170" i="4"/>
  <c r="G171" i="4"/>
  <c r="I174" i="4"/>
  <c r="G175" i="4"/>
  <c r="I178" i="4"/>
  <c r="G179" i="4"/>
  <c r="I182" i="4"/>
  <c r="G183" i="4"/>
  <c r="I186" i="4"/>
  <c r="G187" i="4"/>
  <c r="I190" i="4"/>
  <c r="G191" i="4"/>
  <c r="I194" i="4"/>
  <c r="G195" i="4"/>
  <c r="D197" i="4"/>
  <c r="E209" i="4"/>
  <c r="E214" i="4"/>
  <c r="D214" i="4"/>
  <c r="J214" i="4"/>
  <c r="E217" i="4"/>
  <c r="E222" i="4"/>
  <c r="D222" i="4"/>
  <c r="J222" i="4"/>
  <c r="E225" i="4"/>
  <c r="C232" i="4"/>
  <c r="J245" i="4"/>
  <c r="F245" i="4"/>
  <c r="C245" i="4"/>
  <c r="B245" i="4"/>
  <c r="I245" i="4"/>
  <c r="E245" i="4"/>
  <c r="F247" i="4"/>
  <c r="J247" i="4"/>
  <c r="B247" i="4"/>
  <c r="D247" i="4"/>
  <c r="C247" i="4"/>
  <c r="G247" i="4"/>
  <c r="C250" i="4"/>
  <c r="C256" i="4"/>
  <c r="E263" i="4"/>
  <c r="I268" i="4"/>
  <c r="J282" i="4"/>
  <c r="J285" i="4"/>
  <c r="B285" i="4"/>
  <c r="F285" i="4"/>
  <c r="H285" i="4"/>
  <c r="G285" i="4"/>
  <c r="D285" i="4"/>
  <c r="G288" i="4"/>
  <c r="I295" i="4"/>
  <c r="F299" i="4"/>
  <c r="J299" i="4"/>
  <c r="B299" i="4"/>
  <c r="G299" i="4"/>
  <c r="E299" i="4"/>
  <c r="C299" i="4"/>
  <c r="I299" i="4"/>
  <c r="C301" i="4"/>
  <c r="D305" i="4"/>
  <c r="J305" i="4"/>
  <c r="B305" i="4"/>
  <c r="F305" i="4"/>
  <c r="H305" i="4"/>
  <c r="AC12" i="3" s="1"/>
  <c r="G305" i="4"/>
  <c r="C305" i="4"/>
  <c r="J308" i="4"/>
  <c r="H311" i="4"/>
  <c r="F311" i="4"/>
  <c r="J311" i="4"/>
  <c r="B311" i="4"/>
  <c r="G311" i="4"/>
  <c r="C311" i="4"/>
  <c r="C320" i="4"/>
  <c r="F328" i="4"/>
  <c r="D328" i="4"/>
  <c r="H328" i="4"/>
  <c r="I328" i="4"/>
  <c r="G328" i="4"/>
  <c r="C328" i="4"/>
  <c r="E334" i="4"/>
  <c r="D347" i="4"/>
  <c r="G352" i="4"/>
  <c r="E354" i="4"/>
  <c r="D363" i="4"/>
  <c r="B368" i="4"/>
  <c r="G383" i="4"/>
  <c r="G387" i="4"/>
  <c r="G391" i="4"/>
  <c r="G395" i="4"/>
  <c r="G399" i="4"/>
  <c r="G403" i="4"/>
  <c r="H407" i="4"/>
  <c r="G407" i="4"/>
  <c r="F407" i="4"/>
  <c r="E407" i="4"/>
  <c r="J407" i="4"/>
  <c r="B407" i="4"/>
  <c r="I407" i="4"/>
  <c r="C407" i="4"/>
  <c r="I412" i="4"/>
  <c r="J442" i="4"/>
  <c r="J458" i="4"/>
  <c r="H541" i="4"/>
  <c r="P13" i="3" s="1"/>
  <c r="J541" i="4"/>
  <c r="B541" i="4"/>
  <c r="G541" i="4"/>
  <c r="F541" i="4"/>
  <c r="E541" i="4"/>
  <c r="D541" i="4"/>
  <c r="C541" i="4"/>
  <c r="F618" i="4"/>
  <c r="E618" i="4"/>
  <c r="D618" i="4"/>
  <c r="C618" i="4"/>
  <c r="H618" i="4"/>
  <c r="J618" i="4"/>
  <c r="B618" i="4"/>
  <c r="I618" i="4"/>
  <c r="C621" i="4"/>
  <c r="H669" i="4"/>
  <c r="I669" i="4"/>
  <c r="G669" i="4"/>
  <c r="F669" i="4"/>
  <c r="E669" i="4"/>
  <c r="B669" i="4"/>
  <c r="J669" i="4"/>
  <c r="D669" i="4"/>
  <c r="C669" i="4"/>
  <c r="G213" i="4"/>
  <c r="F213" i="4"/>
  <c r="D213" i="4"/>
  <c r="G221" i="4"/>
  <c r="F221" i="4"/>
  <c r="D221" i="4"/>
  <c r="F232" i="4"/>
  <c r="D234" i="4"/>
  <c r="C234" i="4"/>
  <c r="B234" i="4"/>
  <c r="I234" i="4"/>
  <c r="F234" i="4"/>
  <c r="D242" i="4"/>
  <c r="F242" i="4"/>
  <c r="E242" i="4"/>
  <c r="B242" i="4"/>
  <c r="H242" i="4"/>
  <c r="G250" i="4"/>
  <c r="E256" i="4"/>
  <c r="H263" i="4"/>
  <c r="J269" i="4"/>
  <c r="B269" i="4"/>
  <c r="F269" i="4"/>
  <c r="H269" i="4"/>
  <c r="G269" i="4"/>
  <c r="D269" i="4"/>
  <c r="F283" i="4"/>
  <c r="J283" i="4"/>
  <c r="B283" i="4"/>
  <c r="G283" i="4"/>
  <c r="E283" i="4"/>
  <c r="C283" i="4"/>
  <c r="I283" i="4"/>
  <c r="J289" i="4"/>
  <c r="B289" i="4"/>
  <c r="F289" i="4"/>
  <c r="I289" i="4"/>
  <c r="G289" i="4"/>
  <c r="C289" i="4"/>
  <c r="H294" i="4"/>
  <c r="D294" i="4"/>
  <c r="C294" i="4"/>
  <c r="B294" i="4"/>
  <c r="J294" i="4"/>
  <c r="F294" i="4"/>
  <c r="G301" i="4"/>
  <c r="E320" i="4"/>
  <c r="J322" i="4"/>
  <c r="B322" i="4"/>
  <c r="H322" i="4"/>
  <c r="D322" i="4"/>
  <c r="E322" i="4"/>
  <c r="C322" i="4"/>
  <c r="G322" i="4"/>
  <c r="F332" i="4"/>
  <c r="D332" i="4"/>
  <c r="H332" i="4"/>
  <c r="G332" i="4"/>
  <c r="E332" i="4"/>
  <c r="B332" i="4"/>
  <c r="J332" i="4"/>
  <c r="F334" i="4"/>
  <c r="F348" i="4"/>
  <c r="D348" i="4"/>
  <c r="C348" i="4"/>
  <c r="H348" i="4"/>
  <c r="I348" i="4"/>
  <c r="B348" i="4"/>
  <c r="J352" i="4"/>
  <c r="F354" i="4"/>
  <c r="G363" i="4"/>
  <c r="G368" i="4"/>
  <c r="F384" i="4"/>
  <c r="D384" i="4"/>
  <c r="C384" i="4"/>
  <c r="H384" i="4"/>
  <c r="J384" i="4"/>
  <c r="I384" i="4"/>
  <c r="E384" i="4"/>
  <c r="F388" i="4"/>
  <c r="D388" i="4"/>
  <c r="C388" i="4"/>
  <c r="H388" i="4"/>
  <c r="J388" i="4"/>
  <c r="I388" i="4"/>
  <c r="E388" i="4"/>
  <c r="F392" i="4"/>
  <c r="D392" i="4"/>
  <c r="C392" i="4"/>
  <c r="H392" i="4"/>
  <c r="J392" i="4"/>
  <c r="I392" i="4"/>
  <c r="E392" i="4"/>
  <c r="F396" i="4"/>
  <c r="D396" i="4"/>
  <c r="C396" i="4"/>
  <c r="H396" i="4"/>
  <c r="J396" i="4"/>
  <c r="I396" i="4"/>
  <c r="E396" i="4"/>
  <c r="F400" i="4"/>
  <c r="D400" i="4"/>
  <c r="C400" i="4"/>
  <c r="H400" i="4"/>
  <c r="J400" i="4"/>
  <c r="I400" i="4"/>
  <c r="E400" i="4"/>
  <c r="F404" i="4"/>
  <c r="E404" i="4"/>
  <c r="D404" i="4"/>
  <c r="C404" i="4"/>
  <c r="H404" i="4"/>
  <c r="J404" i="4"/>
  <c r="G404" i="4"/>
  <c r="D419" i="4"/>
  <c r="I419" i="4"/>
  <c r="H419" i="4"/>
  <c r="G419" i="4"/>
  <c r="F419" i="4"/>
  <c r="B419" i="4"/>
  <c r="E419" i="4"/>
  <c r="C419" i="4"/>
  <c r="D459" i="4"/>
  <c r="F459" i="4"/>
  <c r="G459" i="4"/>
  <c r="E459" i="4"/>
  <c r="C459" i="4"/>
  <c r="B459" i="4"/>
  <c r="I459" i="4"/>
  <c r="H459" i="4"/>
  <c r="H481" i="4"/>
  <c r="J481" i="4"/>
  <c r="B481" i="4"/>
  <c r="I481" i="4"/>
  <c r="G481" i="4"/>
  <c r="F481" i="4"/>
  <c r="C481" i="4"/>
  <c r="D481" i="4"/>
  <c r="J492" i="4"/>
  <c r="B492" i="4"/>
  <c r="D492" i="4"/>
  <c r="G492" i="4"/>
  <c r="F492" i="4"/>
  <c r="E492" i="4"/>
  <c r="C492" i="4"/>
  <c r="I492" i="4"/>
  <c r="F554" i="4"/>
  <c r="C554" i="4"/>
  <c r="H554" i="4"/>
  <c r="J554" i="4"/>
  <c r="I554" i="4"/>
  <c r="G554" i="4"/>
  <c r="B554" i="4"/>
  <c r="E554" i="4"/>
  <c r="D554" i="4"/>
  <c r="F614" i="4"/>
  <c r="E614" i="4"/>
  <c r="D614" i="4"/>
  <c r="C614" i="4"/>
  <c r="H614" i="4"/>
  <c r="J614" i="4"/>
  <c r="I614" i="4"/>
  <c r="G614" i="4"/>
  <c r="B614" i="4"/>
  <c r="J676" i="4"/>
  <c r="B676" i="4"/>
  <c r="H676" i="4"/>
  <c r="I676" i="4"/>
  <c r="G676" i="4"/>
  <c r="F676" i="4"/>
  <c r="C676" i="4"/>
  <c r="D676" i="4"/>
  <c r="E676" i="4"/>
  <c r="I3" i="4"/>
  <c r="I7" i="4"/>
  <c r="I11" i="4"/>
  <c r="I15" i="4"/>
  <c r="I19" i="4"/>
  <c r="I23" i="4"/>
  <c r="I27" i="4"/>
  <c r="I31" i="4"/>
  <c r="I35" i="4"/>
  <c r="I39" i="4"/>
  <c r="I43" i="4"/>
  <c r="I47" i="4"/>
  <c r="I51" i="4"/>
  <c r="I55" i="4"/>
  <c r="I59" i="4"/>
  <c r="I63" i="4"/>
  <c r="I67" i="4"/>
  <c r="I71" i="4"/>
  <c r="I75" i="4"/>
  <c r="I79" i="4"/>
  <c r="I83" i="4"/>
  <c r="I87" i="4"/>
  <c r="I91" i="4"/>
  <c r="I95" i="4"/>
  <c r="I99" i="4"/>
  <c r="I103" i="4"/>
  <c r="I107" i="4"/>
  <c r="I111" i="4"/>
  <c r="I115" i="4"/>
  <c r="I119" i="4"/>
  <c r="I123" i="4"/>
  <c r="I127" i="4"/>
  <c r="I131" i="4"/>
  <c r="I135" i="4"/>
  <c r="I139" i="4"/>
  <c r="I143" i="4"/>
  <c r="I147" i="4"/>
  <c r="I151" i="4"/>
  <c r="I155" i="4"/>
  <c r="I159" i="4"/>
  <c r="I163" i="4"/>
  <c r="I167" i="4"/>
  <c r="I171" i="4"/>
  <c r="I175" i="4"/>
  <c r="I179" i="4"/>
  <c r="I183" i="4"/>
  <c r="I187" i="4"/>
  <c r="I191" i="4"/>
  <c r="AJ14" i="3" s="1"/>
  <c r="I195" i="4"/>
  <c r="C211" i="4"/>
  <c r="J211" i="4"/>
  <c r="B211" i="4"/>
  <c r="H211" i="4"/>
  <c r="B213" i="4"/>
  <c r="C219" i="4"/>
  <c r="J219" i="4"/>
  <c r="B219" i="4"/>
  <c r="H219" i="4"/>
  <c r="B221" i="4"/>
  <c r="C227" i="4"/>
  <c r="J227" i="4"/>
  <c r="B227" i="4"/>
  <c r="H227" i="4"/>
  <c r="I232" i="4"/>
  <c r="E234" i="4"/>
  <c r="C242" i="4"/>
  <c r="J250" i="4"/>
  <c r="J253" i="4"/>
  <c r="B253" i="4"/>
  <c r="F253" i="4"/>
  <c r="H253" i="4"/>
  <c r="G253" i="4"/>
  <c r="D253" i="4"/>
  <c r="G256" i="4"/>
  <c r="I263" i="4"/>
  <c r="F267" i="4"/>
  <c r="J267" i="4"/>
  <c r="B267" i="4"/>
  <c r="G267" i="4"/>
  <c r="E267" i="4"/>
  <c r="C267" i="4"/>
  <c r="I267" i="4"/>
  <c r="C269" i="4"/>
  <c r="J273" i="4"/>
  <c r="B273" i="4"/>
  <c r="F273" i="4"/>
  <c r="I273" i="4"/>
  <c r="G273" i="4"/>
  <c r="C273" i="4"/>
  <c r="H278" i="4"/>
  <c r="D278" i="4"/>
  <c r="C278" i="4"/>
  <c r="B278" i="4"/>
  <c r="J278" i="4"/>
  <c r="F278" i="4"/>
  <c r="D283" i="4"/>
  <c r="D289" i="4"/>
  <c r="E294" i="4"/>
  <c r="J302" i="4"/>
  <c r="B302" i="4"/>
  <c r="H302" i="4"/>
  <c r="D302" i="4"/>
  <c r="G302" i="4"/>
  <c r="C302" i="4"/>
  <c r="D313" i="4"/>
  <c r="J313" i="4"/>
  <c r="B313" i="4"/>
  <c r="F313" i="4"/>
  <c r="E313" i="4"/>
  <c r="C313" i="4"/>
  <c r="H313" i="4"/>
  <c r="I320" i="4"/>
  <c r="F322" i="4"/>
  <c r="C332" i="4"/>
  <c r="I334" i="4"/>
  <c r="F340" i="4"/>
  <c r="D340" i="4"/>
  <c r="H340" i="4"/>
  <c r="C340" i="4"/>
  <c r="B340" i="4"/>
  <c r="G340" i="4"/>
  <c r="E348" i="4"/>
  <c r="J350" i="4"/>
  <c r="B350" i="4"/>
  <c r="H350" i="4"/>
  <c r="G350" i="4"/>
  <c r="D350" i="4"/>
  <c r="I350" i="4"/>
  <c r="F350" i="4"/>
  <c r="C350" i="4"/>
  <c r="H355" i="4"/>
  <c r="F355" i="4"/>
  <c r="E355" i="4"/>
  <c r="J355" i="4"/>
  <c r="B355" i="4"/>
  <c r="D355" i="4"/>
  <c r="C355" i="4"/>
  <c r="I355" i="4"/>
  <c r="F364" i="4"/>
  <c r="D364" i="4"/>
  <c r="C364" i="4"/>
  <c r="H364" i="4"/>
  <c r="E364" i="4"/>
  <c r="B364" i="4"/>
  <c r="I364" i="4"/>
  <c r="J366" i="4"/>
  <c r="B366" i="4"/>
  <c r="H366" i="4"/>
  <c r="G366" i="4"/>
  <c r="D366" i="4"/>
  <c r="I366" i="4"/>
  <c r="C366" i="4"/>
  <c r="J378" i="4"/>
  <c r="B378" i="4"/>
  <c r="H378" i="4"/>
  <c r="G378" i="4"/>
  <c r="D378" i="4"/>
  <c r="I378" i="4"/>
  <c r="E378" i="4"/>
  <c r="B384" i="4"/>
  <c r="B388" i="4"/>
  <c r="B392" i="4"/>
  <c r="B396" i="4"/>
  <c r="B400" i="4"/>
  <c r="B404" i="4"/>
  <c r="F416" i="4"/>
  <c r="E416" i="4"/>
  <c r="D416" i="4"/>
  <c r="C416" i="4"/>
  <c r="H416" i="4"/>
  <c r="J416" i="4"/>
  <c r="I416" i="4"/>
  <c r="B416" i="4"/>
  <c r="J419" i="4"/>
  <c r="J459" i="4"/>
  <c r="E481" i="4"/>
  <c r="H492" i="4"/>
  <c r="J564" i="4"/>
  <c r="B564" i="4"/>
  <c r="G564" i="4"/>
  <c r="D564" i="4"/>
  <c r="I564" i="4"/>
  <c r="H564" i="4"/>
  <c r="F564" i="4"/>
  <c r="E564" i="4"/>
  <c r="C564" i="4"/>
  <c r="G14" i="3"/>
  <c r="W14" i="3"/>
  <c r="D2" i="4"/>
  <c r="B7" i="4"/>
  <c r="B11" i="4"/>
  <c r="B15" i="4"/>
  <c r="B19" i="4"/>
  <c r="B23" i="4"/>
  <c r="B27" i="4"/>
  <c r="B31" i="4"/>
  <c r="B35" i="4"/>
  <c r="B39" i="4"/>
  <c r="B43" i="4"/>
  <c r="B47" i="4"/>
  <c r="B63" i="4"/>
  <c r="B75" i="4"/>
  <c r="B79" i="4"/>
  <c r="B83" i="4"/>
  <c r="B91" i="4"/>
  <c r="B95" i="4"/>
  <c r="B103" i="4"/>
  <c r="B107" i="4"/>
  <c r="B111" i="4"/>
  <c r="B115" i="4"/>
  <c r="B123" i="4"/>
  <c r="B127" i="4"/>
  <c r="B131" i="4"/>
  <c r="B135" i="4"/>
  <c r="B139" i="4"/>
  <c r="B143" i="4"/>
  <c r="B147" i="4"/>
  <c r="B151" i="4"/>
  <c r="B155" i="4"/>
  <c r="B163" i="4"/>
  <c r="B167" i="4"/>
  <c r="B171" i="4"/>
  <c r="B175" i="4"/>
  <c r="B195" i="4"/>
  <c r="H197" i="4"/>
  <c r="J209" i="4"/>
  <c r="D211" i="4"/>
  <c r="C213" i="4"/>
  <c r="G214" i="4"/>
  <c r="J217" i="4"/>
  <c r="D219" i="4"/>
  <c r="C221" i="4"/>
  <c r="J225" i="4"/>
  <c r="D227" i="4"/>
  <c r="J231" i="4"/>
  <c r="B231" i="4"/>
  <c r="F231" i="4"/>
  <c r="E231" i="4"/>
  <c r="C231" i="4"/>
  <c r="H231" i="4"/>
  <c r="AR15" i="3" s="1"/>
  <c r="J232" i="4"/>
  <c r="G234" i="4"/>
  <c r="G242" i="4"/>
  <c r="F251" i="4"/>
  <c r="J251" i="4"/>
  <c r="B251" i="4"/>
  <c r="G251" i="4"/>
  <c r="E251" i="4"/>
  <c r="C251" i="4"/>
  <c r="I251" i="4"/>
  <c r="C253" i="4"/>
  <c r="J257" i="4"/>
  <c r="B257" i="4"/>
  <c r="F257" i="4"/>
  <c r="I257" i="4"/>
  <c r="G257" i="4"/>
  <c r="C257" i="4"/>
  <c r="H262" i="4"/>
  <c r="D262" i="4"/>
  <c r="C262" i="4"/>
  <c r="B262" i="4"/>
  <c r="J262" i="4"/>
  <c r="F262" i="4"/>
  <c r="D267" i="4"/>
  <c r="E269" i="4"/>
  <c r="D273" i="4"/>
  <c r="E278" i="4"/>
  <c r="H283" i="4"/>
  <c r="I285" i="4"/>
  <c r="E289" i="4"/>
  <c r="G294" i="4"/>
  <c r="D300" i="4"/>
  <c r="H300" i="4"/>
  <c r="G300" i="4"/>
  <c r="F300" i="4"/>
  <c r="C300" i="4"/>
  <c r="J300" i="4"/>
  <c r="E302" i="4"/>
  <c r="G313" i="4"/>
  <c r="I322" i="4"/>
  <c r="D325" i="4"/>
  <c r="J325" i="4"/>
  <c r="B325" i="4"/>
  <c r="F325" i="4"/>
  <c r="H325" i="4"/>
  <c r="C325" i="4"/>
  <c r="I332" i="4"/>
  <c r="E340" i="4"/>
  <c r="F344" i="4"/>
  <c r="D344" i="4"/>
  <c r="C344" i="4"/>
  <c r="H344" i="4"/>
  <c r="I344" i="4"/>
  <c r="G344" i="4"/>
  <c r="B344" i="4"/>
  <c r="G348" i="4"/>
  <c r="E350" i="4"/>
  <c r="G355" i="4"/>
  <c r="G364" i="4"/>
  <c r="E366" i="4"/>
  <c r="C378" i="4"/>
  <c r="G384" i="4"/>
  <c r="G388" i="4"/>
  <c r="G392" i="4"/>
  <c r="G396" i="4"/>
  <c r="G400" i="4"/>
  <c r="I404" i="4"/>
  <c r="H433" i="4"/>
  <c r="J433" i="4"/>
  <c r="B433" i="4"/>
  <c r="I433" i="4"/>
  <c r="G433" i="4"/>
  <c r="F433" i="4"/>
  <c r="C433" i="4"/>
  <c r="E433" i="4"/>
  <c r="D433" i="4"/>
  <c r="H565" i="4"/>
  <c r="E565" i="4"/>
  <c r="J565" i="4"/>
  <c r="B565" i="4"/>
  <c r="I565" i="4"/>
  <c r="G565" i="4"/>
  <c r="C565" i="4"/>
  <c r="F565" i="4"/>
  <c r="H569" i="4"/>
  <c r="E569" i="4"/>
  <c r="J569" i="4"/>
  <c r="B569" i="4"/>
  <c r="I569" i="4"/>
  <c r="G569" i="4"/>
  <c r="F569" i="4"/>
  <c r="D569" i="4"/>
  <c r="C569" i="4"/>
  <c r="H653" i="4"/>
  <c r="G653" i="4"/>
  <c r="F653" i="4"/>
  <c r="E653" i="4"/>
  <c r="J653" i="4"/>
  <c r="B653" i="4"/>
  <c r="I653" i="4"/>
  <c r="D653" i="4"/>
  <c r="H661" i="4"/>
  <c r="G661" i="4"/>
  <c r="F661" i="4"/>
  <c r="E661" i="4"/>
  <c r="J661" i="4"/>
  <c r="B661" i="4"/>
  <c r="C661" i="4"/>
  <c r="I661" i="4"/>
  <c r="J229" i="4"/>
  <c r="G233" i="4"/>
  <c r="J239" i="4"/>
  <c r="B239" i="4"/>
  <c r="J240" i="4"/>
  <c r="F244" i="4"/>
  <c r="H254" i="4"/>
  <c r="D254" i="4"/>
  <c r="F255" i="4"/>
  <c r="J255" i="4"/>
  <c r="B255" i="4"/>
  <c r="H270" i="4"/>
  <c r="D270" i="4"/>
  <c r="F271" i="4"/>
  <c r="J271" i="4"/>
  <c r="B271" i="4"/>
  <c r="H286" i="4"/>
  <c r="D286" i="4"/>
  <c r="F287" i="4"/>
  <c r="J287" i="4"/>
  <c r="B287" i="4"/>
  <c r="J306" i="4"/>
  <c r="B306" i="4"/>
  <c r="H306" i="4"/>
  <c r="D306" i="4"/>
  <c r="H315" i="4"/>
  <c r="F315" i="4"/>
  <c r="J315" i="4"/>
  <c r="B315" i="4"/>
  <c r="F324" i="4"/>
  <c r="D324" i="4"/>
  <c r="H324" i="4"/>
  <c r="D329" i="4"/>
  <c r="J329" i="4"/>
  <c r="B329" i="4"/>
  <c r="F329" i="4"/>
  <c r="J338" i="4"/>
  <c r="B338" i="4"/>
  <c r="H338" i="4"/>
  <c r="D338" i="4"/>
  <c r="J342" i="4"/>
  <c r="B342" i="4"/>
  <c r="H342" i="4"/>
  <c r="G342" i="4"/>
  <c r="D342" i="4"/>
  <c r="H375" i="4"/>
  <c r="F375" i="4"/>
  <c r="E375" i="4"/>
  <c r="J375" i="4"/>
  <c r="B375" i="4"/>
  <c r="H411" i="4"/>
  <c r="G411" i="4"/>
  <c r="F411" i="4"/>
  <c r="E411" i="4"/>
  <c r="J411" i="4"/>
  <c r="B411" i="4"/>
  <c r="D427" i="4"/>
  <c r="F427" i="4"/>
  <c r="G427" i="4"/>
  <c r="E427" i="4"/>
  <c r="C427" i="4"/>
  <c r="B427" i="4"/>
  <c r="I427" i="4"/>
  <c r="J444" i="4"/>
  <c r="B444" i="4"/>
  <c r="D444" i="4"/>
  <c r="G444" i="4"/>
  <c r="F444" i="4"/>
  <c r="E444" i="4"/>
  <c r="C444" i="4"/>
  <c r="I444" i="4"/>
  <c r="D475" i="4"/>
  <c r="F475" i="4"/>
  <c r="G475" i="4"/>
  <c r="E475" i="4"/>
  <c r="C475" i="4"/>
  <c r="B475" i="4"/>
  <c r="I475" i="4"/>
  <c r="F522" i="4"/>
  <c r="H522" i="4"/>
  <c r="E522" i="4"/>
  <c r="D522" i="4"/>
  <c r="C522" i="4"/>
  <c r="B522" i="4"/>
  <c r="I522" i="4"/>
  <c r="H525" i="4"/>
  <c r="J525" i="4"/>
  <c r="B525" i="4"/>
  <c r="G525" i="4"/>
  <c r="F525" i="4"/>
  <c r="E525" i="4"/>
  <c r="D525" i="4"/>
  <c r="H553" i="4"/>
  <c r="E553" i="4"/>
  <c r="J553" i="4"/>
  <c r="I553" i="4"/>
  <c r="G553" i="4"/>
  <c r="F553" i="4"/>
  <c r="D553" i="4"/>
  <c r="F630" i="4"/>
  <c r="E630" i="4"/>
  <c r="D630" i="4"/>
  <c r="C630" i="4"/>
  <c r="H630" i="4"/>
  <c r="J630" i="4"/>
  <c r="I630" i="4"/>
  <c r="G630" i="4"/>
  <c r="F646" i="4"/>
  <c r="E646" i="4"/>
  <c r="D646" i="4"/>
  <c r="C646" i="4"/>
  <c r="H646" i="4"/>
  <c r="J646" i="4"/>
  <c r="I646" i="4"/>
  <c r="G646" i="4"/>
  <c r="J704" i="4"/>
  <c r="B704" i="4"/>
  <c r="C704" i="4"/>
  <c r="H704" i="4"/>
  <c r="G704" i="4"/>
  <c r="F704" i="4"/>
  <c r="E704" i="4"/>
  <c r="I704" i="4"/>
  <c r="G812" i="4"/>
  <c r="J812" i="4"/>
  <c r="B812" i="4"/>
  <c r="F812" i="4"/>
  <c r="E812" i="4"/>
  <c r="D812" i="4"/>
  <c r="C812" i="4"/>
  <c r="I812" i="4"/>
  <c r="H812" i="4"/>
  <c r="J233" i="4"/>
  <c r="E239" i="4"/>
  <c r="J243" i="4"/>
  <c r="B243" i="4"/>
  <c r="J244" i="4"/>
  <c r="D248" i="4"/>
  <c r="H248" i="4"/>
  <c r="J249" i="4"/>
  <c r="B249" i="4"/>
  <c r="F249" i="4"/>
  <c r="E254" i="4"/>
  <c r="E255" i="4"/>
  <c r="D264" i="4"/>
  <c r="H264" i="4"/>
  <c r="J265" i="4"/>
  <c r="B265" i="4"/>
  <c r="F265" i="4"/>
  <c r="E270" i="4"/>
  <c r="E271" i="4"/>
  <c r="D280" i="4"/>
  <c r="H280" i="4"/>
  <c r="J281" i="4"/>
  <c r="B281" i="4"/>
  <c r="F281" i="4"/>
  <c r="E286" i="4"/>
  <c r="E287" i="4"/>
  <c r="D296" i="4"/>
  <c r="H296" i="4"/>
  <c r="J297" i="4"/>
  <c r="B297" i="4"/>
  <c r="F297" i="4"/>
  <c r="F304" i="4"/>
  <c r="D304" i="4"/>
  <c r="H304" i="4"/>
  <c r="F306" i="4"/>
  <c r="D309" i="4"/>
  <c r="J309" i="4"/>
  <c r="B309" i="4"/>
  <c r="F309" i="4"/>
  <c r="E315" i="4"/>
  <c r="J318" i="4"/>
  <c r="H318" i="4"/>
  <c r="D318" i="4"/>
  <c r="E324" i="4"/>
  <c r="H327" i="4"/>
  <c r="F327" i="4"/>
  <c r="J327" i="4"/>
  <c r="B327" i="4"/>
  <c r="G329" i="4"/>
  <c r="F336" i="4"/>
  <c r="D336" i="4"/>
  <c r="H336" i="4"/>
  <c r="F338" i="4"/>
  <c r="F342" i="4"/>
  <c r="J374" i="4"/>
  <c r="B374" i="4"/>
  <c r="H374" i="4"/>
  <c r="G374" i="4"/>
  <c r="D374" i="4"/>
  <c r="G375" i="4"/>
  <c r="F380" i="4"/>
  <c r="D380" i="4"/>
  <c r="C380" i="4"/>
  <c r="H380" i="4"/>
  <c r="I411" i="4"/>
  <c r="J428" i="4"/>
  <c r="B428" i="4"/>
  <c r="D428" i="4"/>
  <c r="G428" i="4"/>
  <c r="F428" i="4"/>
  <c r="E428" i="4"/>
  <c r="C428" i="4"/>
  <c r="I428" i="4"/>
  <c r="J476" i="4"/>
  <c r="B476" i="4"/>
  <c r="D476" i="4"/>
  <c r="G476" i="4"/>
  <c r="F476" i="4"/>
  <c r="E476" i="4"/>
  <c r="C476" i="4"/>
  <c r="I476" i="4"/>
  <c r="F490" i="4"/>
  <c r="H490" i="4"/>
  <c r="E490" i="4"/>
  <c r="D490" i="4"/>
  <c r="C490" i="4"/>
  <c r="B490" i="4"/>
  <c r="I490" i="4"/>
  <c r="H493" i="4"/>
  <c r="J493" i="4"/>
  <c r="B493" i="4"/>
  <c r="G493" i="4"/>
  <c r="F493" i="4"/>
  <c r="E493" i="4"/>
  <c r="D493" i="4"/>
  <c r="D523" i="4"/>
  <c r="F523" i="4"/>
  <c r="G523" i="4"/>
  <c r="E523" i="4"/>
  <c r="C523" i="4"/>
  <c r="B523" i="4"/>
  <c r="I523" i="4"/>
  <c r="AA13" i="3" s="1"/>
  <c r="F558" i="4"/>
  <c r="C558" i="4"/>
  <c r="H558" i="4"/>
  <c r="I558" i="4"/>
  <c r="G558" i="4"/>
  <c r="E558" i="4"/>
  <c r="D558" i="4"/>
  <c r="H581" i="4"/>
  <c r="E581" i="4"/>
  <c r="J581" i="4"/>
  <c r="B581" i="4"/>
  <c r="I581" i="4"/>
  <c r="G581" i="4"/>
  <c r="C581" i="4"/>
  <c r="F602" i="4"/>
  <c r="E602" i="4"/>
  <c r="C602" i="4"/>
  <c r="H602" i="4"/>
  <c r="I602" i="4"/>
  <c r="G602" i="4"/>
  <c r="D602" i="4"/>
  <c r="B602" i="4"/>
  <c r="H625" i="4"/>
  <c r="G625" i="4"/>
  <c r="F625" i="4"/>
  <c r="E625" i="4"/>
  <c r="J625" i="4"/>
  <c r="B625" i="4"/>
  <c r="C625" i="4"/>
  <c r="H641" i="4"/>
  <c r="G641" i="4"/>
  <c r="F641" i="4"/>
  <c r="E641" i="4"/>
  <c r="J641" i="4"/>
  <c r="B641" i="4"/>
  <c r="C641" i="4"/>
  <c r="F722" i="4"/>
  <c r="H722" i="4"/>
  <c r="E722" i="4"/>
  <c r="G722" i="4"/>
  <c r="D722" i="4"/>
  <c r="C722" i="4"/>
  <c r="B722" i="4"/>
  <c r="J722" i="4"/>
  <c r="H797" i="4"/>
  <c r="I797" i="4"/>
  <c r="G797" i="4"/>
  <c r="F797" i="4"/>
  <c r="E797" i="4"/>
  <c r="B797" i="4"/>
  <c r="J797" i="4"/>
  <c r="D797" i="4"/>
  <c r="H497" i="4"/>
  <c r="J497" i="4"/>
  <c r="B497" i="4"/>
  <c r="I497" i="4"/>
  <c r="G497" i="4"/>
  <c r="F497" i="4"/>
  <c r="C497" i="4"/>
  <c r="J508" i="4"/>
  <c r="B508" i="4"/>
  <c r="D508" i="4"/>
  <c r="G508" i="4"/>
  <c r="F508" i="4"/>
  <c r="E508" i="4"/>
  <c r="C508" i="4"/>
  <c r="I508" i="4"/>
  <c r="F570" i="4"/>
  <c r="C570" i="4"/>
  <c r="H570" i="4"/>
  <c r="J570" i="4"/>
  <c r="I570" i="4"/>
  <c r="G570" i="4"/>
  <c r="B570" i="4"/>
  <c r="H585" i="4"/>
  <c r="E585" i="4"/>
  <c r="J585" i="4"/>
  <c r="B585" i="4"/>
  <c r="I585" i="4"/>
  <c r="G585" i="4"/>
  <c r="F585" i="4"/>
  <c r="D585" i="4"/>
  <c r="H589" i="4"/>
  <c r="G589" i="4"/>
  <c r="E589" i="4"/>
  <c r="J589" i="4"/>
  <c r="B589" i="4"/>
  <c r="I589" i="4"/>
  <c r="F589" i="4"/>
  <c r="D589" i="4"/>
  <c r="C589" i="4"/>
  <c r="F754" i="4"/>
  <c r="I754" i="4"/>
  <c r="H754" i="4"/>
  <c r="E754" i="4"/>
  <c r="B754" i="4"/>
  <c r="J754" i="4"/>
  <c r="G754" i="4"/>
  <c r="D754" i="4"/>
  <c r="C754" i="4"/>
  <c r="G229" i="4"/>
  <c r="C233" i="4"/>
  <c r="J235" i="4"/>
  <c r="B235" i="4"/>
  <c r="J236" i="4"/>
  <c r="G239" i="4"/>
  <c r="F240" i="4"/>
  <c r="D243" i="4"/>
  <c r="C244" i="4"/>
  <c r="C248" i="4"/>
  <c r="D249" i="4"/>
  <c r="G254" i="4"/>
  <c r="H255" i="4"/>
  <c r="D260" i="4"/>
  <c r="H260" i="4"/>
  <c r="J261" i="4"/>
  <c r="B261" i="4"/>
  <c r="F261" i="4"/>
  <c r="C264" i="4"/>
  <c r="D265" i="4"/>
  <c r="G270" i="4"/>
  <c r="H271" i="4"/>
  <c r="D276" i="4"/>
  <c r="H276" i="4"/>
  <c r="J277" i="4"/>
  <c r="B277" i="4"/>
  <c r="F277" i="4"/>
  <c r="C280" i="4"/>
  <c r="D281" i="4"/>
  <c r="G286" i="4"/>
  <c r="H287" i="4"/>
  <c r="D292" i="4"/>
  <c r="H292" i="4"/>
  <c r="J293" i="4"/>
  <c r="B293" i="4"/>
  <c r="F293" i="4"/>
  <c r="C296" i="4"/>
  <c r="D297" i="4"/>
  <c r="H303" i="4"/>
  <c r="F303" i="4"/>
  <c r="J303" i="4"/>
  <c r="B303" i="4"/>
  <c r="C304" i="4"/>
  <c r="I306" i="4"/>
  <c r="E309" i="4"/>
  <c r="F312" i="4"/>
  <c r="D312" i="4"/>
  <c r="H312" i="4"/>
  <c r="I315" i="4"/>
  <c r="D317" i="4"/>
  <c r="J317" i="4"/>
  <c r="B317" i="4"/>
  <c r="F317" i="4"/>
  <c r="E318" i="4"/>
  <c r="I324" i="4"/>
  <c r="J326" i="4"/>
  <c r="B326" i="4"/>
  <c r="H326" i="4"/>
  <c r="D326" i="4"/>
  <c r="D327" i="4"/>
  <c r="I329" i="4"/>
  <c r="H335" i="4"/>
  <c r="F335" i="4"/>
  <c r="J335" i="4"/>
  <c r="B335" i="4"/>
  <c r="C336" i="4"/>
  <c r="I338" i="4"/>
  <c r="H343" i="4"/>
  <c r="F343" i="4"/>
  <c r="E343" i="4"/>
  <c r="J343" i="4"/>
  <c r="B343" i="4"/>
  <c r="J346" i="4"/>
  <c r="B346" i="4"/>
  <c r="H346" i="4"/>
  <c r="G346" i="4"/>
  <c r="D346" i="4"/>
  <c r="J370" i="4"/>
  <c r="B370" i="4"/>
  <c r="H370" i="4"/>
  <c r="G370" i="4"/>
  <c r="D370" i="4"/>
  <c r="E374" i="4"/>
  <c r="F376" i="4"/>
  <c r="D376" i="4"/>
  <c r="C376" i="4"/>
  <c r="H376" i="4"/>
  <c r="E380" i="4"/>
  <c r="F426" i="4"/>
  <c r="H426" i="4"/>
  <c r="E426" i="4"/>
  <c r="D426" i="4"/>
  <c r="C426" i="4"/>
  <c r="B426" i="4"/>
  <c r="I426" i="4"/>
  <c r="H429" i="4"/>
  <c r="J429" i="4"/>
  <c r="B429" i="4"/>
  <c r="G429" i="4"/>
  <c r="F429" i="4"/>
  <c r="E429" i="4"/>
  <c r="D429" i="4"/>
  <c r="D443" i="4"/>
  <c r="F443" i="4"/>
  <c r="G443" i="4"/>
  <c r="E443" i="4"/>
  <c r="C443" i="4"/>
  <c r="B443" i="4"/>
  <c r="I443" i="4"/>
  <c r="J460" i="4"/>
  <c r="B460" i="4"/>
  <c r="D460" i="4"/>
  <c r="G460" i="4"/>
  <c r="F460" i="4"/>
  <c r="E460" i="4"/>
  <c r="C460" i="4"/>
  <c r="I460" i="4"/>
  <c r="F474" i="4"/>
  <c r="H474" i="4"/>
  <c r="E474" i="4"/>
  <c r="D474" i="4"/>
  <c r="C474" i="4"/>
  <c r="B474" i="4"/>
  <c r="I474" i="4"/>
  <c r="H477" i="4"/>
  <c r="J477" i="4"/>
  <c r="B477" i="4"/>
  <c r="G477" i="4"/>
  <c r="F477" i="4"/>
  <c r="E477" i="4"/>
  <c r="D477" i="4"/>
  <c r="J490" i="4"/>
  <c r="I493" i="4"/>
  <c r="D497" i="4"/>
  <c r="H508" i="4"/>
  <c r="H513" i="4"/>
  <c r="J513" i="4"/>
  <c r="B513" i="4"/>
  <c r="I513" i="4"/>
  <c r="G513" i="4"/>
  <c r="F513" i="4"/>
  <c r="C513" i="4"/>
  <c r="J523" i="4"/>
  <c r="J540" i="4"/>
  <c r="B540" i="4"/>
  <c r="D540" i="4"/>
  <c r="G540" i="4"/>
  <c r="F540" i="4"/>
  <c r="E540" i="4"/>
  <c r="C540" i="4"/>
  <c r="I540" i="4"/>
  <c r="J558" i="4"/>
  <c r="J560" i="4"/>
  <c r="B560" i="4"/>
  <c r="G560" i="4"/>
  <c r="D560" i="4"/>
  <c r="I560" i="4"/>
  <c r="H560" i="4"/>
  <c r="C560" i="4"/>
  <c r="D570" i="4"/>
  <c r="F574" i="4"/>
  <c r="C574" i="4"/>
  <c r="H574" i="4"/>
  <c r="I574" i="4"/>
  <c r="G574" i="4"/>
  <c r="E574" i="4"/>
  <c r="D574" i="4"/>
  <c r="F581" i="4"/>
  <c r="C585" i="4"/>
  <c r="F590" i="4"/>
  <c r="E590" i="4"/>
  <c r="C590" i="4"/>
  <c r="H590" i="4"/>
  <c r="J590" i="4"/>
  <c r="I590" i="4"/>
  <c r="B590" i="4"/>
  <c r="H609" i="4"/>
  <c r="G609" i="4"/>
  <c r="F609" i="4"/>
  <c r="E609" i="4"/>
  <c r="J609" i="4"/>
  <c r="B609" i="4"/>
  <c r="I609" i="4"/>
  <c r="D609" i="4"/>
  <c r="I625" i="4"/>
  <c r="I641" i="4"/>
  <c r="H673" i="4"/>
  <c r="B673" i="4"/>
  <c r="J673" i="4"/>
  <c r="I673" i="4"/>
  <c r="G673" i="4"/>
  <c r="F673" i="4"/>
  <c r="C673" i="4"/>
  <c r="E673" i="4"/>
  <c r="H709" i="4"/>
  <c r="G709" i="4"/>
  <c r="J709" i="4"/>
  <c r="I709" i="4"/>
  <c r="F709" i="4"/>
  <c r="E709" i="4"/>
  <c r="B709" i="4"/>
  <c r="C709" i="4"/>
  <c r="H229" i="4"/>
  <c r="D233" i="4"/>
  <c r="C235" i="4"/>
  <c r="J237" i="4"/>
  <c r="H239" i="4"/>
  <c r="G240" i="4"/>
  <c r="E243" i="4"/>
  <c r="D244" i="4"/>
  <c r="E248" i="4"/>
  <c r="E249" i="4"/>
  <c r="I254" i="4"/>
  <c r="I255" i="4"/>
  <c r="H258" i="4"/>
  <c r="D258" i="4"/>
  <c r="F259" i="4"/>
  <c r="J259" i="4"/>
  <c r="B259" i="4"/>
  <c r="B260" i="4"/>
  <c r="C261" i="4"/>
  <c r="E264" i="4"/>
  <c r="E265" i="4"/>
  <c r="I270" i="4"/>
  <c r="I271" i="4"/>
  <c r="H274" i="4"/>
  <c r="D274" i="4"/>
  <c r="F275" i="4"/>
  <c r="J275" i="4"/>
  <c r="B275" i="4"/>
  <c r="B276" i="4"/>
  <c r="C277" i="4"/>
  <c r="E280" i="4"/>
  <c r="E281" i="4"/>
  <c r="I286" i="4"/>
  <c r="I287" i="4"/>
  <c r="H290" i="4"/>
  <c r="D290" i="4"/>
  <c r="F291" i="4"/>
  <c r="J291" i="4"/>
  <c r="B291" i="4"/>
  <c r="B292" i="4"/>
  <c r="C293" i="4"/>
  <c r="E296" i="4"/>
  <c r="E297" i="4"/>
  <c r="C303" i="4"/>
  <c r="E304" i="4"/>
  <c r="H307" i="4"/>
  <c r="F307" i="4"/>
  <c r="J307" i="4"/>
  <c r="B307" i="4"/>
  <c r="G309" i="4"/>
  <c r="B312" i="4"/>
  <c r="F316" i="4"/>
  <c r="D316" i="4"/>
  <c r="H316" i="4"/>
  <c r="C317" i="4"/>
  <c r="F318" i="4"/>
  <c r="D321" i="4"/>
  <c r="J321" i="4"/>
  <c r="F321" i="4"/>
  <c r="J324" i="4"/>
  <c r="C326" i="4"/>
  <c r="E327" i="4"/>
  <c r="J330" i="4"/>
  <c r="B330" i="4"/>
  <c r="H330" i="4"/>
  <c r="D330" i="4"/>
  <c r="C335" i="4"/>
  <c r="E336" i="4"/>
  <c r="H339" i="4"/>
  <c r="F339" i="4"/>
  <c r="J339" i="4"/>
  <c r="B339" i="4"/>
  <c r="C343" i="4"/>
  <c r="C346" i="4"/>
  <c r="F360" i="4"/>
  <c r="D360" i="4"/>
  <c r="C360" i="4"/>
  <c r="H360" i="4"/>
  <c r="C370" i="4"/>
  <c r="F374" i="4"/>
  <c r="B376" i="4"/>
  <c r="H379" i="4"/>
  <c r="F379" i="4"/>
  <c r="E379" i="4"/>
  <c r="J379" i="4"/>
  <c r="B379" i="4"/>
  <c r="G380" i="4"/>
  <c r="F408" i="4"/>
  <c r="E408" i="4"/>
  <c r="D408" i="4"/>
  <c r="C408" i="4"/>
  <c r="H408" i="4"/>
  <c r="H415" i="4"/>
  <c r="G415" i="4"/>
  <c r="F415" i="4"/>
  <c r="E415" i="4"/>
  <c r="J415" i="4"/>
  <c r="B415" i="4"/>
  <c r="F422" i="4"/>
  <c r="G422" i="4"/>
  <c r="E422" i="4"/>
  <c r="D422" i="4"/>
  <c r="C422" i="4"/>
  <c r="I422" i="4"/>
  <c r="G426" i="4"/>
  <c r="C429" i="4"/>
  <c r="H443" i="4"/>
  <c r="H460" i="4"/>
  <c r="G474" i="4"/>
  <c r="D491" i="4"/>
  <c r="F491" i="4"/>
  <c r="G491" i="4"/>
  <c r="E491" i="4"/>
  <c r="C491" i="4"/>
  <c r="B491" i="4"/>
  <c r="I491" i="4"/>
  <c r="E497" i="4"/>
  <c r="F506" i="4"/>
  <c r="H506" i="4"/>
  <c r="E506" i="4"/>
  <c r="D506" i="4"/>
  <c r="C506" i="4"/>
  <c r="B506" i="4"/>
  <c r="I506" i="4"/>
  <c r="H509" i="4"/>
  <c r="J509" i="4"/>
  <c r="B509" i="4"/>
  <c r="G509" i="4"/>
  <c r="F509" i="4"/>
  <c r="E509" i="4"/>
  <c r="D509" i="4"/>
  <c r="D513" i="4"/>
  <c r="J524" i="4"/>
  <c r="B524" i="4"/>
  <c r="D524" i="4"/>
  <c r="G524" i="4"/>
  <c r="F524" i="4"/>
  <c r="E524" i="4"/>
  <c r="C524" i="4"/>
  <c r="I524" i="4"/>
  <c r="H540" i="4"/>
  <c r="H545" i="4"/>
  <c r="J545" i="4"/>
  <c r="B545" i="4"/>
  <c r="I545" i="4"/>
  <c r="G545" i="4"/>
  <c r="F545" i="4"/>
  <c r="C545" i="4"/>
  <c r="E560" i="4"/>
  <c r="E570" i="4"/>
  <c r="B574" i="4"/>
  <c r="F586" i="4"/>
  <c r="C586" i="4"/>
  <c r="H586" i="4"/>
  <c r="J586" i="4"/>
  <c r="I586" i="4"/>
  <c r="G586" i="4"/>
  <c r="B586" i="4"/>
  <c r="D590" i="4"/>
  <c r="C609" i="4"/>
  <c r="D673" i="4"/>
  <c r="D709" i="4"/>
  <c r="J760" i="4"/>
  <c r="B760" i="4"/>
  <c r="D760" i="4"/>
  <c r="C760" i="4"/>
  <c r="I760" i="4"/>
  <c r="F760" i="4"/>
  <c r="H760" i="4"/>
  <c r="G760" i="4"/>
  <c r="E760" i="4"/>
  <c r="F341" i="4"/>
  <c r="F345" i="4"/>
  <c r="F349" i="4"/>
  <c r="F353" i="4"/>
  <c r="F357" i="4"/>
  <c r="F361" i="4"/>
  <c r="F365" i="4"/>
  <c r="F369" i="4"/>
  <c r="F373" i="4"/>
  <c r="F377" i="4"/>
  <c r="F381" i="4"/>
  <c r="F385" i="4"/>
  <c r="F389" i="4"/>
  <c r="F393" i="4"/>
  <c r="F397" i="4"/>
  <c r="F401" i="4"/>
  <c r="F405" i="4"/>
  <c r="D406" i="4"/>
  <c r="D410" i="4"/>
  <c r="D414" i="4"/>
  <c r="D418" i="4"/>
  <c r="J420" i="4"/>
  <c r="B420" i="4"/>
  <c r="J421" i="4"/>
  <c r="F430" i="4"/>
  <c r="H430" i="4"/>
  <c r="D431" i="4"/>
  <c r="F431" i="4"/>
  <c r="J432" i="4"/>
  <c r="B432" i="4"/>
  <c r="D432" i="4"/>
  <c r="C434" i="4"/>
  <c r="C435" i="4"/>
  <c r="E436" i="4"/>
  <c r="E437" i="4"/>
  <c r="E438" i="4"/>
  <c r="G439" i="4"/>
  <c r="F446" i="4"/>
  <c r="H446" i="4"/>
  <c r="D447" i="4"/>
  <c r="F447" i="4"/>
  <c r="J448" i="4"/>
  <c r="B448" i="4"/>
  <c r="D448" i="4"/>
  <c r="C450" i="4"/>
  <c r="C451" i="4"/>
  <c r="E452" i="4"/>
  <c r="E453" i="4"/>
  <c r="E454" i="4"/>
  <c r="G455" i="4"/>
  <c r="F462" i="4"/>
  <c r="H462" i="4"/>
  <c r="D463" i="4"/>
  <c r="F463" i="4"/>
  <c r="J464" i="4"/>
  <c r="B464" i="4"/>
  <c r="D464" i="4"/>
  <c r="C466" i="4"/>
  <c r="C467" i="4"/>
  <c r="E468" i="4"/>
  <c r="E469" i="4"/>
  <c r="E470" i="4"/>
  <c r="G471" i="4"/>
  <c r="F478" i="4"/>
  <c r="H478" i="4"/>
  <c r="D479" i="4"/>
  <c r="F479" i="4"/>
  <c r="J480" i="4"/>
  <c r="B480" i="4"/>
  <c r="D480" i="4"/>
  <c r="C482" i="4"/>
  <c r="C483" i="4"/>
  <c r="E484" i="4"/>
  <c r="E485" i="4"/>
  <c r="F494" i="4"/>
  <c r="H494" i="4"/>
  <c r="D495" i="4"/>
  <c r="F495" i="4"/>
  <c r="J496" i="4"/>
  <c r="B496" i="4"/>
  <c r="D496" i="4"/>
  <c r="C498" i="4"/>
  <c r="C499" i="4"/>
  <c r="E500" i="4"/>
  <c r="E501" i="4"/>
  <c r="F510" i="4"/>
  <c r="H510" i="4"/>
  <c r="D511" i="4"/>
  <c r="F511" i="4"/>
  <c r="J512" i="4"/>
  <c r="B512" i="4"/>
  <c r="D512" i="4"/>
  <c r="C514" i="4"/>
  <c r="C515" i="4"/>
  <c r="E516" i="4"/>
  <c r="E517" i="4"/>
  <c r="F526" i="4"/>
  <c r="H526" i="4"/>
  <c r="D527" i="4"/>
  <c r="F527" i="4"/>
  <c r="J528" i="4"/>
  <c r="B528" i="4"/>
  <c r="D528" i="4"/>
  <c r="C530" i="4"/>
  <c r="C531" i="4"/>
  <c r="E532" i="4"/>
  <c r="E533" i="4"/>
  <c r="F542" i="4"/>
  <c r="H542" i="4"/>
  <c r="D543" i="4"/>
  <c r="F543" i="4"/>
  <c r="J544" i="4"/>
  <c r="B544" i="4"/>
  <c r="D544" i="4"/>
  <c r="C546" i="4"/>
  <c r="C547" i="4"/>
  <c r="E548" i="4"/>
  <c r="E549" i="4"/>
  <c r="E566" i="4"/>
  <c r="E582" i="4"/>
  <c r="H593" i="4"/>
  <c r="G593" i="4"/>
  <c r="E593" i="4"/>
  <c r="J593" i="4"/>
  <c r="B593" i="4"/>
  <c r="F606" i="4"/>
  <c r="E606" i="4"/>
  <c r="D606" i="4"/>
  <c r="C606" i="4"/>
  <c r="H606" i="4"/>
  <c r="H657" i="4"/>
  <c r="G657" i="4"/>
  <c r="F657" i="4"/>
  <c r="E657" i="4"/>
  <c r="J657" i="4"/>
  <c r="B657" i="4"/>
  <c r="H665" i="4"/>
  <c r="G665" i="4"/>
  <c r="F665" i="4"/>
  <c r="E665" i="4"/>
  <c r="J665" i="4"/>
  <c r="B665" i="4"/>
  <c r="F698" i="4"/>
  <c r="H698" i="4"/>
  <c r="E698" i="4"/>
  <c r="D698" i="4"/>
  <c r="C698" i="4"/>
  <c r="B698" i="4"/>
  <c r="I698" i="4"/>
  <c r="H701" i="4"/>
  <c r="E701" i="4"/>
  <c r="G701" i="4"/>
  <c r="F701" i="4"/>
  <c r="D701" i="4"/>
  <c r="C701" i="4"/>
  <c r="J701" i="4"/>
  <c r="J712" i="4"/>
  <c r="B712" i="4"/>
  <c r="E712" i="4"/>
  <c r="I712" i="4"/>
  <c r="H712" i="4"/>
  <c r="G712" i="4"/>
  <c r="C712" i="4"/>
  <c r="D735" i="4"/>
  <c r="F735" i="4"/>
  <c r="C735" i="4"/>
  <c r="I735" i="4"/>
  <c r="H735" i="4"/>
  <c r="G735" i="4"/>
  <c r="E735" i="4"/>
  <c r="B735" i="4"/>
  <c r="I341" i="4"/>
  <c r="I345" i="4"/>
  <c r="I349" i="4"/>
  <c r="I353" i="4"/>
  <c r="I357" i="4"/>
  <c r="I361" i="4"/>
  <c r="I365" i="4"/>
  <c r="I369" i="4"/>
  <c r="I373" i="4"/>
  <c r="I377" i="4"/>
  <c r="I381" i="4"/>
  <c r="G406" i="4"/>
  <c r="G410" i="4"/>
  <c r="G414" i="4"/>
  <c r="G418" i="4"/>
  <c r="E420" i="4"/>
  <c r="D421" i="4"/>
  <c r="J424" i="4"/>
  <c r="B424" i="4"/>
  <c r="H425" i="4"/>
  <c r="J425" i="4"/>
  <c r="B425" i="4"/>
  <c r="D430" i="4"/>
  <c r="E431" i="4"/>
  <c r="F432" i="4"/>
  <c r="G434" i="4"/>
  <c r="H435" i="4"/>
  <c r="H436" i="4"/>
  <c r="H441" i="4"/>
  <c r="J441" i="4"/>
  <c r="B441" i="4"/>
  <c r="D446" i="4"/>
  <c r="E447" i="4"/>
  <c r="G450" i="4"/>
  <c r="H451" i="4"/>
  <c r="H452" i="4"/>
  <c r="H457" i="4"/>
  <c r="J457" i="4"/>
  <c r="B457" i="4"/>
  <c r="G466" i="4"/>
  <c r="H467" i="4"/>
  <c r="H468" i="4"/>
  <c r="H473" i="4"/>
  <c r="J473" i="4"/>
  <c r="B473" i="4"/>
  <c r="G482" i="4"/>
  <c r="H483" i="4"/>
  <c r="H484" i="4"/>
  <c r="H489" i="4"/>
  <c r="J489" i="4"/>
  <c r="B489" i="4"/>
  <c r="G498" i="4"/>
  <c r="H505" i="4"/>
  <c r="J505" i="4"/>
  <c r="B505" i="4"/>
  <c r="H521" i="4"/>
  <c r="J521" i="4"/>
  <c r="B521" i="4"/>
  <c r="H537" i="4"/>
  <c r="J537" i="4"/>
  <c r="B537" i="4"/>
  <c r="J552" i="4"/>
  <c r="B552" i="4"/>
  <c r="G552" i="4"/>
  <c r="D552" i="4"/>
  <c r="H557" i="4"/>
  <c r="E557" i="4"/>
  <c r="J557" i="4"/>
  <c r="B557" i="4"/>
  <c r="F562" i="4"/>
  <c r="C562" i="4"/>
  <c r="H562" i="4"/>
  <c r="J568" i="4"/>
  <c r="B568" i="4"/>
  <c r="G568" i="4"/>
  <c r="D568" i="4"/>
  <c r="H573" i="4"/>
  <c r="E573" i="4"/>
  <c r="J573" i="4"/>
  <c r="B573" i="4"/>
  <c r="F578" i="4"/>
  <c r="C578" i="4"/>
  <c r="H578" i="4"/>
  <c r="J584" i="4"/>
  <c r="B584" i="4"/>
  <c r="G584" i="4"/>
  <c r="D584" i="4"/>
  <c r="F598" i="4"/>
  <c r="E598" i="4"/>
  <c r="C598" i="4"/>
  <c r="H598" i="4"/>
  <c r="AN13" i="3" s="1"/>
  <c r="H617" i="4"/>
  <c r="G617" i="4"/>
  <c r="F617" i="4"/>
  <c r="E617" i="4"/>
  <c r="J617" i="4"/>
  <c r="B617" i="4"/>
  <c r="F626" i="4"/>
  <c r="E626" i="4"/>
  <c r="D626" i="4"/>
  <c r="C626" i="4"/>
  <c r="H626" i="4"/>
  <c r="H633" i="4"/>
  <c r="G633" i="4"/>
  <c r="F633" i="4"/>
  <c r="E633" i="4"/>
  <c r="J633" i="4"/>
  <c r="B633" i="4"/>
  <c r="F642" i="4"/>
  <c r="E642" i="4"/>
  <c r="D642" i="4"/>
  <c r="C642" i="4"/>
  <c r="H642" i="4"/>
  <c r="H649" i="4"/>
  <c r="G649" i="4"/>
  <c r="F649" i="4"/>
  <c r="E649" i="4"/>
  <c r="J649" i="4"/>
  <c r="B649" i="4"/>
  <c r="I657" i="4"/>
  <c r="F662" i="4"/>
  <c r="E662" i="4"/>
  <c r="D662" i="4"/>
  <c r="C662" i="4"/>
  <c r="H662" i="4"/>
  <c r="I665" i="4"/>
  <c r="D699" i="4"/>
  <c r="G699" i="4"/>
  <c r="F699" i="4"/>
  <c r="E699" i="4"/>
  <c r="C699" i="4"/>
  <c r="B699" i="4"/>
  <c r="I699" i="4"/>
  <c r="F702" i="4"/>
  <c r="D702" i="4"/>
  <c r="H702" i="4"/>
  <c r="G702" i="4"/>
  <c r="E702" i="4"/>
  <c r="C702" i="4"/>
  <c r="J702" i="4"/>
  <c r="D723" i="4"/>
  <c r="G723" i="4"/>
  <c r="E723" i="4"/>
  <c r="I723" i="4"/>
  <c r="H723" i="4"/>
  <c r="F723" i="4"/>
  <c r="C723" i="4"/>
  <c r="J732" i="4"/>
  <c r="B732" i="4"/>
  <c r="H732" i="4"/>
  <c r="F732" i="4"/>
  <c r="I732" i="4"/>
  <c r="G732" i="4"/>
  <c r="C732" i="4"/>
  <c r="J764" i="4"/>
  <c r="B764" i="4"/>
  <c r="I764" i="4"/>
  <c r="H764" i="4"/>
  <c r="F764" i="4"/>
  <c r="C764" i="4"/>
  <c r="D764" i="4"/>
  <c r="J768" i="4"/>
  <c r="B768" i="4"/>
  <c r="F768" i="4"/>
  <c r="E768" i="4"/>
  <c r="D768" i="4"/>
  <c r="C768" i="4"/>
  <c r="H768" i="4"/>
  <c r="I768" i="4"/>
  <c r="G768" i="4"/>
  <c r="J788" i="4"/>
  <c r="B788" i="4"/>
  <c r="G788" i="4"/>
  <c r="F788" i="4"/>
  <c r="E788" i="4"/>
  <c r="D788" i="4"/>
  <c r="I788" i="4"/>
  <c r="C788" i="4"/>
  <c r="J800" i="4"/>
  <c r="B800" i="4"/>
  <c r="F800" i="4"/>
  <c r="E800" i="4"/>
  <c r="D800" i="4"/>
  <c r="C800" i="4"/>
  <c r="H800" i="4"/>
  <c r="G800" i="4"/>
  <c r="B341" i="4"/>
  <c r="J341" i="4"/>
  <c r="B345" i="4"/>
  <c r="J345" i="4"/>
  <c r="B349" i="4"/>
  <c r="J349" i="4"/>
  <c r="B353" i="4"/>
  <c r="J353" i="4"/>
  <c r="B357" i="4"/>
  <c r="J357" i="4"/>
  <c r="B361" i="4"/>
  <c r="B365" i="4"/>
  <c r="J365" i="4"/>
  <c r="B369" i="4"/>
  <c r="B373" i="4"/>
  <c r="B377" i="4"/>
  <c r="B381" i="4"/>
  <c r="H406" i="4"/>
  <c r="H410" i="4"/>
  <c r="H414" i="4"/>
  <c r="H418" i="4"/>
  <c r="F438" i="4"/>
  <c r="H438" i="4"/>
  <c r="D439" i="4"/>
  <c r="F439" i="4"/>
  <c r="J440" i="4"/>
  <c r="B440" i="4"/>
  <c r="D440" i="4"/>
  <c r="F454" i="4"/>
  <c r="H454" i="4"/>
  <c r="D455" i="4"/>
  <c r="F455" i="4"/>
  <c r="J456" i="4"/>
  <c r="B456" i="4"/>
  <c r="D456" i="4"/>
  <c r="F470" i="4"/>
  <c r="H470" i="4"/>
  <c r="D471" i="4"/>
  <c r="F471" i="4"/>
  <c r="J472" i="4"/>
  <c r="B472" i="4"/>
  <c r="D472" i="4"/>
  <c r="C473" i="4"/>
  <c r="F486" i="4"/>
  <c r="H486" i="4"/>
  <c r="D487" i="4"/>
  <c r="F487" i="4"/>
  <c r="J488" i="4"/>
  <c r="D488" i="4"/>
  <c r="C489" i="4"/>
  <c r="E494" i="4"/>
  <c r="F502" i="4"/>
  <c r="H502" i="4"/>
  <c r="D503" i="4"/>
  <c r="F503" i="4"/>
  <c r="J504" i="4"/>
  <c r="B504" i="4"/>
  <c r="D504" i="4"/>
  <c r="C505" i="4"/>
  <c r="E510" i="4"/>
  <c r="G511" i="4"/>
  <c r="G512" i="4"/>
  <c r="F518" i="4"/>
  <c r="H518" i="4"/>
  <c r="D519" i="4"/>
  <c r="F519" i="4"/>
  <c r="J520" i="4"/>
  <c r="B520" i="4"/>
  <c r="D520" i="4"/>
  <c r="C521" i="4"/>
  <c r="E526" i="4"/>
  <c r="G527" i="4"/>
  <c r="G528" i="4"/>
  <c r="F534" i="4"/>
  <c r="H534" i="4"/>
  <c r="D535" i="4"/>
  <c r="F535" i="4"/>
  <c r="J536" i="4"/>
  <c r="D536" i="4"/>
  <c r="C537" i="4"/>
  <c r="E542" i="4"/>
  <c r="G543" i="4"/>
  <c r="G544" i="4"/>
  <c r="F550" i="4"/>
  <c r="H550" i="4"/>
  <c r="C552" i="4"/>
  <c r="C557" i="4"/>
  <c r="B562" i="4"/>
  <c r="C568" i="4"/>
  <c r="C573" i="4"/>
  <c r="B578" i="4"/>
  <c r="C584" i="4"/>
  <c r="I593" i="4"/>
  <c r="B598" i="4"/>
  <c r="H605" i="4"/>
  <c r="G605" i="4"/>
  <c r="F605" i="4"/>
  <c r="E605" i="4"/>
  <c r="J605" i="4"/>
  <c r="B605" i="4"/>
  <c r="J606" i="4"/>
  <c r="C617" i="4"/>
  <c r="B626" i="4"/>
  <c r="C633" i="4"/>
  <c r="B642" i="4"/>
  <c r="C649" i="4"/>
  <c r="F658" i="4"/>
  <c r="E658" i="4"/>
  <c r="D658" i="4"/>
  <c r="C658" i="4"/>
  <c r="H658" i="4"/>
  <c r="B662" i="4"/>
  <c r="F666" i="4"/>
  <c r="E666" i="4"/>
  <c r="D666" i="4"/>
  <c r="C666" i="4"/>
  <c r="H666" i="4"/>
  <c r="D675" i="4"/>
  <c r="I675" i="4"/>
  <c r="J675" i="4"/>
  <c r="H675" i="4"/>
  <c r="G675" i="4"/>
  <c r="F675" i="4"/>
  <c r="B675" i="4"/>
  <c r="H699" i="4"/>
  <c r="B702" i="4"/>
  <c r="B723" i="4"/>
  <c r="D732" i="4"/>
  <c r="E764" i="4"/>
  <c r="H788" i="4"/>
  <c r="I800" i="4"/>
  <c r="I406" i="4"/>
  <c r="I410" i="4"/>
  <c r="I414" i="4"/>
  <c r="I418" i="4"/>
  <c r="H437" i="4"/>
  <c r="J437" i="4"/>
  <c r="B437" i="4"/>
  <c r="H453" i="4"/>
  <c r="J453" i="4"/>
  <c r="B453" i="4"/>
  <c r="H469" i="4"/>
  <c r="J469" i="4"/>
  <c r="B469" i="4"/>
  <c r="H485" i="4"/>
  <c r="J485" i="4"/>
  <c r="B485" i="4"/>
  <c r="H501" i="4"/>
  <c r="J501" i="4"/>
  <c r="B501" i="4"/>
  <c r="H517" i="4"/>
  <c r="J517" i="4"/>
  <c r="B517" i="4"/>
  <c r="H533" i="4"/>
  <c r="J533" i="4"/>
  <c r="B533" i="4"/>
  <c r="H549" i="4"/>
  <c r="J549" i="4"/>
  <c r="B549" i="4"/>
  <c r="J556" i="4"/>
  <c r="B556" i="4"/>
  <c r="G556" i="4"/>
  <c r="D556" i="4"/>
  <c r="H561" i="4"/>
  <c r="E561" i="4"/>
  <c r="J561" i="4"/>
  <c r="B561" i="4"/>
  <c r="F566" i="4"/>
  <c r="C566" i="4"/>
  <c r="H566" i="4"/>
  <c r="J572" i="4"/>
  <c r="B572" i="4"/>
  <c r="G572" i="4"/>
  <c r="D572" i="4"/>
  <c r="H577" i="4"/>
  <c r="E577" i="4"/>
  <c r="J577" i="4"/>
  <c r="B577" i="4"/>
  <c r="F582" i="4"/>
  <c r="C582" i="4"/>
  <c r="H582" i="4"/>
  <c r="F594" i="4"/>
  <c r="E594" i="4"/>
  <c r="C594" i="4"/>
  <c r="H594" i="4"/>
  <c r="H601" i="4"/>
  <c r="G601" i="4"/>
  <c r="E601" i="4"/>
  <c r="J601" i="4"/>
  <c r="B601" i="4"/>
  <c r="F610" i="4"/>
  <c r="E610" i="4"/>
  <c r="D610" i="4"/>
  <c r="C610" i="4"/>
  <c r="H610" i="4"/>
  <c r="F622" i="4"/>
  <c r="E622" i="4"/>
  <c r="D622" i="4"/>
  <c r="C622" i="4"/>
  <c r="H622" i="4"/>
  <c r="H629" i="4"/>
  <c r="G629" i="4"/>
  <c r="F629" i="4"/>
  <c r="E629" i="4"/>
  <c r="J629" i="4"/>
  <c r="B629" i="4"/>
  <c r="F638" i="4"/>
  <c r="E638" i="4"/>
  <c r="D638" i="4"/>
  <c r="C638" i="4"/>
  <c r="H638" i="4"/>
  <c r="H645" i="4"/>
  <c r="G645" i="4"/>
  <c r="F645" i="4"/>
  <c r="E645" i="4"/>
  <c r="J645" i="4"/>
  <c r="B645" i="4"/>
  <c r="F654" i="4"/>
  <c r="E654" i="4"/>
  <c r="D654" i="4"/>
  <c r="C654" i="4"/>
  <c r="H654" i="4"/>
  <c r="H697" i="4"/>
  <c r="I697" i="4"/>
  <c r="E697" i="4"/>
  <c r="D697" i="4"/>
  <c r="C697" i="4"/>
  <c r="B697" i="4"/>
  <c r="G697" i="4"/>
  <c r="D711" i="4"/>
  <c r="F711" i="4"/>
  <c r="J711" i="4"/>
  <c r="I711" i="4"/>
  <c r="H711" i="4"/>
  <c r="G711" i="4"/>
  <c r="B711" i="4"/>
  <c r="F742" i="4"/>
  <c r="I742" i="4"/>
  <c r="G742" i="4"/>
  <c r="C742" i="4"/>
  <c r="J742" i="4"/>
  <c r="H742" i="4"/>
  <c r="B742" i="4"/>
  <c r="H789" i="4"/>
  <c r="F789" i="4"/>
  <c r="E789" i="4"/>
  <c r="D789" i="4"/>
  <c r="C789" i="4"/>
  <c r="I789" i="4"/>
  <c r="J789" i="4"/>
  <c r="G789" i="4"/>
  <c r="B789" i="4"/>
  <c r="H801" i="4"/>
  <c r="E801" i="4"/>
  <c r="D801" i="4"/>
  <c r="C801" i="4"/>
  <c r="B801" i="4"/>
  <c r="G801" i="4"/>
  <c r="J801" i="4"/>
  <c r="I801" i="4"/>
  <c r="F801" i="4"/>
  <c r="B406" i="4"/>
  <c r="B410" i="4"/>
  <c r="B414" i="4"/>
  <c r="B418" i="4"/>
  <c r="F434" i="4"/>
  <c r="H434" i="4"/>
  <c r="D435" i="4"/>
  <c r="F435" i="4"/>
  <c r="J436" i="4"/>
  <c r="B436" i="4"/>
  <c r="D436" i="4"/>
  <c r="C437" i="4"/>
  <c r="F450" i="4"/>
  <c r="H450" i="4"/>
  <c r="D451" i="4"/>
  <c r="F451" i="4"/>
  <c r="J452" i="4"/>
  <c r="B452" i="4"/>
  <c r="D452" i="4"/>
  <c r="C453" i="4"/>
  <c r="F466" i="4"/>
  <c r="H466" i="4"/>
  <c r="D467" i="4"/>
  <c r="F467" i="4"/>
  <c r="J468" i="4"/>
  <c r="B468" i="4"/>
  <c r="D468" i="4"/>
  <c r="C469" i="4"/>
  <c r="F482" i="4"/>
  <c r="H482" i="4"/>
  <c r="D483" i="4"/>
  <c r="F483" i="4"/>
  <c r="J484" i="4"/>
  <c r="B484" i="4"/>
  <c r="D484" i="4"/>
  <c r="C485" i="4"/>
  <c r="E489" i="4"/>
  <c r="F498" i="4"/>
  <c r="H498" i="4"/>
  <c r="D499" i="4"/>
  <c r="F499" i="4"/>
  <c r="J500" i="4"/>
  <c r="B500" i="4"/>
  <c r="D500" i="4"/>
  <c r="C501" i="4"/>
  <c r="E505" i="4"/>
  <c r="F514" i="4"/>
  <c r="H514" i="4"/>
  <c r="D515" i="4"/>
  <c r="F515" i="4"/>
  <c r="J516" i="4"/>
  <c r="B516" i="4"/>
  <c r="D516" i="4"/>
  <c r="C517" i="4"/>
  <c r="E521" i="4"/>
  <c r="F530" i="4"/>
  <c r="H530" i="4"/>
  <c r="D531" i="4"/>
  <c r="F531" i="4"/>
  <c r="J532" i="4"/>
  <c r="B532" i="4"/>
  <c r="D532" i="4"/>
  <c r="C533" i="4"/>
  <c r="E537" i="4"/>
  <c r="F546" i="4"/>
  <c r="H546" i="4"/>
  <c r="D547" i="4"/>
  <c r="F547" i="4"/>
  <c r="J548" i="4"/>
  <c r="B548" i="4"/>
  <c r="D548" i="4"/>
  <c r="C549" i="4"/>
  <c r="F552" i="4"/>
  <c r="C556" i="4"/>
  <c r="F557" i="4"/>
  <c r="C561" i="4"/>
  <c r="E562" i="4"/>
  <c r="B566" i="4"/>
  <c r="F568" i="4"/>
  <c r="C572" i="4"/>
  <c r="F573" i="4"/>
  <c r="C577" i="4"/>
  <c r="E578" i="4"/>
  <c r="B582" i="4"/>
  <c r="F584" i="4"/>
  <c r="B594" i="4"/>
  <c r="H597" i="4"/>
  <c r="G597" i="4"/>
  <c r="E597" i="4"/>
  <c r="J597" i="4"/>
  <c r="B597" i="4"/>
  <c r="G598" i="4"/>
  <c r="C601" i="4"/>
  <c r="B610" i="4"/>
  <c r="H613" i="4"/>
  <c r="G613" i="4"/>
  <c r="F613" i="4"/>
  <c r="E613" i="4"/>
  <c r="J613" i="4"/>
  <c r="B613" i="4"/>
  <c r="I617" i="4"/>
  <c r="B622" i="4"/>
  <c r="I626" i="4"/>
  <c r="C629" i="4"/>
  <c r="I633" i="4"/>
  <c r="B638" i="4"/>
  <c r="I642" i="4"/>
  <c r="C645" i="4"/>
  <c r="I649" i="4"/>
  <c r="B654" i="4"/>
  <c r="G658" i="4"/>
  <c r="I662" i="4"/>
  <c r="F697" i="4"/>
  <c r="J700" i="4"/>
  <c r="B700" i="4"/>
  <c r="F700" i="4"/>
  <c r="G700" i="4"/>
  <c r="E700" i="4"/>
  <c r="D700" i="4"/>
  <c r="C700" i="4"/>
  <c r="I700" i="4"/>
  <c r="D703" i="4"/>
  <c r="C703" i="4"/>
  <c r="H703" i="4"/>
  <c r="G703" i="4"/>
  <c r="F703" i="4"/>
  <c r="E703" i="4"/>
  <c r="J703" i="4"/>
  <c r="C711" i="4"/>
  <c r="H729" i="4"/>
  <c r="B729" i="4"/>
  <c r="I729" i="4"/>
  <c r="F729" i="4"/>
  <c r="E729" i="4"/>
  <c r="D729" i="4"/>
  <c r="C729" i="4"/>
  <c r="J729" i="4"/>
  <c r="D742" i="4"/>
  <c r="G816" i="4"/>
  <c r="J816" i="4"/>
  <c r="B816" i="4"/>
  <c r="H816" i="4"/>
  <c r="F816" i="4"/>
  <c r="E816" i="4"/>
  <c r="D816" i="4"/>
  <c r="I816" i="4"/>
  <c r="F551" i="4"/>
  <c r="F555" i="4"/>
  <c r="F559" i="4"/>
  <c r="F563" i="4"/>
  <c r="F567" i="4"/>
  <c r="F571" i="4"/>
  <c r="F575" i="4"/>
  <c r="F579" i="4"/>
  <c r="F583" i="4"/>
  <c r="F587" i="4"/>
  <c r="D588" i="4"/>
  <c r="F591" i="4"/>
  <c r="D592" i="4"/>
  <c r="F595" i="4"/>
  <c r="D596" i="4"/>
  <c r="F599" i="4"/>
  <c r="D600" i="4"/>
  <c r="F603" i="4"/>
  <c r="D604" i="4"/>
  <c r="F607" i="4"/>
  <c r="D608" i="4"/>
  <c r="F611" i="4"/>
  <c r="D612" i="4"/>
  <c r="F615" i="4"/>
  <c r="D616" i="4"/>
  <c r="F619" i="4"/>
  <c r="D620" i="4"/>
  <c r="F623" i="4"/>
  <c r="D624" i="4"/>
  <c r="F627" i="4"/>
  <c r="D628" i="4"/>
  <c r="F631" i="4"/>
  <c r="D632" i="4"/>
  <c r="F635" i="4"/>
  <c r="D636" i="4"/>
  <c r="F639" i="4"/>
  <c r="D640" i="4"/>
  <c r="F643" i="4"/>
  <c r="D644" i="4"/>
  <c r="F647" i="4"/>
  <c r="D648" i="4"/>
  <c r="F651" i="4"/>
  <c r="D652" i="4"/>
  <c r="D656" i="4"/>
  <c r="D660" i="4"/>
  <c r="D664" i="4"/>
  <c r="D668" i="4"/>
  <c r="F670" i="4"/>
  <c r="D670" i="4"/>
  <c r="D671" i="4"/>
  <c r="C671" i="4"/>
  <c r="J672" i="4"/>
  <c r="B672" i="4"/>
  <c r="C672" i="4"/>
  <c r="C677" i="4"/>
  <c r="C678" i="4"/>
  <c r="C679" i="4"/>
  <c r="D680" i="4"/>
  <c r="E681" i="4"/>
  <c r="E682" i="4"/>
  <c r="F683" i="4"/>
  <c r="D686" i="4"/>
  <c r="E687" i="4"/>
  <c r="E688" i="4"/>
  <c r="E689" i="4"/>
  <c r="G690" i="4"/>
  <c r="G691" i="4"/>
  <c r="H705" i="4"/>
  <c r="B705" i="4"/>
  <c r="D707" i="4"/>
  <c r="I707" i="4"/>
  <c r="J708" i="4"/>
  <c r="B708" i="4"/>
  <c r="H708" i="4"/>
  <c r="C713" i="4"/>
  <c r="D714" i="4"/>
  <c r="E715" i="4"/>
  <c r="C718" i="4"/>
  <c r="J724" i="4"/>
  <c r="B724" i="4"/>
  <c r="F724" i="4"/>
  <c r="D724" i="4"/>
  <c r="D725" i="4"/>
  <c r="G726" i="4"/>
  <c r="D731" i="4"/>
  <c r="I731" i="4"/>
  <c r="G731" i="4"/>
  <c r="D733" i="4"/>
  <c r="J736" i="4"/>
  <c r="B736" i="4"/>
  <c r="E736" i="4"/>
  <c r="C736" i="4"/>
  <c r="H736" i="4"/>
  <c r="H757" i="4"/>
  <c r="F757" i="4"/>
  <c r="E757" i="4"/>
  <c r="C757" i="4"/>
  <c r="I757" i="4"/>
  <c r="D775" i="4"/>
  <c r="I775" i="4"/>
  <c r="H775" i="4"/>
  <c r="G775" i="4"/>
  <c r="F775" i="4"/>
  <c r="B775" i="4"/>
  <c r="F778" i="4"/>
  <c r="G778" i="4"/>
  <c r="E778" i="4"/>
  <c r="D778" i="4"/>
  <c r="C778" i="4"/>
  <c r="I778" i="4"/>
  <c r="F853" i="4"/>
  <c r="E853" i="4"/>
  <c r="C853" i="4"/>
  <c r="H853" i="4"/>
  <c r="J853" i="4"/>
  <c r="I853" i="4"/>
  <c r="G853" i="4"/>
  <c r="D853" i="4"/>
  <c r="H919" i="4"/>
  <c r="J919" i="4"/>
  <c r="B919" i="4"/>
  <c r="I919" i="4"/>
  <c r="G919" i="4"/>
  <c r="F919" i="4"/>
  <c r="C919" i="4"/>
  <c r="E919" i="4"/>
  <c r="D919" i="4"/>
  <c r="F952" i="4"/>
  <c r="C952" i="4"/>
  <c r="H952" i="4"/>
  <c r="J952" i="4"/>
  <c r="I952" i="4"/>
  <c r="G952" i="4"/>
  <c r="B952" i="4"/>
  <c r="D952" i="4"/>
  <c r="E1021" i="4"/>
  <c r="D1021" i="4"/>
  <c r="C1021" i="4"/>
  <c r="G1021" i="4"/>
  <c r="I1021" i="4"/>
  <c r="H1021" i="4"/>
  <c r="F1021" i="4"/>
  <c r="B1021" i="4"/>
  <c r="J1021" i="4"/>
  <c r="I551" i="4"/>
  <c r="I555" i="4"/>
  <c r="I559" i="4"/>
  <c r="I563" i="4"/>
  <c r="I567" i="4"/>
  <c r="I571" i="4"/>
  <c r="I575" i="4"/>
  <c r="I579" i="4"/>
  <c r="I583" i="4"/>
  <c r="I587" i="4"/>
  <c r="G588" i="4"/>
  <c r="I591" i="4"/>
  <c r="G592" i="4"/>
  <c r="I595" i="4"/>
  <c r="G596" i="4"/>
  <c r="I599" i="4"/>
  <c r="G600" i="4"/>
  <c r="I603" i="4"/>
  <c r="G604" i="4"/>
  <c r="I607" i="4"/>
  <c r="G608" i="4"/>
  <c r="I611" i="4"/>
  <c r="G612" i="4"/>
  <c r="I615" i="4"/>
  <c r="G616" i="4"/>
  <c r="G620" i="4"/>
  <c r="G624" i="4"/>
  <c r="G628" i="4"/>
  <c r="G632" i="4"/>
  <c r="G636" i="4"/>
  <c r="G640" i="4"/>
  <c r="G644" i="4"/>
  <c r="G648" i="4"/>
  <c r="G652" i="4"/>
  <c r="G656" i="4"/>
  <c r="G660" i="4"/>
  <c r="G664" i="4"/>
  <c r="G668" i="4"/>
  <c r="E670" i="4"/>
  <c r="F671" i="4"/>
  <c r="F672" i="4"/>
  <c r="F677" i="4"/>
  <c r="H678" i="4"/>
  <c r="H679" i="4"/>
  <c r="H693" i="4"/>
  <c r="C693" i="4"/>
  <c r="F694" i="4"/>
  <c r="B694" i="4"/>
  <c r="J696" i="4"/>
  <c r="B696" i="4"/>
  <c r="I696" i="4"/>
  <c r="E705" i="4"/>
  <c r="E707" i="4"/>
  <c r="E708" i="4"/>
  <c r="G713" i="4"/>
  <c r="H714" i="4"/>
  <c r="H715" i="4"/>
  <c r="G718" i="4"/>
  <c r="H721" i="4"/>
  <c r="I721" i="4"/>
  <c r="F721" i="4"/>
  <c r="G724" i="4"/>
  <c r="E731" i="4"/>
  <c r="G736" i="4"/>
  <c r="D739" i="4"/>
  <c r="B739" i="4"/>
  <c r="I739" i="4"/>
  <c r="F739" i="4"/>
  <c r="F750" i="4"/>
  <c r="C750" i="4"/>
  <c r="B750" i="4"/>
  <c r="I750" i="4"/>
  <c r="E750" i="4"/>
  <c r="G757" i="4"/>
  <c r="H765" i="4"/>
  <c r="I765" i="4"/>
  <c r="G765" i="4"/>
  <c r="E765" i="4"/>
  <c r="B765" i="4"/>
  <c r="J775" i="4"/>
  <c r="D799" i="4"/>
  <c r="G799" i="4"/>
  <c r="F799" i="4"/>
  <c r="E799" i="4"/>
  <c r="C799" i="4"/>
  <c r="I799" i="4"/>
  <c r="E813" i="4"/>
  <c r="H813" i="4"/>
  <c r="G813" i="4"/>
  <c r="F813" i="4"/>
  <c r="D813" i="4"/>
  <c r="C813" i="4"/>
  <c r="J813" i="4"/>
  <c r="G836" i="4"/>
  <c r="E836" i="4"/>
  <c r="J836" i="4"/>
  <c r="B836" i="4"/>
  <c r="H836" i="4"/>
  <c r="F836" i="4"/>
  <c r="D836" i="4"/>
  <c r="C836" i="4"/>
  <c r="H848" i="4"/>
  <c r="G848" i="4"/>
  <c r="E848" i="4"/>
  <c r="J848" i="4"/>
  <c r="B848" i="4"/>
  <c r="I848" i="4"/>
  <c r="F848" i="4"/>
  <c r="D848" i="4"/>
  <c r="C848" i="4"/>
  <c r="H947" i="4"/>
  <c r="E947" i="4"/>
  <c r="J947" i="4"/>
  <c r="B947" i="4"/>
  <c r="I947" i="4"/>
  <c r="G947" i="4"/>
  <c r="C947" i="4"/>
  <c r="F947" i="4"/>
  <c r="H983" i="4"/>
  <c r="G983" i="4"/>
  <c r="F983" i="4"/>
  <c r="E983" i="4"/>
  <c r="J983" i="4"/>
  <c r="B983" i="4"/>
  <c r="I983" i="4"/>
  <c r="D983" i="4"/>
  <c r="C983" i="4"/>
  <c r="H689" i="4"/>
  <c r="F689" i="4"/>
  <c r="F690" i="4"/>
  <c r="E690" i="4"/>
  <c r="D691" i="4"/>
  <c r="E691" i="4"/>
  <c r="J692" i="4"/>
  <c r="B692" i="4"/>
  <c r="D692" i="4"/>
  <c r="J728" i="4"/>
  <c r="B728" i="4"/>
  <c r="C728" i="4"/>
  <c r="I728" i="4"/>
  <c r="J756" i="4"/>
  <c r="B756" i="4"/>
  <c r="G756" i="4"/>
  <c r="F756" i="4"/>
  <c r="D756" i="4"/>
  <c r="I756" i="4"/>
  <c r="D779" i="4"/>
  <c r="F779" i="4"/>
  <c r="E779" i="4"/>
  <c r="C779" i="4"/>
  <c r="B779" i="4"/>
  <c r="H779" i="4"/>
  <c r="F849" i="4"/>
  <c r="E849" i="4"/>
  <c r="C849" i="4"/>
  <c r="H849" i="4"/>
  <c r="J849" i="4"/>
  <c r="I849" i="4"/>
  <c r="B849" i="4"/>
  <c r="J930" i="4"/>
  <c r="B930" i="4"/>
  <c r="D930" i="4"/>
  <c r="G930" i="4"/>
  <c r="F930" i="4"/>
  <c r="E930" i="4"/>
  <c r="C930" i="4"/>
  <c r="I930" i="4"/>
  <c r="I588" i="4"/>
  <c r="I592" i="4"/>
  <c r="I596" i="4"/>
  <c r="I600" i="4"/>
  <c r="I604" i="4"/>
  <c r="I608" i="4"/>
  <c r="I612" i="4"/>
  <c r="I616" i="4"/>
  <c r="I620" i="4"/>
  <c r="I624" i="4"/>
  <c r="I628" i="4"/>
  <c r="I632" i="4"/>
  <c r="I636" i="4"/>
  <c r="I640" i="4"/>
  <c r="I644" i="4"/>
  <c r="I648" i="4"/>
  <c r="I652" i="4"/>
  <c r="I656" i="4"/>
  <c r="I660" i="4"/>
  <c r="H681" i="4"/>
  <c r="D681" i="4"/>
  <c r="F682" i="4"/>
  <c r="C682" i="4"/>
  <c r="D683" i="4"/>
  <c r="B683" i="4"/>
  <c r="F686" i="4"/>
  <c r="I686" i="4"/>
  <c r="D687" i="4"/>
  <c r="H687" i="4"/>
  <c r="J688" i="4"/>
  <c r="B688" i="4"/>
  <c r="G688" i="4"/>
  <c r="B689" i="4"/>
  <c r="B690" i="4"/>
  <c r="B691" i="4"/>
  <c r="C692" i="4"/>
  <c r="G705" i="4"/>
  <c r="J720" i="4"/>
  <c r="B720" i="4"/>
  <c r="I720" i="4"/>
  <c r="G720" i="4"/>
  <c r="I724" i="4"/>
  <c r="F726" i="4"/>
  <c r="D726" i="4"/>
  <c r="B726" i="4"/>
  <c r="D728" i="4"/>
  <c r="H731" i="4"/>
  <c r="H733" i="4"/>
  <c r="G733" i="4"/>
  <c r="E733" i="4"/>
  <c r="H737" i="4"/>
  <c r="D737" i="4"/>
  <c r="B737" i="4"/>
  <c r="G737" i="4"/>
  <c r="E739" i="4"/>
  <c r="D743" i="4"/>
  <c r="H743" i="4"/>
  <c r="F743" i="4"/>
  <c r="B743" i="4"/>
  <c r="D747" i="4"/>
  <c r="E747" i="4"/>
  <c r="B747" i="4"/>
  <c r="H747" i="4"/>
  <c r="G750" i="4"/>
  <c r="C756" i="4"/>
  <c r="F758" i="4"/>
  <c r="E758" i="4"/>
  <c r="D758" i="4"/>
  <c r="B758" i="4"/>
  <c r="H758" i="4"/>
  <c r="D765" i="4"/>
  <c r="H769" i="4"/>
  <c r="E769" i="4"/>
  <c r="D769" i="4"/>
  <c r="C769" i="4"/>
  <c r="B769" i="4"/>
  <c r="G769" i="4"/>
  <c r="G779" i="4"/>
  <c r="F786" i="4"/>
  <c r="I786" i="4"/>
  <c r="H786" i="4"/>
  <c r="G786" i="4"/>
  <c r="E786" i="4"/>
  <c r="B786" i="4"/>
  <c r="H799" i="4"/>
  <c r="D807" i="4"/>
  <c r="I807" i="4"/>
  <c r="H807" i="4"/>
  <c r="G807" i="4"/>
  <c r="F807" i="4"/>
  <c r="B807" i="4"/>
  <c r="F810" i="4"/>
  <c r="G810" i="4"/>
  <c r="E810" i="4"/>
  <c r="D810" i="4"/>
  <c r="C810" i="4"/>
  <c r="I810" i="4"/>
  <c r="I813" i="4"/>
  <c r="E821" i="4"/>
  <c r="H821" i="4"/>
  <c r="J821" i="4"/>
  <c r="I821" i="4"/>
  <c r="G821" i="4"/>
  <c r="F821" i="4"/>
  <c r="B821" i="4"/>
  <c r="D849" i="4"/>
  <c r="H883" i="4"/>
  <c r="J883" i="4"/>
  <c r="B883" i="4"/>
  <c r="G883" i="4"/>
  <c r="F883" i="4"/>
  <c r="E883" i="4"/>
  <c r="D883" i="4"/>
  <c r="I883" i="4"/>
  <c r="C883" i="4"/>
  <c r="H930" i="4"/>
  <c r="B592" i="4"/>
  <c r="B596" i="4"/>
  <c r="B600" i="4"/>
  <c r="B604" i="4"/>
  <c r="B608" i="4"/>
  <c r="B612" i="4"/>
  <c r="B616" i="4"/>
  <c r="B620" i="4"/>
  <c r="B624" i="4"/>
  <c r="B628" i="4"/>
  <c r="B632" i="4"/>
  <c r="B636" i="4"/>
  <c r="B640" i="4"/>
  <c r="B644" i="4"/>
  <c r="B648" i="4"/>
  <c r="B652" i="4"/>
  <c r="B656" i="4"/>
  <c r="B660" i="4"/>
  <c r="H677" i="4"/>
  <c r="G677" i="4"/>
  <c r="F678" i="4"/>
  <c r="G678" i="4"/>
  <c r="D679" i="4"/>
  <c r="F679" i="4"/>
  <c r="J680" i="4"/>
  <c r="B680" i="4"/>
  <c r="E680" i="4"/>
  <c r="B681" i="4"/>
  <c r="B682" i="4"/>
  <c r="C683" i="4"/>
  <c r="C689" i="4"/>
  <c r="C690" i="4"/>
  <c r="C691" i="4"/>
  <c r="E692" i="4"/>
  <c r="H713" i="4"/>
  <c r="D713" i="4"/>
  <c r="F714" i="4"/>
  <c r="C714" i="4"/>
  <c r="D715" i="4"/>
  <c r="B715" i="4"/>
  <c r="F718" i="4"/>
  <c r="I718" i="4"/>
  <c r="C720" i="4"/>
  <c r="H725" i="4"/>
  <c r="E725" i="4"/>
  <c r="C725" i="4"/>
  <c r="C726" i="4"/>
  <c r="E728" i="4"/>
  <c r="J731" i="4"/>
  <c r="B733" i="4"/>
  <c r="H750" i="4"/>
  <c r="E756" i="4"/>
  <c r="H761" i="4"/>
  <c r="C761" i="4"/>
  <c r="B761" i="4"/>
  <c r="I761" i="4"/>
  <c r="E761" i="4"/>
  <c r="F765" i="4"/>
  <c r="D767" i="4"/>
  <c r="G767" i="4"/>
  <c r="F767" i="4"/>
  <c r="E767" i="4"/>
  <c r="C767" i="4"/>
  <c r="I767" i="4"/>
  <c r="I779" i="4"/>
  <c r="F790" i="4"/>
  <c r="E790" i="4"/>
  <c r="D790" i="4"/>
  <c r="C790" i="4"/>
  <c r="B790" i="4"/>
  <c r="H790" i="4"/>
  <c r="J796" i="4"/>
  <c r="B796" i="4"/>
  <c r="I796" i="4"/>
  <c r="H796" i="4"/>
  <c r="G796" i="4"/>
  <c r="F796" i="4"/>
  <c r="C796" i="4"/>
  <c r="J799" i="4"/>
  <c r="C807" i="4"/>
  <c r="B810" i="4"/>
  <c r="C814" i="4"/>
  <c r="F814" i="4"/>
  <c r="H814" i="4"/>
  <c r="G814" i="4"/>
  <c r="E814" i="4"/>
  <c r="D814" i="4"/>
  <c r="J814" i="4"/>
  <c r="C821" i="4"/>
  <c r="G828" i="4"/>
  <c r="E828" i="4"/>
  <c r="J828" i="4"/>
  <c r="B828" i="4"/>
  <c r="H828" i="4"/>
  <c r="F828" i="4"/>
  <c r="D828" i="4"/>
  <c r="C828" i="4"/>
  <c r="G849" i="4"/>
  <c r="H903" i="4"/>
  <c r="J903" i="4"/>
  <c r="B903" i="4"/>
  <c r="I903" i="4"/>
  <c r="G903" i="4"/>
  <c r="F903" i="4"/>
  <c r="C903" i="4"/>
  <c r="D903" i="4"/>
  <c r="H963" i="4"/>
  <c r="E963" i="4"/>
  <c r="J963" i="4"/>
  <c r="B963" i="4"/>
  <c r="I963" i="4"/>
  <c r="G963" i="4"/>
  <c r="C963" i="4"/>
  <c r="F963" i="4"/>
  <c r="D963" i="4"/>
  <c r="J734" i="4"/>
  <c r="J744" i="4"/>
  <c r="B744" i="4"/>
  <c r="J745" i="4"/>
  <c r="D752" i="4"/>
  <c r="C753" i="4"/>
  <c r="J755" i="4"/>
  <c r="C763" i="4"/>
  <c r="J766" i="4"/>
  <c r="F771" i="4"/>
  <c r="C774" i="4"/>
  <c r="J776" i="4"/>
  <c r="B776" i="4"/>
  <c r="J777" i="4"/>
  <c r="E782" i="4"/>
  <c r="D784" i="4"/>
  <c r="C785" i="4"/>
  <c r="J787" i="4"/>
  <c r="F792" i="4"/>
  <c r="E793" i="4"/>
  <c r="C795" i="4"/>
  <c r="J798" i="4"/>
  <c r="F803" i="4"/>
  <c r="C806" i="4"/>
  <c r="J808" i="4"/>
  <c r="B808" i="4"/>
  <c r="J809" i="4"/>
  <c r="E817" i="4"/>
  <c r="H817" i="4"/>
  <c r="C818" i="4"/>
  <c r="F818" i="4"/>
  <c r="G820" i="4"/>
  <c r="J820" i="4"/>
  <c r="B820" i="4"/>
  <c r="D824" i="4"/>
  <c r="E829" i="4"/>
  <c r="C829" i="4"/>
  <c r="H829" i="4"/>
  <c r="D832" i="4"/>
  <c r="E837" i="4"/>
  <c r="C837" i="4"/>
  <c r="H837" i="4"/>
  <c r="H844" i="4"/>
  <c r="G844" i="4"/>
  <c r="E844" i="4"/>
  <c r="J844" i="4"/>
  <c r="B844" i="4"/>
  <c r="H860" i="4"/>
  <c r="G860" i="4"/>
  <c r="F860" i="4"/>
  <c r="E860" i="4"/>
  <c r="J860" i="4"/>
  <c r="B860" i="4"/>
  <c r="H864" i="4"/>
  <c r="G864" i="4"/>
  <c r="F864" i="4"/>
  <c r="E864" i="4"/>
  <c r="J864" i="4"/>
  <c r="B864" i="4"/>
  <c r="H868" i="4"/>
  <c r="G868" i="4"/>
  <c r="F868" i="4"/>
  <c r="E868" i="4"/>
  <c r="J868" i="4"/>
  <c r="B868" i="4"/>
  <c r="H872" i="4"/>
  <c r="G872" i="4"/>
  <c r="F872" i="4"/>
  <c r="E872" i="4"/>
  <c r="J872" i="4"/>
  <c r="B872" i="4"/>
  <c r="H876" i="4"/>
  <c r="G876" i="4"/>
  <c r="F876" i="4"/>
  <c r="E876" i="4"/>
  <c r="J876" i="4"/>
  <c r="B876" i="4"/>
  <c r="H880" i="4"/>
  <c r="G880" i="4"/>
  <c r="F880" i="4"/>
  <c r="E880" i="4"/>
  <c r="J880" i="4"/>
  <c r="B880" i="4"/>
  <c r="J882" i="4"/>
  <c r="B882" i="4"/>
  <c r="D882" i="4"/>
  <c r="G882" i="4"/>
  <c r="F882" i="4"/>
  <c r="E882" i="4"/>
  <c r="C882" i="4"/>
  <c r="I882" i="4"/>
  <c r="D897" i="4"/>
  <c r="F897" i="4"/>
  <c r="G897" i="4"/>
  <c r="E897" i="4"/>
  <c r="C897" i="4"/>
  <c r="B897" i="4"/>
  <c r="I897" i="4"/>
  <c r="F912" i="4"/>
  <c r="H912" i="4"/>
  <c r="E912" i="4"/>
  <c r="D912" i="4"/>
  <c r="C912" i="4"/>
  <c r="B912" i="4"/>
  <c r="I912" i="4"/>
  <c r="H915" i="4"/>
  <c r="J915" i="4"/>
  <c r="B915" i="4"/>
  <c r="G915" i="4"/>
  <c r="F915" i="4"/>
  <c r="E915" i="4"/>
  <c r="D915" i="4"/>
  <c r="J962" i="4"/>
  <c r="B962" i="4"/>
  <c r="G962" i="4"/>
  <c r="D962" i="4"/>
  <c r="I962" i="4"/>
  <c r="H962" i="4"/>
  <c r="F962" i="4"/>
  <c r="E962" i="4"/>
  <c r="H995" i="4"/>
  <c r="G995" i="4"/>
  <c r="F995" i="4"/>
  <c r="E995" i="4"/>
  <c r="J995" i="4"/>
  <c r="B995" i="4"/>
  <c r="I995" i="4"/>
  <c r="D995" i="4"/>
  <c r="F1119" i="4"/>
  <c r="I1119" i="4"/>
  <c r="H1119" i="4"/>
  <c r="G1119" i="4"/>
  <c r="E1119" i="4"/>
  <c r="B1119" i="4"/>
  <c r="J1119" i="4"/>
  <c r="D1119" i="4"/>
  <c r="C1119" i="4"/>
  <c r="J674" i="4"/>
  <c r="J684" i="4"/>
  <c r="B684" i="4"/>
  <c r="J685" i="4"/>
  <c r="J695" i="4"/>
  <c r="J706" i="4"/>
  <c r="J716" i="4"/>
  <c r="B716" i="4"/>
  <c r="J717" i="4"/>
  <c r="H719" i="4"/>
  <c r="J727" i="4"/>
  <c r="H730" i="4"/>
  <c r="D734" i="4"/>
  <c r="J738" i="4"/>
  <c r="G741" i="4"/>
  <c r="E744" i="4"/>
  <c r="D745" i="4"/>
  <c r="J748" i="4"/>
  <c r="B748" i="4"/>
  <c r="J749" i="4"/>
  <c r="H751" i="4"/>
  <c r="G752" i="4"/>
  <c r="F753" i="4"/>
  <c r="E755" i="4"/>
  <c r="J759" i="4"/>
  <c r="H762" i="4"/>
  <c r="G763" i="4"/>
  <c r="D766" i="4"/>
  <c r="J770" i="4"/>
  <c r="I771" i="4"/>
  <c r="G773" i="4"/>
  <c r="G774" i="4"/>
  <c r="E776" i="4"/>
  <c r="D777" i="4"/>
  <c r="J780" i="4"/>
  <c r="B780" i="4"/>
  <c r="J781" i="4"/>
  <c r="I782" i="4"/>
  <c r="H783" i="4"/>
  <c r="G784" i="4"/>
  <c r="F785" i="4"/>
  <c r="E787" i="4"/>
  <c r="J791" i="4"/>
  <c r="I793" i="4"/>
  <c r="H794" i="4"/>
  <c r="G795" i="4"/>
  <c r="D798" i="4"/>
  <c r="J802" i="4"/>
  <c r="I803" i="4"/>
  <c r="G805" i="4"/>
  <c r="G806" i="4"/>
  <c r="E808" i="4"/>
  <c r="D809" i="4"/>
  <c r="D817" i="4"/>
  <c r="E818" i="4"/>
  <c r="E820" i="4"/>
  <c r="F829" i="4"/>
  <c r="F837" i="4"/>
  <c r="F841" i="4"/>
  <c r="E841" i="4"/>
  <c r="C841" i="4"/>
  <c r="H841" i="4"/>
  <c r="F844" i="4"/>
  <c r="F857" i="4"/>
  <c r="E857" i="4"/>
  <c r="C857" i="4"/>
  <c r="H857" i="4"/>
  <c r="I860" i="4"/>
  <c r="I864" i="4"/>
  <c r="I868" i="4"/>
  <c r="I872" i="4"/>
  <c r="I876" i="4"/>
  <c r="I880" i="4"/>
  <c r="J898" i="4"/>
  <c r="B898" i="4"/>
  <c r="D898" i="4"/>
  <c r="G898" i="4"/>
  <c r="F898" i="4"/>
  <c r="E898" i="4"/>
  <c r="C898" i="4"/>
  <c r="I898" i="4"/>
  <c r="D913" i="4"/>
  <c r="F913" i="4"/>
  <c r="G913" i="4"/>
  <c r="E913" i="4"/>
  <c r="C913" i="4"/>
  <c r="B913" i="4"/>
  <c r="I913" i="4"/>
  <c r="F928" i="4"/>
  <c r="H928" i="4"/>
  <c r="E928" i="4"/>
  <c r="D928" i="4"/>
  <c r="C928" i="4"/>
  <c r="B928" i="4"/>
  <c r="I928" i="4"/>
  <c r="H931" i="4"/>
  <c r="J931" i="4"/>
  <c r="B931" i="4"/>
  <c r="G931" i="4"/>
  <c r="F931" i="4"/>
  <c r="E931" i="4"/>
  <c r="D931" i="4"/>
  <c r="H987" i="4"/>
  <c r="G987" i="4"/>
  <c r="F987" i="4"/>
  <c r="E987" i="4"/>
  <c r="J987" i="4"/>
  <c r="B987" i="4"/>
  <c r="C987" i="4"/>
  <c r="F1091" i="4"/>
  <c r="E1091" i="4"/>
  <c r="D1091" i="4"/>
  <c r="C1091" i="4"/>
  <c r="B1091" i="4"/>
  <c r="H1091" i="4"/>
  <c r="G1091" i="4"/>
  <c r="J1091" i="4"/>
  <c r="I1091" i="4"/>
  <c r="F1140" i="4"/>
  <c r="D1140" i="4"/>
  <c r="H1140" i="4"/>
  <c r="G1140" i="4"/>
  <c r="E1140" i="4"/>
  <c r="C1140" i="4"/>
  <c r="J1140" i="4"/>
  <c r="I1140" i="4"/>
  <c r="B1140" i="4"/>
  <c r="J771" i="4"/>
  <c r="J782" i="4"/>
  <c r="J792" i="4"/>
  <c r="B792" i="4"/>
  <c r="J793" i="4"/>
  <c r="J803" i="4"/>
  <c r="E825" i="4"/>
  <c r="C825" i="4"/>
  <c r="H825" i="4"/>
  <c r="E833" i="4"/>
  <c r="C833" i="4"/>
  <c r="H833" i="4"/>
  <c r="H852" i="4"/>
  <c r="G852" i="4"/>
  <c r="E852" i="4"/>
  <c r="J852" i="4"/>
  <c r="B852" i="4"/>
  <c r="F861" i="4"/>
  <c r="E861" i="4"/>
  <c r="D861" i="4"/>
  <c r="C861" i="4"/>
  <c r="H861" i="4"/>
  <c r="F865" i="4"/>
  <c r="E865" i="4"/>
  <c r="D865" i="4"/>
  <c r="C865" i="4"/>
  <c r="H865" i="4"/>
  <c r="F869" i="4"/>
  <c r="E869" i="4"/>
  <c r="D869" i="4"/>
  <c r="C869" i="4"/>
  <c r="H869" i="4"/>
  <c r="F873" i="4"/>
  <c r="E873" i="4"/>
  <c r="D873" i="4"/>
  <c r="C873" i="4"/>
  <c r="H873" i="4"/>
  <c r="F877" i="4"/>
  <c r="E877" i="4"/>
  <c r="D877" i="4"/>
  <c r="C877" i="4"/>
  <c r="H877" i="4"/>
  <c r="D881" i="4"/>
  <c r="G881" i="4"/>
  <c r="F881" i="4"/>
  <c r="E881" i="4"/>
  <c r="C881" i="4"/>
  <c r="I881" i="4"/>
  <c r="H887" i="4"/>
  <c r="J887" i="4"/>
  <c r="B887" i="4"/>
  <c r="I887" i="4"/>
  <c r="G887" i="4"/>
  <c r="F887" i="4"/>
  <c r="C887" i="4"/>
  <c r="J958" i="4"/>
  <c r="B958" i="4"/>
  <c r="G958" i="4"/>
  <c r="D958" i="4"/>
  <c r="I958" i="4"/>
  <c r="H958" i="4"/>
  <c r="C958" i="4"/>
  <c r="F980" i="4"/>
  <c r="E980" i="4"/>
  <c r="D980" i="4"/>
  <c r="C980" i="4"/>
  <c r="H980" i="4"/>
  <c r="J980" i="4"/>
  <c r="I980" i="4"/>
  <c r="G980" i="4"/>
  <c r="C1014" i="4"/>
  <c r="J1014" i="4"/>
  <c r="B1014" i="4"/>
  <c r="E1014" i="4"/>
  <c r="I1014" i="4"/>
  <c r="H1014" i="4"/>
  <c r="D1014" i="4"/>
  <c r="G1014" i="4"/>
  <c r="F1014" i="4"/>
  <c r="J1081" i="4"/>
  <c r="B1081" i="4"/>
  <c r="E1081" i="4"/>
  <c r="D1081" i="4"/>
  <c r="C1081" i="4"/>
  <c r="G1081" i="4"/>
  <c r="I1081" i="4"/>
  <c r="H1081" i="4"/>
  <c r="F1081" i="4"/>
  <c r="J719" i="4"/>
  <c r="J730" i="4"/>
  <c r="G734" i="4"/>
  <c r="J740" i="4"/>
  <c r="B740" i="4"/>
  <c r="J741" i="4"/>
  <c r="G744" i="4"/>
  <c r="F745" i="4"/>
  <c r="J751" i="4"/>
  <c r="I753" i="4"/>
  <c r="G755" i="4"/>
  <c r="J762" i="4"/>
  <c r="I763" i="4"/>
  <c r="G766" i="4"/>
  <c r="B771" i="4"/>
  <c r="J772" i="4"/>
  <c r="B772" i="4"/>
  <c r="J773" i="4"/>
  <c r="I774" i="4"/>
  <c r="G776" i="4"/>
  <c r="F777" i="4"/>
  <c r="B782" i="4"/>
  <c r="J783" i="4"/>
  <c r="I785" i="4"/>
  <c r="G787" i="4"/>
  <c r="C792" i="4"/>
  <c r="B793" i="4"/>
  <c r="J794" i="4"/>
  <c r="I795" i="4"/>
  <c r="G798" i="4"/>
  <c r="B803" i="4"/>
  <c r="J804" i="4"/>
  <c r="B804" i="4"/>
  <c r="J805" i="4"/>
  <c r="I806" i="4"/>
  <c r="G808" i="4"/>
  <c r="F809" i="4"/>
  <c r="G817" i="4"/>
  <c r="H818" i="4"/>
  <c r="H820" i="4"/>
  <c r="B825" i="4"/>
  <c r="I829" i="4"/>
  <c r="B833" i="4"/>
  <c r="I837" i="4"/>
  <c r="F845" i="4"/>
  <c r="E845" i="4"/>
  <c r="C845" i="4"/>
  <c r="H845" i="4"/>
  <c r="C852" i="4"/>
  <c r="B861" i="4"/>
  <c r="B865" i="4"/>
  <c r="B869" i="4"/>
  <c r="B873" i="4"/>
  <c r="B877" i="4"/>
  <c r="B881" i="4"/>
  <c r="D887" i="4"/>
  <c r="F896" i="4"/>
  <c r="H896" i="4"/>
  <c r="E896" i="4"/>
  <c r="D896" i="4"/>
  <c r="C896" i="4"/>
  <c r="B896" i="4"/>
  <c r="I896" i="4"/>
  <c r="H899" i="4"/>
  <c r="J899" i="4"/>
  <c r="B899" i="4"/>
  <c r="G899" i="4"/>
  <c r="F899" i="4"/>
  <c r="E899" i="4"/>
  <c r="D899" i="4"/>
  <c r="H935" i="4"/>
  <c r="J935" i="4"/>
  <c r="B935" i="4"/>
  <c r="I935" i="4"/>
  <c r="G935" i="4"/>
  <c r="F935" i="4"/>
  <c r="C935" i="4"/>
  <c r="F944" i="4"/>
  <c r="H944" i="4"/>
  <c r="E944" i="4"/>
  <c r="D944" i="4"/>
  <c r="C944" i="4"/>
  <c r="B944" i="4"/>
  <c r="I944" i="4"/>
  <c r="H951" i="4"/>
  <c r="E951" i="4"/>
  <c r="J951" i="4"/>
  <c r="B951" i="4"/>
  <c r="I951" i="4"/>
  <c r="G951" i="4"/>
  <c r="F951" i="4"/>
  <c r="D951" i="4"/>
  <c r="E958" i="4"/>
  <c r="H971" i="4"/>
  <c r="G971" i="4"/>
  <c r="E971" i="4"/>
  <c r="J971" i="4"/>
  <c r="B971" i="4"/>
  <c r="I971" i="4"/>
  <c r="C971" i="4"/>
  <c r="B980" i="4"/>
  <c r="E1069" i="4"/>
  <c r="D1069" i="4"/>
  <c r="C1069" i="4"/>
  <c r="G1069" i="4"/>
  <c r="J1069" i="4"/>
  <c r="I1069" i="4"/>
  <c r="H1069" i="4"/>
  <c r="F1069" i="4"/>
  <c r="J752" i="4"/>
  <c r="B752" i="4"/>
  <c r="J753" i="4"/>
  <c r="J763" i="4"/>
  <c r="C771" i="4"/>
  <c r="J774" i="4"/>
  <c r="C782" i="4"/>
  <c r="J784" i="4"/>
  <c r="B784" i="4"/>
  <c r="J785" i="4"/>
  <c r="D792" i="4"/>
  <c r="C793" i="4"/>
  <c r="J795" i="4"/>
  <c r="C803" i="4"/>
  <c r="J806" i="4"/>
  <c r="G824" i="4"/>
  <c r="E824" i="4"/>
  <c r="J824" i="4"/>
  <c r="B824" i="4"/>
  <c r="D825" i="4"/>
  <c r="G832" i="4"/>
  <c r="E832" i="4"/>
  <c r="J832" i="4"/>
  <c r="B832" i="4"/>
  <c r="D833" i="4"/>
  <c r="H840" i="4"/>
  <c r="G840" i="4"/>
  <c r="E840" i="4"/>
  <c r="J840" i="4"/>
  <c r="B840" i="4"/>
  <c r="D852" i="4"/>
  <c r="H856" i="4"/>
  <c r="G856" i="4"/>
  <c r="E856" i="4"/>
  <c r="J856" i="4"/>
  <c r="B856" i="4"/>
  <c r="G861" i="4"/>
  <c r="G865" i="4"/>
  <c r="G869" i="4"/>
  <c r="G873" i="4"/>
  <c r="G877" i="4"/>
  <c r="H881" i="4"/>
  <c r="E887" i="4"/>
  <c r="J914" i="4"/>
  <c r="B914" i="4"/>
  <c r="D914" i="4"/>
  <c r="G914" i="4"/>
  <c r="F914" i="4"/>
  <c r="E914" i="4"/>
  <c r="C914" i="4"/>
  <c r="I914" i="4"/>
  <c r="D929" i="4"/>
  <c r="F929" i="4"/>
  <c r="G929" i="4"/>
  <c r="E929" i="4"/>
  <c r="C929" i="4"/>
  <c r="B929" i="4"/>
  <c r="I929" i="4"/>
  <c r="F958" i="4"/>
  <c r="E1037" i="4"/>
  <c r="D1037" i="4"/>
  <c r="C1037" i="4"/>
  <c r="G1037" i="4"/>
  <c r="I1037" i="4"/>
  <c r="H1037" i="4"/>
  <c r="F1037" i="4"/>
  <c r="B1037" i="4"/>
  <c r="J1037" i="4"/>
  <c r="B1069" i="4"/>
  <c r="D811" i="4"/>
  <c r="D815" i="4"/>
  <c r="D819" i="4"/>
  <c r="F822" i="4"/>
  <c r="D823" i="4"/>
  <c r="F826" i="4"/>
  <c r="D827" i="4"/>
  <c r="F830" i="4"/>
  <c r="D831" i="4"/>
  <c r="F834" i="4"/>
  <c r="D835" i="4"/>
  <c r="F838" i="4"/>
  <c r="D839" i="4"/>
  <c r="F842" i="4"/>
  <c r="D843" i="4"/>
  <c r="F846" i="4"/>
  <c r="D847" i="4"/>
  <c r="F850" i="4"/>
  <c r="D851" i="4"/>
  <c r="F854" i="4"/>
  <c r="D855" i="4"/>
  <c r="F858" i="4"/>
  <c r="D859" i="4"/>
  <c r="F862" i="4"/>
  <c r="D863" i="4"/>
  <c r="F866" i="4"/>
  <c r="D867" i="4"/>
  <c r="F870" i="4"/>
  <c r="D871" i="4"/>
  <c r="F874" i="4"/>
  <c r="D875" i="4"/>
  <c r="F878" i="4"/>
  <c r="D879" i="4"/>
  <c r="F884" i="4"/>
  <c r="H884" i="4"/>
  <c r="D885" i="4"/>
  <c r="F885" i="4"/>
  <c r="J886" i="4"/>
  <c r="B886" i="4"/>
  <c r="D886" i="4"/>
  <c r="C888" i="4"/>
  <c r="C889" i="4"/>
  <c r="E890" i="4"/>
  <c r="E892" i="4"/>
  <c r="G893" i="4"/>
  <c r="F900" i="4"/>
  <c r="H900" i="4"/>
  <c r="D901" i="4"/>
  <c r="F901" i="4"/>
  <c r="J902" i="4"/>
  <c r="B902" i="4"/>
  <c r="D902" i="4"/>
  <c r="C904" i="4"/>
  <c r="C905" i="4"/>
  <c r="E906" i="4"/>
  <c r="E908" i="4"/>
  <c r="G909" i="4"/>
  <c r="F916" i="4"/>
  <c r="H916" i="4"/>
  <c r="D917" i="4"/>
  <c r="F917" i="4"/>
  <c r="J918" i="4"/>
  <c r="B918" i="4"/>
  <c r="D918" i="4"/>
  <c r="C920" i="4"/>
  <c r="C921" i="4"/>
  <c r="E922" i="4"/>
  <c r="E924" i="4"/>
  <c r="G925" i="4"/>
  <c r="F932" i="4"/>
  <c r="H932" i="4"/>
  <c r="D933" i="4"/>
  <c r="F933" i="4"/>
  <c r="J934" i="4"/>
  <c r="B934" i="4"/>
  <c r="D934" i="4"/>
  <c r="C936" i="4"/>
  <c r="C937" i="4"/>
  <c r="E938" i="4"/>
  <c r="E940" i="4"/>
  <c r="G941" i="4"/>
  <c r="H967" i="4"/>
  <c r="G967" i="4"/>
  <c r="E967" i="4"/>
  <c r="J967" i="4"/>
  <c r="B967" i="4"/>
  <c r="F992" i="4"/>
  <c r="E992" i="4"/>
  <c r="D992" i="4"/>
  <c r="C992" i="4"/>
  <c r="H992" i="4"/>
  <c r="E1041" i="4"/>
  <c r="D1041" i="4"/>
  <c r="C1041" i="4"/>
  <c r="G1041" i="4"/>
  <c r="J1041" i="4"/>
  <c r="I1041" i="4"/>
  <c r="B1041" i="4"/>
  <c r="I822" i="4"/>
  <c r="I826" i="4"/>
  <c r="I830" i="4"/>
  <c r="I834" i="4"/>
  <c r="I838" i="4"/>
  <c r="I842" i="4"/>
  <c r="I846" i="4"/>
  <c r="I850" i="4"/>
  <c r="I854" i="4"/>
  <c r="I858" i="4"/>
  <c r="I862" i="4"/>
  <c r="I866" i="4"/>
  <c r="I870" i="4"/>
  <c r="I874" i="4"/>
  <c r="I878" i="4"/>
  <c r="G888" i="4"/>
  <c r="H889" i="4"/>
  <c r="H895" i="4"/>
  <c r="J895" i="4"/>
  <c r="B895" i="4"/>
  <c r="G904" i="4"/>
  <c r="H905" i="4"/>
  <c r="H911" i="4"/>
  <c r="J911" i="4"/>
  <c r="B911" i="4"/>
  <c r="G920" i="4"/>
  <c r="H921" i="4"/>
  <c r="H927" i="4"/>
  <c r="J927" i="4"/>
  <c r="B927" i="4"/>
  <c r="G936" i="4"/>
  <c r="H937" i="4"/>
  <c r="H943" i="4"/>
  <c r="J943" i="4"/>
  <c r="B943" i="4"/>
  <c r="J950" i="4"/>
  <c r="B950" i="4"/>
  <c r="G950" i="4"/>
  <c r="D950" i="4"/>
  <c r="H955" i="4"/>
  <c r="E955" i="4"/>
  <c r="J955" i="4"/>
  <c r="B955" i="4"/>
  <c r="F960" i="4"/>
  <c r="C960" i="4"/>
  <c r="H960" i="4"/>
  <c r="F976" i="4"/>
  <c r="E976" i="4"/>
  <c r="C976" i="4"/>
  <c r="H976" i="4"/>
  <c r="F988" i="4"/>
  <c r="E988" i="4"/>
  <c r="D988" i="4"/>
  <c r="C988" i="4"/>
  <c r="H988" i="4"/>
  <c r="E1029" i="4"/>
  <c r="D1029" i="4"/>
  <c r="C1029" i="4"/>
  <c r="G1029" i="4"/>
  <c r="I1029" i="4"/>
  <c r="H1029" i="4"/>
  <c r="F1029" i="4"/>
  <c r="B1029" i="4"/>
  <c r="E1053" i="4"/>
  <c r="D1053" i="4"/>
  <c r="C1053" i="4"/>
  <c r="G1053" i="4"/>
  <c r="J1053" i="4"/>
  <c r="I1053" i="4"/>
  <c r="H1053" i="4"/>
  <c r="F1053" i="4"/>
  <c r="E1073" i="4"/>
  <c r="D1073" i="4"/>
  <c r="C1073" i="4"/>
  <c r="G1073" i="4"/>
  <c r="J1073" i="4"/>
  <c r="I1073" i="4"/>
  <c r="B1073" i="4"/>
  <c r="F1111" i="4"/>
  <c r="G1111" i="4"/>
  <c r="E1111" i="4"/>
  <c r="D1111" i="4"/>
  <c r="C1111" i="4"/>
  <c r="I1111" i="4"/>
  <c r="B1111" i="4"/>
  <c r="H1159" i="4"/>
  <c r="F1159" i="4"/>
  <c r="E1159" i="4"/>
  <c r="J1159" i="4"/>
  <c r="I1159" i="4"/>
  <c r="G1159" i="4"/>
  <c r="B1159" i="4"/>
  <c r="C1159" i="4"/>
  <c r="F892" i="4"/>
  <c r="H892" i="4"/>
  <c r="D893" i="4"/>
  <c r="F893" i="4"/>
  <c r="J894" i="4"/>
  <c r="B894" i="4"/>
  <c r="D894" i="4"/>
  <c r="F908" i="4"/>
  <c r="H908" i="4"/>
  <c r="D909" i="4"/>
  <c r="F909" i="4"/>
  <c r="J910" i="4"/>
  <c r="B910" i="4"/>
  <c r="D910" i="4"/>
  <c r="F924" i="4"/>
  <c r="H924" i="4"/>
  <c r="D925" i="4"/>
  <c r="F925" i="4"/>
  <c r="J926" i="4"/>
  <c r="B926" i="4"/>
  <c r="D926" i="4"/>
  <c r="F940" i="4"/>
  <c r="H940" i="4"/>
  <c r="D941" i="4"/>
  <c r="F941" i="4"/>
  <c r="J942" i="4"/>
  <c r="B942" i="4"/>
  <c r="D942" i="4"/>
  <c r="F972" i="4"/>
  <c r="E972" i="4"/>
  <c r="C972" i="4"/>
  <c r="H972" i="4"/>
  <c r="H991" i="4"/>
  <c r="G991" i="4"/>
  <c r="F991" i="4"/>
  <c r="E991" i="4"/>
  <c r="J991" i="4"/>
  <c r="B991" i="4"/>
  <c r="C1010" i="4"/>
  <c r="J1010" i="4"/>
  <c r="B1010" i="4"/>
  <c r="E1010" i="4"/>
  <c r="H1010" i="4"/>
  <c r="G1010" i="4"/>
  <c r="F1010" i="4"/>
  <c r="D1010" i="4"/>
  <c r="B1053" i="4"/>
  <c r="F1073" i="4"/>
  <c r="H1122" i="4"/>
  <c r="F1122" i="4"/>
  <c r="E1122" i="4"/>
  <c r="D1122" i="4"/>
  <c r="C1122" i="4"/>
  <c r="I1122" i="4"/>
  <c r="B1122" i="4"/>
  <c r="F1152" i="4"/>
  <c r="D1152" i="4"/>
  <c r="C1152" i="4"/>
  <c r="I1152" i="4"/>
  <c r="H1152" i="4"/>
  <c r="G1152" i="4"/>
  <c r="E1152" i="4"/>
  <c r="B1152" i="4"/>
  <c r="D1159" i="4"/>
  <c r="H891" i="4"/>
  <c r="J891" i="4"/>
  <c r="B891" i="4"/>
  <c r="B892" i="4"/>
  <c r="B893" i="4"/>
  <c r="C894" i="4"/>
  <c r="D895" i="4"/>
  <c r="H907" i="4"/>
  <c r="J907" i="4"/>
  <c r="B907" i="4"/>
  <c r="B908" i="4"/>
  <c r="B909" i="4"/>
  <c r="C910" i="4"/>
  <c r="D911" i="4"/>
  <c r="H923" i="4"/>
  <c r="J923" i="4"/>
  <c r="B923" i="4"/>
  <c r="B924" i="4"/>
  <c r="B925" i="4"/>
  <c r="C926" i="4"/>
  <c r="D927" i="4"/>
  <c r="H939" i="4"/>
  <c r="J939" i="4"/>
  <c r="B939" i="4"/>
  <c r="B940" i="4"/>
  <c r="B941" i="4"/>
  <c r="C942" i="4"/>
  <c r="D943" i="4"/>
  <c r="F948" i="4"/>
  <c r="C948" i="4"/>
  <c r="H948" i="4"/>
  <c r="E950" i="4"/>
  <c r="J954" i="4"/>
  <c r="B954" i="4"/>
  <c r="G954" i="4"/>
  <c r="D954" i="4"/>
  <c r="D955" i="4"/>
  <c r="H959" i="4"/>
  <c r="E959" i="4"/>
  <c r="J959" i="4"/>
  <c r="B959" i="4"/>
  <c r="D960" i="4"/>
  <c r="F964" i="4"/>
  <c r="C964" i="4"/>
  <c r="H964" i="4"/>
  <c r="F968" i="4"/>
  <c r="E968" i="4"/>
  <c r="C968" i="4"/>
  <c r="H968" i="4"/>
  <c r="B972" i="4"/>
  <c r="D976" i="4"/>
  <c r="H979" i="4"/>
  <c r="G979" i="4"/>
  <c r="F979" i="4"/>
  <c r="E979" i="4"/>
  <c r="J979" i="4"/>
  <c r="B979" i="4"/>
  <c r="G988" i="4"/>
  <c r="C991" i="4"/>
  <c r="F996" i="4"/>
  <c r="E996" i="4"/>
  <c r="D996" i="4"/>
  <c r="C996" i="4"/>
  <c r="H996" i="4"/>
  <c r="I1010" i="4"/>
  <c r="E1057" i="4"/>
  <c r="D1057" i="4"/>
  <c r="C1057" i="4"/>
  <c r="G1057" i="4"/>
  <c r="J1057" i="4"/>
  <c r="I1057" i="4"/>
  <c r="B1057" i="4"/>
  <c r="H1073" i="4"/>
  <c r="F1079" i="4"/>
  <c r="G1079" i="4"/>
  <c r="E1079" i="4"/>
  <c r="D1079" i="4"/>
  <c r="I1079" i="4"/>
  <c r="J1079" i="4"/>
  <c r="B1079" i="4"/>
  <c r="J1111" i="4"/>
  <c r="G1122" i="4"/>
  <c r="J1152" i="4"/>
  <c r="J1196" i="4"/>
  <c r="B1196" i="4"/>
  <c r="H1196" i="4"/>
  <c r="F1196" i="4"/>
  <c r="E1196" i="4"/>
  <c r="D1196" i="4"/>
  <c r="C1196" i="4"/>
  <c r="I1196" i="4"/>
  <c r="G1196" i="4"/>
  <c r="F888" i="4"/>
  <c r="H888" i="4"/>
  <c r="D889" i="4"/>
  <c r="F889" i="4"/>
  <c r="J890" i="4"/>
  <c r="B890" i="4"/>
  <c r="D890" i="4"/>
  <c r="C892" i="4"/>
  <c r="C893" i="4"/>
  <c r="E894" i="4"/>
  <c r="F904" i="4"/>
  <c r="H904" i="4"/>
  <c r="D905" i="4"/>
  <c r="F905" i="4"/>
  <c r="J906" i="4"/>
  <c r="B906" i="4"/>
  <c r="D906" i="4"/>
  <c r="C908" i="4"/>
  <c r="C909" i="4"/>
  <c r="E910" i="4"/>
  <c r="F920" i="4"/>
  <c r="H920" i="4"/>
  <c r="D921" i="4"/>
  <c r="F921" i="4"/>
  <c r="J922" i="4"/>
  <c r="B922" i="4"/>
  <c r="D922" i="4"/>
  <c r="C924" i="4"/>
  <c r="C925" i="4"/>
  <c r="E926" i="4"/>
  <c r="F936" i="4"/>
  <c r="H936" i="4"/>
  <c r="D937" i="4"/>
  <c r="F937" i="4"/>
  <c r="J938" i="4"/>
  <c r="B938" i="4"/>
  <c r="D938" i="4"/>
  <c r="C940" i="4"/>
  <c r="C941" i="4"/>
  <c r="E942" i="4"/>
  <c r="E943" i="4"/>
  <c r="D972" i="4"/>
  <c r="H975" i="4"/>
  <c r="G975" i="4"/>
  <c r="E975" i="4"/>
  <c r="J975" i="4"/>
  <c r="B975" i="4"/>
  <c r="G976" i="4"/>
  <c r="C979" i="4"/>
  <c r="F984" i="4"/>
  <c r="E984" i="4"/>
  <c r="D984" i="4"/>
  <c r="C984" i="4"/>
  <c r="H984" i="4"/>
  <c r="I988" i="4"/>
  <c r="D991" i="4"/>
  <c r="B996" i="4"/>
  <c r="F1057" i="4"/>
  <c r="J1122" i="4"/>
  <c r="F945" i="4"/>
  <c r="F949" i="4"/>
  <c r="F953" i="4"/>
  <c r="F957" i="4"/>
  <c r="F961" i="4"/>
  <c r="F965" i="4"/>
  <c r="D966" i="4"/>
  <c r="F969" i="4"/>
  <c r="D970" i="4"/>
  <c r="F973" i="4"/>
  <c r="D974" i="4"/>
  <c r="F977" i="4"/>
  <c r="D978" i="4"/>
  <c r="F981" i="4"/>
  <c r="D982" i="4"/>
  <c r="F985" i="4"/>
  <c r="D986" i="4"/>
  <c r="F989" i="4"/>
  <c r="D990" i="4"/>
  <c r="F993" i="4"/>
  <c r="D994" i="4"/>
  <c r="E998" i="4"/>
  <c r="D999" i="4"/>
  <c r="D1000" i="4"/>
  <c r="F1001" i="4"/>
  <c r="F1002" i="4"/>
  <c r="E1004" i="4"/>
  <c r="G1005" i="4"/>
  <c r="E1013" i="4"/>
  <c r="D1013" i="4"/>
  <c r="G1013" i="4"/>
  <c r="F1017" i="4"/>
  <c r="J1089" i="4"/>
  <c r="B1089" i="4"/>
  <c r="G1089" i="4"/>
  <c r="F1089" i="4"/>
  <c r="E1089" i="4"/>
  <c r="D1089" i="4"/>
  <c r="I1089" i="4"/>
  <c r="J1097" i="4"/>
  <c r="B1097" i="4"/>
  <c r="I1097" i="4"/>
  <c r="H1097" i="4"/>
  <c r="G1097" i="4"/>
  <c r="F1097" i="4"/>
  <c r="C1097" i="4"/>
  <c r="J1146" i="4"/>
  <c r="B1146" i="4"/>
  <c r="H1146" i="4"/>
  <c r="G1146" i="4"/>
  <c r="F1146" i="4"/>
  <c r="E1146" i="4"/>
  <c r="D1146" i="4"/>
  <c r="C1146" i="4"/>
  <c r="F1148" i="4"/>
  <c r="D1148" i="4"/>
  <c r="C1148" i="4"/>
  <c r="J1148" i="4"/>
  <c r="I1148" i="4"/>
  <c r="H1148" i="4"/>
  <c r="B1148" i="4"/>
  <c r="J1166" i="4"/>
  <c r="B1166" i="4"/>
  <c r="H1166" i="4"/>
  <c r="G1166" i="4"/>
  <c r="I1166" i="4"/>
  <c r="F1166" i="4"/>
  <c r="C1166" i="4"/>
  <c r="D1183" i="4"/>
  <c r="I1183" i="4"/>
  <c r="G1183" i="4"/>
  <c r="F1183" i="4"/>
  <c r="J1183" i="4"/>
  <c r="H1183" i="4"/>
  <c r="E1183" i="4"/>
  <c r="C1183" i="4"/>
  <c r="J1204" i="4"/>
  <c r="B1204" i="4"/>
  <c r="H1204" i="4"/>
  <c r="G1204" i="4"/>
  <c r="I1204" i="4"/>
  <c r="F1204" i="4"/>
  <c r="E1204" i="4"/>
  <c r="D1204" i="4"/>
  <c r="G1239" i="4"/>
  <c r="F1239" i="4"/>
  <c r="H1239" i="4"/>
  <c r="E1239" i="4"/>
  <c r="D1239" i="4"/>
  <c r="C1239" i="4"/>
  <c r="J1239" i="4"/>
  <c r="I1239" i="4"/>
  <c r="B1239" i="4"/>
  <c r="I945" i="4"/>
  <c r="I949" i="4"/>
  <c r="I953" i="4"/>
  <c r="I957" i="4"/>
  <c r="I961" i="4"/>
  <c r="I965" i="4"/>
  <c r="G966" i="4"/>
  <c r="I969" i="4"/>
  <c r="G970" i="4"/>
  <c r="I973" i="4"/>
  <c r="G974" i="4"/>
  <c r="I977" i="4"/>
  <c r="G978" i="4"/>
  <c r="I981" i="4"/>
  <c r="G982" i="4"/>
  <c r="I985" i="4"/>
  <c r="G986" i="4"/>
  <c r="I989" i="4"/>
  <c r="G990" i="4"/>
  <c r="I993" i="4"/>
  <c r="G994" i="4"/>
  <c r="I997" i="4"/>
  <c r="E1009" i="4"/>
  <c r="D1009" i="4"/>
  <c r="G1009" i="4"/>
  <c r="F1013" i="4"/>
  <c r="E1049" i="4"/>
  <c r="D1049" i="4"/>
  <c r="C1049" i="4"/>
  <c r="G1049" i="4"/>
  <c r="E1065" i="4"/>
  <c r="D1065" i="4"/>
  <c r="C1065" i="4"/>
  <c r="G1065" i="4"/>
  <c r="H1090" i="4"/>
  <c r="F1090" i="4"/>
  <c r="E1090" i="4"/>
  <c r="D1090" i="4"/>
  <c r="C1090" i="4"/>
  <c r="I1090" i="4"/>
  <c r="H1098" i="4"/>
  <c r="I1098" i="4"/>
  <c r="G1098" i="4"/>
  <c r="F1098" i="4"/>
  <c r="E1098" i="4"/>
  <c r="B1098" i="4"/>
  <c r="D1112" i="4"/>
  <c r="F1112" i="4"/>
  <c r="E1112" i="4"/>
  <c r="C1112" i="4"/>
  <c r="B1112" i="4"/>
  <c r="H1112" i="4"/>
  <c r="F1123" i="4"/>
  <c r="E1123" i="4"/>
  <c r="D1123" i="4"/>
  <c r="C1123" i="4"/>
  <c r="B1123" i="4"/>
  <c r="H1123" i="4"/>
  <c r="F1172" i="4"/>
  <c r="D1172" i="4"/>
  <c r="C1172" i="4"/>
  <c r="J1172" i="4"/>
  <c r="I1172" i="4"/>
  <c r="H1172" i="4"/>
  <c r="B1172" i="4"/>
  <c r="G1004" i="4"/>
  <c r="F1004" i="4"/>
  <c r="E1005" i="4"/>
  <c r="D1005" i="4"/>
  <c r="C1006" i="4"/>
  <c r="J1006" i="4"/>
  <c r="B1006" i="4"/>
  <c r="D1076" i="4"/>
  <c r="I1076" i="4"/>
  <c r="H1076" i="4"/>
  <c r="G1076" i="4"/>
  <c r="B1076" i="4"/>
  <c r="D1080" i="4"/>
  <c r="F1080" i="4"/>
  <c r="E1080" i="4"/>
  <c r="C1080" i="4"/>
  <c r="H1080" i="4"/>
  <c r="J1121" i="4"/>
  <c r="B1121" i="4"/>
  <c r="G1121" i="4"/>
  <c r="F1121" i="4"/>
  <c r="E1121" i="4"/>
  <c r="D1121" i="4"/>
  <c r="I1121" i="4"/>
  <c r="D1129" i="4"/>
  <c r="J1129" i="4"/>
  <c r="B1129" i="4"/>
  <c r="I1129" i="4"/>
  <c r="H1129" i="4"/>
  <c r="G1129" i="4"/>
  <c r="C1129" i="4"/>
  <c r="H1163" i="4"/>
  <c r="F1163" i="4"/>
  <c r="E1163" i="4"/>
  <c r="G1163" i="4"/>
  <c r="D1163" i="4"/>
  <c r="C1163" i="4"/>
  <c r="B1163" i="4"/>
  <c r="J1163" i="4"/>
  <c r="J1170" i="4"/>
  <c r="B1170" i="4"/>
  <c r="H1170" i="4"/>
  <c r="G1170" i="4"/>
  <c r="F1170" i="4"/>
  <c r="E1170" i="4"/>
  <c r="D1170" i="4"/>
  <c r="C1170" i="4"/>
  <c r="F1176" i="4"/>
  <c r="D1176" i="4"/>
  <c r="C1176" i="4"/>
  <c r="H1176" i="4"/>
  <c r="G1176" i="4"/>
  <c r="E1176" i="4"/>
  <c r="B1176" i="4"/>
  <c r="J1176" i="4"/>
  <c r="H1189" i="4"/>
  <c r="F1189" i="4"/>
  <c r="B1189" i="4"/>
  <c r="J1189" i="4"/>
  <c r="I1189" i="4"/>
  <c r="G1189" i="4"/>
  <c r="C1189" i="4"/>
  <c r="H1209" i="4"/>
  <c r="F1209" i="4"/>
  <c r="E1209" i="4"/>
  <c r="J1209" i="4"/>
  <c r="I1209" i="4"/>
  <c r="G1209" i="4"/>
  <c r="D1209" i="4"/>
  <c r="B1209" i="4"/>
  <c r="G1247" i="4"/>
  <c r="F1247" i="4"/>
  <c r="J1247" i="4"/>
  <c r="I1247" i="4"/>
  <c r="H1247" i="4"/>
  <c r="E1247" i="4"/>
  <c r="D1247" i="4"/>
  <c r="B1247" i="4"/>
  <c r="I966" i="4"/>
  <c r="I970" i="4"/>
  <c r="I974" i="4"/>
  <c r="I978" i="4"/>
  <c r="I982" i="4"/>
  <c r="I986" i="4"/>
  <c r="I990" i="4"/>
  <c r="I994" i="4"/>
  <c r="J998" i="4"/>
  <c r="B998" i="4"/>
  <c r="I999" i="4"/>
  <c r="H999" i="4"/>
  <c r="G1000" i="4"/>
  <c r="F1000" i="4"/>
  <c r="E1001" i="4"/>
  <c r="D1001" i="4"/>
  <c r="C1002" i="4"/>
  <c r="J1002" i="4"/>
  <c r="B1002" i="4"/>
  <c r="B1004" i="4"/>
  <c r="B1005" i="4"/>
  <c r="D1006" i="4"/>
  <c r="I1013" i="4"/>
  <c r="E1017" i="4"/>
  <c r="D1017" i="4"/>
  <c r="G1017" i="4"/>
  <c r="E1045" i="4"/>
  <c r="D1045" i="4"/>
  <c r="C1045" i="4"/>
  <c r="G1045" i="4"/>
  <c r="F1049" i="4"/>
  <c r="E1061" i="4"/>
  <c r="D1061" i="4"/>
  <c r="C1061" i="4"/>
  <c r="G1061" i="4"/>
  <c r="F1065" i="4"/>
  <c r="C1076" i="4"/>
  <c r="B1080" i="4"/>
  <c r="H1082" i="4"/>
  <c r="D1082" i="4"/>
  <c r="C1082" i="4"/>
  <c r="B1082" i="4"/>
  <c r="F1082" i="4"/>
  <c r="F1087" i="4"/>
  <c r="I1087" i="4"/>
  <c r="H1087" i="4"/>
  <c r="G1087" i="4"/>
  <c r="E1087" i="4"/>
  <c r="B1087" i="4"/>
  <c r="G1090" i="4"/>
  <c r="D1098" i="4"/>
  <c r="H1102" i="4"/>
  <c r="E1102" i="4"/>
  <c r="D1102" i="4"/>
  <c r="C1102" i="4"/>
  <c r="B1102" i="4"/>
  <c r="G1102" i="4"/>
  <c r="D1108" i="4"/>
  <c r="I1108" i="4"/>
  <c r="H1108" i="4"/>
  <c r="G1108" i="4"/>
  <c r="F1108" i="4"/>
  <c r="B1108" i="4"/>
  <c r="I1112" i="4"/>
  <c r="C1121" i="4"/>
  <c r="I1123" i="4"/>
  <c r="E1129" i="4"/>
  <c r="J1138" i="4"/>
  <c r="B1138" i="4"/>
  <c r="H1138" i="4"/>
  <c r="F1138" i="4"/>
  <c r="E1138" i="4"/>
  <c r="D1138" i="4"/>
  <c r="C1138" i="4"/>
  <c r="I1138" i="4"/>
  <c r="D1141" i="4"/>
  <c r="J1141" i="4"/>
  <c r="B1141" i="4"/>
  <c r="H1141" i="4"/>
  <c r="G1141" i="4"/>
  <c r="F1141" i="4"/>
  <c r="E1141" i="4"/>
  <c r="H1151" i="4"/>
  <c r="F1151" i="4"/>
  <c r="E1151" i="4"/>
  <c r="G1151" i="4"/>
  <c r="D1151" i="4"/>
  <c r="C1151" i="4"/>
  <c r="B1151" i="4"/>
  <c r="J1151" i="4"/>
  <c r="J1158" i="4"/>
  <c r="B1158" i="4"/>
  <c r="H1158" i="4"/>
  <c r="G1158" i="4"/>
  <c r="I1158" i="4"/>
  <c r="F1158" i="4"/>
  <c r="E1158" i="4"/>
  <c r="D1158" i="4"/>
  <c r="I1163" i="4"/>
  <c r="I1170" i="4"/>
  <c r="G1172" i="4"/>
  <c r="I1176" i="4"/>
  <c r="D1189" i="4"/>
  <c r="C1209" i="4"/>
  <c r="C1241" i="4"/>
  <c r="J1241" i="4"/>
  <c r="B1241" i="4"/>
  <c r="H1241" i="4"/>
  <c r="G1241" i="4"/>
  <c r="F1241" i="4"/>
  <c r="E1241" i="4"/>
  <c r="I1241" i="4"/>
  <c r="D1241" i="4"/>
  <c r="C1247" i="4"/>
  <c r="B966" i="4"/>
  <c r="B970" i="4"/>
  <c r="B974" i="4"/>
  <c r="B978" i="4"/>
  <c r="B982" i="4"/>
  <c r="B986" i="4"/>
  <c r="B990" i="4"/>
  <c r="B994" i="4"/>
  <c r="C998" i="4"/>
  <c r="B999" i="4"/>
  <c r="B1000" i="4"/>
  <c r="B1001" i="4"/>
  <c r="D1002" i="4"/>
  <c r="C1004" i="4"/>
  <c r="C1005" i="4"/>
  <c r="E1006" i="4"/>
  <c r="F1009" i="4"/>
  <c r="J1013" i="4"/>
  <c r="B1017" i="4"/>
  <c r="E1025" i="4"/>
  <c r="D1025" i="4"/>
  <c r="C1025" i="4"/>
  <c r="G1025" i="4"/>
  <c r="E1033" i="4"/>
  <c r="D1033" i="4"/>
  <c r="C1033" i="4"/>
  <c r="G1033" i="4"/>
  <c r="B1045" i="4"/>
  <c r="H1049" i="4"/>
  <c r="B1061" i="4"/>
  <c r="H1065" i="4"/>
  <c r="E1076" i="4"/>
  <c r="G1080" i="4"/>
  <c r="E1082" i="4"/>
  <c r="C1087" i="4"/>
  <c r="J1090" i="4"/>
  <c r="J1098" i="4"/>
  <c r="D1100" i="4"/>
  <c r="G1100" i="4"/>
  <c r="F1100" i="4"/>
  <c r="E1100" i="4"/>
  <c r="C1100" i="4"/>
  <c r="I1100" i="4"/>
  <c r="F1102" i="4"/>
  <c r="C1108" i="4"/>
  <c r="J1112" i="4"/>
  <c r="H1121" i="4"/>
  <c r="J1123" i="4"/>
  <c r="F1129" i="4"/>
  <c r="F1164" i="4"/>
  <c r="D1164" i="4"/>
  <c r="C1164" i="4"/>
  <c r="I1164" i="4"/>
  <c r="H1164" i="4"/>
  <c r="G1164" i="4"/>
  <c r="E1164" i="4"/>
  <c r="E1189" i="4"/>
  <c r="F1210" i="4"/>
  <c r="D1210" i="4"/>
  <c r="C1210" i="4"/>
  <c r="J1210" i="4"/>
  <c r="I1210" i="4"/>
  <c r="H1210" i="4"/>
  <c r="G1210" i="4"/>
  <c r="E1210" i="4"/>
  <c r="B1210" i="4"/>
  <c r="I1008" i="4"/>
  <c r="I1012" i="4"/>
  <c r="I1016" i="4"/>
  <c r="E1018" i="4"/>
  <c r="I1020" i="4"/>
  <c r="E1022" i="4"/>
  <c r="I1024" i="4"/>
  <c r="E1026" i="4"/>
  <c r="I1028" i="4"/>
  <c r="E1030" i="4"/>
  <c r="I1032" i="4"/>
  <c r="E1034" i="4"/>
  <c r="I1036" i="4"/>
  <c r="E1038" i="4"/>
  <c r="I1040" i="4"/>
  <c r="E1042" i="4"/>
  <c r="I1044" i="4"/>
  <c r="E1046" i="4"/>
  <c r="I1048" i="4"/>
  <c r="E1050" i="4"/>
  <c r="I1052" i="4"/>
  <c r="E1054" i="4"/>
  <c r="I1056" i="4"/>
  <c r="E1058" i="4"/>
  <c r="I1060" i="4"/>
  <c r="E1062" i="4"/>
  <c r="I1064" i="4"/>
  <c r="E1066" i="4"/>
  <c r="I1068" i="4"/>
  <c r="E1070" i="4"/>
  <c r="I1072" i="4"/>
  <c r="E1074" i="4"/>
  <c r="J1077" i="4"/>
  <c r="B1077" i="4"/>
  <c r="J1078" i="4"/>
  <c r="E1083" i="4"/>
  <c r="E1084" i="4"/>
  <c r="J1088" i="4"/>
  <c r="G1092" i="4"/>
  <c r="E1094" i="4"/>
  <c r="D1095" i="4"/>
  <c r="J1099" i="4"/>
  <c r="G1103" i="4"/>
  <c r="F1104" i="4"/>
  <c r="E1105" i="4"/>
  <c r="D1106" i="4"/>
  <c r="J1109" i="4"/>
  <c r="B1109" i="4"/>
  <c r="J1110" i="4"/>
  <c r="F1114" i="4"/>
  <c r="E1115" i="4"/>
  <c r="E1116" i="4"/>
  <c r="J1120" i="4"/>
  <c r="G1124" i="4"/>
  <c r="E1126" i="4"/>
  <c r="D1127" i="4"/>
  <c r="D1131" i="4"/>
  <c r="E1132" i="4"/>
  <c r="J1142" i="4"/>
  <c r="B1142" i="4"/>
  <c r="H1142" i="4"/>
  <c r="G1142" i="4"/>
  <c r="H1147" i="4"/>
  <c r="F1147" i="4"/>
  <c r="E1147" i="4"/>
  <c r="H1171" i="4"/>
  <c r="F1171" i="4"/>
  <c r="E1171" i="4"/>
  <c r="J1178" i="4"/>
  <c r="B1178" i="4"/>
  <c r="H1178" i="4"/>
  <c r="G1178" i="4"/>
  <c r="F1186" i="4"/>
  <c r="D1186" i="4"/>
  <c r="J1186" i="4"/>
  <c r="H1186" i="4"/>
  <c r="G1186" i="4"/>
  <c r="F1198" i="4"/>
  <c r="D1198" i="4"/>
  <c r="C1198" i="4"/>
  <c r="I1198" i="4"/>
  <c r="H1198" i="4"/>
  <c r="G1198" i="4"/>
  <c r="E1198" i="4"/>
  <c r="D1325" i="4"/>
  <c r="J1325" i="4"/>
  <c r="B1325" i="4"/>
  <c r="H1325" i="4"/>
  <c r="F1325" i="4"/>
  <c r="E1325" i="4"/>
  <c r="I1325" i="4"/>
  <c r="G1325" i="4"/>
  <c r="C1325" i="4"/>
  <c r="J1092" i="4"/>
  <c r="J1103" i="4"/>
  <c r="J1113" i="4"/>
  <c r="B1113" i="4"/>
  <c r="J1114" i="4"/>
  <c r="J1124" i="4"/>
  <c r="H1135" i="4"/>
  <c r="F1135" i="4"/>
  <c r="F1136" i="4"/>
  <c r="D1136" i="4"/>
  <c r="D1137" i="4"/>
  <c r="J1137" i="4"/>
  <c r="B1137" i="4"/>
  <c r="F1156" i="4"/>
  <c r="D1156" i="4"/>
  <c r="C1156" i="4"/>
  <c r="H1175" i="4"/>
  <c r="F1175" i="4"/>
  <c r="E1175" i="4"/>
  <c r="J1182" i="4"/>
  <c r="B1182" i="4"/>
  <c r="H1182" i="4"/>
  <c r="G1182" i="4"/>
  <c r="H1185" i="4"/>
  <c r="F1185" i="4"/>
  <c r="J1185" i="4"/>
  <c r="G1185" i="4"/>
  <c r="E1185" i="4"/>
  <c r="E1244" i="4"/>
  <c r="D1244" i="4"/>
  <c r="I1244" i="4"/>
  <c r="H1244" i="4"/>
  <c r="G1244" i="4"/>
  <c r="F1244" i="4"/>
  <c r="J1244" i="4"/>
  <c r="C1244" i="4"/>
  <c r="J1276" i="4"/>
  <c r="B1276" i="4"/>
  <c r="F1276" i="4"/>
  <c r="E1276" i="4"/>
  <c r="D1276" i="4"/>
  <c r="C1276" i="4"/>
  <c r="F1283" i="4"/>
  <c r="D1283" i="4"/>
  <c r="C1283" i="4"/>
  <c r="H1283" i="4"/>
  <c r="G1283" i="4"/>
  <c r="E1283" i="4"/>
  <c r="B1283" i="4"/>
  <c r="J1283" i="4"/>
  <c r="J1285" i="4"/>
  <c r="B1285" i="4"/>
  <c r="H1285" i="4"/>
  <c r="G1285" i="4"/>
  <c r="I1285" i="4"/>
  <c r="F1285" i="4"/>
  <c r="E1285" i="4"/>
  <c r="D1285" i="4"/>
  <c r="C1285" i="4"/>
  <c r="I1018" i="4"/>
  <c r="I1022" i="4"/>
  <c r="I1026" i="4"/>
  <c r="I1030" i="4"/>
  <c r="I1034" i="4"/>
  <c r="I1038" i="4"/>
  <c r="I1042" i="4"/>
  <c r="I1046" i="4"/>
  <c r="I1050" i="4"/>
  <c r="I1054" i="4"/>
  <c r="I1058" i="4"/>
  <c r="I1062" i="4"/>
  <c r="I1066" i="4"/>
  <c r="I1070" i="4"/>
  <c r="I1074" i="4"/>
  <c r="J1083" i="4"/>
  <c r="I1084" i="4"/>
  <c r="B1092" i="4"/>
  <c r="J1093" i="4"/>
  <c r="B1093" i="4"/>
  <c r="J1094" i="4"/>
  <c r="I1095" i="4"/>
  <c r="B1103" i="4"/>
  <c r="J1104" i="4"/>
  <c r="I1106" i="4"/>
  <c r="C1113" i="4"/>
  <c r="B1114" i="4"/>
  <c r="J1115" i="4"/>
  <c r="I1116" i="4"/>
  <c r="B1124" i="4"/>
  <c r="J1125" i="4"/>
  <c r="B1125" i="4"/>
  <c r="J1126" i="4"/>
  <c r="I1127" i="4"/>
  <c r="J1134" i="4"/>
  <c r="B1134" i="4"/>
  <c r="H1134" i="4"/>
  <c r="B1135" i="4"/>
  <c r="B1136" i="4"/>
  <c r="C1137" i="4"/>
  <c r="J1150" i="4"/>
  <c r="B1150" i="4"/>
  <c r="H1150" i="4"/>
  <c r="G1150" i="4"/>
  <c r="H1155" i="4"/>
  <c r="F1155" i="4"/>
  <c r="E1155" i="4"/>
  <c r="B1156" i="4"/>
  <c r="J1162" i="4"/>
  <c r="B1162" i="4"/>
  <c r="H1162" i="4"/>
  <c r="G1162" i="4"/>
  <c r="F1168" i="4"/>
  <c r="D1168" i="4"/>
  <c r="C1168" i="4"/>
  <c r="G1171" i="4"/>
  <c r="B1175" i="4"/>
  <c r="C1182" i="4"/>
  <c r="B1185" i="4"/>
  <c r="F1190" i="4"/>
  <c r="D1190" i="4"/>
  <c r="B1190" i="4"/>
  <c r="J1190" i="4"/>
  <c r="I1190" i="4"/>
  <c r="H1197" i="4"/>
  <c r="F1197" i="4"/>
  <c r="G1197" i="4"/>
  <c r="E1197" i="4"/>
  <c r="D1197" i="4"/>
  <c r="C1197" i="4"/>
  <c r="H1221" i="4"/>
  <c r="G1221" i="4"/>
  <c r="F1221" i="4"/>
  <c r="E1221" i="4"/>
  <c r="I1221" i="4"/>
  <c r="D1221" i="4"/>
  <c r="C1221" i="4"/>
  <c r="B1221" i="4"/>
  <c r="H1226" i="4"/>
  <c r="G1226" i="4"/>
  <c r="F1226" i="4"/>
  <c r="E1226" i="4"/>
  <c r="D1226" i="4"/>
  <c r="J1226" i="4"/>
  <c r="I1226" i="4"/>
  <c r="C1226" i="4"/>
  <c r="B1244" i="4"/>
  <c r="G1276" i="4"/>
  <c r="I1283" i="4"/>
  <c r="F1303" i="4"/>
  <c r="D1303" i="4"/>
  <c r="C1303" i="4"/>
  <c r="J1303" i="4"/>
  <c r="I1303" i="4"/>
  <c r="H1303" i="4"/>
  <c r="G1303" i="4"/>
  <c r="E1303" i="4"/>
  <c r="B1303" i="4"/>
  <c r="H1003" i="4"/>
  <c r="F1008" i="4"/>
  <c r="F1012" i="4"/>
  <c r="F1016" i="4"/>
  <c r="B1018" i="4"/>
  <c r="J1018" i="4"/>
  <c r="B1022" i="4"/>
  <c r="J1022" i="4"/>
  <c r="B1026" i="4"/>
  <c r="J1026" i="4"/>
  <c r="B1030" i="4"/>
  <c r="J1030" i="4"/>
  <c r="B1034" i="4"/>
  <c r="J1034" i="4"/>
  <c r="J1038" i="4"/>
  <c r="J1084" i="4"/>
  <c r="C1092" i="4"/>
  <c r="J1095" i="4"/>
  <c r="C1103" i="4"/>
  <c r="J1105" i="4"/>
  <c r="B1105" i="4"/>
  <c r="J1106" i="4"/>
  <c r="D1113" i="4"/>
  <c r="C1114" i="4"/>
  <c r="J1116" i="4"/>
  <c r="C1124" i="4"/>
  <c r="J1127" i="4"/>
  <c r="H1131" i="4"/>
  <c r="F1131" i="4"/>
  <c r="F1132" i="4"/>
  <c r="D1132" i="4"/>
  <c r="D1133" i="4"/>
  <c r="J1133" i="4"/>
  <c r="B1133" i="4"/>
  <c r="C1135" i="4"/>
  <c r="C1136" i="4"/>
  <c r="E1137" i="4"/>
  <c r="F1144" i="4"/>
  <c r="D1144" i="4"/>
  <c r="C1144" i="4"/>
  <c r="E1156" i="4"/>
  <c r="H1167" i="4"/>
  <c r="F1167" i="4"/>
  <c r="E1167" i="4"/>
  <c r="J1174" i="4"/>
  <c r="B1174" i="4"/>
  <c r="H1174" i="4"/>
  <c r="G1174" i="4"/>
  <c r="C1175" i="4"/>
  <c r="F1180" i="4"/>
  <c r="D1180" i="4"/>
  <c r="C1180" i="4"/>
  <c r="D1182" i="4"/>
  <c r="C1185" i="4"/>
  <c r="D1187" i="4"/>
  <c r="J1187" i="4"/>
  <c r="B1187" i="4"/>
  <c r="H1187" i="4"/>
  <c r="G1187" i="4"/>
  <c r="J1208" i="4"/>
  <c r="B1208" i="4"/>
  <c r="H1208" i="4"/>
  <c r="G1208" i="4"/>
  <c r="F1208" i="4"/>
  <c r="E1208" i="4"/>
  <c r="D1208" i="4"/>
  <c r="C1208" i="4"/>
  <c r="J1237" i="4"/>
  <c r="B1237" i="4"/>
  <c r="G1237" i="4"/>
  <c r="F1237" i="4"/>
  <c r="E1237" i="4"/>
  <c r="D1237" i="4"/>
  <c r="I1237" i="4"/>
  <c r="H1237" i="4"/>
  <c r="C1237" i="4"/>
  <c r="H1276" i="4"/>
  <c r="J1075" i="4"/>
  <c r="H1077" i="4"/>
  <c r="G1078" i="4"/>
  <c r="C1083" i="4"/>
  <c r="B1084" i="4"/>
  <c r="J1085" i="4"/>
  <c r="B1085" i="4"/>
  <c r="J1086" i="4"/>
  <c r="H1088" i="4"/>
  <c r="E1092" i="4"/>
  <c r="D1093" i="4"/>
  <c r="C1094" i="4"/>
  <c r="B1095" i="4"/>
  <c r="J1096" i="4"/>
  <c r="H1099" i="4"/>
  <c r="D1103" i="4"/>
  <c r="C1104" i="4"/>
  <c r="C1105" i="4"/>
  <c r="B1106" i="4"/>
  <c r="J1107" i="4"/>
  <c r="H1109" i="4"/>
  <c r="G1110" i="4"/>
  <c r="E1113" i="4"/>
  <c r="D1114" i="4"/>
  <c r="C1115" i="4"/>
  <c r="B1116" i="4"/>
  <c r="J1117" i="4"/>
  <c r="B1117" i="4"/>
  <c r="J1118" i="4"/>
  <c r="H1120" i="4"/>
  <c r="E1124" i="4"/>
  <c r="D1125" i="4"/>
  <c r="C1126" i="4"/>
  <c r="B1127" i="4"/>
  <c r="J1128" i="4"/>
  <c r="J1130" i="4"/>
  <c r="B1130" i="4"/>
  <c r="H1130" i="4"/>
  <c r="B1131" i="4"/>
  <c r="B1132" i="4"/>
  <c r="C1133" i="4"/>
  <c r="D1134" i="4"/>
  <c r="D1135" i="4"/>
  <c r="E1136" i="4"/>
  <c r="F1137" i="4"/>
  <c r="H1143" i="4"/>
  <c r="F1143" i="4"/>
  <c r="E1143" i="4"/>
  <c r="B1144" i="4"/>
  <c r="J1147" i="4"/>
  <c r="D1150" i="4"/>
  <c r="J1154" i="4"/>
  <c r="B1154" i="4"/>
  <c r="H1154" i="4"/>
  <c r="G1154" i="4"/>
  <c r="C1155" i="4"/>
  <c r="G1156" i="4"/>
  <c r="F1160" i="4"/>
  <c r="D1160" i="4"/>
  <c r="C1160" i="4"/>
  <c r="D1162" i="4"/>
  <c r="B1167" i="4"/>
  <c r="E1168" i="4"/>
  <c r="J1171" i="4"/>
  <c r="C1174" i="4"/>
  <c r="D1175" i="4"/>
  <c r="H1179" i="4"/>
  <c r="F1179" i="4"/>
  <c r="E1179" i="4"/>
  <c r="B1180" i="4"/>
  <c r="E1182" i="4"/>
  <c r="D1185" i="4"/>
  <c r="C1187" i="4"/>
  <c r="E1190" i="4"/>
  <c r="I1197" i="4"/>
  <c r="I1208" i="4"/>
  <c r="H1217" i="4"/>
  <c r="G1217" i="4"/>
  <c r="F1217" i="4"/>
  <c r="E1217" i="4"/>
  <c r="J1217" i="4"/>
  <c r="I1217" i="4"/>
  <c r="D1217" i="4"/>
  <c r="F1222" i="4"/>
  <c r="E1222" i="4"/>
  <c r="D1222" i="4"/>
  <c r="C1222" i="4"/>
  <c r="J1222" i="4"/>
  <c r="I1222" i="4"/>
  <c r="H1222" i="4"/>
  <c r="F1235" i="4"/>
  <c r="I1235" i="4"/>
  <c r="H1235" i="4"/>
  <c r="G1235" i="4"/>
  <c r="E1235" i="4"/>
  <c r="J1235" i="4"/>
  <c r="D1235" i="4"/>
  <c r="C1249" i="4"/>
  <c r="J1249" i="4"/>
  <c r="B1249" i="4"/>
  <c r="I1249" i="4"/>
  <c r="H1249" i="4"/>
  <c r="G1249" i="4"/>
  <c r="F1249" i="4"/>
  <c r="I1276" i="4"/>
  <c r="H1323" i="4"/>
  <c r="F1323" i="4"/>
  <c r="G1323" i="4"/>
  <c r="D1323" i="4"/>
  <c r="C1323" i="4"/>
  <c r="J1323" i="4"/>
  <c r="I1323" i="4"/>
  <c r="E1323" i="4"/>
  <c r="I1145" i="4"/>
  <c r="I1149" i="4"/>
  <c r="I1153" i="4"/>
  <c r="I1157" i="4"/>
  <c r="I1161" i="4"/>
  <c r="I1165" i="4"/>
  <c r="I1169" i="4"/>
  <c r="I1173" i="4"/>
  <c r="I1177" i="4"/>
  <c r="I1181" i="4"/>
  <c r="G1188" i="4"/>
  <c r="H1193" i="4"/>
  <c r="F1193" i="4"/>
  <c r="F1194" i="4"/>
  <c r="D1194" i="4"/>
  <c r="D1195" i="4"/>
  <c r="J1195" i="4"/>
  <c r="B1195" i="4"/>
  <c r="F1202" i="4"/>
  <c r="D1202" i="4"/>
  <c r="C1202" i="4"/>
  <c r="I1205" i="4"/>
  <c r="F1214" i="4"/>
  <c r="D1214" i="4"/>
  <c r="C1214" i="4"/>
  <c r="D1228" i="4"/>
  <c r="F1228" i="4"/>
  <c r="E1228" i="4"/>
  <c r="C1228" i="4"/>
  <c r="B1228" i="4"/>
  <c r="F1262" i="4"/>
  <c r="I1262" i="4"/>
  <c r="H1262" i="4"/>
  <c r="G1262" i="4"/>
  <c r="E1262" i="4"/>
  <c r="J1262" i="4"/>
  <c r="D1262" i="4"/>
  <c r="C1262" i="4"/>
  <c r="B1262" i="4"/>
  <c r="H1265" i="4"/>
  <c r="F1265" i="4"/>
  <c r="E1265" i="4"/>
  <c r="D1265" i="4"/>
  <c r="C1265" i="4"/>
  <c r="J1265" i="4"/>
  <c r="I1265" i="4"/>
  <c r="J1289" i="4"/>
  <c r="B1289" i="4"/>
  <c r="H1289" i="4"/>
  <c r="G1289" i="4"/>
  <c r="F1289" i="4"/>
  <c r="E1289" i="4"/>
  <c r="D1289" i="4"/>
  <c r="C1289" i="4"/>
  <c r="B1323" i="4"/>
  <c r="J1340" i="4"/>
  <c r="B1340" i="4"/>
  <c r="F1340" i="4"/>
  <c r="H1340" i="4"/>
  <c r="G1340" i="4"/>
  <c r="E1340" i="4"/>
  <c r="C1340" i="4"/>
  <c r="I1340" i="4"/>
  <c r="D1340" i="4"/>
  <c r="J1384" i="4"/>
  <c r="B1384" i="4"/>
  <c r="H1384" i="4"/>
  <c r="F1384" i="4"/>
  <c r="I1384" i="4"/>
  <c r="G1384" i="4"/>
  <c r="E1384" i="4"/>
  <c r="D1384" i="4"/>
  <c r="C1384" i="4"/>
  <c r="B1145" i="4"/>
  <c r="J1145" i="4"/>
  <c r="B1149" i="4"/>
  <c r="J1149" i="4"/>
  <c r="B1153" i="4"/>
  <c r="J1153" i="4"/>
  <c r="B1157" i="4"/>
  <c r="B1161" i="4"/>
  <c r="B1165" i="4"/>
  <c r="B1169" i="4"/>
  <c r="B1173" i="4"/>
  <c r="B1177" i="4"/>
  <c r="B1181" i="4"/>
  <c r="J1192" i="4"/>
  <c r="B1192" i="4"/>
  <c r="H1192" i="4"/>
  <c r="B1193" i="4"/>
  <c r="B1194" i="4"/>
  <c r="C1195" i="4"/>
  <c r="H1201" i="4"/>
  <c r="F1201" i="4"/>
  <c r="E1201" i="4"/>
  <c r="B1202" i="4"/>
  <c r="H1213" i="4"/>
  <c r="F1213" i="4"/>
  <c r="E1213" i="4"/>
  <c r="B1214" i="4"/>
  <c r="J1225" i="4"/>
  <c r="H1225" i="4"/>
  <c r="G1225" i="4"/>
  <c r="F1225" i="4"/>
  <c r="E1225" i="4"/>
  <c r="G1228" i="4"/>
  <c r="E1248" i="4"/>
  <c r="D1248" i="4"/>
  <c r="J1248" i="4"/>
  <c r="I1248" i="4"/>
  <c r="H1248" i="4"/>
  <c r="G1248" i="4"/>
  <c r="D1263" i="4"/>
  <c r="H1263" i="4"/>
  <c r="G1263" i="4"/>
  <c r="F1263" i="4"/>
  <c r="E1263" i="4"/>
  <c r="J1263" i="4"/>
  <c r="B1265" i="4"/>
  <c r="I1289" i="4"/>
  <c r="F1312" i="4"/>
  <c r="D1312" i="4"/>
  <c r="J1312" i="4"/>
  <c r="H1312" i="4"/>
  <c r="G1312" i="4"/>
  <c r="I1312" i="4"/>
  <c r="E1312" i="4"/>
  <c r="F1390" i="4"/>
  <c r="D1390" i="4"/>
  <c r="J1390" i="4"/>
  <c r="B1390" i="4"/>
  <c r="I1390" i="4"/>
  <c r="H1390" i="4"/>
  <c r="G1390" i="4"/>
  <c r="E1390" i="4"/>
  <c r="C1390" i="4"/>
  <c r="D1191" i="4"/>
  <c r="J1191" i="4"/>
  <c r="B1191" i="4"/>
  <c r="F1206" i="4"/>
  <c r="D1206" i="4"/>
  <c r="C1206" i="4"/>
  <c r="D1236" i="4"/>
  <c r="H1236" i="4"/>
  <c r="G1236" i="4"/>
  <c r="F1236" i="4"/>
  <c r="E1236" i="4"/>
  <c r="G1243" i="4"/>
  <c r="F1243" i="4"/>
  <c r="I1243" i="4"/>
  <c r="H1243" i="4"/>
  <c r="E1243" i="4"/>
  <c r="D1243" i="4"/>
  <c r="C1245" i="4"/>
  <c r="J1245" i="4"/>
  <c r="B1245" i="4"/>
  <c r="I1245" i="4"/>
  <c r="H1245" i="4"/>
  <c r="G1245" i="4"/>
  <c r="F1245" i="4"/>
  <c r="J1310" i="4"/>
  <c r="B1310" i="4"/>
  <c r="H1310" i="4"/>
  <c r="I1310" i="4"/>
  <c r="F1310" i="4"/>
  <c r="E1310" i="4"/>
  <c r="G1310" i="4"/>
  <c r="H1361" i="4"/>
  <c r="F1361" i="4"/>
  <c r="D1361" i="4"/>
  <c r="I1361" i="4"/>
  <c r="G1361" i="4"/>
  <c r="E1361" i="4"/>
  <c r="C1361" i="4"/>
  <c r="J1361" i="4"/>
  <c r="B1361" i="4"/>
  <c r="D1371" i="4"/>
  <c r="J1371" i="4"/>
  <c r="B1371" i="4"/>
  <c r="H1371" i="4"/>
  <c r="I1371" i="4"/>
  <c r="G1371" i="4"/>
  <c r="F1371" i="4"/>
  <c r="E1371" i="4"/>
  <c r="C1371" i="4"/>
  <c r="J1188" i="4"/>
  <c r="B1188" i="4"/>
  <c r="H1188" i="4"/>
  <c r="C1191" i="4"/>
  <c r="J1200" i="4"/>
  <c r="B1200" i="4"/>
  <c r="H1200" i="4"/>
  <c r="G1200" i="4"/>
  <c r="H1205" i="4"/>
  <c r="F1205" i="4"/>
  <c r="E1205" i="4"/>
  <c r="J1212" i="4"/>
  <c r="B1212" i="4"/>
  <c r="H1212" i="4"/>
  <c r="G1212" i="4"/>
  <c r="F1218" i="4"/>
  <c r="E1218" i="4"/>
  <c r="D1218" i="4"/>
  <c r="C1218" i="4"/>
  <c r="F1227" i="4"/>
  <c r="G1227" i="4"/>
  <c r="E1227" i="4"/>
  <c r="D1227" i="4"/>
  <c r="C1227" i="4"/>
  <c r="I1228" i="4"/>
  <c r="B1236" i="4"/>
  <c r="I1238" i="4"/>
  <c r="H1238" i="4"/>
  <c r="F1238" i="4"/>
  <c r="E1238" i="4"/>
  <c r="D1238" i="4"/>
  <c r="C1238" i="4"/>
  <c r="E1240" i="4"/>
  <c r="D1240" i="4"/>
  <c r="H1240" i="4"/>
  <c r="G1240" i="4"/>
  <c r="F1240" i="4"/>
  <c r="C1240" i="4"/>
  <c r="B1243" i="4"/>
  <c r="D1245" i="4"/>
  <c r="H1273" i="4"/>
  <c r="I1273" i="4"/>
  <c r="G1273" i="4"/>
  <c r="F1273" i="4"/>
  <c r="E1273" i="4"/>
  <c r="J1273" i="4"/>
  <c r="D1273" i="4"/>
  <c r="D1275" i="4"/>
  <c r="G1275" i="4"/>
  <c r="F1275" i="4"/>
  <c r="E1275" i="4"/>
  <c r="C1275" i="4"/>
  <c r="J1275" i="4"/>
  <c r="I1275" i="4"/>
  <c r="H1275" i="4"/>
  <c r="B1275" i="4"/>
  <c r="H1302" i="4"/>
  <c r="F1302" i="4"/>
  <c r="E1302" i="4"/>
  <c r="I1302" i="4"/>
  <c r="G1302" i="4"/>
  <c r="D1302" i="4"/>
  <c r="C1302" i="4"/>
  <c r="C1310" i="4"/>
  <c r="C1312" i="4"/>
  <c r="F1362" i="4"/>
  <c r="D1362" i="4"/>
  <c r="J1362" i="4"/>
  <c r="B1362" i="4"/>
  <c r="I1362" i="4"/>
  <c r="H1362" i="4"/>
  <c r="G1362" i="4"/>
  <c r="C1362" i="4"/>
  <c r="E1362" i="4"/>
  <c r="I1199" i="4"/>
  <c r="I1203" i="4"/>
  <c r="I1207" i="4"/>
  <c r="I1211" i="4"/>
  <c r="G1216" i="4"/>
  <c r="G1220" i="4"/>
  <c r="G1224" i="4"/>
  <c r="J1229" i="4"/>
  <c r="B1229" i="4"/>
  <c r="J1230" i="4"/>
  <c r="I1231" i="4"/>
  <c r="H1232" i="4"/>
  <c r="G1233" i="4"/>
  <c r="F1234" i="4"/>
  <c r="E1257" i="4"/>
  <c r="C1257" i="4"/>
  <c r="J1257" i="4"/>
  <c r="B1257" i="4"/>
  <c r="H1277" i="4"/>
  <c r="E1277" i="4"/>
  <c r="D1277" i="4"/>
  <c r="C1277" i="4"/>
  <c r="B1277" i="4"/>
  <c r="H1290" i="4"/>
  <c r="F1290" i="4"/>
  <c r="E1290" i="4"/>
  <c r="J1290" i="4"/>
  <c r="I1290" i="4"/>
  <c r="G1290" i="4"/>
  <c r="D1290" i="4"/>
  <c r="F1394" i="4"/>
  <c r="D1394" i="4"/>
  <c r="J1394" i="4"/>
  <c r="B1394" i="4"/>
  <c r="I1394" i="4"/>
  <c r="H1394" i="4"/>
  <c r="G1394" i="4"/>
  <c r="E1394" i="4"/>
  <c r="C1394" i="4"/>
  <c r="B1199" i="4"/>
  <c r="J1199" i="4"/>
  <c r="B1203" i="4"/>
  <c r="J1203" i="4"/>
  <c r="B1207" i="4"/>
  <c r="J1207" i="4"/>
  <c r="H1216" i="4"/>
  <c r="H1220" i="4"/>
  <c r="H1224" i="4"/>
  <c r="J1231" i="4"/>
  <c r="I1232" i="4"/>
  <c r="G1256" i="4"/>
  <c r="E1256" i="4"/>
  <c r="D1256" i="4"/>
  <c r="J1264" i="4"/>
  <c r="B1264" i="4"/>
  <c r="G1264" i="4"/>
  <c r="F1264" i="4"/>
  <c r="E1264" i="4"/>
  <c r="D1264" i="4"/>
  <c r="J1272" i="4"/>
  <c r="B1272" i="4"/>
  <c r="I1272" i="4"/>
  <c r="H1272" i="4"/>
  <c r="G1272" i="4"/>
  <c r="F1272" i="4"/>
  <c r="F1295" i="4"/>
  <c r="D1295" i="4"/>
  <c r="C1295" i="4"/>
  <c r="H1295" i="4"/>
  <c r="G1295" i="4"/>
  <c r="E1295" i="4"/>
  <c r="B1295" i="4"/>
  <c r="H1315" i="4"/>
  <c r="F1315" i="4"/>
  <c r="B1315" i="4"/>
  <c r="J1315" i="4"/>
  <c r="I1315" i="4"/>
  <c r="G1315" i="4"/>
  <c r="H1337" i="4"/>
  <c r="D1337" i="4"/>
  <c r="F1337" i="4"/>
  <c r="E1337" i="4"/>
  <c r="C1337" i="4"/>
  <c r="J1337" i="4"/>
  <c r="D1339" i="4"/>
  <c r="H1339" i="4"/>
  <c r="G1339" i="4"/>
  <c r="F1339" i="4"/>
  <c r="E1339" i="4"/>
  <c r="J1339" i="4"/>
  <c r="I1339" i="4"/>
  <c r="I1216" i="4"/>
  <c r="I1220" i="4"/>
  <c r="I1224" i="4"/>
  <c r="J1232" i="4"/>
  <c r="F1266" i="4"/>
  <c r="E1266" i="4"/>
  <c r="D1266" i="4"/>
  <c r="C1266" i="4"/>
  <c r="B1266" i="4"/>
  <c r="C1272" i="4"/>
  <c r="F1274" i="4"/>
  <c r="H1274" i="4"/>
  <c r="G1274" i="4"/>
  <c r="E1274" i="4"/>
  <c r="D1274" i="4"/>
  <c r="G1277" i="4"/>
  <c r="C1290" i="4"/>
  <c r="I1295" i="4"/>
  <c r="C1315" i="4"/>
  <c r="D1317" i="4"/>
  <c r="J1317" i="4"/>
  <c r="B1317" i="4"/>
  <c r="C1317" i="4"/>
  <c r="I1317" i="4"/>
  <c r="H1317" i="4"/>
  <c r="G1317" i="4"/>
  <c r="F1317" i="4"/>
  <c r="H1327" i="4"/>
  <c r="F1327" i="4"/>
  <c r="J1327" i="4"/>
  <c r="G1327" i="4"/>
  <c r="E1327" i="4"/>
  <c r="I1327" i="4"/>
  <c r="D1327" i="4"/>
  <c r="C1327" i="4"/>
  <c r="B1327" i="4"/>
  <c r="B1337" i="4"/>
  <c r="B1339" i="4"/>
  <c r="B1216" i="4"/>
  <c r="B1220" i="4"/>
  <c r="B1224" i="4"/>
  <c r="C1231" i="4"/>
  <c r="B1232" i="4"/>
  <c r="J1233" i="4"/>
  <c r="B1233" i="4"/>
  <c r="J1234" i="4"/>
  <c r="G1251" i="4"/>
  <c r="F1251" i="4"/>
  <c r="E1252" i="4"/>
  <c r="D1252" i="4"/>
  <c r="C1253" i="4"/>
  <c r="J1253" i="4"/>
  <c r="B1253" i="4"/>
  <c r="C1256" i="4"/>
  <c r="G1257" i="4"/>
  <c r="H1264" i="4"/>
  <c r="G1266" i="4"/>
  <c r="D1272" i="4"/>
  <c r="I1277" i="4"/>
  <c r="F1291" i="4"/>
  <c r="D1291" i="4"/>
  <c r="C1291" i="4"/>
  <c r="J1291" i="4"/>
  <c r="I1291" i="4"/>
  <c r="H1291" i="4"/>
  <c r="J1295" i="4"/>
  <c r="J1297" i="4"/>
  <c r="B1297" i="4"/>
  <c r="H1297" i="4"/>
  <c r="G1297" i="4"/>
  <c r="I1297" i="4"/>
  <c r="F1297" i="4"/>
  <c r="E1297" i="4"/>
  <c r="H1307" i="4"/>
  <c r="F1307" i="4"/>
  <c r="G1307" i="4"/>
  <c r="D1307" i="4"/>
  <c r="C1307" i="4"/>
  <c r="J1307" i="4"/>
  <c r="I1307" i="4"/>
  <c r="E1307" i="4"/>
  <c r="D1315" i="4"/>
  <c r="E1317" i="4"/>
  <c r="F1328" i="4"/>
  <c r="D1328" i="4"/>
  <c r="J1328" i="4"/>
  <c r="H1328" i="4"/>
  <c r="G1328" i="4"/>
  <c r="I1328" i="4"/>
  <c r="G1337" i="4"/>
  <c r="C1339" i="4"/>
  <c r="H1242" i="4"/>
  <c r="H1246" i="4"/>
  <c r="H1250" i="4"/>
  <c r="H1254" i="4"/>
  <c r="F1255" i="4"/>
  <c r="H1259" i="4"/>
  <c r="G1260" i="4"/>
  <c r="F1261" i="4"/>
  <c r="J1267" i="4"/>
  <c r="H1270" i="4"/>
  <c r="G1271" i="4"/>
  <c r="J1278" i="4"/>
  <c r="H1282" i="4"/>
  <c r="F1282" i="4"/>
  <c r="E1282" i="4"/>
  <c r="H1294" i="4"/>
  <c r="F1294" i="4"/>
  <c r="E1294" i="4"/>
  <c r="I1298" i="4"/>
  <c r="J1301" i="4"/>
  <c r="B1301" i="4"/>
  <c r="H1301" i="4"/>
  <c r="G1301" i="4"/>
  <c r="D1309" i="4"/>
  <c r="J1309" i="4"/>
  <c r="B1309" i="4"/>
  <c r="H1309" i="4"/>
  <c r="F1309" i="4"/>
  <c r="E1309" i="4"/>
  <c r="H1311" i="4"/>
  <c r="F1311" i="4"/>
  <c r="J1311" i="4"/>
  <c r="G1311" i="4"/>
  <c r="E1311" i="4"/>
  <c r="D1379" i="4"/>
  <c r="J1379" i="4"/>
  <c r="B1379" i="4"/>
  <c r="H1379" i="4"/>
  <c r="G1379" i="4"/>
  <c r="F1379" i="4"/>
  <c r="E1379" i="4"/>
  <c r="C1379" i="4"/>
  <c r="I1379" i="4"/>
  <c r="G1255" i="4"/>
  <c r="J1258" i="4"/>
  <c r="I1259" i="4"/>
  <c r="G1261" i="4"/>
  <c r="B1267" i="4"/>
  <c r="J1268" i="4"/>
  <c r="B1268" i="4"/>
  <c r="J1269" i="4"/>
  <c r="I1270" i="4"/>
  <c r="H1271" i="4"/>
  <c r="B1278" i="4"/>
  <c r="J1279" i="4"/>
  <c r="J1281" i="4"/>
  <c r="B1281" i="4"/>
  <c r="H1281" i="4"/>
  <c r="B1282" i="4"/>
  <c r="F1287" i="4"/>
  <c r="D1287" i="4"/>
  <c r="C1287" i="4"/>
  <c r="B1294" i="4"/>
  <c r="C1301" i="4"/>
  <c r="C1309" i="4"/>
  <c r="B1311" i="4"/>
  <c r="F1316" i="4"/>
  <c r="D1316" i="4"/>
  <c r="B1316" i="4"/>
  <c r="J1316" i="4"/>
  <c r="I1316" i="4"/>
  <c r="J1322" i="4"/>
  <c r="B1322" i="4"/>
  <c r="H1322" i="4"/>
  <c r="F1322" i="4"/>
  <c r="D1322" i="4"/>
  <c r="C1322" i="4"/>
  <c r="D1329" i="4"/>
  <c r="J1329" i="4"/>
  <c r="B1329" i="4"/>
  <c r="H1329" i="4"/>
  <c r="G1329" i="4"/>
  <c r="D1343" i="4"/>
  <c r="H1343" i="4"/>
  <c r="J1343" i="4"/>
  <c r="I1343" i="4"/>
  <c r="G1343" i="4"/>
  <c r="F1343" i="4"/>
  <c r="C1343" i="4"/>
  <c r="B1343" i="4"/>
  <c r="H1365" i="4"/>
  <c r="F1365" i="4"/>
  <c r="D1365" i="4"/>
  <c r="G1365" i="4"/>
  <c r="E1365" i="4"/>
  <c r="C1365" i="4"/>
  <c r="B1365" i="4"/>
  <c r="J1365" i="4"/>
  <c r="I1365" i="4"/>
  <c r="J1380" i="4"/>
  <c r="B1380" i="4"/>
  <c r="H1380" i="4"/>
  <c r="F1380" i="4"/>
  <c r="I1380" i="4"/>
  <c r="G1380" i="4"/>
  <c r="E1380" i="4"/>
  <c r="J1259" i="4"/>
  <c r="J1270" i="4"/>
  <c r="D1280" i="4"/>
  <c r="J1280" i="4"/>
  <c r="B1280" i="4"/>
  <c r="H1286" i="4"/>
  <c r="F1286" i="4"/>
  <c r="E1286" i="4"/>
  <c r="J1293" i="4"/>
  <c r="B1293" i="4"/>
  <c r="H1293" i="4"/>
  <c r="G1293" i="4"/>
  <c r="F1299" i="4"/>
  <c r="D1299" i="4"/>
  <c r="C1299" i="4"/>
  <c r="J1306" i="4"/>
  <c r="B1306" i="4"/>
  <c r="H1306" i="4"/>
  <c r="F1306" i="4"/>
  <c r="D1306" i="4"/>
  <c r="C1306" i="4"/>
  <c r="D1313" i="4"/>
  <c r="J1313" i="4"/>
  <c r="B1313" i="4"/>
  <c r="H1313" i="4"/>
  <c r="G1313" i="4"/>
  <c r="F1324" i="4"/>
  <c r="D1324" i="4"/>
  <c r="H1324" i="4"/>
  <c r="E1324" i="4"/>
  <c r="C1324" i="4"/>
  <c r="D1333" i="4"/>
  <c r="E1333" i="4"/>
  <c r="C1333" i="4"/>
  <c r="B1333" i="4"/>
  <c r="I1333" i="4"/>
  <c r="G1333" i="4"/>
  <c r="F1333" i="4"/>
  <c r="H1341" i="4"/>
  <c r="D1341" i="4"/>
  <c r="I1341" i="4"/>
  <c r="G1341" i="4"/>
  <c r="F1341" i="4"/>
  <c r="E1341" i="4"/>
  <c r="C1341" i="4"/>
  <c r="H1357" i="4"/>
  <c r="F1357" i="4"/>
  <c r="D1357" i="4"/>
  <c r="J1357" i="4"/>
  <c r="I1357" i="4"/>
  <c r="G1357" i="4"/>
  <c r="E1357" i="4"/>
  <c r="F1366" i="4"/>
  <c r="D1366" i="4"/>
  <c r="J1366" i="4"/>
  <c r="B1366" i="4"/>
  <c r="I1366" i="4"/>
  <c r="H1366" i="4"/>
  <c r="G1366" i="4"/>
  <c r="E1366" i="4"/>
  <c r="C1366" i="4"/>
  <c r="J1388" i="4"/>
  <c r="B1388" i="4"/>
  <c r="H1388" i="4"/>
  <c r="F1388" i="4"/>
  <c r="G1388" i="4"/>
  <c r="E1388" i="4"/>
  <c r="D1388" i="4"/>
  <c r="C1388" i="4"/>
  <c r="I1388" i="4"/>
  <c r="B1259" i="4"/>
  <c r="J1260" i="4"/>
  <c r="B1260" i="4"/>
  <c r="J1261" i="4"/>
  <c r="B1270" i="4"/>
  <c r="J1271" i="4"/>
  <c r="C1280" i="4"/>
  <c r="B1286" i="4"/>
  <c r="C1293" i="4"/>
  <c r="H1298" i="4"/>
  <c r="F1298" i="4"/>
  <c r="E1298" i="4"/>
  <c r="B1299" i="4"/>
  <c r="E1306" i="4"/>
  <c r="F1308" i="4"/>
  <c r="D1308" i="4"/>
  <c r="H1308" i="4"/>
  <c r="E1308" i="4"/>
  <c r="C1308" i="4"/>
  <c r="C1313" i="4"/>
  <c r="B1324" i="4"/>
  <c r="J1326" i="4"/>
  <c r="B1326" i="4"/>
  <c r="H1326" i="4"/>
  <c r="I1326" i="4"/>
  <c r="F1326" i="4"/>
  <c r="E1326" i="4"/>
  <c r="H1333" i="4"/>
  <c r="B1341" i="4"/>
  <c r="J1344" i="4"/>
  <c r="B1344" i="4"/>
  <c r="F1344" i="4"/>
  <c r="I1344" i="4"/>
  <c r="H1344" i="4"/>
  <c r="G1344" i="4"/>
  <c r="H1353" i="4"/>
  <c r="F1353" i="4"/>
  <c r="D1353" i="4"/>
  <c r="J1353" i="4"/>
  <c r="I1353" i="4"/>
  <c r="G1353" i="4"/>
  <c r="E1353" i="4"/>
  <c r="D1367" i="4"/>
  <c r="J1367" i="4"/>
  <c r="B1367" i="4"/>
  <c r="H1367" i="4"/>
  <c r="I1367" i="4"/>
  <c r="G1367" i="4"/>
  <c r="F1370" i="4"/>
  <c r="D1370" i="4"/>
  <c r="J1370" i="4"/>
  <c r="B1370" i="4"/>
  <c r="H1370" i="4"/>
  <c r="G1370" i="4"/>
  <c r="E1370" i="4"/>
  <c r="C1370" i="4"/>
  <c r="I1284" i="4"/>
  <c r="I1288" i="4"/>
  <c r="I1292" i="4"/>
  <c r="I1296" i="4"/>
  <c r="I1300" i="4"/>
  <c r="F1304" i="4"/>
  <c r="D1304" i="4"/>
  <c r="D1305" i="4"/>
  <c r="J1305" i="4"/>
  <c r="B1305" i="4"/>
  <c r="G1314" i="4"/>
  <c r="H1319" i="4"/>
  <c r="F1319" i="4"/>
  <c r="F1320" i="4"/>
  <c r="D1320" i="4"/>
  <c r="D1321" i="4"/>
  <c r="J1321" i="4"/>
  <c r="B1321" i="4"/>
  <c r="F1332" i="4"/>
  <c r="E1332" i="4"/>
  <c r="D1332" i="4"/>
  <c r="J1336" i="4"/>
  <c r="B1336" i="4"/>
  <c r="F1336" i="4"/>
  <c r="E1336" i="4"/>
  <c r="D1336" i="4"/>
  <c r="C1336" i="4"/>
  <c r="D1351" i="4"/>
  <c r="J1351" i="4"/>
  <c r="H1351" i="4"/>
  <c r="F1351" i="4"/>
  <c r="E1351" i="4"/>
  <c r="C1351" i="4"/>
  <c r="B1351" i="4"/>
  <c r="F1358" i="4"/>
  <c r="D1358" i="4"/>
  <c r="J1358" i="4"/>
  <c r="B1358" i="4"/>
  <c r="I1358" i="4"/>
  <c r="H1358" i="4"/>
  <c r="B1284" i="4"/>
  <c r="J1284" i="4"/>
  <c r="B1288" i="4"/>
  <c r="B1292" i="4"/>
  <c r="B1296" i="4"/>
  <c r="B1300" i="4"/>
  <c r="B1304" i="4"/>
  <c r="J1318" i="4"/>
  <c r="B1318" i="4"/>
  <c r="H1318" i="4"/>
  <c r="H1331" i="4"/>
  <c r="G1331" i="4"/>
  <c r="F1331" i="4"/>
  <c r="F1338" i="4"/>
  <c r="J1338" i="4"/>
  <c r="B1338" i="4"/>
  <c r="G1338" i="4"/>
  <c r="E1338" i="4"/>
  <c r="D1338" i="4"/>
  <c r="D1375" i="4"/>
  <c r="J1375" i="4"/>
  <c r="B1375" i="4"/>
  <c r="H1375" i="4"/>
  <c r="I1375" i="4"/>
  <c r="G1375" i="4"/>
  <c r="F1375" i="4"/>
  <c r="E1375" i="4"/>
  <c r="H1385" i="4"/>
  <c r="F1385" i="4"/>
  <c r="D1385" i="4"/>
  <c r="J1385" i="4"/>
  <c r="I1385" i="4"/>
  <c r="G1385" i="4"/>
  <c r="H1389" i="4"/>
  <c r="F1389" i="4"/>
  <c r="D1389" i="4"/>
  <c r="J1389" i="4"/>
  <c r="I1389" i="4"/>
  <c r="G1389" i="4"/>
  <c r="E1389" i="4"/>
  <c r="J1314" i="4"/>
  <c r="B1314" i="4"/>
  <c r="H1314" i="4"/>
  <c r="D1335" i="4"/>
  <c r="H1335" i="4"/>
  <c r="E1335" i="4"/>
  <c r="C1335" i="4"/>
  <c r="B1335" i="4"/>
  <c r="F1342" i="4"/>
  <c r="J1342" i="4"/>
  <c r="B1342" i="4"/>
  <c r="I1342" i="4"/>
  <c r="H1342" i="4"/>
  <c r="G1342" i="4"/>
  <c r="J1352" i="4"/>
  <c r="B1352" i="4"/>
  <c r="H1352" i="4"/>
  <c r="F1352" i="4"/>
  <c r="I1352" i="4"/>
  <c r="G1352" i="4"/>
  <c r="E1352" i="4"/>
  <c r="D1352" i="4"/>
  <c r="J1356" i="4"/>
  <c r="B1356" i="4"/>
  <c r="H1356" i="4"/>
  <c r="F1356" i="4"/>
  <c r="G1356" i="4"/>
  <c r="E1356" i="4"/>
  <c r="D1356" i="4"/>
  <c r="C1356" i="4"/>
  <c r="J1376" i="4"/>
  <c r="B1376" i="4"/>
  <c r="H1376" i="4"/>
  <c r="F1376" i="4"/>
  <c r="I1376" i="4"/>
  <c r="G1376" i="4"/>
  <c r="C1385" i="4"/>
  <c r="C1389" i="4"/>
  <c r="H1393" i="4"/>
  <c r="F1393" i="4"/>
  <c r="D1393" i="4"/>
  <c r="I1393" i="4"/>
  <c r="G1393" i="4"/>
  <c r="E1393" i="4"/>
  <c r="C1393" i="4"/>
  <c r="H1397" i="4"/>
  <c r="F1397" i="4"/>
  <c r="D1397" i="4"/>
  <c r="G1397" i="4"/>
  <c r="E1397" i="4"/>
  <c r="C1397" i="4"/>
  <c r="B1397" i="4"/>
  <c r="H1330" i="4"/>
  <c r="F1334" i="4"/>
  <c r="J1334" i="4"/>
  <c r="B1334" i="4"/>
  <c r="H1349" i="4"/>
  <c r="D1349" i="4"/>
  <c r="F1350" i="4"/>
  <c r="J1350" i="4"/>
  <c r="B1350" i="4"/>
  <c r="J1360" i="4"/>
  <c r="B1360" i="4"/>
  <c r="H1360" i="4"/>
  <c r="F1360" i="4"/>
  <c r="H1369" i="4"/>
  <c r="F1369" i="4"/>
  <c r="D1369" i="4"/>
  <c r="F1374" i="4"/>
  <c r="D1374" i="4"/>
  <c r="J1374" i="4"/>
  <c r="B1374" i="4"/>
  <c r="I1381" i="4"/>
  <c r="D1383" i="4"/>
  <c r="J1383" i="4"/>
  <c r="B1383" i="4"/>
  <c r="H1383" i="4"/>
  <c r="J1392" i="4"/>
  <c r="B1392" i="4"/>
  <c r="H1392" i="4"/>
  <c r="F1392" i="4"/>
  <c r="I1330" i="4"/>
  <c r="D1347" i="4"/>
  <c r="H1347" i="4"/>
  <c r="J1348" i="4"/>
  <c r="B1348" i="4"/>
  <c r="F1348" i="4"/>
  <c r="D1355" i="4"/>
  <c r="J1355" i="4"/>
  <c r="B1355" i="4"/>
  <c r="H1355" i="4"/>
  <c r="J1364" i="4"/>
  <c r="B1364" i="4"/>
  <c r="H1364" i="4"/>
  <c r="F1364" i="4"/>
  <c r="H1373" i="4"/>
  <c r="F1373" i="4"/>
  <c r="D1373" i="4"/>
  <c r="F1378" i="4"/>
  <c r="D1378" i="4"/>
  <c r="J1378" i="4"/>
  <c r="B1378" i="4"/>
  <c r="D1387" i="4"/>
  <c r="J1387" i="4"/>
  <c r="B1387" i="4"/>
  <c r="H1387" i="4"/>
  <c r="J1396" i="4"/>
  <c r="B1396" i="4"/>
  <c r="H1396" i="4"/>
  <c r="F1396" i="4"/>
  <c r="B1330" i="4"/>
  <c r="D1334" i="4"/>
  <c r="H1345" i="4"/>
  <c r="D1345" i="4"/>
  <c r="F1346" i="4"/>
  <c r="J1346" i="4"/>
  <c r="B1346" i="4"/>
  <c r="B1347" i="4"/>
  <c r="C1348" i="4"/>
  <c r="C1349" i="4"/>
  <c r="D1350" i="4"/>
  <c r="C1355" i="4"/>
  <c r="D1359" i="4"/>
  <c r="J1359" i="4"/>
  <c r="B1359" i="4"/>
  <c r="H1359" i="4"/>
  <c r="D1360" i="4"/>
  <c r="C1364" i="4"/>
  <c r="J1368" i="4"/>
  <c r="B1368" i="4"/>
  <c r="H1368" i="4"/>
  <c r="F1368" i="4"/>
  <c r="C1369" i="4"/>
  <c r="B1373" i="4"/>
  <c r="E1374" i="4"/>
  <c r="H1377" i="4"/>
  <c r="F1377" i="4"/>
  <c r="D1377" i="4"/>
  <c r="C1378" i="4"/>
  <c r="F1382" i="4"/>
  <c r="D1382" i="4"/>
  <c r="J1382" i="4"/>
  <c r="B1382" i="4"/>
  <c r="E1383" i="4"/>
  <c r="C1387" i="4"/>
  <c r="D1391" i="4"/>
  <c r="J1391" i="4"/>
  <c r="B1391" i="4"/>
  <c r="H1391" i="4"/>
  <c r="D1392" i="4"/>
  <c r="C1396" i="4"/>
  <c r="F1354" i="4"/>
  <c r="D1354" i="4"/>
  <c r="J1354" i="4"/>
  <c r="B1354" i="4"/>
  <c r="D1363" i="4"/>
  <c r="J1363" i="4"/>
  <c r="B1363" i="4"/>
  <c r="H1363" i="4"/>
  <c r="J1372" i="4"/>
  <c r="B1372" i="4"/>
  <c r="H1372" i="4"/>
  <c r="F1372" i="4"/>
  <c r="H1381" i="4"/>
  <c r="F1381" i="4"/>
  <c r="D1381" i="4"/>
  <c r="F1386" i="4"/>
  <c r="D1386" i="4"/>
  <c r="J1386" i="4"/>
  <c r="B1386" i="4"/>
  <c r="D1395" i="4"/>
  <c r="J1395" i="4"/>
  <c r="B1395" i="4"/>
  <c r="H1395" i="4"/>
  <c r="D1399" i="4"/>
  <c r="J1399" i="4"/>
  <c r="B1399" i="4"/>
  <c r="H1399" i="4"/>
  <c r="G1399" i="4"/>
  <c r="I1398" i="4"/>
  <c r="E1400" i="4"/>
  <c r="B1398" i="4"/>
  <c r="J1398" i="4"/>
  <c r="F1400" i="4"/>
  <c r="D1398" i="4"/>
  <c r="H1400" i="4"/>
  <c r="I1400" i="4"/>
  <c r="B1400" i="4"/>
  <c r="S14" i="3" l="1"/>
  <c r="AT12" i="3"/>
  <c r="AM12" i="3"/>
  <c r="F12" i="3"/>
  <c r="AM15" i="3"/>
  <c r="U12" i="3"/>
  <c r="L14" i="3"/>
  <c r="V12" i="3"/>
  <c r="AH12" i="3"/>
  <c r="AK13" i="3"/>
  <c r="Q13" i="3"/>
  <c r="R13" i="3"/>
  <c r="K13" i="3"/>
  <c r="U13" i="3"/>
  <c r="AS15" i="3"/>
  <c r="AP13" i="3"/>
  <c r="X12" i="3"/>
  <c r="AL15" i="3"/>
  <c r="AC13" i="3"/>
  <c r="H12" i="3"/>
  <c r="AT15" i="3"/>
  <c r="AO12" i="3"/>
  <c r="AQ15" i="3"/>
  <c r="J13" i="3"/>
  <c r="H13" i="3"/>
  <c r="AH14" i="3"/>
  <c r="E12" i="3"/>
  <c r="AD12" i="3"/>
  <c r="C14" i="3"/>
  <c r="AR13" i="3"/>
  <c r="Y12" i="3"/>
  <c r="AI13" i="3"/>
  <c r="T14" i="3"/>
  <c r="AL13" i="3"/>
  <c r="AR14" i="3"/>
  <c r="AP15" i="3"/>
  <c r="L13" i="3"/>
  <c r="AR12" i="3"/>
  <c r="P14" i="3"/>
  <c r="I13" i="3"/>
  <c r="I15" i="3"/>
  <c r="X13" i="3"/>
  <c r="AB13" i="3"/>
  <c r="AJ13" i="3"/>
  <c r="H14" i="3"/>
  <c r="O13" i="3"/>
  <c r="V13" i="3"/>
  <c r="AJ12" i="3"/>
  <c r="AD13" i="3"/>
  <c r="AM14" i="3"/>
  <c r="F13" i="3"/>
  <c r="T13" i="3"/>
  <c r="B12" i="3"/>
  <c r="AM13" i="3"/>
  <c r="M13" i="3"/>
  <c r="AK15" i="3"/>
  <c r="W13" i="3"/>
  <c r="AE13" i="3"/>
  <c r="S12" i="3"/>
  <c r="N12" i="3"/>
  <c r="AE14" i="3"/>
  <c r="AK12" i="3"/>
  <c r="D15" i="3"/>
  <c r="AH13" i="3"/>
  <c r="G13" i="3"/>
  <c r="AA12" i="3"/>
  <c r="AQ12" i="3"/>
  <c r="AI12" i="3"/>
  <c r="AQ14" i="3"/>
  <c r="B14" i="3"/>
  <c r="AO13" i="3"/>
  <c r="I12" i="3"/>
  <c r="Z12" i="3"/>
  <c r="J12" i="3"/>
  <c r="E13" i="3"/>
  <c r="AE12" i="3"/>
  <c r="C15" i="3"/>
  <c r="O14" i="3"/>
  <c r="Y13" i="3"/>
  <c r="AL12" i="3"/>
  <c r="AG13" i="3"/>
  <c r="Z13" i="3"/>
  <c r="AB12" i="3"/>
  <c r="K12" i="3"/>
  <c r="U14" i="3"/>
  <c r="E14" i="3"/>
  <c r="T12" i="3"/>
  <c r="G12" i="3"/>
  <c r="C12" i="3"/>
  <c r="AG12" i="3"/>
  <c r="J15" i="3"/>
  <c r="Q12" i="3"/>
  <c r="AS12" i="3"/>
  <c r="F14" i="3"/>
  <c r="L12" i="3"/>
  <c r="AF13" i="3"/>
  <c r="W12" i="3"/>
  <c r="F15" i="3"/>
  <c r="R12" i="3"/>
  <c r="N13" i="3"/>
  <c r="D12" i="3"/>
  <c r="AT14" i="3"/>
  <c r="AA14" i="3"/>
  <c r="D13" i="3"/>
  <c r="AN15" i="3"/>
  <c r="AP12" i="3"/>
  <c r="C13" i="3"/>
  <c r="AK14" i="3"/>
  <c r="AF12" i="3"/>
  <c r="AN12" i="3"/>
  <c r="B5" i="6"/>
  <c r="C2" i="4"/>
  <c r="B2" i="1"/>
  <c r="B2" i="4" s="1"/>
</calcChain>
</file>

<file path=xl/sharedStrings.xml><?xml version="1.0" encoding="utf-8"?>
<sst xmlns="http://schemas.openxmlformats.org/spreadsheetml/2006/main" count="6899" uniqueCount="2923">
  <si>
    <t>N°</t>
  </si>
  <si>
    <t>PRECEDENCIA</t>
  </si>
  <si>
    <t>FUENTE</t>
  </si>
  <si>
    <t>TRATAMIENTO</t>
  </si>
  <si>
    <t>TRIBUNA</t>
  </si>
  <si>
    <t>NOMBRE COMPLETO</t>
  </si>
  <si>
    <t>NOMBRE</t>
  </si>
  <si>
    <t>APE. P.</t>
  </si>
  <si>
    <t>APE. M.</t>
  </si>
  <si>
    <t>AST.</t>
  </si>
  <si>
    <t>CARGO</t>
  </si>
  <si>
    <t>OBSERVACIONES</t>
  </si>
  <si>
    <t>TRIBUNA BASE</t>
  </si>
  <si>
    <t>DISTRIBUYE</t>
  </si>
  <si>
    <t>SEMAFORO</t>
  </si>
  <si>
    <t>ASIENTO</t>
  </si>
  <si>
    <t>OPA</t>
  </si>
  <si>
    <t>Su Excelencia</t>
  </si>
  <si>
    <t>Kast Rist, José Antonio</t>
  </si>
  <si>
    <t>José Antonio</t>
  </si>
  <si>
    <t>Kast</t>
  </si>
  <si>
    <t>Rist</t>
  </si>
  <si>
    <t>SI</t>
  </si>
  <si>
    <t>* Presidente de la República</t>
  </si>
  <si>
    <t>VIP</t>
  </si>
  <si>
    <t>A23</t>
  </si>
  <si>
    <t>Primera Dama</t>
  </si>
  <si>
    <t>Adriasola Barroihet, María Pía</t>
  </si>
  <si>
    <t>María Pía</t>
  </si>
  <si>
    <t>Adriasola</t>
  </si>
  <si>
    <t>Barroihet</t>
  </si>
  <si>
    <t>Esposa del Presidente de la República</t>
  </si>
  <si>
    <t>A24</t>
  </si>
  <si>
    <t>Ministro</t>
  </si>
  <si>
    <t>Barros Tocornal, Fernando</t>
  </si>
  <si>
    <t>Fernando</t>
  </si>
  <si>
    <t>Barros</t>
  </si>
  <si>
    <t>Tocornal</t>
  </si>
  <si>
    <t>*Ministro de Defensa Nacional</t>
  </si>
  <si>
    <t>A22</t>
  </si>
  <si>
    <t>Almirante</t>
  </si>
  <si>
    <t>Cabrera Salazar, Fernando</t>
  </si>
  <si>
    <t>Cabrera</t>
  </si>
  <si>
    <t>Salazar</t>
  </si>
  <si>
    <t>*Comandante en Jefe de la Armada</t>
  </si>
  <si>
    <t>A21</t>
  </si>
  <si>
    <t>Señora</t>
  </si>
  <si>
    <t>Mery, Roxana</t>
  </si>
  <si>
    <t>Roxana</t>
  </si>
  <si>
    <t>Mery</t>
  </si>
  <si>
    <t>Casella</t>
  </si>
  <si>
    <t>Esposa del Comandante en Jefe de la Armada</t>
  </si>
  <si>
    <t>A25</t>
  </si>
  <si>
    <t>Morel Montes, María Cecilia</t>
  </si>
  <si>
    <t>María Cecilia</t>
  </si>
  <si>
    <t>Morel</t>
  </si>
  <si>
    <t>Montes</t>
  </si>
  <si>
    <t>PENDIENTE</t>
  </si>
  <si>
    <t>Ex - Primera Dama</t>
  </si>
  <si>
    <t>A20</t>
  </si>
  <si>
    <t>Honorable Senador</t>
  </si>
  <si>
    <t>Núñez Urrutia, Paulina</t>
  </si>
  <si>
    <t xml:space="preserve">Iván </t>
  </si>
  <si>
    <t>Moreira</t>
  </si>
  <si>
    <t>*Presidenta del Senado (Representante).</t>
  </si>
  <si>
    <t>A26</t>
  </si>
  <si>
    <t>Honorable Diputado</t>
  </si>
  <si>
    <t>Alessandri Vergara, Jorge</t>
  </si>
  <si>
    <t>Jorge</t>
  </si>
  <si>
    <t>Alessandri</t>
  </si>
  <si>
    <t>Vergara</t>
  </si>
  <si>
    <t>NO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</si>
  <si>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</si>
  <si>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</si>
  <si>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</si>
  <si>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</si>
  <si>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</si>
  <si>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</si>
  <si>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A19</t>
  </si>
  <si>
    <t>Bachelet Jeria, Michelle</t>
  </si>
  <si>
    <t>Michelle</t>
  </si>
  <si>
    <t>Bachelet</t>
  </si>
  <si>
    <t>Jeria</t>
  </si>
  <si>
    <t>Ex Presidenta de la República</t>
  </si>
  <si>
    <t>A27</t>
  </si>
  <si>
    <t>Lagos Escobar, Ricardo</t>
  </si>
  <si>
    <t>Ricardo</t>
  </si>
  <si>
    <t>Lagos</t>
  </si>
  <si>
    <t>Escobar</t>
  </si>
  <si>
    <t>A18</t>
  </si>
  <si>
    <t>Frei Ruiz-tagle, Eduardo</t>
  </si>
  <si>
    <t>Eduardo</t>
  </si>
  <si>
    <t>Frei</t>
  </si>
  <si>
    <t>Ruiz-tagle</t>
  </si>
  <si>
    <t>A28</t>
  </si>
  <si>
    <t>Presidente</t>
  </si>
  <si>
    <t>Marzi Muñoz, Daniela</t>
  </si>
  <si>
    <t>Daniela</t>
  </si>
  <si>
    <t>Marzi</t>
  </si>
  <si>
    <t>Muñoz</t>
  </si>
  <si>
    <t>Presidente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</si>
  <si>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</si>
  <si>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</si>
  <si>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</si>
  <si>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</si>
  <si>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</si>
  <si>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</si>
  <si>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</si>
  <si>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</si>
  <si>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</si>
  <si>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</si>
  <si>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</si>
  <si>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</si>
  <si>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</si>
  <si>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</si>
  <si>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</si>
  <si>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</si>
  <si>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</si>
  <si>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A17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</si>
  <si>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</si>
  <si>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</si>
  <si>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</si>
  <si>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</si>
  <si>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</si>
  <si>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</si>
  <si>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</si>
  <si>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</si>
  <si>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</si>
  <si>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</si>
  <si>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</si>
  <si>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</si>
  <si>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</si>
  <si>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</si>
  <si>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</si>
  <si>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</si>
  <si>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</si>
  <si>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</si>
  <si>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</si>
  <si>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</si>
  <si>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</si>
  <si>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</si>
  <si>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</si>
  <si>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</si>
  <si>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</si>
  <si>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</si>
  <si>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</si>
  <si>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</si>
  <si>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A29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</si>
  <si>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</si>
  <si>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</si>
  <si>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</si>
  <si>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</si>
  <si>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</si>
  <si>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</si>
  <si>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</si>
  <si>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</si>
  <si>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</si>
  <si>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</si>
  <si>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</si>
  <si>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</si>
  <si>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</si>
  <si>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A16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</si>
  <si>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</si>
  <si>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</si>
  <si>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</si>
  <si>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</si>
  <si>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</si>
  <si>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</si>
  <si>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</si>
  <si>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</si>
  <si>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</si>
  <si>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</si>
  <si>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</si>
  <si>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</si>
  <si>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</si>
  <si>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A30</t>
  </si>
  <si>
    <t>Delpiano Puelma, Adriana</t>
  </si>
  <si>
    <t>Adriana</t>
  </si>
  <si>
    <t>Delpiano</t>
  </si>
  <si>
    <t>Puelma</t>
  </si>
  <si>
    <t>A15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</si>
  <si>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</si>
  <si>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</si>
  <si>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</si>
  <si>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</si>
  <si>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</si>
  <si>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</si>
  <si>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</si>
  <si>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</si>
  <si>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</si>
  <si>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</si>
  <si>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</si>
  <si>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</si>
  <si>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</si>
  <si>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</si>
  <si>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A31</t>
  </si>
  <si>
    <t>Kotkajarvi, Johanna</t>
  </si>
  <si>
    <t>Johanna</t>
  </si>
  <si>
    <t>Kotkajarvi</t>
  </si>
  <si>
    <t>Embajadora de Finlandia en Chile</t>
  </si>
  <si>
    <t>A14</t>
  </si>
  <si>
    <t>Biagiotti, Valeria</t>
  </si>
  <si>
    <t>Valeria</t>
  </si>
  <si>
    <t>Biagiotti</t>
  </si>
  <si>
    <t>Embajadora de Italia en Chile</t>
  </si>
  <si>
    <t>A32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</si>
  <si>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</si>
  <si>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</si>
  <si>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</si>
  <si>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</si>
  <si>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</si>
  <si>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</si>
  <si>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</si>
  <si>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</si>
  <si>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</si>
  <si>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</si>
  <si>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</si>
  <si>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</si>
  <si>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</si>
  <si>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</si>
  <si>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</si>
  <si>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</si>
  <si>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</si>
  <si>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A13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</si>
  <si>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</si>
  <si>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</si>
  <si>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</si>
  <si>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</si>
  <si>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</si>
  <si>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</si>
  <si>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</si>
  <si>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</si>
  <si>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</si>
  <si>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</si>
  <si>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</si>
  <si>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</si>
  <si>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A33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</si>
  <si>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</si>
  <si>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</si>
  <si>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</si>
  <si>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</si>
  <si>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</si>
  <si>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</si>
  <si>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</si>
  <si>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</si>
  <si>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</si>
  <si>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A12</t>
  </si>
  <si>
    <t>Guay Guay, Karolina Linda</t>
  </si>
  <si>
    <t>Karolina Linda</t>
  </si>
  <si>
    <t>Guay</t>
  </si>
  <si>
    <t>Embajadora de Canadá en Chile</t>
  </si>
  <si>
    <t>A34</t>
  </si>
  <si>
    <t>Pollen Nilsen, Per</t>
  </si>
  <si>
    <t>Per</t>
  </si>
  <si>
    <t>Pollen</t>
  </si>
  <si>
    <t>Nilsen</t>
  </si>
  <si>
    <t>Embajador de Noruega en Chile</t>
  </si>
  <si>
    <t>A11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</si>
  <si>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</si>
  <si>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</si>
  <si>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</si>
  <si>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</si>
  <si>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</si>
  <si>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</si>
  <si>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</si>
  <si>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</si>
  <si>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</si>
  <si>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</si>
  <si>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A35</t>
  </si>
  <si>
    <t>Andrade Abdo, Lotty Farah</t>
  </si>
  <si>
    <t>Lotty Farah</t>
  </si>
  <si>
    <t>Abdo</t>
  </si>
  <si>
    <t>Embajadora de Ecuador en Chile</t>
  </si>
  <si>
    <t>A10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</si>
  <si>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</si>
  <si>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</si>
  <si>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</si>
  <si>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</si>
  <si>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</si>
  <si>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</si>
  <si>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</si>
  <si>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</si>
  <si>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</si>
  <si>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A36</t>
  </si>
  <si>
    <t>Sone, Kenko</t>
  </si>
  <si>
    <t>Sone</t>
  </si>
  <si>
    <t>Kenko</t>
  </si>
  <si>
    <t>Embajadora de Japón en Chile</t>
  </si>
  <si>
    <t>A9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</si>
  <si>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</si>
  <si>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</si>
  <si>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</si>
  <si>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</si>
  <si>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</si>
  <si>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</si>
  <si>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</si>
  <si>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</si>
  <si>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</si>
  <si>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</si>
  <si>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</si>
  <si>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</si>
  <si>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A37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</si>
  <si>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</si>
  <si>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</si>
  <si>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</si>
  <si>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</si>
  <si>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</si>
  <si>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</si>
  <si>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</si>
  <si>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</si>
  <si>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</si>
  <si>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</si>
  <si>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</si>
  <si>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</si>
  <si>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A8</t>
  </si>
  <si>
    <t>General</t>
  </si>
  <si>
    <t>Varela Sabando, Pedro</t>
  </si>
  <si>
    <t>Pedro</t>
  </si>
  <si>
    <t>Sabando</t>
  </si>
  <si>
    <t>*Comandante en Jefe del Ejército</t>
  </si>
  <si>
    <t>A38</t>
  </si>
  <si>
    <t>Rodríguez González, Hugo</t>
  </si>
  <si>
    <t>Miguel</t>
  </si>
  <si>
    <t>Stange</t>
  </si>
  <si>
    <t>*Comandante en Jefe de la Fuerza Aérea de Chile (S)</t>
  </si>
  <si>
    <t>A7</t>
  </si>
  <si>
    <t>General Director</t>
  </si>
  <si>
    <t>Araya Zapata, Marcelo</t>
  </si>
  <si>
    <t>Marcelo</t>
  </si>
  <si>
    <t>Araya</t>
  </si>
  <si>
    <t>Zapata</t>
  </si>
  <si>
    <t>*General Director de Carabineros de Chile</t>
  </si>
  <si>
    <t>A39</t>
  </si>
  <si>
    <t>Director General</t>
  </si>
  <si>
    <t>Cerna Lozano, Eduardo</t>
  </si>
  <si>
    <t>Cerna</t>
  </si>
  <si>
    <t>Lozano</t>
  </si>
  <si>
    <t>*Director General de la Policía de Investigaciones de Chile</t>
  </si>
  <si>
    <t>A6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</si>
  <si>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</si>
  <si>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</si>
  <si>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</si>
  <si>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</si>
  <si>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</si>
  <si>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</si>
  <si>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</si>
  <si>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</si>
  <si>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</si>
  <si>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</si>
  <si>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</si>
  <si>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A40</t>
  </si>
  <si>
    <t>González Robles, Edmundo</t>
  </si>
  <si>
    <t>Edmundo</t>
  </si>
  <si>
    <t>Robles</t>
  </si>
  <si>
    <t>Larrañaga Martin, Marcela</t>
  </si>
  <si>
    <t>Marcela</t>
  </si>
  <si>
    <t>Madrina</t>
  </si>
  <si>
    <t>A5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</si>
  <si>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</si>
  <si>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</si>
  <si>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</si>
  <si>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</si>
  <si>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</si>
  <si>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</si>
  <si>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</si>
  <si>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</si>
  <si>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A41</t>
  </si>
  <si>
    <t>Gobernador</t>
  </si>
  <si>
    <t>Giacaman García, Sergio</t>
  </si>
  <si>
    <t>Sergio</t>
  </si>
  <si>
    <t>Giacaman</t>
  </si>
  <si>
    <t>García</t>
  </si>
  <si>
    <t>Gobernador Región Bio Bio</t>
  </si>
  <si>
    <t>A4</t>
  </si>
  <si>
    <t>Flies Añon, Jorge</t>
  </si>
  <si>
    <t>Flies</t>
  </si>
  <si>
    <t>Añon</t>
  </si>
  <si>
    <t>Gobernador Región de Magallanes</t>
  </si>
  <si>
    <t>A42</t>
  </si>
  <si>
    <t>Delegado Presidencial</t>
  </si>
  <si>
    <t>Anativia Zamora, Julio</t>
  </si>
  <si>
    <t>Anativia</t>
  </si>
  <si>
    <t>Zamora</t>
  </si>
  <si>
    <t>Delegado Presidencial Región de Bio Bio</t>
  </si>
  <si>
    <t>A3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</si>
  <si>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</si>
  <si>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</si>
  <si>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</si>
  <si>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</si>
  <si>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</si>
  <si>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</si>
  <si>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</si>
  <si>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A43</t>
  </si>
  <si>
    <t>Flores Oporto, Camila</t>
  </si>
  <si>
    <t>Camila</t>
  </si>
  <si>
    <t>Flores</t>
  </si>
  <si>
    <t>Oporto</t>
  </si>
  <si>
    <t>A2</t>
  </si>
  <si>
    <t>Saavedra Chandía, Gastón</t>
  </si>
  <si>
    <t>Gastón</t>
  </si>
  <si>
    <t>Saavedra</t>
  </si>
  <si>
    <t>Chandía</t>
  </si>
  <si>
    <t>A44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</si>
  <si>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</si>
  <si>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</si>
  <si>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</si>
  <si>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</si>
  <si>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</si>
  <si>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</si>
  <si>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</si>
  <si>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</si>
  <si>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</si>
  <si>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</si>
  <si>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</si>
  <si>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</si>
  <si>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</si>
  <si>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</si>
  <si>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</si>
  <si>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</si>
  <si>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</si>
  <si>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</si>
  <si>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</si>
  <si>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</si>
  <si>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</si>
  <si>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</si>
  <si>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</si>
  <si>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</si>
  <si>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</si>
  <si>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</si>
  <si>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</si>
  <si>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</si>
  <si>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A1</t>
  </si>
  <si>
    <t>Van Rysselberghe Herrera, Enrique</t>
  </si>
  <si>
    <t>Van Rysselberghe</t>
  </si>
  <si>
    <t>Herrera</t>
  </si>
  <si>
    <t>A45</t>
  </si>
  <si>
    <t>De Urresti Longton, Alfonso</t>
  </si>
  <si>
    <t>Alfonso</t>
  </si>
  <si>
    <t>De Urresti</t>
  </si>
  <si>
    <t>Longton</t>
  </si>
  <si>
    <t>Senador de la República</t>
  </si>
  <si>
    <t>B23</t>
  </si>
  <si>
    <t>Sanhueza Dueñas, Gustavo</t>
  </si>
  <si>
    <t>Gustavo</t>
  </si>
  <si>
    <t>Sanhueza</t>
  </si>
  <si>
    <t>Dueñas</t>
  </si>
  <si>
    <t>Circunsripción Zona Ñuble</t>
  </si>
  <si>
    <t>B22</t>
  </si>
  <si>
    <t>Carvajal Ambiado, Loreto</t>
  </si>
  <si>
    <t>Loreto</t>
  </si>
  <si>
    <t>Carvajal</t>
  </si>
  <si>
    <t>Ambiado</t>
  </si>
  <si>
    <t>B24</t>
  </si>
  <si>
    <t>Carter Fernández, Álvaro</t>
  </si>
  <si>
    <t>Álvaro</t>
  </si>
  <si>
    <t>Carter</t>
  </si>
  <si>
    <t>Presidente de la Comisión de Defensa Nacional</t>
  </si>
  <si>
    <t>B21</t>
  </si>
  <si>
    <t>Barraza Gómez, Marcos</t>
  </si>
  <si>
    <t>Marcos</t>
  </si>
  <si>
    <t>Barraza</t>
  </si>
  <si>
    <t>Gómez</t>
  </si>
  <si>
    <t>Integrante de la Comisión de Defensa Nacional</t>
  </si>
  <si>
    <t>B25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</si>
  <si>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</si>
  <si>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</si>
  <si>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</si>
  <si>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</si>
  <si>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</si>
  <si>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</si>
  <si>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</si>
  <si>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B20</t>
  </si>
  <si>
    <t>Cuadrado Prats, Carlos</t>
  </si>
  <si>
    <t>Carlos</t>
  </si>
  <si>
    <t>Cuadrado</t>
  </si>
  <si>
    <t>Prats</t>
  </si>
  <si>
    <t>B26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</si>
  <si>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</si>
  <si>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</si>
  <si>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</si>
  <si>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</si>
  <si>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</si>
  <si>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</si>
  <si>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</si>
  <si>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</si>
  <si>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</si>
  <si>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B19</t>
  </si>
  <si>
    <t>Olivares Avendaño, Javier</t>
  </si>
  <si>
    <t>Javier</t>
  </si>
  <si>
    <t>Olivares</t>
  </si>
  <si>
    <t>Avendaño</t>
  </si>
  <si>
    <t>B27</t>
  </si>
  <si>
    <t>Sabat Guzmán, Omar</t>
  </si>
  <si>
    <t>Omar</t>
  </si>
  <si>
    <t>Sabat</t>
  </si>
  <si>
    <t>Guzmán</t>
  </si>
  <si>
    <t>B18</t>
  </si>
  <si>
    <t>Sánchez Ossa, Luis</t>
  </si>
  <si>
    <t>Luis</t>
  </si>
  <si>
    <t>Sánchez</t>
  </si>
  <si>
    <t>Ossa</t>
  </si>
  <si>
    <t>B28</t>
  </si>
  <si>
    <t>Valenzuela Salazar, Daniel</t>
  </si>
  <si>
    <t>Valenzuela</t>
  </si>
  <si>
    <t>B17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</si>
  <si>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</si>
  <si>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</si>
  <si>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</si>
  <si>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</si>
  <si>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</si>
  <si>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</si>
  <si>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B29</t>
  </si>
  <si>
    <t>Briones Moller, Patricio</t>
  </si>
  <si>
    <t>Patricio</t>
  </si>
  <si>
    <t>Briones</t>
  </si>
  <si>
    <t>Moller</t>
  </si>
  <si>
    <t>Diputado Distrito 20</t>
  </si>
  <si>
    <t>B16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</si>
  <si>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</si>
  <si>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</si>
  <si>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</si>
  <si>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</si>
  <si>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</si>
  <si>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</si>
  <si>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</si>
  <si>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</si>
  <si>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B30</t>
  </si>
  <si>
    <t>Montalva Feuerhake, José</t>
  </si>
  <si>
    <t>José</t>
  </si>
  <si>
    <t>Montalva</t>
  </si>
  <si>
    <t>Feuerhake</t>
  </si>
  <si>
    <t>B15</t>
  </si>
  <si>
    <t>Neira Martínez, Cristian</t>
  </si>
  <si>
    <t>Cristian</t>
  </si>
  <si>
    <t>Neira</t>
  </si>
  <si>
    <t>B31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</si>
  <si>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</si>
  <si>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</si>
  <si>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</si>
  <si>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</si>
  <si>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</si>
  <si>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</si>
  <si>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</si>
  <si>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</si>
  <si>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B14</t>
  </si>
  <si>
    <t>Serrano Salazar, Daniela</t>
  </si>
  <si>
    <t>Serrano</t>
  </si>
  <si>
    <t>B32</t>
  </si>
  <si>
    <t>Veloso Ávila, Consuelo</t>
  </si>
  <si>
    <t>Consuelo</t>
  </si>
  <si>
    <t>Veloso</t>
  </si>
  <si>
    <t>Ávila</t>
  </si>
  <si>
    <t>B13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</si>
  <si>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</si>
  <si>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</si>
  <si>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</si>
  <si>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</si>
  <si>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</si>
  <si>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</si>
  <si>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</si>
  <si>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B33</t>
  </si>
  <si>
    <t>Arroyo Muñoz, Roberto</t>
  </si>
  <si>
    <t>Roberto</t>
  </si>
  <si>
    <t>Arroyo</t>
  </si>
  <si>
    <t>B12</t>
  </si>
  <si>
    <t>Bobadilla Muñoz, Sergio</t>
  </si>
  <si>
    <t>Bobadilla</t>
  </si>
  <si>
    <t>B34</t>
  </si>
  <si>
    <t>Charpentier Rajcevich, Paz</t>
  </si>
  <si>
    <t>Paz</t>
  </si>
  <si>
    <t>Charpentier</t>
  </si>
  <si>
    <t>Rajcevich</t>
  </si>
  <si>
    <t>B11</t>
  </si>
  <si>
    <t>Muñoz González, Francesca</t>
  </si>
  <si>
    <t>Francesca</t>
  </si>
  <si>
    <t>B35</t>
  </si>
  <si>
    <t>Ortíz Vera, Álvaro</t>
  </si>
  <si>
    <t>Ortíz</t>
  </si>
  <si>
    <t>Vera</t>
  </si>
  <si>
    <t>B10</t>
  </si>
  <si>
    <t>Pérez Cartes, Marlene</t>
  </si>
  <si>
    <t>Marlene</t>
  </si>
  <si>
    <t>Cartes</t>
  </si>
  <si>
    <t>B36</t>
  </si>
  <si>
    <t>Rivas Villalobos, José</t>
  </si>
  <si>
    <t>Rivas</t>
  </si>
  <si>
    <t>B9</t>
  </si>
  <si>
    <t>Betancurt Delgado, Lilian</t>
  </si>
  <si>
    <t>Lilian</t>
  </si>
  <si>
    <t>Betancurt</t>
  </si>
  <si>
    <t>Delgado</t>
  </si>
  <si>
    <t>Diputado Distrito 21</t>
  </si>
  <si>
    <t>B37</t>
  </si>
  <si>
    <t>Pérez Olea, Joanna</t>
  </si>
  <si>
    <t>Joanna</t>
  </si>
  <si>
    <t>Olea</t>
  </si>
  <si>
    <t>B8</t>
  </si>
  <si>
    <t>Pinilla Valencia, Patricio</t>
  </si>
  <si>
    <t>Pinilla</t>
  </si>
  <si>
    <t>B38</t>
  </si>
  <si>
    <t>Urruticoechea Ríos, Cristóbal</t>
  </si>
  <si>
    <t>Urruticoechea</t>
  </si>
  <si>
    <t>Ríos</t>
  </si>
  <si>
    <t>B7</t>
  </si>
  <si>
    <t>Weisse Novoa, Flor</t>
  </si>
  <si>
    <t>Flor</t>
  </si>
  <si>
    <t>Weisse</t>
  </si>
  <si>
    <t>Novoa</t>
  </si>
  <si>
    <t>B39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</si>
  <si>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</si>
  <si>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</si>
  <si>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</si>
  <si>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</si>
  <si>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</si>
  <si>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</si>
  <si>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</si>
  <si>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</si>
  <si>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</si>
  <si>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*Subsecretario de Defensa</t>
  </si>
  <si>
    <t>B6</t>
  </si>
  <si>
    <t>Bolívar Romero, Christian</t>
  </si>
  <si>
    <t>Christian</t>
  </si>
  <si>
    <t>Bolívar</t>
  </si>
  <si>
    <t>Romero</t>
  </si>
  <si>
    <t>*Subsecretario de las Fuerzas Armadas</t>
  </si>
  <si>
    <t>B40</t>
  </si>
  <si>
    <t>Rodríguez Oyarzún, Juan Pablo</t>
  </si>
  <si>
    <t>Juan Pablo</t>
  </si>
  <si>
    <t>Oyarzún</t>
  </si>
  <si>
    <t>Subsecretario de Hacienda</t>
  </si>
  <si>
    <t>Franz Koehler, Karl</t>
  </si>
  <si>
    <t>Karlfrans</t>
  </si>
  <si>
    <t>Koehler</t>
  </si>
  <si>
    <t>Dunkler</t>
  </si>
  <si>
    <t>Subsecretario de Economía y Empresas de Menor Tamaño</t>
  </si>
  <si>
    <t>Urrutia Silva, Osvaldo</t>
  </si>
  <si>
    <t>Osvaldo</t>
  </si>
  <si>
    <t>Urrutia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</si>
  <si>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</si>
  <si>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</si>
  <si>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</si>
  <si>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</si>
  <si>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</si>
  <si>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</si>
  <si>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B5</t>
  </si>
  <si>
    <t>Vicealmirante</t>
  </si>
  <si>
    <t>Cacho Morán, Julio</t>
  </si>
  <si>
    <t>Cacho</t>
  </si>
  <si>
    <t>Morán</t>
  </si>
  <si>
    <t>*Jefe del Estado Mayor de la Armada de Perú</t>
  </si>
  <si>
    <t>B41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</si>
  <si>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</si>
  <si>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</si>
  <si>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</si>
  <si>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</si>
  <si>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</si>
  <si>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</si>
  <si>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</si>
  <si>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DTS</t>
  </si>
  <si>
    <t>LATERAL VIP</t>
  </si>
  <si>
    <t>Ugarte Millán, Catalina</t>
  </si>
  <si>
    <t>Ugarte</t>
  </si>
  <si>
    <t>Millán</t>
  </si>
  <si>
    <t>Jefe Gabinete Precidencial</t>
  </si>
  <si>
    <t>B4</t>
  </si>
  <si>
    <t>Mujica Castro, José Ignacio</t>
  </si>
  <si>
    <t>José Ignacio</t>
  </si>
  <si>
    <t>Mujica</t>
  </si>
  <si>
    <t>Vicepresidente Corfo</t>
  </si>
  <si>
    <t>B42</t>
  </si>
  <si>
    <t>Señor</t>
  </si>
  <si>
    <t>Zapata González, Elizabeth</t>
  </si>
  <si>
    <t>Elizabeth</t>
  </si>
  <si>
    <t>Directora Desarrollo Tecnológico Corfo y Directora Ejecutiva Comité de Construcción Naval</t>
  </si>
  <si>
    <t>B3</t>
  </si>
  <si>
    <t>Browne Hurtado, Santiago</t>
  </si>
  <si>
    <t>Santiago</t>
  </si>
  <si>
    <t>Browne</t>
  </si>
  <si>
    <t>Hurtado</t>
  </si>
  <si>
    <t>Gerente de Asuntos Estratégicos (s) de Corfo</t>
  </si>
  <si>
    <t>B43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</si>
  <si>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</si>
  <si>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</si>
  <si>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</si>
  <si>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</si>
  <si>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</si>
  <si>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</si>
  <si>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</si>
  <si>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</si>
  <si>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</si>
  <si>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</si>
  <si>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</si>
  <si>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</si>
  <si>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B2</t>
  </si>
  <si>
    <t>Hentzschel, Fernando</t>
  </si>
  <si>
    <t>Hentzschel</t>
  </si>
  <si>
    <t>Gerente de Capacidades Tecnológicas Consejo Directivo de Construcción Naval</t>
  </si>
  <si>
    <t>B44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</si>
  <si>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</si>
  <si>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</si>
  <si>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</si>
  <si>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</si>
  <si>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</si>
  <si>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</si>
  <si>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</si>
  <si>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</si>
  <si>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</si>
  <si>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</si>
  <si>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</si>
  <si>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</si>
  <si>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</si>
  <si>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</si>
  <si>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</si>
  <si>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</si>
  <si>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B1</t>
  </si>
  <si>
    <t>Llodrá Vial, José Ignacio</t>
  </si>
  <si>
    <t>Llodrá</t>
  </si>
  <si>
    <t>Subdirector de Racionalización y Función Pública</t>
  </si>
  <si>
    <t>B45</t>
  </si>
  <si>
    <t>López Lara, Andrés</t>
  </si>
  <si>
    <t>López</t>
  </si>
  <si>
    <t>Lara</t>
  </si>
  <si>
    <t>Director Instituto Antártico Chileno</t>
  </si>
  <si>
    <t>C23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</si>
  <si>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</si>
  <si>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</si>
  <si>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</si>
  <si>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</si>
  <si>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</si>
  <si>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</si>
  <si>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</si>
  <si>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</si>
  <si>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</si>
  <si>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</si>
  <si>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</si>
  <si>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</si>
  <si>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</si>
  <si>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</si>
  <si>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</si>
  <si>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</si>
  <si>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</si>
  <si>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</si>
  <si>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C22</t>
  </si>
  <si>
    <t>Carvajal Madariaga, Bárbara</t>
  </si>
  <si>
    <t>Bárbara</t>
  </si>
  <si>
    <t>Madariaga</t>
  </si>
  <si>
    <t>Jefa de Gabinete Subsecretario para las FF.AA.</t>
  </si>
  <si>
    <t>C24</t>
  </si>
  <si>
    <t>Lira, Pablo</t>
  </si>
  <si>
    <t>Lira</t>
  </si>
  <si>
    <t>Jefe Gabinete Subsecretario de Defensa</t>
  </si>
  <si>
    <t>C21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</si>
  <si>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</si>
  <si>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</si>
  <si>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</si>
  <si>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</si>
  <si>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</si>
  <si>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</si>
  <si>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</si>
  <si>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</si>
  <si>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C25</t>
  </si>
  <si>
    <t>Leiva Larrañaga, Constanza</t>
  </si>
  <si>
    <t>Constanza</t>
  </si>
  <si>
    <t>T2 RNY</t>
  </si>
  <si>
    <t>C20</t>
  </si>
  <si>
    <t>Leiva Larrañaga, Marcela Paz</t>
  </si>
  <si>
    <t>Marcela Paz</t>
  </si>
  <si>
    <t>Hija Madrina</t>
  </si>
  <si>
    <t>C26</t>
  </si>
  <si>
    <t>Pérez Cruz, Matias</t>
  </si>
  <si>
    <t>Matias</t>
  </si>
  <si>
    <t>Cruz</t>
  </si>
  <si>
    <t>Gerenete Perezcruz</t>
  </si>
  <si>
    <t>C19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</si>
  <si>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</si>
  <si>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</si>
  <si>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</si>
  <si>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</si>
  <si>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</si>
  <si>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</si>
  <si>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</si>
  <si>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</si>
  <si>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</si>
  <si>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</si>
  <si>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</si>
  <si>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Locroix</t>
  </si>
  <si>
    <t>Presidente Mutual de Seguros de Chile</t>
  </si>
  <si>
    <t>C27</t>
  </si>
  <si>
    <t>Leiva Larrañaga, Vicente</t>
  </si>
  <si>
    <t>Vicente</t>
  </si>
  <si>
    <t>Hijo Madrina</t>
  </si>
  <si>
    <t>C18</t>
  </si>
  <si>
    <t>Jackson Zamora, Cyril</t>
  </si>
  <si>
    <t>Cyril</t>
  </si>
  <si>
    <t>Jackson</t>
  </si>
  <si>
    <t>Jefmayor</t>
  </si>
  <si>
    <t>Espinoza Martin, Rodrigo</t>
  </si>
  <si>
    <t>Espinoza</t>
  </si>
  <si>
    <t>Quijada Pérez, Cecy Sirena</t>
  </si>
  <si>
    <t>Cecy Sirena</t>
  </si>
  <si>
    <t>Quijada</t>
  </si>
  <si>
    <t>Esposa del Jefe estado mayor de la Armada de Perú.</t>
  </si>
  <si>
    <t>C28</t>
  </si>
  <si>
    <t>Alcorta, Francisco</t>
  </si>
  <si>
    <t>Alcorta</t>
  </si>
  <si>
    <t>Asesor politico estrategico MINDEF</t>
  </si>
  <si>
    <t>C17</t>
  </si>
  <si>
    <t>Larrondo, José</t>
  </si>
  <si>
    <t>Larrondo</t>
  </si>
  <si>
    <t>Director de Operaciones y Ventas FEMESA Chile</t>
  </si>
  <si>
    <t>Jerez, Sebastian</t>
  </si>
  <si>
    <t>Sebastian</t>
  </si>
  <si>
    <t>Jerez</t>
  </si>
  <si>
    <t>Gerente General Farmacia Cruz Verde</t>
  </si>
  <si>
    <t>C29</t>
  </si>
  <si>
    <t>García, Italo</t>
  </si>
  <si>
    <t>Italo</t>
  </si>
  <si>
    <t>Gerente Alianzas y Convenios FEMESA Chile</t>
  </si>
  <si>
    <t>Capitán de Fragata</t>
  </si>
  <si>
    <t>Martínez Labbé, Francisco</t>
  </si>
  <si>
    <t>Marínez</t>
  </si>
  <si>
    <t>Labbé</t>
  </si>
  <si>
    <t>ASOFAR</t>
  </si>
  <si>
    <t>SECRETGEN</t>
  </si>
  <si>
    <t>Von Chrismar Medina, Maria Pia</t>
  </si>
  <si>
    <t>Maria Pia</t>
  </si>
  <si>
    <t>Von Chrismar</t>
  </si>
  <si>
    <t>Medina</t>
  </si>
  <si>
    <t>Jefa de la División de Relaciones Internacionales de la Subsecretaria de la Defensa.</t>
  </si>
  <si>
    <t>Capitán de Navío (R.)</t>
  </si>
  <si>
    <t>Varela Peña, Rolando</t>
  </si>
  <si>
    <t>Rolando</t>
  </si>
  <si>
    <t>Peña</t>
  </si>
  <si>
    <t>Jefe de la División de Planes y Politicas de la Subsecretaria de Defensa</t>
  </si>
  <si>
    <t xml:space="preserve">Capitán de Fragata </t>
  </si>
  <si>
    <t>Maturana Lavin, Jorge</t>
  </si>
  <si>
    <t>Maturana</t>
  </si>
  <si>
    <t>Lavin</t>
  </si>
  <si>
    <t>Simian Fernández, Pablo</t>
  </si>
  <si>
    <t>Simian</t>
  </si>
  <si>
    <t>NACHIPA</t>
  </si>
  <si>
    <t>Pérez, Constanza</t>
  </si>
  <si>
    <t>Asesora Económica MINDEF</t>
  </si>
  <si>
    <t>C16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</si>
  <si>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</si>
  <si>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</si>
  <si>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</si>
  <si>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</si>
  <si>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</si>
  <si>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</si>
  <si>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</si>
  <si>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C30</t>
  </si>
  <si>
    <t>Capellán Evangélico</t>
  </si>
  <si>
    <t>Recabarren Esparza, Vladimir</t>
  </si>
  <si>
    <t>Vladimir</t>
  </si>
  <si>
    <t>Recabarren</t>
  </si>
  <si>
    <t>Esparza</t>
  </si>
  <si>
    <t>Capellán Nacional Evangélico de la Armada</t>
  </si>
  <si>
    <t>C15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</si>
  <si>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</si>
  <si>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</si>
  <si>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</si>
  <si>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</si>
  <si>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</si>
  <si>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</si>
  <si>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</si>
  <si>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</si>
  <si>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</si>
  <si>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</si>
  <si>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</si>
  <si>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C31</t>
  </si>
  <si>
    <t>Ramirez Glade, Pedro</t>
  </si>
  <si>
    <t>Ramirez</t>
  </si>
  <si>
    <t>Glade</t>
  </si>
  <si>
    <t>Seremi de Ciencia, Tecnologías, Conocimidento e Innovación</t>
  </si>
  <si>
    <t>C14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</si>
  <si>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</si>
  <si>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</si>
  <si>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</si>
  <si>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</si>
  <si>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</si>
  <si>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</si>
  <si>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</si>
  <si>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</si>
  <si>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</si>
  <si>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C32</t>
  </si>
  <si>
    <t>BANCOS</t>
  </si>
  <si>
    <t>Farren Risopatrón, Mario</t>
  </si>
  <si>
    <t>Farren</t>
  </si>
  <si>
    <t>Risopatrón</t>
  </si>
  <si>
    <t>Presidente Banco Estado</t>
  </si>
  <si>
    <t>C13</t>
  </si>
  <si>
    <t>Finanzas</t>
  </si>
  <si>
    <t>Ampuero Martínez, Katherine</t>
  </si>
  <si>
    <t>Katherine</t>
  </si>
  <si>
    <t>Ampuero</t>
  </si>
  <si>
    <t>Directora Regional Aduana de Talcahuano</t>
  </si>
  <si>
    <t>C33</t>
  </si>
  <si>
    <t>Cleveland Cartes, Henry</t>
  </si>
  <si>
    <t>Henry</t>
  </si>
  <si>
    <t>Cleveland</t>
  </si>
  <si>
    <t>Director Ejecutivo ENAER</t>
  </si>
  <si>
    <t>C12</t>
  </si>
  <si>
    <t>General de Brigada</t>
  </si>
  <si>
    <t>Vera Soto, Álvaro</t>
  </si>
  <si>
    <t>Director FAMAE</t>
  </si>
  <si>
    <t>C34</t>
  </si>
  <si>
    <t>OPA/DGSA</t>
  </si>
  <si>
    <t>Pires, Jorge</t>
  </si>
  <si>
    <t>Pires</t>
  </si>
  <si>
    <t>Superintendente del Material Armada de Portugal</t>
  </si>
  <si>
    <t>C11</t>
  </si>
  <si>
    <t>Contraalmirante</t>
  </si>
  <si>
    <t>Costa, Joao</t>
  </si>
  <si>
    <t>Joao</t>
  </si>
  <si>
    <t>Costa</t>
  </si>
  <si>
    <t>Director de los Navios Armada de Portugal</t>
  </si>
  <si>
    <t>C35</t>
  </si>
  <si>
    <t>Bunster Weitzmann, Claudio</t>
  </si>
  <si>
    <t>Bunster</t>
  </si>
  <si>
    <t>Weitzmann</t>
  </si>
  <si>
    <t>Director Centro Estudios Cientificos CECs</t>
  </si>
  <si>
    <t>C10</t>
  </si>
  <si>
    <t>Casassa Rogazinski, Gino</t>
  </si>
  <si>
    <t>Gino</t>
  </si>
  <si>
    <t>Casassa</t>
  </si>
  <si>
    <t>Rogazinski</t>
  </si>
  <si>
    <t>Director del INACH</t>
  </si>
  <si>
    <t>C36</t>
  </si>
  <si>
    <t>General de División</t>
  </si>
  <si>
    <t>Cabrera Osorio, Rafael</t>
  </si>
  <si>
    <t>Osorio</t>
  </si>
  <si>
    <t>Cmdte. Apoyo a la Fuerza del Ejército</t>
  </si>
  <si>
    <t>C9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</si>
  <si>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</si>
  <si>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</si>
  <si>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</si>
  <si>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</si>
  <si>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</si>
  <si>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</si>
  <si>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</si>
  <si>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</si>
  <si>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</si>
  <si>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</si>
  <si>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</si>
  <si>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</si>
  <si>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</si>
  <si>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</si>
  <si>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C37</t>
  </si>
  <si>
    <t>Rivera Morales, Miguel</t>
  </si>
  <si>
    <t>Rivera</t>
  </si>
  <si>
    <t>Morales</t>
  </si>
  <si>
    <t>Alcalde Ilustre Municipalidad de Hualpén</t>
  </si>
  <si>
    <t>C8</t>
  </si>
  <si>
    <t>Saavedra Bustos, Eduardo</t>
  </si>
  <si>
    <t>Alcalde Ilustre Municipalidad de Talcahuano</t>
  </si>
  <si>
    <t>C38</t>
  </si>
  <si>
    <t>Amtmann Fecci, Carla</t>
  </si>
  <si>
    <t>Amtmann</t>
  </si>
  <si>
    <t>Fecci</t>
  </si>
  <si>
    <t>Alcaldesa de Valdivia</t>
  </si>
  <si>
    <t>C7</t>
  </si>
  <si>
    <t>Wainraight Galilea, Rodrigo</t>
  </si>
  <si>
    <t>Wainraight</t>
  </si>
  <si>
    <t>Galilea</t>
  </si>
  <si>
    <t>Alcalde de Puerto Montt</t>
  </si>
  <si>
    <t>C39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</si>
  <si>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</si>
  <si>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</si>
  <si>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</si>
  <si>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</si>
  <si>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</si>
  <si>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</si>
  <si>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</si>
  <si>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</si>
  <si>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C6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</si>
  <si>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</si>
  <si>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</si>
  <si>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</si>
  <si>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</si>
  <si>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</si>
  <si>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C40</t>
  </si>
  <si>
    <t>Zavala Fernández, Pablo</t>
  </si>
  <si>
    <t>Zavala</t>
  </si>
  <si>
    <t>Presidente de la Ilustrísima Corte de Apelaciones de Concepción</t>
  </si>
  <si>
    <t>C5</t>
  </si>
  <si>
    <t>Cartagena Ramos, Marcela</t>
  </si>
  <si>
    <t>Cartagena</t>
  </si>
  <si>
    <t>Ramos</t>
  </si>
  <si>
    <t>Fiscal Regional de Concepción</t>
  </si>
  <si>
    <t>C41</t>
  </si>
  <si>
    <t>Andrade Otarola, Claudio</t>
  </si>
  <si>
    <t>Otarola</t>
  </si>
  <si>
    <t>Director Regional de la Agencia Nacional de Inteligencia</t>
  </si>
  <si>
    <t>C4</t>
  </si>
  <si>
    <t>Ananías Itaim, Alvaro</t>
  </si>
  <si>
    <t>Alvaro</t>
  </si>
  <si>
    <t>Ananías</t>
  </si>
  <si>
    <t>Itaim</t>
  </si>
  <si>
    <t>Presidernte de la Cámara de Producción y Comercio del Bio Bio</t>
  </si>
  <si>
    <t>C42</t>
  </si>
  <si>
    <t>Rivera Marin, Oscar</t>
  </si>
  <si>
    <t>Oscar</t>
  </si>
  <si>
    <t>Marin</t>
  </si>
  <si>
    <t>Director Regional de Obras Portuarias</t>
  </si>
  <si>
    <t>C3</t>
  </si>
  <si>
    <t>Basáez Valdebenito, Carlos</t>
  </si>
  <si>
    <t>Basáez</t>
  </si>
  <si>
    <t>Valdebenito</t>
  </si>
  <si>
    <t>Contralor Regional Bio Bio</t>
  </si>
  <si>
    <t>C43</t>
  </si>
  <si>
    <t>Chamorro Contreras, Claudia</t>
  </si>
  <si>
    <t>Claudia</t>
  </si>
  <si>
    <t>Chamorro</t>
  </si>
  <si>
    <t>Contreras</t>
  </si>
  <si>
    <t>Jefe VIII Región Policial Bío Bío</t>
  </si>
  <si>
    <t>C2</t>
  </si>
  <si>
    <t>OPA/MILITAR</t>
  </si>
  <si>
    <t>Miccono Villablanca, Renzo</t>
  </si>
  <si>
    <t>Renzo</t>
  </si>
  <si>
    <t>Miccono</t>
  </si>
  <si>
    <t>Villablanca</t>
  </si>
  <si>
    <t>Jefe VIII Zona de Carabineros BIOBÍO</t>
  </si>
  <si>
    <t>C44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</si>
  <si>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</si>
  <si>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</si>
  <si>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</si>
  <si>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</si>
  <si>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</si>
  <si>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</si>
  <si>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</si>
  <si>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C1</t>
  </si>
  <si>
    <t>Arenas Menares, Mauricio</t>
  </si>
  <si>
    <t>Mauricio</t>
  </si>
  <si>
    <t>Arenas</t>
  </si>
  <si>
    <t>Menares</t>
  </si>
  <si>
    <t>Directo General del Personal de la Armada</t>
  </si>
  <si>
    <t>C45</t>
  </si>
  <si>
    <t>Delgado Boffil, César</t>
  </si>
  <si>
    <t>César</t>
  </si>
  <si>
    <t>Boffil</t>
  </si>
  <si>
    <t>Director General de los Servicios de la Armada</t>
  </si>
  <si>
    <t>D10</t>
  </si>
  <si>
    <t>Oxley Lizana, Arturo</t>
  </si>
  <si>
    <t>Arturo</t>
  </si>
  <si>
    <t>Oxley</t>
  </si>
  <si>
    <t>Lizana</t>
  </si>
  <si>
    <t>Director General del Territorio Marítimo y de Marina Mercante</t>
  </si>
  <si>
    <t>D36</t>
  </si>
  <si>
    <t>Marín Fernández, Juan Pablo</t>
  </si>
  <si>
    <t>Marín</t>
  </si>
  <si>
    <t>Subjefe del Estado Mayor Conjunto</t>
  </si>
  <si>
    <t>D9</t>
  </si>
  <si>
    <t>Muñoz Miranda, Daniel</t>
  </si>
  <si>
    <t>Miranda</t>
  </si>
  <si>
    <t>*Comandante de Operaciones Navales</t>
  </si>
  <si>
    <t>D37</t>
  </si>
  <si>
    <t>Hernández Jacir, José Miguel</t>
  </si>
  <si>
    <t>José Miguel</t>
  </si>
  <si>
    <t>Jacir</t>
  </si>
  <si>
    <t>Director de Astilleros y Maestranzas de la Armada</t>
  </si>
  <si>
    <t>D8</t>
  </si>
  <si>
    <t>Manzano Sanguineti, Oscar</t>
  </si>
  <si>
    <t>Manzano</t>
  </si>
  <si>
    <t>Sanguineti</t>
  </si>
  <si>
    <t>Director de Recuperaciones de Unidades de la Armada</t>
  </si>
  <si>
    <t>D38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</si>
  <si>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</si>
  <si>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</si>
  <si>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</si>
  <si>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</si>
  <si>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</si>
  <si>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D7</t>
  </si>
  <si>
    <t>Acevedo Pérez, Edgardo</t>
  </si>
  <si>
    <t>Edgardo</t>
  </si>
  <si>
    <t>Acevedo</t>
  </si>
  <si>
    <t>*Comandante en Jefe de la Segunda Zona Naval</t>
  </si>
  <si>
    <t>D39</t>
  </si>
  <si>
    <t>Saelzer Concha, Federico</t>
  </si>
  <si>
    <t>Federico</t>
  </si>
  <si>
    <t>Saelzer</t>
  </si>
  <si>
    <t>*Comandante en Jefe de la Fuerza de Submarinos</t>
  </si>
  <si>
    <t>D6</t>
  </si>
  <si>
    <t>Arrieta Figueroa, Claudia</t>
  </si>
  <si>
    <t xml:space="preserve">Claudia </t>
  </si>
  <si>
    <t>Arrieta</t>
  </si>
  <si>
    <t>Figueroa</t>
  </si>
  <si>
    <t>Esposa Comandante en Jefe de la Fuerza de Submarinos</t>
  </si>
  <si>
    <t>D40</t>
  </si>
  <si>
    <t>Contraalmirante IM</t>
  </si>
  <si>
    <t>Opazo Riquelme, Daniel</t>
  </si>
  <si>
    <t>Opazo</t>
  </si>
  <si>
    <t>*Comandante General del Cuerpo de Infantería de Marina</t>
  </si>
  <si>
    <t>D5</t>
  </si>
  <si>
    <t>Guerrero García, Alberto</t>
  </si>
  <si>
    <t>Alberto</t>
  </si>
  <si>
    <t>Director de Programas, Investigación y Desarrollo de la Armada</t>
  </si>
  <si>
    <t>D41</t>
  </si>
  <si>
    <t>Muñoz Cabrera, Claudio</t>
  </si>
  <si>
    <t>Contralor de la Armada</t>
  </si>
  <si>
    <t>D4</t>
  </si>
  <si>
    <t>Contraalmirante AB</t>
  </si>
  <si>
    <t>Fort Santander, Marcel</t>
  </si>
  <si>
    <t>Marcel</t>
  </si>
  <si>
    <t>Fort</t>
  </si>
  <si>
    <t>Santander</t>
  </si>
  <si>
    <t>Director de finanzaas de la Armada.</t>
  </si>
  <si>
    <t>D42</t>
  </si>
  <si>
    <t>Torres Horton, Alejandro</t>
  </si>
  <si>
    <t>Horton</t>
  </si>
  <si>
    <t>SUBMAYOR Consejo Superior ASMAR</t>
  </si>
  <si>
    <t>D3</t>
  </si>
  <si>
    <t>Mendez Tapia, Juan Cristobal</t>
  </si>
  <si>
    <t>J. Cristobal</t>
  </si>
  <si>
    <t>Mendez</t>
  </si>
  <si>
    <t>DIRISNAV Consejo Superior ASMAR</t>
  </si>
  <si>
    <t>D43</t>
  </si>
  <si>
    <t>Comodoro</t>
  </si>
  <si>
    <t>Valenzuea Azócar, Rene</t>
  </si>
  <si>
    <t>Rene</t>
  </si>
  <si>
    <t>Valenzuea</t>
  </si>
  <si>
    <t>Azócar</t>
  </si>
  <si>
    <t>Secretario General de la Armada</t>
  </si>
  <si>
    <t>D2</t>
  </si>
  <si>
    <t>Comodoro AB</t>
  </si>
  <si>
    <t>Vidal Berrocal, Jorge</t>
  </si>
  <si>
    <t>Vidal</t>
  </si>
  <si>
    <t>Berrocal</t>
  </si>
  <si>
    <t>DABA Consejo Superior ASMAR</t>
  </si>
  <si>
    <t>D44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</si>
  <si>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</si>
  <si>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</si>
  <si>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</si>
  <si>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</si>
  <si>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</si>
  <si>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</si>
  <si>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</si>
  <si>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</si>
  <si>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</si>
  <si>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>Lara Valenzuela, Cristian</t>
  </si>
  <si>
    <t xml:space="preserve">Cristian </t>
  </si>
  <si>
    <t>Director Universidad Técnica Federico Santa María Sede Concepción</t>
  </si>
  <si>
    <t>D1</t>
  </si>
  <si>
    <t>Valdebenito , Victor</t>
  </si>
  <si>
    <t>Victor</t>
  </si>
  <si>
    <t>Director de Vinculacion con el Medio Sede Concepción. Universidad Técnica Federico Santa María</t>
  </si>
  <si>
    <t>Klischies Nevermann, Thomas</t>
  </si>
  <si>
    <t>Thomas</t>
  </si>
  <si>
    <t>Klischies</t>
  </si>
  <si>
    <t>Nevermann</t>
  </si>
  <si>
    <t>Director DUOC UC Sede San Andrés de Concepción</t>
  </si>
  <si>
    <t>D45</t>
  </si>
  <si>
    <t>Montecinos Montecinos, Egon</t>
  </si>
  <si>
    <t>Egon</t>
  </si>
  <si>
    <t>Montecinos</t>
  </si>
  <si>
    <t>Rector Universidad Austral</t>
  </si>
  <si>
    <t>PENDIENTE POR ASIGNAR</t>
  </si>
  <si>
    <t>Salas , Marcos</t>
  </si>
  <si>
    <t>Salas</t>
  </si>
  <si>
    <t>Universidad Austral de Chile</t>
  </si>
  <si>
    <t>Sepúlveda Carreño, Jacqueline</t>
  </si>
  <si>
    <t>Jacqueline</t>
  </si>
  <si>
    <t>Carreño</t>
  </si>
  <si>
    <t>Rector Universidad de Concepción</t>
  </si>
  <si>
    <t>Rodríguez Tastest, Andrea</t>
  </si>
  <si>
    <t>Andrea</t>
  </si>
  <si>
    <t>Tastest</t>
  </si>
  <si>
    <t>Vicerrectora Investigación y Desarrollo Universidad de Concepción</t>
  </si>
  <si>
    <t>Umaña Hermosilla, Benito</t>
  </si>
  <si>
    <t>Benito</t>
  </si>
  <si>
    <t>Umaña</t>
  </si>
  <si>
    <t>Hermosilla</t>
  </si>
  <si>
    <t>Rector Universidad del Bío-Bío</t>
  </si>
  <si>
    <t>Ulloa , Claudia</t>
  </si>
  <si>
    <t>Ulloa</t>
  </si>
  <si>
    <t>Vicerrectora de Investigación y Desarrollo Universidad de Concepción</t>
  </si>
  <si>
    <t>Fuentealba Arcos, Jorge</t>
  </si>
  <si>
    <t>Fuentealba</t>
  </si>
  <si>
    <t>Arcos</t>
  </si>
  <si>
    <t>Vicerrector de Relaciones Institucionales Universidad de Concepción</t>
  </si>
  <si>
    <t>Sepulveda Carrasco, Roger</t>
  </si>
  <si>
    <t>Roger</t>
  </si>
  <si>
    <t>Sepulveda</t>
  </si>
  <si>
    <t>Rector Universidad Santo Tomás</t>
  </si>
  <si>
    <t>Valdés Lafontaine, Federico</t>
  </si>
  <si>
    <t>Lafontaine</t>
  </si>
  <si>
    <t>Rector U.D.D. Sede Concepción</t>
  </si>
  <si>
    <t>Jofré Manieu, Florencia</t>
  </si>
  <si>
    <t>Florencia</t>
  </si>
  <si>
    <t>Jofré</t>
  </si>
  <si>
    <t>Manieu</t>
  </si>
  <si>
    <t>Vicerrectora Académica U.D.D.</t>
  </si>
  <si>
    <t>Silva Riquelme, Pedro</t>
  </si>
  <si>
    <t>Director Vinculación con el Medio UDD</t>
  </si>
  <si>
    <t>Mellado Cid, Cristhian</t>
  </si>
  <si>
    <t>Cristhian</t>
  </si>
  <si>
    <t>Mellado</t>
  </si>
  <si>
    <t>Cid</t>
  </si>
  <si>
    <t>Rector Universidad Católica de la Santísima Concepción</t>
  </si>
  <si>
    <t>Concha Navalón, Claudio</t>
  </si>
  <si>
    <t>Navalón</t>
  </si>
  <si>
    <t>Vicerrector Universidad San Sebastián</t>
  </si>
  <si>
    <t>Rodríguez Pérez, José</t>
  </si>
  <si>
    <t>Universidad San Sebastían</t>
  </si>
  <si>
    <t>Monks Ruiz, Henry</t>
  </si>
  <si>
    <t>Monks</t>
  </si>
  <si>
    <t>Vicerrector Inacap</t>
  </si>
  <si>
    <t>Gonzälez Correa, Carlos</t>
  </si>
  <si>
    <t>Gonzälez</t>
  </si>
  <si>
    <t>Vicerrector Universidad Andrés Bello</t>
  </si>
  <si>
    <t>Carpinelli , Jorge</t>
  </si>
  <si>
    <t>Carpinelli</t>
  </si>
  <si>
    <t>Director de Innovación y Transferencia Tecnológica Universidad Andrés Bello</t>
  </si>
  <si>
    <t>Hormazábal Poblete, Paz</t>
  </si>
  <si>
    <t>Hormazábal</t>
  </si>
  <si>
    <t xml:space="preserve">Poblete </t>
  </si>
  <si>
    <t>Vicerrectora Universidad de Las Américas sede Concepción - Vicepresidenta CIDERE Biobio</t>
  </si>
  <si>
    <t>Ruz Heredia, Gonzalo</t>
  </si>
  <si>
    <t>Ruz</t>
  </si>
  <si>
    <t>Heredia</t>
  </si>
  <si>
    <t>Director Data Science UAI</t>
  </si>
  <si>
    <t>Goles Chacc, Eric</t>
  </si>
  <si>
    <t>Eric</t>
  </si>
  <si>
    <t>Goles</t>
  </si>
  <si>
    <t>Chacc</t>
  </si>
  <si>
    <t>Director Sistemas Complejos UAI</t>
  </si>
  <si>
    <t>Vargas Riquelme, Cristián</t>
  </si>
  <si>
    <t>Vargas</t>
  </si>
  <si>
    <t>Decano Facultad de Ingenieria de la Universidad de Santiago</t>
  </si>
  <si>
    <t>MADRINA</t>
  </si>
  <si>
    <t>Paulmann , Holger</t>
  </si>
  <si>
    <t>Holger</t>
  </si>
  <si>
    <t>Paulmann</t>
  </si>
  <si>
    <t>Presidente ICARE</t>
  </si>
  <si>
    <t>Álvarez P., Mónica</t>
  </si>
  <si>
    <t>Mónica</t>
  </si>
  <si>
    <t>P.</t>
  </si>
  <si>
    <t>Vicepresidenta ICARE</t>
  </si>
  <si>
    <t>Corona S., Renzo</t>
  </si>
  <si>
    <t>Corona</t>
  </si>
  <si>
    <t>S.</t>
  </si>
  <si>
    <t>Director Tesorero ICARE</t>
  </si>
  <si>
    <t>Muñoz , Claudio</t>
  </si>
  <si>
    <t>Ex Pdte ICARE</t>
  </si>
  <si>
    <t>Gazmuri Sch., Lorenzo</t>
  </si>
  <si>
    <t>Lorenzo</t>
  </si>
  <si>
    <t>Gazmuri</t>
  </si>
  <si>
    <t>Sch.</t>
  </si>
  <si>
    <t>Kouyoumdjian , Richard</t>
  </si>
  <si>
    <t>Kouyoumdjian</t>
  </si>
  <si>
    <t>Vicepresidente ATHENALAB</t>
  </si>
  <si>
    <t>Masalleras , Marcelo</t>
  </si>
  <si>
    <t>Masalleras</t>
  </si>
  <si>
    <t>Investigador ATHENALAB</t>
  </si>
  <si>
    <t>Russi , Carlos</t>
  </si>
  <si>
    <t>Russi</t>
  </si>
  <si>
    <t>Director ATHENALAB</t>
  </si>
  <si>
    <t>Griffiths , John</t>
  </si>
  <si>
    <t>John</t>
  </si>
  <si>
    <t>Griffiths</t>
  </si>
  <si>
    <t>Director Ejecutivo ATHENALAB</t>
  </si>
  <si>
    <t>LATERAL</t>
  </si>
  <si>
    <t>Ibáñez , Nicolás</t>
  </si>
  <si>
    <t>Nicolás</t>
  </si>
  <si>
    <t>Ibáñez</t>
  </si>
  <si>
    <t>Pdte Directorio ATHENALAB</t>
  </si>
  <si>
    <t>Mardones Costa, Ignacio</t>
  </si>
  <si>
    <t>Mardones</t>
  </si>
  <si>
    <t>Director Asuntos Internac. ATHENALAB</t>
  </si>
  <si>
    <t>Alvear , Fernando</t>
  </si>
  <si>
    <t>Alvear</t>
  </si>
  <si>
    <t>Ex Gerente Gral CPC</t>
  </si>
  <si>
    <t>Montero , Andrés</t>
  </si>
  <si>
    <t>Montero</t>
  </si>
  <si>
    <t>Ex Consejero CPC</t>
  </si>
  <si>
    <t>Araya Escobar, Cristian</t>
  </si>
  <si>
    <t>Ex Audigen</t>
  </si>
  <si>
    <t>Cifuentes , Cecilia</t>
  </si>
  <si>
    <t>Cecilia</t>
  </si>
  <si>
    <t>Cifuentes</t>
  </si>
  <si>
    <t>Economista ESE U de los Andes</t>
  </si>
  <si>
    <t>Hohmann , Claudio</t>
  </si>
  <si>
    <t>Hohmann</t>
  </si>
  <si>
    <t>Pdte Consejo Asesor CLAPES UC</t>
  </si>
  <si>
    <t>Larraín , Felipe</t>
  </si>
  <si>
    <t>Director Ejecutivo CLAPES UC</t>
  </si>
  <si>
    <t>Escaffi , Eduardo</t>
  </si>
  <si>
    <t>Escaffi</t>
  </si>
  <si>
    <t>Empresario</t>
  </si>
  <si>
    <t>Orrego B., Francisco</t>
  </si>
  <si>
    <t>Orrego</t>
  </si>
  <si>
    <t>B.</t>
  </si>
  <si>
    <t>Abogado</t>
  </si>
  <si>
    <t>Troncoso , Juan Eduardo</t>
  </si>
  <si>
    <t>Juan Eduardo</t>
  </si>
  <si>
    <t>Troncoso</t>
  </si>
  <si>
    <t>Massoglia Vargas, Manuel</t>
  </si>
  <si>
    <t>Manuel</t>
  </si>
  <si>
    <t>Massoglia</t>
  </si>
  <si>
    <t>Ex Ing Astillero Const. ASMAR</t>
  </si>
  <si>
    <t>Leiva Molina, Mauricio</t>
  </si>
  <si>
    <t>Invitado Madrina</t>
  </si>
  <si>
    <t>Bustamante Arriagada, Paulina</t>
  </si>
  <si>
    <t>Paulina</t>
  </si>
  <si>
    <t>Bustamante</t>
  </si>
  <si>
    <t>Leiva Bustamante, Alfonso</t>
  </si>
  <si>
    <t>Sobrino JLM</t>
  </si>
  <si>
    <t>Guerrero Cordano, Rodrigo</t>
  </si>
  <si>
    <t>Cordano</t>
  </si>
  <si>
    <t>Ex S1 Seguridad JLM</t>
  </si>
  <si>
    <t>Junge Bascur, Cristian</t>
  </si>
  <si>
    <t>Junge</t>
  </si>
  <si>
    <t>Bascur</t>
  </si>
  <si>
    <t>GAMA RNY Yerno JLM</t>
  </si>
  <si>
    <t>Raby Olavarria, Matías</t>
  </si>
  <si>
    <t>Matías</t>
  </si>
  <si>
    <t>Raby</t>
  </si>
  <si>
    <t>Olavarria</t>
  </si>
  <si>
    <t>Boston Consulting Group</t>
  </si>
  <si>
    <t>Correa G., Pablo</t>
  </si>
  <si>
    <t>G.</t>
  </si>
  <si>
    <t>Tte2 RNY</t>
  </si>
  <si>
    <t>Neira , Hector</t>
  </si>
  <si>
    <t>Hector</t>
  </si>
  <si>
    <t>SO IM (R) Ex PPI CJA JLM</t>
  </si>
  <si>
    <t>INVITADOS DGSA</t>
  </si>
  <si>
    <t>Dagá Kunze, Joaquin</t>
  </si>
  <si>
    <t>Joaquin</t>
  </si>
  <si>
    <t>Dagá</t>
  </si>
  <si>
    <t>Kunze</t>
  </si>
  <si>
    <t>Director General de Obras Públicas</t>
  </si>
  <si>
    <t>Weinreich Roma, Olive</t>
  </si>
  <si>
    <t>Olive</t>
  </si>
  <si>
    <t>Weinreich</t>
  </si>
  <si>
    <t>Roma</t>
  </si>
  <si>
    <t>Asesor Ministerial de la Dirección de Obras Portuarias</t>
  </si>
  <si>
    <t>Natascha</t>
  </si>
  <si>
    <t>Cereceda</t>
  </si>
  <si>
    <t>Yap Hip, Vinko</t>
  </si>
  <si>
    <t>Vinko</t>
  </si>
  <si>
    <t>Yap</t>
  </si>
  <si>
    <t>Hip</t>
  </si>
  <si>
    <t>Subgerente Operaciones Huachipato</t>
  </si>
  <si>
    <t>Irarrazaval , Raul</t>
  </si>
  <si>
    <t>Raul</t>
  </si>
  <si>
    <t>Irarrazaval</t>
  </si>
  <si>
    <t>Asesor Ministro de Obras Públicas</t>
  </si>
  <si>
    <t>Morais , Nelson</t>
  </si>
  <si>
    <t>Nelson</t>
  </si>
  <si>
    <t>Morais</t>
  </si>
  <si>
    <t>MFG PoN Program Office representative Armada de Portugal</t>
  </si>
  <si>
    <t>Zamora Maric, Rodrigo</t>
  </si>
  <si>
    <t>Maric</t>
  </si>
  <si>
    <t>Investigador Centro Estudios Cientificos</t>
  </si>
  <si>
    <t>Quiñones Sigala, Manuel</t>
  </si>
  <si>
    <t>Quiñones</t>
  </si>
  <si>
    <t>Sigala</t>
  </si>
  <si>
    <t>Jefe Div. Evaluación de Proyectos SUBSECDEF</t>
  </si>
  <si>
    <t>Horta Genskowsky, Isabel</t>
  </si>
  <si>
    <t>Isabel</t>
  </si>
  <si>
    <t>Horta</t>
  </si>
  <si>
    <t>Genskowsky</t>
  </si>
  <si>
    <t>Jefe Depto. Evaluación de Proyectos SUBSECDEF</t>
  </si>
  <si>
    <t>Ruminao Ortega, Cristian</t>
  </si>
  <si>
    <t>Ruminao</t>
  </si>
  <si>
    <t>Ortega</t>
  </si>
  <si>
    <t>Jefe Depto. de Seguimiento de Proyectos SUBSECDEF</t>
  </si>
  <si>
    <t>Gonzalez Avendaño, Mardoqueo</t>
  </si>
  <si>
    <t>Mardoqueo</t>
  </si>
  <si>
    <t>Gonzalez</t>
  </si>
  <si>
    <t>Ingeniero Analista Depto. de Evaluación de Proyectos SUBSECDEF</t>
  </si>
  <si>
    <t>Lopez Manieu, Patricia</t>
  </si>
  <si>
    <t>Patricia</t>
  </si>
  <si>
    <t>Lopez</t>
  </si>
  <si>
    <t>Gerente Infraestructura Grupo Cap</t>
  </si>
  <si>
    <t>Gonzalez Lorenzo, David</t>
  </si>
  <si>
    <t>Gerente General Puerto Huachipato</t>
  </si>
  <si>
    <t>Pérez Salas, Constanza</t>
  </si>
  <si>
    <t>Asesora de Economia y Finanzas del MINDEF</t>
  </si>
  <si>
    <t>García Barria, Mauricio</t>
  </si>
  <si>
    <t>Barria</t>
  </si>
  <si>
    <t>Jefe Div. Presupuesto y Finanzas SUBSECFA</t>
  </si>
  <si>
    <t>Flores Cabrales, Miguel</t>
  </si>
  <si>
    <t xml:space="preserve">Miguel </t>
  </si>
  <si>
    <t>Cabrales</t>
  </si>
  <si>
    <t>Jefe Unidad Administración de Capacidades Estratégicas de la Defensa dela SUBSECFA</t>
  </si>
  <si>
    <t>CIVILES</t>
  </si>
  <si>
    <t>Tampier Brockhaus, Gonzalo</t>
  </si>
  <si>
    <t>Tampier</t>
  </si>
  <si>
    <t>Brockhaus</t>
  </si>
  <si>
    <t>Director de Desarrrollo e Innovación Universidad Austral - Comité CORFO</t>
  </si>
  <si>
    <t>Capitán de Navío (R)</t>
  </si>
  <si>
    <t>Rojas Pimentel, Sergio</t>
  </si>
  <si>
    <t xml:space="preserve">Rojas </t>
  </si>
  <si>
    <t>Pimentel</t>
  </si>
  <si>
    <t>Secretario Consejo Superior ASMAR</t>
  </si>
  <si>
    <t>Subprefecto</t>
  </si>
  <si>
    <t>Troncoso Fonseca, Bernardo</t>
  </si>
  <si>
    <t>Bernardo</t>
  </si>
  <si>
    <t>Fonseca</t>
  </si>
  <si>
    <t>Jefe Cuartel Investigaciones Talcahuano</t>
  </si>
  <si>
    <t>MILITARES</t>
  </si>
  <si>
    <t>Teniente Coronel</t>
  </si>
  <si>
    <t>Pérez Silva, Javier</t>
  </si>
  <si>
    <t>Comandante Regimiento N° 6 "CHACABUCO" y Comandante Guarnicióin Ejército Concepción</t>
  </si>
  <si>
    <t>Coronel</t>
  </si>
  <si>
    <t>Aguilar Saavedra, Miguel Eduardo</t>
  </si>
  <si>
    <t>Miguel Eduardo</t>
  </si>
  <si>
    <t>Aguilar</t>
  </si>
  <si>
    <t>Prefecto de la Prefectura de Carabineros Talcahuano</t>
  </si>
  <si>
    <t>Capitán de Navío</t>
  </si>
  <si>
    <t>Pereyra Barbieri, Roberto</t>
  </si>
  <si>
    <t xml:space="preserve">Pereyra </t>
  </si>
  <si>
    <t>Barbieri</t>
  </si>
  <si>
    <t>Comandante del Comando Anfibio y de Transportes Navales</t>
  </si>
  <si>
    <t>García Orellana, Oscar</t>
  </si>
  <si>
    <t>Orellana</t>
  </si>
  <si>
    <t>Subdirector DIPRIDA</t>
  </si>
  <si>
    <t>Tesser Díaz, Enzo</t>
  </si>
  <si>
    <t>Enzo</t>
  </si>
  <si>
    <t>Tesser</t>
  </si>
  <si>
    <t>Jefe Depto. CN DIPRIDA</t>
  </si>
  <si>
    <t>Sepulveda Morales, Carlos</t>
  </si>
  <si>
    <t>Jefe Proyecto Escotillón DIPRIDA</t>
  </si>
  <si>
    <t>Pérez-Canto Navarro, Alfonso</t>
  </si>
  <si>
    <t>Pérez-Canto</t>
  </si>
  <si>
    <t>Navarro</t>
  </si>
  <si>
    <t>DIPRIDA</t>
  </si>
  <si>
    <t>Capitán de Corbeta</t>
  </si>
  <si>
    <t>Fisher Silva, Matías</t>
  </si>
  <si>
    <t>Fisher</t>
  </si>
  <si>
    <t>Peñaranda Pedemonte, Rodrigo</t>
  </si>
  <si>
    <t>Peñaranda</t>
  </si>
  <si>
    <t>Pedemonte</t>
  </si>
  <si>
    <t>Ex DIPRIDA</t>
  </si>
  <si>
    <t>Oxley Lizana, José Miguel</t>
  </si>
  <si>
    <t>Jefe Estado Mayor de la Segunda Zona Naval y Comandante de la Base Naval Talcahuano</t>
  </si>
  <si>
    <t>Pulleghini Flores, Alessandro</t>
  </si>
  <si>
    <t>Alessandro</t>
  </si>
  <si>
    <t>Pulleghini</t>
  </si>
  <si>
    <t>Edecán SEPRE</t>
  </si>
  <si>
    <t>Berg Aldoney, Pablo</t>
  </si>
  <si>
    <t>Berg</t>
  </si>
  <si>
    <t>Aldoney</t>
  </si>
  <si>
    <t>AYUDORALM</t>
  </si>
  <si>
    <t>Capitán de NavÍo IM</t>
  </si>
  <si>
    <t>Negrete Cristi, César</t>
  </si>
  <si>
    <t>Negrete</t>
  </si>
  <si>
    <t>Cristi</t>
  </si>
  <si>
    <t>Oficial Enlace Armada de las SSFFAA</t>
  </si>
  <si>
    <t>Marambio Taylor, Christian</t>
  </si>
  <si>
    <t>Marambio</t>
  </si>
  <si>
    <t>Taylor</t>
  </si>
  <si>
    <t>Edecan Presidente del Senado</t>
  </si>
  <si>
    <t>Opazo Rojas, Joaquín</t>
  </si>
  <si>
    <t xml:space="preserve">Joaquín </t>
  </si>
  <si>
    <t>Rojas</t>
  </si>
  <si>
    <t>Ayudor MINDEF</t>
  </si>
  <si>
    <t>González Otero, Luis</t>
  </si>
  <si>
    <t xml:space="preserve">Luis </t>
  </si>
  <si>
    <t>Otero</t>
  </si>
  <si>
    <t>Ayudor VA peruano</t>
  </si>
  <si>
    <t>Teniente Primero</t>
  </si>
  <si>
    <t>Ganga Marcadé, Nicolás</t>
  </si>
  <si>
    <t>Ganga</t>
  </si>
  <si>
    <t>Marcadé</t>
  </si>
  <si>
    <t>Ayudor SEZONA</t>
  </si>
  <si>
    <t>Jimenez San Martín, Ignacio</t>
  </si>
  <si>
    <t>Jimenez</t>
  </si>
  <si>
    <t>San Martín</t>
  </si>
  <si>
    <t>Ayudor SUBSECDEF</t>
  </si>
  <si>
    <t>Teniente Segundo</t>
  </si>
  <si>
    <t>Severino Salamanca, Daniela</t>
  </si>
  <si>
    <t>Severino</t>
  </si>
  <si>
    <t>Salamanca</t>
  </si>
  <si>
    <t>Ayudor FUERSUB</t>
  </si>
  <si>
    <t>Suboficial Mayor</t>
  </si>
  <si>
    <t>Ramos Santander, Guillermo</t>
  </si>
  <si>
    <t>Guillermo</t>
  </si>
  <si>
    <t>Condestable Mayor de la Armada</t>
  </si>
  <si>
    <t>Sepulveda Zenteno, Javier</t>
  </si>
  <si>
    <t>Zenteno</t>
  </si>
  <si>
    <t>Condestable Mayor de la Segunda Zona Naval</t>
  </si>
  <si>
    <t>Coronel (Av.)</t>
  </si>
  <si>
    <t>Rauwolf , Christian</t>
  </si>
  <si>
    <t>Rauwolf</t>
  </si>
  <si>
    <t>Agregado de Defensa de Alemania</t>
  </si>
  <si>
    <t>Capitán de Navio IM</t>
  </si>
  <si>
    <t>Brahm Teke, Cristian</t>
  </si>
  <si>
    <t xml:space="preserve">Brahm </t>
  </si>
  <si>
    <t>Teke</t>
  </si>
  <si>
    <t xml:space="preserve">Oficial enlace Agregados Navales </t>
  </si>
  <si>
    <t>Corvalán , Daniel</t>
  </si>
  <si>
    <t>Corvalán</t>
  </si>
  <si>
    <t>Agregado Naval de Argentina</t>
  </si>
  <si>
    <t>Tojal Do Vale, Carlos</t>
  </si>
  <si>
    <t>Tojal</t>
  </si>
  <si>
    <t>Do Vale</t>
  </si>
  <si>
    <t>Agregado de Defensa y Naval Brasil</t>
  </si>
  <si>
    <t>Desormeaux , Chantal</t>
  </si>
  <si>
    <t>Chantal</t>
  </si>
  <si>
    <t>Desormeaux</t>
  </si>
  <si>
    <t>Agregado de Defensa de Canadá</t>
  </si>
  <si>
    <t>Coronel Superior</t>
  </si>
  <si>
    <t>Wang , Hui</t>
  </si>
  <si>
    <t>Hui</t>
  </si>
  <si>
    <t>Wang</t>
  </si>
  <si>
    <t>Agregado de Defensa de la República Popular China.</t>
  </si>
  <si>
    <t>Chen , Chen</t>
  </si>
  <si>
    <t>Chen</t>
  </si>
  <si>
    <t>Agregado de Defensa Adjunto de la República Popular China.</t>
  </si>
  <si>
    <t>Araújo Fernández, Ranulfo</t>
  </si>
  <si>
    <t>Ranulfo</t>
  </si>
  <si>
    <t>Araújo</t>
  </si>
  <si>
    <t>Agregado Naval de Colombia</t>
  </si>
  <si>
    <t>Park , Byoung-Gun</t>
  </si>
  <si>
    <t>Byoung-Gun</t>
  </si>
  <si>
    <t>Park</t>
  </si>
  <si>
    <t>Agregado de Defensa de Corea</t>
  </si>
  <si>
    <t>Calderón Santamaría, Raul</t>
  </si>
  <si>
    <t>Calderón</t>
  </si>
  <si>
    <t>Santamaría</t>
  </si>
  <si>
    <t>Agregado Naval de Ecuador</t>
  </si>
  <si>
    <t>Ross , Tyler</t>
  </si>
  <si>
    <t>Tyler</t>
  </si>
  <si>
    <t>Agregado de Defensa y Naval de Estados Unidos</t>
  </si>
  <si>
    <t>Benavides Sierra, Juan Luis</t>
  </si>
  <si>
    <t>Juan Luis</t>
  </si>
  <si>
    <t>Benavides</t>
  </si>
  <si>
    <t>Sierra</t>
  </si>
  <si>
    <t>Agregado de Defensa, Militar, Naval y Aéreo de España</t>
  </si>
  <si>
    <t>Durbec , Numa</t>
  </si>
  <si>
    <t>Numa</t>
  </si>
  <si>
    <t>Durbec</t>
  </si>
  <si>
    <t>Agregado de Defensa y Naval de Francia</t>
  </si>
  <si>
    <t>Guy , Amit</t>
  </si>
  <si>
    <t>Amit</t>
  </si>
  <si>
    <t>Guy</t>
  </si>
  <si>
    <t>Agregado de Defensa de Israel</t>
  </si>
  <si>
    <t>Tanda , Francesco</t>
  </si>
  <si>
    <t>Francesco</t>
  </si>
  <si>
    <t>Tanda</t>
  </si>
  <si>
    <t>Agregado de Defensa de Italia</t>
  </si>
  <si>
    <t>Narita , Kengo</t>
  </si>
  <si>
    <t>Kengo</t>
  </si>
  <si>
    <t>Narita</t>
  </si>
  <si>
    <t>Agregado de Defensa de Japón</t>
  </si>
  <si>
    <t>Pasquel Meléndez, Victor</t>
  </si>
  <si>
    <t>Pasquel</t>
  </si>
  <si>
    <t>Meléndez</t>
  </si>
  <si>
    <t>Agregado Naval de México</t>
  </si>
  <si>
    <t>Álvarez Rivas, Jorge</t>
  </si>
  <si>
    <t>Agregado de Defensa Adjunto y Naval de Perú</t>
  </si>
  <si>
    <t>White , Jason</t>
  </si>
  <si>
    <t>Jason</t>
  </si>
  <si>
    <t>White</t>
  </si>
  <si>
    <t>Agregado de Defensa, Militar, Naval y Aéreo del Reino Unido</t>
  </si>
  <si>
    <t>Caballero , Carlos</t>
  </si>
  <si>
    <t xml:space="preserve">Carlos </t>
  </si>
  <si>
    <t>Caballero</t>
  </si>
  <si>
    <t>Agregado de Defensa República Dominicana</t>
  </si>
  <si>
    <t>Rusyaev , Nikolay</t>
  </si>
  <si>
    <t>Nikolay</t>
  </si>
  <si>
    <t>Rusyaev</t>
  </si>
  <si>
    <t>Agregado de Defensa Rusia</t>
  </si>
  <si>
    <t>Aydin , Yalcin</t>
  </si>
  <si>
    <t>Yalcin</t>
  </si>
  <si>
    <t>Aydin</t>
  </si>
  <si>
    <t>Agregado de Defensa, Militar, Naval y Aéreo de Turquía</t>
  </si>
  <si>
    <t>Matsiuk , Andrii</t>
  </si>
  <si>
    <t>Andrii</t>
  </si>
  <si>
    <t>Matsiuk</t>
  </si>
  <si>
    <t>Agregado de Defensa Ucrania</t>
  </si>
  <si>
    <t>Ghiorsi Lambruschini, Andrés</t>
  </si>
  <si>
    <t>Ghiorsi</t>
  </si>
  <si>
    <t>Lambruschini</t>
  </si>
  <si>
    <t>Agregado de Defensa de Uruguay</t>
  </si>
  <si>
    <t>Primer Coronel</t>
  </si>
  <si>
    <t>Thai Duong , Nguyen</t>
  </si>
  <si>
    <t>Nguyen</t>
  </si>
  <si>
    <t>Thai Duong</t>
  </si>
  <si>
    <t>Agregado de Defensa de Vietnam</t>
  </si>
  <si>
    <t>MANDOS SEZONA</t>
  </si>
  <si>
    <t>Capitán de Navío SN</t>
  </si>
  <si>
    <t>González Garfias, Cristián</t>
  </si>
  <si>
    <t xml:space="preserve">Cristián </t>
  </si>
  <si>
    <t xml:space="preserve">González   </t>
  </si>
  <si>
    <t>Garfias</t>
  </si>
  <si>
    <t>Director del Hospital Naval "Almirante Adriazola" de Talcahuano</t>
  </si>
  <si>
    <t>Álvarez Saavedra, Daniel</t>
  </si>
  <si>
    <t xml:space="preserve">Daniel </t>
  </si>
  <si>
    <t xml:space="preserve">Álvarez  </t>
  </si>
  <si>
    <t>Jefe Militar y Jefe Departamento de la Dirección de Recuperación de Unidades de la Armada en Talcahuano</t>
  </si>
  <si>
    <t>Ortega Gutiérrez, Roberto</t>
  </si>
  <si>
    <t xml:space="preserve">Roberto </t>
  </si>
  <si>
    <t xml:space="preserve">Ortega  </t>
  </si>
  <si>
    <t>Jefe del Arsenal Naval de Talcahuano</t>
  </si>
  <si>
    <t>González Toloza, Leonardo</t>
  </si>
  <si>
    <t xml:space="preserve"> González  </t>
  </si>
  <si>
    <t>Toloza</t>
  </si>
  <si>
    <t>Jefe del Estado Mayor de la Comandancia en Jefe de la Fuerza de Submarinos</t>
  </si>
  <si>
    <t>Agüero Miranda, Rodrigo</t>
  </si>
  <si>
    <t xml:space="preserve">Rodrigo </t>
  </si>
  <si>
    <t xml:space="preserve">Agüero </t>
  </si>
  <si>
    <t>Comandante de la FF-07 "Almirante Lynch"</t>
  </si>
  <si>
    <t>Abarca Mackay, Francisco</t>
  </si>
  <si>
    <t xml:space="preserve">Francisco </t>
  </si>
  <si>
    <t xml:space="preserve">Abarca </t>
  </si>
  <si>
    <t>Mackay</t>
  </si>
  <si>
    <t>Comandante del LSDH "Sargento Aldea"</t>
  </si>
  <si>
    <t>Benavente Zamorano, Osvaldo</t>
  </si>
  <si>
    <t xml:space="preserve">Osvaldo </t>
  </si>
  <si>
    <t xml:space="preserve">Benavente </t>
  </si>
  <si>
    <t>Jefe de la Inspectoría de la Dirección Ingeniería de Sistemas Navales en Talcahuano</t>
  </si>
  <si>
    <t>Capitán de Navío LT</t>
  </si>
  <si>
    <t>Aninat González, Arturo</t>
  </si>
  <si>
    <t xml:space="preserve">Arturo </t>
  </si>
  <si>
    <t xml:space="preserve">Aninat </t>
  </si>
  <si>
    <t>Gobernador Marítimo de Talcahuano</t>
  </si>
  <si>
    <t>Gorigoitía Ortiz, Felipe</t>
  </si>
  <si>
    <t xml:space="preserve">Felipe </t>
  </si>
  <si>
    <t xml:space="preserve">Gorigoitía </t>
  </si>
  <si>
    <t>Ortiz</t>
  </si>
  <si>
    <t>Director de la Escuela de Grumetes "A.N.C."</t>
  </si>
  <si>
    <t>Capitán de Navío IM</t>
  </si>
  <si>
    <t>Nova Cabrera, Pedro</t>
  </si>
  <si>
    <t xml:space="preserve">Pedro </t>
  </si>
  <si>
    <t xml:space="preserve">Nova </t>
  </si>
  <si>
    <t xml:space="preserve">Comandante de la Base IM "Tumbes" </t>
  </si>
  <si>
    <t>Capitán de Fragata RL</t>
  </si>
  <si>
    <t>Molina González, Juan Carlos</t>
  </si>
  <si>
    <t xml:space="preserve">Juan Carlos </t>
  </si>
  <si>
    <t xml:space="preserve">Molina </t>
  </si>
  <si>
    <t xml:space="preserve">Jefe del Servicio Religioso de la Segunda Zona Naval </t>
  </si>
  <si>
    <t>Ibarra Orchard, Jorge</t>
  </si>
  <si>
    <t xml:space="preserve"> Ibarra </t>
  </si>
  <si>
    <t>Orchard</t>
  </si>
  <si>
    <t>Comandante del SS "O'Higgins"</t>
  </si>
  <si>
    <t>González Escobar, Ramón</t>
  </si>
  <si>
    <t xml:space="preserve">Ramón </t>
  </si>
  <si>
    <t xml:space="preserve">González  </t>
  </si>
  <si>
    <t xml:space="preserve">Comandante de la FF-06 "Almirante Condell" </t>
  </si>
  <si>
    <t>Capitpan de Fragata IM</t>
  </si>
  <si>
    <t>Zañartu</t>
  </si>
  <si>
    <t>Jacob</t>
  </si>
  <si>
    <t>Jefe Estado Mayor Jefatura Defensa Nacional Provincia Arauco Bio Bío</t>
  </si>
  <si>
    <t>Brito Carvajal, Juan Pablo</t>
  </si>
  <si>
    <t xml:space="preserve">Juan Pablo </t>
  </si>
  <si>
    <t xml:space="preserve">Brito </t>
  </si>
  <si>
    <t>Segundo Comandante de la Base Naval Talcahuano</t>
  </si>
  <si>
    <t>López Ortiz, Esteban</t>
  </si>
  <si>
    <t xml:space="preserve">Esteban </t>
  </si>
  <si>
    <t xml:space="preserve">López </t>
  </si>
  <si>
    <t>Comandante de la FF-18 "Almirante Riveros"</t>
  </si>
  <si>
    <t>González Smith, Andrés</t>
  </si>
  <si>
    <t xml:space="preserve">González </t>
  </si>
  <si>
    <t>Smith</t>
  </si>
  <si>
    <t>Comandante del SS "Carrera"</t>
  </si>
  <si>
    <t>Pino Domínguez, Carlos</t>
  </si>
  <si>
    <t xml:space="preserve">Pino </t>
  </si>
  <si>
    <t>Domínguez</t>
  </si>
  <si>
    <t>Comandante del ATF "Janequeo"</t>
  </si>
  <si>
    <t>Capitán de Fragata AB</t>
  </si>
  <si>
    <t>Ojeda Burgos, Luis</t>
  </si>
  <si>
    <t xml:space="preserve">Ojeda </t>
  </si>
  <si>
    <t>Jefe del Centro de Abastecimiento Talcahuano</t>
  </si>
  <si>
    <t>Capitán de Fragata OM</t>
  </si>
  <si>
    <t>Herrera Stuardo, Roberto</t>
  </si>
  <si>
    <t xml:space="preserve">Herrera </t>
  </si>
  <si>
    <t>Stuardo</t>
  </si>
  <si>
    <t xml:space="preserve">Jefe del Departamento de Obras y Construcciones Segunda Zona Naval </t>
  </si>
  <si>
    <t>Capitán de Fragata OM IM</t>
  </si>
  <si>
    <t>Cajales Castro, Agustín</t>
  </si>
  <si>
    <t xml:space="preserve">Agustín </t>
  </si>
  <si>
    <t xml:space="preserve">Cajales  </t>
  </si>
  <si>
    <t>Jefe de la Guarnición IM "Orden y Seguridad" Talcahuano</t>
  </si>
  <si>
    <t>Capitán de Fragata SD</t>
  </si>
  <si>
    <t>Muga Vallejos, Cristóbal</t>
  </si>
  <si>
    <t xml:space="preserve">Cristóbal </t>
  </si>
  <si>
    <t xml:space="preserve">Muga </t>
  </si>
  <si>
    <t>Vallejos</t>
  </si>
  <si>
    <t xml:space="preserve">Director de la Central Odontológica de la Segunda Zona Naval </t>
  </si>
  <si>
    <t>Ugarte Benavides, Pablo</t>
  </si>
  <si>
    <t xml:space="preserve">Pablo </t>
  </si>
  <si>
    <t xml:space="preserve">Ugarte </t>
  </si>
  <si>
    <t>Comandante OPV "Piloto Pardo"</t>
  </si>
  <si>
    <t>Álvarez Mc-Lean, Gonzalo</t>
  </si>
  <si>
    <t xml:space="preserve">Gonzalo </t>
  </si>
  <si>
    <t xml:space="preserve">Álvarez </t>
  </si>
  <si>
    <t xml:space="preserve">Mc-Lean </t>
  </si>
  <si>
    <t>Comandante del SS "Thomson"</t>
  </si>
  <si>
    <t>Otazo Casanova, Germán</t>
  </si>
  <si>
    <t xml:space="preserve">Germán </t>
  </si>
  <si>
    <t xml:space="preserve">Otazo </t>
  </si>
  <si>
    <t>Casanova</t>
  </si>
  <si>
    <t>Comandante del SS "Simpson"</t>
  </si>
  <si>
    <t>Cabrera Erwenne, Jonathan</t>
  </si>
  <si>
    <t xml:space="preserve">Jonathan </t>
  </si>
  <si>
    <t xml:space="preserve">Cabrera  </t>
  </si>
  <si>
    <t>Erwenne</t>
  </si>
  <si>
    <t>Director de la Escuela de Submarinos "Almirante Allard"</t>
  </si>
  <si>
    <t>Kruuse Jarpa, Cristóbal</t>
  </si>
  <si>
    <t>Ludwig</t>
  </si>
  <si>
    <t xml:space="preserve">Kruuse </t>
  </si>
  <si>
    <t>Comandante del Grupo Aeronaval de Talcahuano</t>
  </si>
  <si>
    <t>Capitán de Fragata IM</t>
  </si>
  <si>
    <t>Ibacache Morales, Franco</t>
  </si>
  <si>
    <t>Franco</t>
  </si>
  <si>
    <t xml:space="preserve"> Ibacache  </t>
  </si>
  <si>
    <t>Comandante del Batallón IM N° 31 "Aldea"</t>
  </si>
  <si>
    <t>Gaete Sepúlveda, Roberto</t>
  </si>
  <si>
    <t xml:space="preserve">Gaete </t>
  </si>
  <si>
    <t>Comandante de la Base de Submarinos</t>
  </si>
  <si>
    <t>Ochoa Quiñones, Nicolás</t>
  </si>
  <si>
    <t xml:space="preserve">Nicolás </t>
  </si>
  <si>
    <t xml:space="preserve">Ochoa </t>
  </si>
  <si>
    <t>Jefe del Centro de Entrenamiento Básico del Cuerpo IM</t>
  </si>
  <si>
    <t>Carvajal Baeza, Mauricio</t>
  </si>
  <si>
    <t xml:space="preserve"> Carvajal </t>
  </si>
  <si>
    <t>Baeza</t>
  </si>
  <si>
    <t>Jefe del Departamento de Bienestar Social Talcahuano</t>
  </si>
  <si>
    <t>Sampedro Covarrubias, Álvaro</t>
  </si>
  <si>
    <t xml:space="preserve">Álvaro </t>
  </si>
  <si>
    <t xml:space="preserve">Sampedro </t>
  </si>
  <si>
    <t>Covarrubias</t>
  </si>
  <si>
    <t>Comandante de la LST "Chacabuco"</t>
  </si>
  <si>
    <t>Beytía de la Maza, Raimundo</t>
  </si>
  <si>
    <t xml:space="preserve">Raimundo </t>
  </si>
  <si>
    <t xml:space="preserve">Beytía </t>
  </si>
  <si>
    <t>de la Maza</t>
  </si>
  <si>
    <t>Comandante de la LST "Rancagua"</t>
  </si>
  <si>
    <t>Boré Bacigaluppi, Gabriel</t>
  </si>
  <si>
    <t xml:space="preserve">Gabriel </t>
  </si>
  <si>
    <t xml:space="preserve">Boré </t>
  </si>
  <si>
    <t>Bacigaluppi</t>
  </si>
  <si>
    <t>Jefe de Estado Mayor del Comando Anfibio y de Transportes Navales</t>
  </si>
  <si>
    <t>Chassin-Trubert Correa, Andre</t>
  </si>
  <si>
    <t xml:space="preserve">Andre </t>
  </si>
  <si>
    <t xml:space="preserve">Chassin-Trubert </t>
  </si>
  <si>
    <t xml:space="preserve">Jefe ITO Construcciones </t>
  </si>
  <si>
    <t>Putz Sanhueza, Cristhian</t>
  </si>
  <si>
    <t xml:space="preserve">Cristhian </t>
  </si>
  <si>
    <t xml:space="preserve">Putz </t>
  </si>
  <si>
    <t>Comandante de la ATF "Galvarino"</t>
  </si>
  <si>
    <t>Morales Valenzuela, Eduardo</t>
  </si>
  <si>
    <t xml:space="preserve">Eduardo </t>
  </si>
  <si>
    <t xml:space="preserve">Morales  </t>
  </si>
  <si>
    <t>Jefe del Subcentro de Telecomunicaciones Navales Talcahuano</t>
  </si>
  <si>
    <t>Capitán de Corbeta LT</t>
  </si>
  <si>
    <t>Ovalle Lagos, Camila</t>
  </si>
  <si>
    <t xml:space="preserve"> Ovalle </t>
  </si>
  <si>
    <t>Capitán de Puerto de Talcahuano</t>
  </si>
  <si>
    <t>PREMIADOS</t>
  </si>
  <si>
    <t>Riquelme Galaz, Oscar</t>
  </si>
  <si>
    <t xml:space="preserve"> Riquelme </t>
  </si>
  <si>
    <t>Galaz</t>
  </si>
  <si>
    <t>Jefe de Buque</t>
  </si>
  <si>
    <t>Solari Gallardo, Francisco</t>
  </si>
  <si>
    <t xml:space="preserve">Solari  </t>
  </si>
  <si>
    <t>Gallardo</t>
  </si>
  <si>
    <t xml:space="preserve">Carenador </t>
  </si>
  <si>
    <t>Reyes López, José</t>
  </si>
  <si>
    <t xml:space="preserve">José </t>
  </si>
  <si>
    <t xml:space="preserve">Reyes </t>
  </si>
  <si>
    <t>Mecánico de Sistemas de Cañerías</t>
  </si>
  <si>
    <t>Aravena Obreque, Jaime</t>
  </si>
  <si>
    <t xml:space="preserve">Jaime </t>
  </si>
  <si>
    <t xml:space="preserve">Aravena  </t>
  </si>
  <si>
    <t>Obreque</t>
  </si>
  <si>
    <t xml:space="preserve">Electricista Generación y Distribución </t>
  </si>
  <si>
    <t>Gutiérrez Vega, Iván</t>
  </si>
  <si>
    <t xml:space="preserve">Gutiérrez </t>
  </si>
  <si>
    <t>Vega</t>
  </si>
  <si>
    <t>Leigton Palma, John</t>
  </si>
  <si>
    <t xml:space="preserve">John </t>
  </si>
  <si>
    <t xml:space="preserve">Leigton  </t>
  </si>
  <si>
    <t>Palma</t>
  </si>
  <si>
    <t>Supervisor Primera Línea</t>
  </si>
  <si>
    <t>Monjes Parra, Mario</t>
  </si>
  <si>
    <t xml:space="preserve">Mario </t>
  </si>
  <si>
    <t xml:space="preserve">Monjes </t>
  </si>
  <si>
    <t>Alarcón Segura, Francisca</t>
  </si>
  <si>
    <t xml:space="preserve"> Alarcón </t>
  </si>
  <si>
    <t>Segura</t>
  </si>
  <si>
    <t>Comprador Internacional</t>
  </si>
  <si>
    <t xml:space="preserve">INVITADOS ASMAR </t>
  </si>
  <si>
    <t>Krakman , Karen</t>
  </si>
  <si>
    <t>Karen</t>
  </si>
  <si>
    <t>Krakman</t>
  </si>
  <si>
    <t>Consul Países Bajos Concepción</t>
  </si>
  <si>
    <t>Fisher , Alvaro</t>
  </si>
  <si>
    <t>Presidente del Consejo Nacional de Innovación para el Desarrollo (CNID)</t>
  </si>
  <si>
    <t>Fuster Roa, Marcelo</t>
  </si>
  <si>
    <t>Fuster</t>
  </si>
  <si>
    <t>Roa</t>
  </si>
  <si>
    <t>Gerente General Corporativo ASIMET A.G. - Comité CORFO</t>
  </si>
  <si>
    <t>García , Fernando</t>
  </si>
  <si>
    <t>Presidente ASIMET A.G.</t>
  </si>
  <si>
    <t>Alcazar , Gustavo</t>
  </si>
  <si>
    <t>Alcazar</t>
  </si>
  <si>
    <t>Presidente Comité Regional ASIMET BioBio</t>
  </si>
  <si>
    <t>Bilbao , Alejandra</t>
  </si>
  <si>
    <t>Alejandra</t>
  </si>
  <si>
    <t>Bilbao</t>
  </si>
  <si>
    <t>Jefa Servicios Gremiales ASIMET</t>
  </si>
  <si>
    <t>Presidente de la Academia de Hisrtorian Naval y Maritima de Chile</t>
  </si>
  <si>
    <t>Grandela Murasso, Andrés</t>
  </si>
  <si>
    <t>Grandela</t>
  </si>
  <si>
    <t>Murasso</t>
  </si>
  <si>
    <t>Gerente Zonal Banco Edwards</t>
  </si>
  <si>
    <t>Donoso Smith, Camilo</t>
  </si>
  <si>
    <t>Camilo</t>
  </si>
  <si>
    <t>Gerente Sucursal Las Salinas de Banco Edwards</t>
  </si>
  <si>
    <t>Lagos Olavarrieta, Julio</t>
  </si>
  <si>
    <t>Olavarrieta</t>
  </si>
  <si>
    <t>Gerente Area Banca Privada y Red Edwards</t>
  </si>
  <si>
    <t>Landaeta Torres, Marisol</t>
  </si>
  <si>
    <t>Marisol</t>
  </si>
  <si>
    <t>Landaeta</t>
  </si>
  <si>
    <t>Gerente de Oficina Banco Edwards Base Naval Talcahuano</t>
  </si>
  <si>
    <t>Heusser Vitali, Fernando</t>
  </si>
  <si>
    <t>Heusser</t>
  </si>
  <si>
    <t>Vitali</t>
  </si>
  <si>
    <t>Head of Large Corporates GTB. Banco Santander</t>
  </si>
  <si>
    <t>Schuster Bentjerodt, María Soledad</t>
  </si>
  <si>
    <t>Schuster</t>
  </si>
  <si>
    <t>Bentjerodt</t>
  </si>
  <si>
    <t>Associate Sales Cash &amp; Lending, Santander Global Transaction Banking. Banco Santander</t>
  </si>
  <si>
    <t>Dalmazzo Bonet, Alberto</t>
  </si>
  <si>
    <t xml:space="preserve">Alberto </t>
  </si>
  <si>
    <t>Dalmazzo</t>
  </si>
  <si>
    <t>Bonet</t>
  </si>
  <si>
    <t>Gerente Negocios Moneda Extranjera Banco de Chile</t>
  </si>
  <si>
    <t>Bau Díaz, Carlos</t>
  </si>
  <si>
    <t>Bau</t>
  </si>
  <si>
    <t>Sub Gerente Negocios Moneda Extranjera Banco de Chile</t>
  </si>
  <si>
    <t>Arellano Salas, Hernán</t>
  </si>
  <si>
    <t>Hernán</t>
  </si>
  <si>
    <t>Arellano</t>
  </si>
  <si>
    <t>Gerente División Corporativa Banco Chile</t>
  </si>
  <si>
    <t>Trucco Argomedo, Andrés</t>
  </si>
  <si>
    <t>Trucco</t>
  </si>
  <si>
    <t>Argomedo</t>
  </si>
  <si>
    <t>Gerente Corporaciones &amp; DCM Finanzas Corporativas Banco BICE</t>
  </si>
  <si>
    <t>Prieto Fernández de Castro, Gregorio</t>
  </si>
  <si>
    <t>Gregorio</t>
  </si>
  <si>
    <t>Prieto</t>
  </si>
  <si>
    <t>Fernández de Castro</t>
  </si>
  <si>
    <t>Gerente de Altos Patrimonios Banco BICE</t>
  </si>
  <si>
    <t>Matte Larraín, Bernardo</t>
  </si>
  <si>
    <t>Matte</t>
  </si>
  <si>
    <t>Vicepresidente Banco BICE</t>
  </si>
  <si>
    <t>Villalta Díaz, Marcelo</t>
  </si>
  <si>
    <t>Villalta</t>
  </si>
  <si>
    <t>Subgerente GGEE e Instituciones Banco ITAÚ</t>
  </si>
  <si>
    <t>Valverde Henriquez, Cristian</t>
  </si>
  <si>
    <t>Valverde</t>
  </si>
  <si>
    <t>Henriquez</t>
  </si>
  <si>
    <t>Ejecutivo GGEE e Instituciones Banco ITAÚ</t>
  </si>
  <si>
    <t>Cáceres Vargas, Eugenio</t>
  </si>
  <si>
    <t>Cáceres</t>
  </si>
  <si>
    <t>Gerente Regional Grandes Empresas Banco BCI</t>
  </si>
  <si>
    <t>Martínez Reinares, Cristian</t>
  </si>
  <si>
    <t>Reinares</t>
  </si>
  <si>
    <t>Subgerente Banco Mayorista Valparaíso Banco BCI</t>
  </si>
  <si>
    <t>Manzor Manzor, Patricia</t>
  </si>
  <si>
    <t>Manzor</t>
  </si>
  <si>
    <t>Subgerente Instituciones y Empresas Públicas BancoEstado</t>
  </si>
  <si>
    <t>Durán Cabezas, David</t>
  </si>
  <si>
    <t>Durán</t>
  </si>
  <si>
    <t>Cabezas</t>
  </si>
  <si>
    <t>Gerente Banca Institucional Banco Estado</t>
  </si>
  <si>
    <t>FISCALIA</t>
  </si>
  <si>
    <t>Muñoz , Felipe</t>
  </si>
  <si>
    <t>Jefe División Jurídica SUBSECFA</t>
  </si>
  <si>
    <t>Coronado , Ricardo</t>
  </si>
  <si>
    <t>Jefe División Jurídica SUBSECDEF</t>
  </si>
  <si>
    <t>Jaque , Marcos</t>
  </si>
  <si>
    <t>Jaque</t>
  </si>
  <si>
    <t>Jefe División Asuntos Institucionales SUBSECFA</t>
  </si>
  <si>
    <t>ADUANA</t>
  </si>
  <si>
    <t>Méndez Seguel, Francisco</t>
  </si>
  <si>
    <t>Méndez</t>
  </si>
  <si>
    <t>Seguel</t>
  </si>
  <si>
    <t>Jefe Departamento de Fiscalización - Aduana</t>
  </si>
  <si>
    <t>Eade Silva, Cristian</t>
  </si>
  <si>
    <t>Eade</t>
  </si>
  <si>
    <t>Fiscalizador - Aduanas</t>
  </si>
  <si>
    <t>Martínez Alarcón, Mario</t>
  </si>
  <si>
    <t>Alarcón</t>
  </si>
  <si>
    <t>SEGUROS</t>
  </si>
  <si>
    <t>Foley , Peter</t>
  </si>
  <si>
    <t>Foley</t>
  </si>
  <si>
    <t>Gerente General Lockton Seguros</t>
  </si>
  <si>
    <t>Ramirez M., Ivan</t>
  </si>
  <si>
    <t>Ivan</t>
  </si>
  <si>
    <t>M.</t>
  </si>
  <si>
    <t>Ejecutivo de Cuenta Lockton Seguros</t>
  </si>
  <si>
    <t>Martínez Fernández, Patricio</t>
  </si>
  <si>
    <t>Gerente General Mutual de Seguros de Chile</t>
  </si>
  <si>
    <t>Osorio Bañados, Jorge</t>
  </si>
  <si>
    <t>Bañados</t>
  </si>
  <si>
    <t>Gerente Técnico de la Mutual de Seguros de Chile</t>
  </si>
  <si>
    <t>AUDITORIA</t>
  </si>
  <si>
    <t>González López, René</t>
  </si>
  <si>
    <t>René</t>
  </si>
  <si>
    <t>Socio Lider Oficinas Regionales en Deloitte Chile</t>
  </si>
  <si>
    <t>Osorio Rodriguez, María Paz</t>
  </si>
  <si>
    <t>Senior Manager Deloitte Concepción</t>
  </si>
  <si>
    <t>Bagnara , Manuel</t>
  </si>
  <si>
    <t>Bagnara</t>
  </si>
  <si>
    <t>Gerente General en ARMASUR A.G. - Comité CORFO</t>
  </si>
  <si>
    <t>Tejada Curti, Ricardo</t>
  </si>
  <si>
    <t>Tejada</t>
  </si>
  <si>
    <t>Curti</t>
  </si>
  <si>
    <t>Gerente Asociación Nacional de Armadores A.G.</t>
  </si>
  <si>
    <t>Ladrix Osses, Carlos Alberto</t>
  </si>
  <si>
    <t>Carlos Alberto</t>
  </si>
  <si>
    <t>Ladrix</t>
  </si>
  <si>
    <t>Osses</t>
  </si>
  <si>
    <t>Subdirector de Investigación Aplicada de la ANID</t>
  </si>
  <si>
    <t>Lamoliatte , Andrés</t>
  </si>
  <si>
    <t>Lamoliatte</t>
  </si>
  <si>
    <t>Ministerio de RR.EE. Comité CORFO</t>
  </si>
  <si>
    <t>Rey Sommer, Patricio</t>
  </si>
  <si>
    <t>Rey</t>
  </si>
  <si>
    <t>Sommer</t>
  </si>
  <si>
    <t>Presidente METRO</t>
  </si>
  <si>
    <t>Bravo Busta, Felipe</t>
  </si>
  <si>
    <t>Bravo</t>
  </si>
  <si>
    <t>Busta</t>
  </si>
  <si>
    <t>Gerente General METRO</t>
  </si>
  <si>
    <t>Terrazas Michell, Rodrigo</t>
  </si>
  <si>
    <t>Terrazas</t>
  </si>
  <si>
    <t>Michell</t>
  </si>
  <si>
    <t>Gerente de Ingeniería METRO</t>
  </si>
  <si>
    <t>Claude Bourdel, Jorge</t>
  </si>
  <si>
    <t>Claude</t>
  </si>
  <si>
    <t>Bourdel</t>
  </si>
  <si>
    <t>Presidente Directorio EFE</t>
  </si>
  <si>
    <t>Sabag Villalobos, Jorge</t>
  </si>
  <si>
    <t>Sabag</t>
  </si>
  <si>
    <t>Presidente Directorio EFE Sur</t>
  </si>
  <si>
    <t>Solorza Estevez, José</t>
  </si>
  <si>
    <t>Solorza</t>
  </si>
  <si>
    <t>Estevez</t>
  </si>
  <si>
    <t>Gerente General EFE</t>
  </si>
  <si>
    <t>Urzúa , Miguel</t>
  </si>
  <si>
    <t>Urzúa</t>
  </si>
  <si>
    <t>Gerente de Infraestructura EFE</t>
  </si>
  <si>
    <t>Salas , Juan Pablo</t>
  </si>
  <si>
    <t>Gerente General Astillero ASCON Socio fundador</t>
  </si>
  <si>
    <t>Aravena , Manuel</t>
  </si>
  <si>
    <t>Aravena</t>
  </si>
  <si>
    <t xml:space="preserve">Socio fundador Astillero ASCON </t>
  </si>
  <si>
    <t>Gavilán Ortiz, Milka</t>
  </si>
  <si>
    <t>Milka</t>
  </si>
  <si>
    <t>Gavilán</t>
  </si>
  <si>
    <t>Comité CORFO - Presidenta Sindicato ASMAR</t>
  </si>
  <si>
    <t>Fuica Berger, Andrés</t>
  </si>
  <si>
    <t>Fuica</t>
  </si>
  <si>
    <t>Berger</t>
  </si>
  <si>
    <t>Jefe de Gabinete - Vicepresidente Ejecutivo CORFO</t>
  </si>
  <si>
    <t>Cifuentes Espinoza, Héctor</t>
  </si>
  <si>
    <t>Asesor Técnico Comité CORFO</t>
  </si>
  <si>
    <t>Lema Medina, Francisca</t>
  </si>
  <si>
    <t>Lema</t>
  </si>
  <si>
    <t>Oficial Enlace de Comité CORFO</t>
  </si>
  <si>
    <t>Pacheco , Jorge</t>
  </si>
  <si>
    <t>COMPAS MARINE</t>
  </si>
  <si>
    <t>Vargas Covarrubias, Carlos</t>
  </si>
  <si>
    <t>Gerente Corporativo COMPAS MARINE</t>
  </si>
  <si>
    <t>Teniente segundo RN</t>
  </si>
  <si>
    <t>Villanueva Bianchini, Pía</t>
  </si>
  <si>
    <t>Pía</t>
  </si>
  <si>
    <t>Villanueva</t>
  </si>
  <si>
    <t>Bianchini</t>
  </si>
  <si>
    <t>Cientifica Universidad de Chile</t>
  </si>
  <si>
    <t>Siebert Cristi, Luis Ernesto</t>
  </si>
  <si>
    <t>Luis Ernesto</t>
  </si>
  <si>
    <t>Siebert</t>
  </si>
  <si>
    <t>Ex Gerente de Construcción Naval (T)</t>
  </si>
  <si>
    <t>Roepke Riveros, Reinaldo</t>
  </si>
  <si>
    <t>Reinaldo</t>
  </si>
  <si>
    <t>Roepke</t>
  </si>
  <si>
    <t>Riveros</t>
  </si>
  <si>
    <t>Ex Gerente Comercial Mercantes ASMAR(T)</t>
  </si>
  <si>
    <t>Buzeta Espinosa, Jorge</t>
  </si>
  <si>
    <t>Buzeta</t>
  </si>
  <si>
    <t>Ex Gerente Comercial Armada ASMAR(T)</t>
  </si>
  <si>
    <t>Varela Jenschke, Joaquin</t>
  </si>
  <si>
    <t xml:space="preserve">Varela </t>
  </si>
  <si>
    <t>Jenschke</t>
  </si>
  <si>
    <t>Ex Gerente Corporativo de Construcción Naval</t>
  </si>
  <si>
    <t>Silva , Rodrigo</t>
  </si>
  <si>
    <t>Gerente General COOPEUCH</t>
  </si>
  <si>
    <t>Negrete , Oliver</t>
  </si>
  <si>
    <t>Oliver</t>
  </si>
  <si>
    <t>Gerente Comercial COOPEUCH</t>
  </si>
  <si>
    <t>Roa , Oscar</t>
  </si>
  <si>
    <t>COOPEUCH</t>
  </si>
  <si>
    <t>González , Carlos</t>
  </si>
  <si>
    <t>Ramirez Cáceres, Mario</t>
  </si>
  <si>
    <t>Cifuentes Monsalve, Luis</t>
  </si>
  <si>
    <t>Monsalve</t>
  </si>
  <si>
    <t>Gerente Regional Región del BioBio COOPEUCH</t>
  </si>
  <si>
    <t>Moncada Mansilla, Carlos</t>
  </si>
  <si>
    <t>Moncada</t>
  </si>
  <si>
    <t>Mansilla</t>
  </si>
  <si>
    <t>Agente COOPEUCH Oficina Base Naval Talcahuano</t>
  </si>
  <si>
    <t>Concha Strappa, Diego</t>
  </si>
  <si>
    <t>Strappa</t>
  </si>
  <si>
    <t>Gerente de Sucursales COOPEUCH</t>
  </si>
  <si>
    <t>Zavala Mujica, Tomás</t>
  </si>
  <si>
    <t>Gerente General Caja Los Andes</t>
  </si>
  <si>
    <t>Caro Jara, Marco Antonio</t>
  </si>
  <si>
    <t>Marco Antonio</t>
  </si>
  <si>
    <t>Caro</t>
  </si>
  <si>
    <t>Jara</t>
  </si>
  <si>
    <t>Gerente de Clientes y Empresas Caja Los Andes</t>
  </si>
  <si>
    <t>Vera Villarroel, Fernando</t>
  </si>
  <si>
    <t xml:space="preserve">Vera </t>
  </si>
  <si>
    <t>Villarroel</t>
  </si>
  <si>
    <t>Segment Manager FAOS Caja Los Andes</t>
  </si>
  <si>
    <t>Soffia Salsilli, Francisco</t>
  </si>
  <si>
    <t>Soffia</t>
  </si>
  <si>
    <t>Salsilli</t>
  </si>
  <si>
    <t>Segment Manager Caja Los Andes</t>
  </si>
  <si>
    <t>Cardoen Cornejo, Carlos</t>
  </si>
  <si>
    <t>Cardoen</t>
  </si>
  <si>
    <t>Invitado Especial Director ASMAR</t>
  </si>
  <si>
    <t>Cardoen Aylwin, Rodrigo</t>
  </si>
  <si>
    <t>Aylwin</t>
  </si>
  <si>
    <t>Gantes Young, Cristian</t>
  </si>
  <si>
    <t>Gantes</t>
  </si>
  <si>
    <t>Young</t>
  </si>
  <si>
    <t>Rojas Pimentel, Jaime</t>
  </si>
  <si>
    <t>Capitán de Navío RN</t>
  </si>
  <si>
    <t>Tellez Román, Gonzalo</t>
  </si>
  <si>
    <t>Tellez</t>
  </si>
  <si>
    <t>Román</t>
  </si>
  <si>
    <t>Manzano Soko, Oscar</t>
  </si>
  <si>
    <t>Soko</t>
  </si>
  <si>
    <t>Fernández Morales, José Luis</t>
  </si>
  <si>
    <t>José Luis</t>
  </si>
  <si>
    <t>Piñeyro Guarda, Alejandro</t>
  </si>
  <si>
    <t>Piñeyro</t>
  </si>
  <si>
    <t>Guarda</t>
  </si>
  <si>
    <t>Cabezas Villablanca, Gastón</t>
  </si>
  <si>
    <t>Davanzo Hyslop, Jorge</t>
  </si>
  <si>
    <t>Davanzo</t>
  </si>
  <si>
    <t>Hyslop</t>
  </si>
  <si>
    <t>Capitán de Navío SD RN</t>
  </si>
  <si>
    <t>Corvalán Constantino, Juan Antonio</t>
  </si>
  <si>
    <t>Juan Antonio</t>
  </si>
  <si>
    <t>Constantino</t>
  </si>
  <si>
    <t>Wilson Lazo, Fernando</t>
  </si>
  <si>
    <t>Wilson</t>
  </si>
  <si>
    <t>Lazo</t>
  </si>
  <si>
    <t>Stone Roosevelt, Martin</t>
  </si>
  <si>
    <t>Stone</t>
  </si>
  <si>
    <t>Roosevelt</t>
  </si>
  <si>
    <t>Acevedo Donoso, Francisco</t>
  </si>
  <si>
    <t>Lillo Echeverría, Claudia</t>
  </si>
  <si>
    <t>Lillo</t>
  </si>
  <si>
    <t>Echeverría</t>
  </si>
  <si>
    <t>Vergara , Cristian</t>
  </si>
  <si>
    <t>Gerente General ESSBIO</t>
  </si>
  <si>
    <t>Schmohl , Peter</t>
  </si>
  <si>
    <t xml:space="preserve">Peter </t>
  </si>
  <si>
    <t>Schmohl</t>
  </si>
  <si>
    <t>Gerente Zonal ESSBIO</t>
  </si>
  <si>
    <t>Fernández , David</t>
  </si>
  <si>
    <t xml:space="preserve">David </t>
  </si>
  <si>
    <t>Gerente General CIDERE</t>
  </si>
  <si>
    <t>Donoso , Nelson</t>
  </si>
  <si>
    <t xml:space="preserve">Nelson </t>
  </si>
  <si>
    <t>Presidente IRADE</t>
  </si>
  <si>
    <t>Roa Astete, Bernardita</t>
  </si>
  <si>
    <t xml:space="preserve">Bernardita </t>
  </si>
  <si>
    <t>Astete</t>
  </si>
  <si>
    <t>Gerente General IRADE</t>
  </si>
  <si>
    <t>Skalweit , Rodolfo</t>
  </si>
  <si>
    <t xml:space="preserve">Rodolfo </t>
  </si>
  <si>
    <t>Skalweit</t>
  </si>
  <si>
    <t>Director Sociedad Inversiones Portuarias - CPT</t>
  </si>
  <si>
    <t>Cornelius , Carlos</t>
  </si>
  <si>
    <t>Cornelius</t>
  </si>
  <si>
    <t>CEO grupo empresas CPT</t>
  </si>
  <si>
    <t>Kummerlin Gottschald, Thomas</t>
  </si>
  <si>
    <t>Kummerlin</t>
  </si>
  <si>
    <t>Gottschald</t>
  </si>
  <si>
    <t>Gerente Reloncavi</t>
  </si>
  <si>
    <t>Gutierrez , Carlos</t>
  </si>
  <si>
    <t>Gutierrez</t>
  </si>
  <si>
    <t xml:space="preserve">Gerente Agental Ltda.  </t>
  </si>
  <si>
    <t>Directora Ejecutiva (s) CORFO BioBio</t>
  </si>
  <si>
    <t>Argo, James</t>
  </si>
  <si>
    <t>James</t>
  </si>
  <si>
    <t>Argo</t>
  </si>
  <si>
    <t>Ocares Brantes, José</t>
  </si>
  <si>
    <t>Ocares</t>
  </si>
  <si>
    <t>Brantes</t>
  </si>
  <si>
    <t>Gerente Operaciones Pesca BLUMAR</t>
  </si>
  <si>
    <t>Florás Guerraty, Alejandro</t>
  </si>
  <si>
    <t>Florás</t>
  </si>
  <si>
    <t>Guerraty</t>
  </si>
  <si>
    <t>Gerente Regional Camanchaca Pesca Sur S.A.</t>
  </si>
  <si>
    <t>Meonne Muñoz, Marcel</t>
  </si>
  <si>
    <t>Meonne</t>
  </si>
  <si>
    <t>Gerente General PacificBlu</t>
  </si>
  <si>
    <t>Salazar Zencovich, Claudio</t>
  </si>
  <si>
    <t xml:space="preserve">Claudio </t>
  </si>
  <si>
    <t>Zencovich</t>
  </si>
  <si>
    <t>Gerente General Alimentos Marinos S.A. ALIMAR</t>
  </si>
  <si>
    <t>Daroch Coelo, Andrés</t>
  </si>
  <si>
    <t>Daroch</t>
  </si>
  <si>
    <t>Coelo</t>
  </si>
  <si>
    <t>Gerente General Foodcorp Chile S.A.</t>
  </si>
  <si>
    <t>Ayala Burgemeister, Fernando</t>
  </si>
  <si>
    <t xml:space="preserve">Fernando </t>
  </si>
  <si>
    <t>Ayala</t>
  </si>
  <si>
    <t>Burgemeister</t>
  </si>
  <si>
    <t>Gerente de Negocios Seafood Orizon S.A.</t>
  </si>
  <si>
    <t>Silva Morales, Fernando</t>
  </si>
  <si>
    <t>Gerente de Operaciones Sociedad Pesquera Landes</t>
  </si>
  <si>
    <t>Gundelach Hernández, Simón</t>
  </si>
  <si>
    <t xml:space="preserve">Simón </t>
  </si>
  <si>
    <t>Gundelach</t>
  </si>
  <si>
    <t>Gerente General Lota Protein</t>
  </si>
  <si>
    <t>Eiriksson , Grimur</t>
  </si>
  <si>
    <t>Grimur</t>
  </si>
  <si>
    <t>Eiriksson</t>
  </si>
  <si>
    <t>Gerente Flota Pesquera Friosur S.A.</t>
  </si>
  <si>
    <t>Avendaño Veloso, Roberto</t>
  </si>
  <si>
    <t xml:space="preserve"> Veloso</t>
  </si>
  <si>
    <t>Gerente General de DTS</t>
  </si>
  <si>
    <t>Fuentes Palacios, Carola</t>
  </si>
  <si>
    <t>Carola</t>
  </si>
  <si>
    <t>Fuentes</t>
  </si>
  <si>
    <t>Palacios</t>
  </si>
  <si>
    <t>Gerente General de FISA</t>
  </si>
  <si>
    <t>Sotomayor , Francisco</t>
  </si>
  <si>
    <t>Sotomayor</t>
  </si>
  <si>
    <t>CEO GL Events Chile</t>
  </si>
  <si>
    <t>Capitán de Fragata (R)</t>
  </si>
  <si>
    <t>Lobo , Rodrigo</t>
  </si>
  <si>
    <t>Lobo</t>
  </si>
  <si>
    <t>Director de Relaciones Institucionales y Desarrollo de Negocios GL Events Chile</t>
  </si>
  <si>
    <t>Hurtado Z., Carolina</t>
  </si>
  <si>
    <t>Carolina</t>
  </si>
  <si>
    <t>Z.</t>
  </si>
  <si>
    <t>Gerente Comercial Unidad FISA Concepción</t>
  </si>
  <si>
    <t>Bachur Melcher, Christian</t>
  </si>
  <si>
    <t>Bachur</t>
  </si>
  <si>
    <t>Melcher</t>
  </si>
  <si>
    <t>Director Regional CGE</t>
  </si>
  <si>
    <t>Quiñilen Azocar, José</t>
  </si>
  <si>
    <t xml:space="preserve">Quiñilen </t>
  </si>
  <si>
    <t>Azocar</t>
  </si>
  <si>
    <t>Sindicato Celulosa Arauco</t>
  </si>
  <si>
    <t>Zambrano Pérez, Freddy</t>
  </si>
  <si>
    <t>Freddy</t>
  </si>
  <si>
    <t>Zambrano</t>
  </si>
  <si>
    <t>Sindicato Inchalam</t>
  </si>
  <si>
    <t>Vera González, Sergio</t>
  </si>
  <si>
    <t xml:space="preserve">Sergio </t>
  </si>
  <si>
    <t>Sindicato de Tripulantes Pesquero Biobio</t>
  </si>
  <si>
    <t>Rebolledo Moya, Gabriel</t>
  </si>
  <si>
    <t>Rebolledo</t>
  </si>
  <si>
    <t>Moya</t>
  </si>
  <si>
    <t>Unión Portuaria Biobio</t>
  </si>
  <si>
    <t>Cayul Aristondo, Eduardo</t>
  </si>
  <si>
    <t>Cayul</t>
  </si>
  <si>
    <t>Aristondo</t>
  </si>
  <si>
    <t>Sec. Ejec. de las Mesas Asesoras de la Industria Estratégica de la Defensa SUBSECDEF</t>
  </si>
  <si>
    <t>Heredia Contreras, Erika</t>
  </si>
  <si>
    <t>Erika</t>
  </si>
  <si>
    <t>FESTRAMET</t>
  </si>
  <si>
    <t>Montes Correa, Iván</t>
  </si>
  <si>
    <t>Iván</t>
  </si>
  <si>
    <t>Sindicato de trabajadores y trabajadoras ENAP-PEYROX</t>
  </si>
  <si>
    <t>Iglesias Hurtubia, Miguel</t>
  </si>
  <si>
    <t>Iglesias</t>
  </si>
  <si>
    <t>Hurtubia</t>
  </si>
  <si>
    <t>Gerente General de ENERGY ASSET</t>
  </si>
  <si>
    <t>PROVEEDORES</t>
  </si>
  <si>
    <t>Kossmann , Hans</t>
  </si>
  <si>
    <t>Kossmann</t>
  </si>
  <si>
    <t>Presidente Directorio ASENAV</t>
  </si>
  <si>
    <t>Rodríguez , Fernando</t>
  </si>
  <si>
    <t>Gerente General ASENAV</t>
  </si>
  <si>
    <t>Contreras , Ricardo</t>
  </si>
  <si>
    <t>Jefe de Proyecto ASENAV</t>
  </si>
  <si>
    <t>Schacht , Germán</t>
  </si>
  <si>
    <t>Germán</t>
  </si>
  <si>
    <t>Schacht</t>
  </si>
  <si>
    <t>Gerente Comercial y Marketing ASENAV</t>
  </si>
  <si>
    <t>Pearce , Heinz</t>
  </si>
  <si>
    <t>Heinz</t>
  </si>
  <si>
    <t>Pearce</t>
  </si>
  <si>
    <t>Board Advisor ASENAV</t>
  </si>
  <si>
    <t>Hederra Pinto, Francisco</t>
  </si>
  <si>
    <t>Hederra</t>
  </si>
  <si>
    <t>Pinto</t>
  </si>
  <si>
    <t>Gerente General SISDEF</t>
  </si>
  <si>
    <t>Calvanese , Francisco</t>
  </si>
  <si>
    <t>Calvanese</t>
  </si>
  <si>
    <t>Gerente Comercial SISDEF</t>
  </si>
  <si>
    <t>Garín , Gonzalo</t>
  </si>
  <si>
    <t>Garín</t>
  </si>
  <si>
    <t>Jefe de Proyecto SISDEF</t>
  </si>
  <si>
    <t>Swett Swett, José Miguel</t>
  </si>
  <si>
    <t>Swett</t>
  </si>
  <si>
    <t>Novoa , Carlos</t>
  </si>
  <si>
    <t>Ejecutivo Comercial SISDEF</t>
  </si>
  <si>
    <t>Vásquez , Katrina</t>
  </si>
  <si>
    <t>Katrina</t>
  </si>
  <si>
    <t>Jefe de Marketing SISDEF</t>
  </si>
  <si>
    <t>Flores , Tamara</t>
  </si>
  <si>
    <t>Tamara</t>
  </si>
  <si>
    <t>Gerente de Soluciones de Seguridad SISDEF</t>
  </si>
  <si>
    <t>Gallaher Hucke, John</t>
  </si>
  <si>
    <t>Gallaher</t>
  </si>
  <si>
    <t>Hucke</t>
  </si>
  <si>
    <t>Asesor Legal SISDEF</t>
  </si>
  <si>
    <t>Mutschler Castillo, Jorge</t>
  </si>
  <si>
    <t>Mutschler</t>
  </si>
  <si>
    <t>Castillo</t>
  </si>
  <si>
    <t>Gerente General Sociedad Comercial Equipos Industriales S.A. INDUELECTRO</t>
  </si>
  <si>
    <t>Mutschler , Roberta</t>
  </si>
  <si>
    <t>Roberta</t>
  </si>
  <si>
    <t>Subgerente General Sociedad Comercial Equipos Industriales S.A. INDUELECTRO</t>
  </si>
  <si>
    <t>Millan Orellana, Jorge</t>
  </si>
  <si>
    <t>Millan</t>
  </si>
  <si>
    <t>Jefe Sucursal Concepción INDUELECTRO</t>
  </si>
  <si>
    <t>Fauré Cañas, José Luis</t>
  </si>
  <si>
    <t>Fauré</t>
  </si>
  <si>
    <t>Cañas</t>
  </si>
  <si>
    <t>Gerente General CODELPA S.A.</t>
  </si>
  <si>
    <t>Iturriaga González, Pedro</t>
  </si>
  <si>
    <t>Iturriaga</t>
  </si>
  <si>
    <t>Gerente General PROINGAS S.A.</t>
  </si>
  <si>
    <t>Iturriaga Atala, Andrés</t>
  </si>
  <si>
    <t>Atala</t>
  </si>
  <si>
    <t>Gerente Comercial PROINGAS S.A.</t>
  </si>
  <si>
    <t>Rodriguez , Roberto</t>
  </si>
  <si>
    <t>Director General IBERCISA DECK Machinery S.A.</t>
  </si>
  <si>
    <t>Romero Vega, Manuel Ricardo</t>
  </si>
  <si>
    <t>Manuel Ricardo</t>
  </si>
  <si>
    <t>Jefe de Proyecto IBERCISA</t>
  </si>
  <si>
    <t>Chellew Daydi, Sidney</t>
  </si>
  <si>
    <t>Sidney</t>
  </si>
  <si>
    <t>Chellew</t>
  </si>
  <si>
    <t>Daydi</t>
  </si>
  <si>
    <t>Gerente General SOCIBER</t>
  </si>
  <si>
    <t>Irribarra Mendoza, Mario</t>
  </si>
  <si>
    <t>Irribarra</t>
  </si>
  <si>
    <t>Mendoza</t>
  </si>
  <si>
    <t>Jefe de Administración y Venta SOCIBER</t>
  </si>
  <si>
    <t>Veldstra , Rene</t>
  </si>
  <si>
    <t>Veldstra</t>
  </si>
  <si>
    <t>General Manager Project Management Navy Wärtsilä Marine</t>
  </si>
  <si>
    <t>Van Mourik , Gise</t>
  </si>
  <si>
    <t>Gise</t>
  </si>
  <si>
    <t>Van Mourik</t>
  </si>
  <si>
    <t>Gerente Ventas, Wärtsilä Marine</t>
  </si>
  <si>
    <t>Medina Donoso, Adolfo</t>
  </si>
  <si>
    <t>Adolfo</t>
  </si>
  <si>
    <t>Figueroa Ortiz, Carlos</t>
  </si>
  <si>
    <t>Gerente Sucursal COB Talcahuano (ASMAR)</t>
  </si>
  <si>
    <t>Oliva Barriga, César</t>
  </si>
  <si>
    <t>Oliva</t>
  </si>
  <si>
    <t>Barriga</t>
  </si>
  <si>
    <t>Gerente Sucursal COB Valdivia</t>
  </si>
  <si>
    <t>Mercado , Gonzalo</t>
  </si>
  <si>
    <t>Gerente Operaciones Remolcadores CPT</t>
  </si>
  <si>
    <t>Almendra , Iván</t>
  </si>
  <si>
    <t>Almendra</t>
  </si>
  <si>
    <t>Gerente Zona Sur B. Bosch</t>
  </si>
  <si>
    <t>Gamundi Fernández, Javier</t>
  </si>
  <si>
    <t>Gamundi</t>
  </si>
  <si>
    <t>Presidente FRIZONIA</t>
  </si>
  <si>
    <t>CEO  FRIZONIA Regrigeración, climatización .S.L.</t>
  </si>
  <si>
    <t>Fernández Goberna, Patricio</t>
  </si>
  <si>
    <t>Goberna</t>
  </si>
  <si>
    <t>Presidente Industrias Ferri S.A.</t>
  </si>
  <si>
    <t>Fernández Félix, Marisela</t>
  </si>
  <si>
    <t>Marisela</t>
  </si>
  <si>
    <t>Félix</t>
  </si>
  <si>
    <t>Desarrollo de Negocios Industrias Ferri S.A.</t>
  </si>
  <si>
    <t>Vacarezza Salas, Pedro</t>
  </si>
  <si>
    <t>Vacarezza</t>
  </si>
  <si>
    <t>Gerente de Ventas Empresas CODELPA S.A.</t>
  </si>
  <si>
    <t>Sánchez de Pablo , Ricardo</t>
  </si>
  <si>
    <t>Sánchez de Pablo</t>
  </si>
  <si>
    <t>Presidente SP Consultores y Servicios</t>
  </si>
  <si>
    <t>Sánchez de Pablo , Daniel</t>
  </si>
  <si>
    <t>Executive Vicepresident  SP Consultores y Servicios</t>
  </si>
  <si>
    <t>Llago Hermida, Antonio José</t>
  </si>
  <si>
    <t>Antonio José</t>
  </si>
  <si>
    <t>Llago</t>
  </si>
  <si>
    <t>Hermida</t>
  </si>
  <si>
    <t>CEO GABADI</t>
  </si>
  <si>
    <t>Guerrero Salgado, Pablo</t>
  </si>
  <si>
    <t>Salgado</t>
  </si>
  <si>
    <t>COO GABADI</t>
  </si>
  <si>
    <t>David Monsen, Atle</t>
  </si>
  <si>
    <t>Atle</t>
  </si>
  <si>
    <t>Monsen</t>
  </si>
  <si>
    <t>Sales and marketing KONGSBERG MARITIME AS</t>
  </si>
  <si>
    <t>Danchev Ivanov, Ivan</t>
  </si>
  <si>
    <t>Danchev</t>
  </si>
  <si>
    <t>Ivanov</t>
  </si>
  <si>
    <t>Project Manager KONGSBERG MARITIME AS</t>
  </si>
  <si>
    <t>Catanzato , Benedetto</t>
  </si>
  <si>
    <t>Benedetto</t>
  </si>
  <si>
    <t>Catanzato</t>
  </si>
  <si>
    <t>CEO MELCAL SpA</t>
  </si>
  <si>
    <t>Apolo , Daniele</t>
  </si>
  <si>
    <t>Daniele</t>
  </si>
  <si>
    <t>Apolo</t>
  </si>
  <si>
    <t>Project Manager MELCAL SpA</t>
  </si>
  <si>
    <t>Ullbro , Björn</t>
  </si>
  <si>
    <t>Björn</t>
  </si>
  <si>
    <t>Ullbro</t>
  </si>
  <si>
    <t>CEO de EVAC Group</t>
  </si>
  <si>
    <t>Chen , Li</t>
  </si>
  <si>
    <t>Li</t>
  </si>
  <si>
    <t>Project Manager de EVAC Group</t>
  </si>
  <si>
    <t>Lange , Dirk</t>
  </si>
  <si>
    <t>Dirk</t>
  </si>
  <si>
    <t>Lange</t>
  </si>
  <si>
    <t>Senior Project Manager Damen Marine Components</t>
  </si>
  <si>
    <t>Virgilio Zimmmermann, Enzo</t>
  </si>
  <si>
    <t>Virgilio</t>
  </si>
  <si>
    <t>Zimmmermann</t>
  </si>
  <si>
    <t>Commercial Project Manager KARL DOSE GmbH</t>
  </si>
  <si>
    <t>Zimmermann , Tobias</t>
  </si>
  <si>
    <t>Tobias</t>
  </si>
  <si>
    <t>Zimmermann</t>
  </si>
  <si>
    <t>Technical Project Manager KARL DOSE GmbH</t>
  </si>
  <si>
    <t>Parker Parker, Leif</t>
  </si>
  <si>
    <t>Leif</t>
  </si>
  <si>
    <t>Parker</t>
  </si>
  <si>
    <t>Managing Director KARL DOSE GmbH</t>
  </si>
  <si>
    <t>Muñoz Cabrera, Esteban</t>
  </si>
  <si>
    <t>Esteban</t>
  </si>
  <si>
    <t>Representante Legal  HECARES</t>
  </si>
  <si>
    <t>Sarmento , Fernanda</t>
  </si>
  <si>
    <t>Fernanda</t>
  </si>
  <si>
    <t>Sarmento</t>
  </si>
  <si>
    <t>DNV Area Manager - Maritime Sputh América</t>
  </si>
  <si>
    <t>Ferreira , Maximinio</t>
  </si>
  <si>
    <t>Maximinio</t>
  </si>
  <si>
    <t>Ferreira</t>
  </si>
  <si>
    <t>DNV</t>
  </si>
  <si>
    <t>Ekdahl , Hans</t>
  </si>
  <si>
    <t>Ekdahl</t>
  </si>
  <si>
    <t>DNV Chile Maritime Station Manager DNV</t>
  </si>
  <si>
    <t>Muller , Ernesto</t>
  </si>
  <si>
    <t>Ernesto</t>
  </si>
  <si>
    <t>Muller</t>
  </si>
  <si>
    <t>Project Manager Expert Surveyor DNV</t>
  </si>
  <si>
    <t>Warnck , Markus</t>
  </si>
  <si>
    <t>Markus</t>
  </si>
  <si>
    <t>Warnck</t>
  </si>
  <si>
    <t>Head of Competence Center Marine MINIMAX Fire Solutions</t>
  </si>
  <si>
    <t>Hupka , Kai</t>
  </si>
  <si>
    <t>Kai</t>
  </si>
  <si>
    <t>Hupka</t>
  </si>
  <si>
    <t>Project Manager MINIMAX Fire Solutions</t>
  </si>
  <si>
    <t>Mas Huber, Eduardo</t>
  </si>
  <si>
    <t>Huber</t>
  </si>
  <si>
    <t>Dueño Astillero SITECNA</t>
  </si>
  <si>
    <t>Manzoliz , Ricardo</t>
  </si>
  <si>
    <t>Manzoliz</t>
  </si>
  <si>
    <t>Gerente General Astillero SITECNA</t>
  </si>
  <si>
    <t>Mendoza , Jorge</t>
  </si>
  <si>
    <t>Gerente División Naval Astillero DETROIT</t>
  </si>
  <si>
    <t>Espinoza Birr, Walter</t>
  </si>
  <si>
    <t>Walter</t>
  </si>
  <si>
    <t>Birr</t>
  </si>
  <si>
    <t>Agente VARD Marine Brasil</t>
  </si>
  <si>
    <t>Barria Saravia, Hernán</t>
  </si>
  <si>
    <t>Saravia</t>
  </si>
  <si>
    <t xml:space="preserve">Representante en Chile VARD Marine </t>
  </si>
  <si>
    <t>Cook , Mark</t>
  </si>
  <si>
    <t>Mark</t>
  </si>
  <si>
    <t>Cook</t>
  </si>
  <si>
    <t>Chief Technical Officer VARD Marine</t>
  </si>
  <si>
    <t>Meza , Felipe</t>
  </si>
  <si>
    <t>Meza</t>
  </si>
  <si>
    <t>Gerente Armatorial, Remolcadores ULTRATUG</t>
  </si>
  <si>
    <t>Andrade Rigazzi, Ignacio</t>
  </si>
  <si>
    <t>Rigazzi</t>
  </si>
  <si>
    <t>MCG Hidraúlica SpA</t>
  </si>
  <si>
    <t>Cifuentes Buono-core, Cristian</t>
  </si>
  <si>
    <t>Buono-core</t>
  </si>
  <si>
    <t>Gerente General SAAM Towage</t>
  </si>
  <si>
    <t>Capitám de Fragata (R.)</t>
  </si>
  <si>
    <t>Preuss Levancini, Eduardo</t>
  </si>
  <si>
    <t>Preuss</t>
  </si>
  <si>
    <t>Levancini</t>
  </si>
  <si>
    <t>Gerente de Operaciones SAAM Towage</t>
  </si>
  <si>
    <t>Howard , Felipe</t>
  </si>
  <si>
    <t>Howard</t>
  </si>
  <si>
    <t>Gerente General HUMBOLDT</t>
  </si>
  <si>
    <t>Fernández Mizgier, Alvaro</t>
  </si>
  <si>
    <t>Mizgier</t>
  </si>
  <si>
    <t>Naviera Canales Australes SpA</t>
  </si>
  <si>
    <t>De La Cueva , Juan</t>
  </si>
  <si>
    <t>Juan</t>
  </si>
  <si>
    <t>De La Cueva</t>
  </si>
  <si>
    <t>Director Comercial NAVANTIA</t>
  </si>
  <si>
    <t>Almte.</t>
  </si>
  <si>
    <t>Romero Caramelo, Javier</t>
  </si>
  <si>
    <t>Caramelo</t>
  </si>
  <si>
    <t>Director de Gabinete Presidente- Líder de la Delegacion de NAVANTIA</t>
  </si>
  <si>
    <t>López , Aaron</t>
  </si>
  <si>
    <t>Aaron</t>
  </si>
  <si>
    <t>Ex Country Manager NAVANTIA</t>
  </si>
  <si>
    <t>Domínguez , Ricardo</t>
  </si>
  <si>
    <t>Presidente NAVANTIA</t>
  </si>
  <si>
    <t>Dobarro Rubido, Eduardo</t>
  </si>
  <si>
    <t>Dobarro</t>
  </si>
  <si>
    <t>Rubido</t>
  </si>
  <si>
    <t>Vicepresidente Negocio de Fragatas y Buques de Intervención NAVANTIA</t>
  </si>
  <si>
    <t>Menéndez Gómez, Pablo</t>
  </si>
  <si>
    <t>Menéndez</t>
  </si>
  <si>
    <t>Director Comercial América, NAVANTIA</t>
  </si>
  <si>
    <t>Mateo , Gonzalo</t>
  </si>
  <si>
    <t>Mateo</t>
  </si>
  <si>
    <t>Director NAVANTIA</t>
  </si>
  <si>
    <t>Johnson Aranda, Cristian</t>
  </si>
  <si>
    <t>Johnson</t>
  </si>
  <si>
    <t>Aranda</t>
  </si>
  <si>
    <t>Gerente General Consultoria Naval e Industrial</t>
  </si>
  <si>
    <t>Fernández , Pablo</t>
  </si>
  <si>
    <t>Director Corporativo Grupo Fernandez Jove</t>
  </si>
  <si>
    <t>Navarro , Luis</t>
  </si>
  <si>
    <t>Director Comercial Fernández Jove Comercial e Ingenieria S.L.</t>
  </si>
  <si>
    <t>Álvarez Ordoñez, Federico</t>
  </si>
  <si>
    <t>Ordoñez</t>
  </si>
  <si>
    <t>Gerente Comercial División Marina GHENOVA</t>
  </si>
  <si>
    <t>Campoy Zuasti, Carlos</t>
  </si>
  <si>
    <t>Campoy</t>
  </si>
  <si>
    <t>Zuasti</t>
  </si>
  <si>
    <t>Director y Dueno de Oficina Técnica ABANCE</t>
  </si>
  <si>
    <t>Spikin , Juan Ignacio</t>
  </si>
  <si>
    <t>Juan Ignacio</t>
  </si>
  <si>
    <t>Spikin</t>
  </si>
  <si>
    <t>Gerente Operaciones Astillero CALBUCO</t>
  </si>
  <si>
    <t>Bacigalupo Falcón, Héctor</t>
  </si>
  <si>
    <t>Bacigalupo</t>
  </si>
  <si>
    <t>Falcón</t>
  </si>
  <si>
    <t>Gerente General SONAPESCA</t>
  </si>
  <si>
    <t xml:space="preserve">ASMAR </t>
  </si>
  <si>
    <t>Callejas Quiróz, Juan</t>
  </si>
  <si>
    <t>Callejas</t>
  </si>
  <si>
    <t>Quiróz</t>
  </si>
  <si>
    <t>Administrador ASMAR(M)</t>
  </si>
  <si>
    <t>Illanes Guerra, Sebastián</t>
  </si>
  <si>
    <t>Illanes</t>
  </si>
  <si>
    <t>Guerra</t>
  </si>
  <si>
    <t>Administrador ASMAR(V)</t>
  </si>
  <si>
    <t>Castillo Vallejos, Rafael</t>
  </si>
  <si>
    <t>Admistrador ASMAR (T)</t>
  </si>
  <si>
    <t>ASMAR DIRECCIÓN</t>
  </si>
  <si>
    <t>Makray Baylaucq, Luis</t>
  </si>
  <si>
    <t>Makray</t>
  </si>
  <si>
    <t>Baylaucq</t>
  </si>
  <si>
    <t>Subdirector ASMAR</t>
  </si>
  <si>
    <t>Terrazas Michell, Jorge</t>
  </si>
  <si>
    <t>Secretario General</t>
  </si>
  <si>
    <t>Niemann Figari, Pablo</t>
  </si>
  <si>
    <t>Niemann</t>
  </si>
  <si>
    <t>Figari</t>
  </si>
  <si>
    <t>Gerente de Asuntos Corporativos</t>
  </si>
  <si>
    <t>Sotomayor Bustamante, Jaime</t>
  </si>
  <si>
    <t>Gerente Comercial Corporativo</t>
  </si>
  <si>
    <t>Cabrera Crespo, Guido</t>
  </si>
  <si>
    <t>Guido</t>
  </si>
  <si>
    <t>Crespo</t>
  </si>
  <si>
    <t>Auditor Corporativo</t>
  </si>
  <si>
    <t>Cereceda Valenzuela, Claudio</t>
  </si>
  <si>
    <t>Kohler Gary, Luis</t>
  </si>
  <si>
    <t>Kohler</t>
  </si>
  <si>
    <t>Gary</t>
  </si>
  <si>
    <t>Gerente Corp. Operaciones</t>
  </si>
  <si>
    <t>Ramos Perez, Cristian</t>
  </si>
  <si>
    <t>Perez</t>
  </si>
  <si>
    <t>Gerente Corp. Planificación y Desarrollo</t>
  </si>
  <si>
    <t>Gómez García, Francisco</t>
  </si>
  <si>
    <t>Gerente Corporativo de Finanzas (S)</t>
  </si>
  <si>
    <t>Stagno Canziani, Giancarlo</t>
  </si>
  <si>
    <t>Giancarlo</t>
  </si>
  <si>
    <t>Stagno</t>
  </si>
  <si>
    <t>Canziani</t>
  </si>
  <si>
    <t>Gerente Corporativo de Personas</t>
  </si>
  <si>
    <t>Gonzalez Bustos, Sandra</t>
  </si>
  <si>
    <t>Sandra</t>
  </si>
  <si>
    <t>Jefe Corporativo RR.PP. Y Comunicaciones</t>
  </si>
  <si>
    <t>Luttges Mathieu, Guillermo</t>
  </si>
  <si>
    <t>Luttges</t>
  </si>
  <si>
    <t>Mathieu</t>
  </si>
  <si>
    <t>Gerente Corporativo  de Construcción Naval</t>
  </si>
  <si>
    <t>Cornejo Sepúlveda, Orlando</t>
  </si>
  <si>
    <t>Orlando</t>
  </si>
  <si>
    <t>Jefe Corporativo Unidad de SS</t>
  </si>
  <si>
    <t>Quintanal Quinteros, Carmen</t>
  </si>
  <si>
    <t>Carmen</t>
  </si>
  <si>
    <t>Quintanal</t>
  </si>
  <si>
    <t>Quinteros</t>
  </si>
  <si>
    <t>Asistente Ejecutiva Fiscalía</t>
  </si>
  <si>
    <t>Salinas García, Londa</t>
  </si>
  <si>
    <t xml:space="preserve">Londa </t>
  </si>
  <si>
    <t>Salinas</t>
  </si>
  <si>
    <t>Jefa de Adquisiciones y Contratos</t>
  </si>
  <si>
    <t>Rojas Verdugo, Mónica</t>
  </si>
  <si>
    <t>Verdugo</t>
  </si>
  <si>
    <t>Jefa Corporativo de Unidad de Inversiones y Desarrollo</t>
  </si>
  <si>
    <t>Toro Quezada, Ana</t>
  </si>
  <si>
    <t xml:space="preserve">Ana </t>
  </si>
  <si>
    <t>Toro</t>
  </si>
  <si>
    <t>Quezada</t>
  </si>
  <si>
    <t>Analista Control de Gestión Finanzas</t>
  </si>
  <si>
    <t>Vicuña Bastías, Hilda</t>
  </si>
  <si>
    <t xml:space="preserve">Hilda </t>
  </si>
  <si>
    <t>Vicuña</t>
  </si>
  <si>
    <t>Bastías</t>
  </si>
  <si>
    <t>Contador Corporativo Serv. de Bienestar</t>
  </si>
  <si>
    <t>Cordero Pulgar, Katya</t>
  </si>
  <si>
    <t>Katya</t>
  </si>
  <si>
    <t>Cordero</t>
  </si>
  <si>
    <t>Pulgar</t>
  </si>
  <si>
    <t xml:space="preserve">Asistente Ejecutiva Gerencia Corp. Planif. Des. </t>
  </si>
  <si>
    <t>Montenegro Kellet, Ana María</t>
  </si>
  <si>
    <t>Ana María</t>
  </si>
  <si>
    <t>Montenegro</t>
  </si>
  <si>
    <t>Kellet</t>
  </si>
  <si>
    <t>Asistente Ejecutiva Gerencia Corporativa C.N.</t>
  </si>
  <si>
    <t>Soto , Eduardo</t>
  </si>
  <si>
    <t>Encargado Servicios Generales ASMAR (D)</t>
  </si>
  <si>
    <t>Díaz González, Danilo</t>
  </si>
  <si>
    <t>Danilo</t>
  </si>
  <si>
    <t xml:space="preserve">Díaz </t>
  </si>
  <si>
    <t>Encargado Secretaría ASMAR (D)</t>
  </si>
  <si>
    <t>Zurita Cisternas, Ricardo</t>
  </si>
  <si>
    <t>Zurita</t>
  </si>
  <si>
    <t>Cisternas</t>
  </si>
  <si>
    <t>Jefe Corporativo de Unidad de Contabilidad y Asuntos Tributarios</t>
  </si>
  <si>
    <t>Cárdenas Velasquez, René</t>
  </si>
  <si>
    <t>Cárdenas</t>
  </si>
  <si>
    <t>Velasquez</t>
  </si>
  <si>
    <t>Jefe Departamento Presupuesto Corporativo</t>
  </si>
  <si>
    <t>Flores Jorquera, José</t>
  </si>
  <si>
    <t>Jorquera</t>
  </si>
  <si>
    <t>Jefe Unidad Control de Gestión</t>
  </si>
  <si>
    <t>ASMARVALP</t>
  </si>
  <si>
    <t>Ansoleaga Bengoechea, Juan Luis</t>
  </si>
  <si>
    <t xml:space="preserve">Juan Luis </t>
  </si>
  <si>
    <t>Ansoleaga</t>
  </si>
  <si>
    <t>Bengoechea</t>
  </si>
  <si>
    <t xml:space="preserve">Subgerente Comercial </t>
  </si>
  <si>
    <t>Saavedra Quintero, Julio</t>
  </si>
  <si>
    <t>Quintero</t>
  </si>
  <si>
    <t>Jefe Proyecto</t>
  </si>
  <si>
    <t>Rojas Adonis, Sebastián</t>
  </si>
  <si>
    <t>Adonis</t>
  </si>
  <si>
    <t>Pedreros Valenzuela, Carola</t>
  </si>
  <si>
    <t>Pedreros</t>
  </si>
  <si>
    <t>Asistente Ejecutiva Administrador</t>
  </si>
  <si>
    <t>Medina Romero, José</t>
  </si>
  <si>
    <t>SPL Estructuras</t>
  </si>
  <si>
    <t>Pérez Parra, Carlos</t>
  </si>
  <si>
    <t>Jefe Depto. Electricidad</t>
  </si>
  <si>
    <t>Mena Apablaza, Christopher</t>
  </si>
  <si>
    <t>Christopher</t>
  </si>
  <si>
    <t>Mena</t>
  </si>
  <si>
    <t>Apablaza</t>
  </si>
  <si>
    <t>Preparador Electricidad</t>
  </si>
  <si>
    <t>Gaete Gonzalez, Benjamín</t>
  </si>
  <si>
    <t>Benjamín</t>
  </si>
  <si>
    <t>Gaete</t>
  </si>
  <si>
    <t>Mecánico Bombas</t>
  </si>
  <si>
    <t>Becerra Astudillo, Evelyn</t>
  </si>
  <si>
    <t>Evelyn</t>
  </si>
  <si>
    <t>Becerra</t>
  </si>
  <si>
    <t>Astudillo</t>
  </si>
  <si>
    <t>Díaz Suazo, Nancy</t>
  </si>
  <si>
    <t>Nancy</t>
  </si>
  <si>
    <t>Suazo</t>
  </si>
  <si>
    <t>Jefe Depto. Personas</t>
  </si>
  <si>
    <t>Díaz Seguel, René</t>
  </si>
  <si>
    <t>Pastor Evangélico ASMAR(T)</t>
  </si>
  <si>
    <t>ASMARTALC</t>
  </si>
  <si>
    <t>König Scheihing, Alejandro</t>
  </si>
  <si>
    <t xml:space="preserve">Alejandro </t>
  </si>
  <si>
    <t>König</t>
  </si>
  <si>
    <t>Scheihing</t>
  </si>
  <si>
    <t>Ingeniero Senior Administrador</t>
  </si>
  <si>
    <t>Varela Ruiz, Diego</t>
  </si>
  <si>
    <t>Gerente Ventas Armada</t>
  </si>
  <si>
    <t>Bugueño Nazer, Juan Carlos</t>
  </si>
  <si>
    <t>Bugueño</t>
  </si>
  <si>
    <t>Nazer</t>
  </si>
  <si>
    <t>Gerente Comercial Buques Mercantes y Pesqueros</t>
  </si>
  <si>
    <t>Munita Greene, Juan José</t>
  </si>
  <si>
    <t xml:space="preserve">Juan José </t>
  </si>
  <si>
    <t>Munita</t>
  </si>
  <si>
    <t>Greene</t>
  </si>
  <si>
    <t>Gerente Construcción Naval</t>
  </si>
  <si>
    <t>Leon Del Pedregal, Felipe</t>
  </si>
  <si>
    <t>Leon</t>
  </si>
  <si>
    <t>Del Pedregal</t>
  </si>
  <si>
    <t>Gerente de Investigacion, Desarrollo e Inversiones</t>
  </si>
  <si>
    <t>Soto Tirapegui, Loreto</t>
  </si>
  <si>
    <t xml:space="preserve">Loreto </t>
  </si>
  <si>
    <t>Tirapegui</t>
  </si>
  <si>
    <t>Gerente Gestion</t>
  </si>
  <si>
    <t>Lefian Mujica, Felipe</t>
  </si>
  <si>
    <t>Lefian</t>
  </si>
  <si>
    <t>Gerente Logística</t>
  </si>
  <si>
    <t>Ferrada Córdova, José</t>
  </si>
  <si>
    <t>Ferrada</t>
  </si>
  <si>
    <t>Córdova</t>
  </si>
  <si>
    <t>Gerente Operaciones</t>
  </si>
  <si>
    <t>Espinoza Llanos, Julio</t>
  </si>
  <si>
    <t>Llanos</t>
  </si>
  <si>
    <t>Gerente Reparaciones</t>
  </si>
  <si>
    <t>Tapia Araneda, Gerardo</t>
  </si>
  <si>
    <t>Gerardo</t>
  </si>
  <si>
    <t>Araneda</t>
  </si>
  <si>
    <t>Gerente RRHH</t>
  </si>
  <si>
    <t>Retamal Valenzuela, Armando</t>
  </si>
  <si>
    <t>Armando</t>
  </si>
  <si>
    <t>Retamal</t>
  </si>
  <si>
    <t>Presidente Sindicato de Funcionarios(as)</t>
  </si>
  <si>
    <t>Hidalgo Venegas, Rosita</t>
  </si>
  <si>
    <t>Rosita</t>
  </si>
  <si>
    <t>Hidalgo</t>
  </si>
  <si>
    <t>Venegas</t>
  </si>
  <si>
    <t>Presidente Sindicato de Profesionales</t>
  </si>
  <si>
    <t>Del Pino Gecele, Paula</t>
  </si>
  <si>
    <t xml:space="preserve">Paula </t>
  </si>
  <si>
    <t>Del Pino</t>
  </si>
  <si>
    <t>Gecele</t>
  </si>
  <si>
    <t>Presidente Sindicato de Trabajadores</t>
  </si>
  <si>
    <t>Ringele Valenzuela, Juan Carlos</t>
  </si>
  <si>
    <t>Ringele</t>
  </si>
  <si>
    <t>Presidente Sindicato Inter Empresas de Supervisores</t>
  </si>
  <si>
    <t>Rojas Acuña, Patricio</t>
  </si>
  <si>
    <t>Acuña</t>
  </si>
  <si>
    <t>Sindicato de Empleados. Operador de Producción. Taller de aceros y pintura</t>
  </si>
  <si>
    <t>Cisternas Suarez, Manuel</t>
  </si>
  <si>
    <t>Suarez</t>
  </si>
  <si>
    <t>Condestable Mayor ASMAR T</t>
  </si>
  <si>
    <t>Aguayo Bravo, Susana</t>
  </si>
  <si>
    <t>Susana</t>
  </si>
  <si>
    <t>Aguayo</t>
  </si>
  <si>
    <t>Jefe Sección Almacenamiento</t>
  </si>
  <si>
    <t>Dominguez Carvajal, Hugo</t>
  </si>
  <si>
    <t>Hugo</t>
  </si>
  <si>
    <t>Dominguez</t>
  </si>
  <si>
    <t xml:space="preserve">Jefe de Departamento Integración e Ingeniería de Sistemas </t>
  </si>
  <si>
    <t>Obando Aguayo, Ricardo</t>
  </si>
  <si>
    <t>Obando</t>
  </si>
  <si>
    <t>Jefe de Departamento de Sistemas de Ingeniería</t>
  </si>
  <si>
    <t>Benavente Ringele, Juan Pablo</t>
  </si>
  <si>
    <t>Benavente</t>
  </si>
  <si>
    <t>Jefe de Departamento Investigación y Desarrollo</t>
  </si>
  <si>
    <t>Zapata Machmar, Jorge</t>
  </si>
  <si>
    <t>Machmar</t>
  </si>
  <si>
    <t>Jefe de Proyecto Senior CN</t>
  </si>
  <si>
    <t>Proust Cotton, Andrés</t>
  </si>
  <si>
    <t xml:space="preserve">Proust </t>
  </si>
  <si>
    <t>Cotton</t>
  </si>
  <si>
    <t>Jefe de Taller de Maquinaria Naval</t>
  </si>
  <si>
    <t>Peralta Vargas, Ignacio</t>
  </si>
  <si>
    <t>Peralta</t>
  </si>
  <si>
    <t>Jefe de Taller Mecánica de Armamentos</t>
  </si>
  <si>
    <t>Rivera Bruna, Santiago</t>
  </si>
  <si>
    <t xml:space="preserve">Santiago </t>
  </si>
  <si>
    <t>Bruna</t>
  </si>
  <si>
    <t>Jefe Depto Servicios</t>
  </si>
  <si>
    <t>De Barbieri Boero, Gianfranco</t>
  </si>
  <si>
    <t>Gianfranco</t>
  </si>
  <si>
    <t>De Barbieri</t>
  </si>
  <si>
    <t>Boero</t>
  </si>
  <si>
    <t>Jefe Depto. Abastecimiento</t>
  </si>
  <si>
    <t>Momberg Rivas, Gunther</t>
  </si>
  <si>
    <t>Gunther</t>
  </si>
  <si>
    <t>Momberg</t>
  </si>
  <si>
    <t>Jefe Depto. Asesoría Legal</t>
  </si>
  <si>
    <t>Alvarez Flores, Carlos</t>
  </si>
  <si>
    <t xml:space="preserve">Flores </t>
  </si>
  <si>
    <t>Jefe Depto. Contabilidad</t>
  </si>
  <si>
    <t>Ulloa González, Jhony</t>
  </si>
  <si>
    <t>Jhony</t>
  </si>
  <si>
    <t>Jefe Depto. Diseño C.N.</t>
  </si>
  <si>
    <t>Navarrete Yáñez, Jorge</t>
  </si>
  <si>
    <t>Navarrete</t>
  </si>
  <si>
    <t xml:space="preserve">Yáñez </t>
  </si>
  <si>
    <t>Jefe Depto. Mantención</t>
  </si>
  <si>
    <t>Silva Henríquez, Marina</t>
  </si>
  <si>
    <t>Marina</t>
  </si>
  <si>
    <t>Henríquez</t>
  </si>
  <si>
    <t>Moraga Zambrano, Mario</t>
  </si>
  <si>
    <t>Moraga</t>
  </si>
  <si>
    <t>Jefe Depto. Planificación de Reparaciones</t>
  </si>
  <si>
    <t>Toro Yagui, Gustavo</t>
  </si>
  <si>
    <t>Yagui</t>
  </si>
  <si>
    <t>Jefe Depto. Planificación y Control de Gestión de CN</t>
  </si>
  <si>
    <t>Parra Vera, Gabriel</t>
  </si>
  <si>
    <t>Jefe Depto. Producción C.N.</t>
  </si>
  <si>
    <t>Huerta Castillo, Edgardo</t>
  </si>
  <si>
    <t xml:space="preserve">Edgardo </t>
  </si>
  <si>
    <t>Huerta</t>
  </si>
  <si>
    <t>Jefe Depto. Seguridad, Salud Ocupacional y Medio Ambiente</t>
  </si>
  <si>
    <t>Avendaño Valenzuela, Edison</t>
  </si>
  <si>
    <t>Edison</t>
  </si>
  <si>
    <t>Jefe Depto. Subcontratos Suplente</t>
  </si>
  <si>
    <t>López Soto, Sebastián</t>
  </si>
  <si>
    <t>Jefe Proyecto C.N.</t>
  </si>
  <si>
    <t>Pereira Reyes, Guido</t>
  </si>
  <si>
    <t>Pereira</t>
  </si>
  <si>
    <t>Jefe Taller Aceros C.N.</t>
  </si>
  <si>
    <t>Maldonado Marín, Mario</t>
  </si>
  <si>
    <t>Maldonado</t>
  </si>
  <si>
    <t>Jefe Taller Calderas y Cañerías</t>
  </si>
  <si>
    <t>Burboa Caamaño, Víctor</t>
  </si>
  <si>
    <t>Víctor</t>
  </si>
  <si>
    <t>Burboa</t>
  </si>
  <si>
    <t>Caamaño</t>
  </si>
  <si>
    <t>Jefe Taller Cañerías y Estructuras Menores</t>
  </si>
  <si>
    <t>Saez Carrasco, Nelson</t>
  </si>
  <si>
    <t>Saez</t>
  </si>
  <si>
    <t>Jefe Taller Electricidad</t>
  </si>
  <si>
    <t>Figueroa Moraga, Carlos</t>
  </si>
  <si>
    <t>Jefe Taller Electrónica</t>
  </si>
  <si>
    <t>Pérez Escobar, Daniel</t>
  </si>
  <si>
    <t>Jefe Taller Estructuras</t>
  </si>
  <si>
    <t>Bragg , Jeffrey</t>
  </si>
  <si>
    <t>Jeffrey</t>
  </si>
  <si>
    <t>Bragg</t>
  </si>
  <si>
    <t>Jefe  de Departamento de Ventas Armada Submarinos</t>
  </si>
  <si>
    <t>Quezada Miranda, René</t>
  </si>
  <si>
    <t xml:space="preserve">René </t>
  </si>
  <si>
    <t>Jefe de Departamento Casco y Dique</t>
  </si>
  <si>
    <t>Rojas Mendeleweski, Anibal</t>
  </si>
  <si>
    <t>Anibal</t>
  </si>
  <si>
    <t>Mendeleweski</t>
  </si>
  <si>
    <t>Jefe de Departamento de Armamento</t>
  </si>
  <si>
    <t>Saez Ferrada, Alejandro</t>
  </si>
  <si>
    <t>Jefe de Departamento de Bienestar</t>
  </si>
  <si>
    <t>Díaz , Sergio</t>
  </si>
  <si>
    <t>Jefe de Departamento de Proyectos CN</t>
  </si>
  <si>
    <t>Morales Fuentes, Benjamín</t>
  </si>
  <si>
    <t>Jefe de Departamento de Relaciones Laborales</t>
  </si>
  <si>
    <t>Cabrera Ogalde, Juan Carlos</t>
  </si>
  <si>
    <t>Ogalde</t>
  </si>
  <si>
    <t>Jefe de Departamento de Ventas Armada Superficie y RR.TT.</t>
  </si>
  <si>
    <t>Montalva , Ana Marpia</t>
  </si>
  <si>
    <t>Ana Marpia</t>
  </si>
  <si>
    <t>Jefe Unidad Corporativa de Desarrollo Software</t>
  </si>
  <si>
    <t>Ruiz Montalva, Ricardo</t>
  </si>
  <si>
    <t xml:space="preserve">Ricardo </t>
  </si>
  <si>
    <t>Jefe Unidad Corporativa de Servicios Tecnología de la Información</t>
  </si>
  <si>
    <t>Flores Valdebenito, Marcelo</t>
  </si>
  <si>
    <t>Subgerente Comercial Buques Mercantes</t>
  </si>
  <si>
    <t>Muñoz Bustos, Leonardo</t>
  </si>
  <si>
    <t>Subgerente Comercial Buques Pesqueros</t>
  </si>
  <si>
    <t>Jara Guerrero, Boris</t>
  </si>
  <si>
    <t>Boris</t>
  </si>
  <si>
    <t>Jefe de Departamento Presupuesto Operación</t>
  </si>
  <si>
    <t>Grant Del Río, Alejandro</t>
  </si>
  <si>
    <t>Grant</t>
  </si>
  <si>
    <t>Del Río</t>
  </si>
  <si>
    <t>Jefe de Departamento de Tesorería</t>
  </si>
  <si>
    <t>Mella D'Appollonio, Pedro</t>
  </si>
  <si>
    <t>Mella</t>
  </si>
  <si>
    <t>D'Appollonio</t>
  </si>
  <si>
    <t>Jefe Unidad Corporativa de Auditoría interna</t>
  </si>
  <si>
    <t>Groz , Miguel</t>
  </si>
  <si>
    <t>Groz</t>
  </si>
  <si>
    <t>Ingeniero Senior C-320</t>
  </si>
  <si>
    <t>Chaparro Fariña, José</t>
  </si>
  <si>
    <t>Chaparro</t>
  </si>
  <si>
    <t>Fariña</t>
  </si>
  <si>
    <t>Ingeniero Senior CN C-451</t>
  </si>
  <si>
    <t>Leal , Samuel</t>
  </si>
  <si>
    <t>Samuel</t>
  </si>
  <si>
    <t>Leal</t>
  </si>
  <si>
    <t>Tornel , Manuel</t>
  </si>
  <si>
    <t xml:space="preserve">Manuel </t>
  </si>
  <si>
    <t>Tornel</t>
  </si>
  <si>
    <t>Urcullu , Cristian</t>
  </si>
  <si>
    <t>Urcullu</t>
  </si>
  <si>
    <t>Chamorro Fuentes, Jaime</t>
  </si>
  <si>
    <t>Ingeniero Senior CN C-455</t>
  </si>
  <si>
    <t>Silva Muñoz, Avelino</t>
  </si>
  <si>
    <t>Avelino</t>
  </si>
  <si>
    <t>Bazán , Ricardo</t>
  </si>
  <si>
    <t>Bazán</t>
  </si>
  <si>
    <t>Ingeniero Senior Reparaciones</t>
  </si>
  <si>
    <t>Molina Garcés, Marco Polo</t>
  </si>
  <si>
    <t>Marco Polo</t>
  </si>
  <si>
    <t>Garcés</t>
  </si>
  <si>
    <t>Jefe Unidad Corporativa de Seguridad de la información</t>
  </si>
  <si>
    <t>Kauer Tapia, Harold</t>
  </si>
  <si>
    <t>Harold</t>
  </si>
  <si>
    <t>Kauer</t>
  </si>
  <si>
    <t>Jefe de Proyecto Corporativo Senior</t>
  </si>
  <si>
    <t>Nuñez Araya, Paula</t>
  </si>
  <si>
    <t>Nuñez</t>
  </si>
  <si>
    <t>Ogalde Gomez, Jorge</t>
  </si>
  <si>
    <t>Gomez</t>
  </si>
  <si>
    <t>Belmar , Rodrigo</t>
  </si>
  <si>
    <t>Belmar</t>
  </si>
  <si>
    <t>Jefe Taller de combustión interna</t>
  </si>
  <si>
    <t>Jefe Taller de Diques</t>
  </si>
  <si>
    <t>Caviedes , Karla</t>
  </si>
  <si>
    <t>Karla</t>
  </si>
  <si>
    <t>Caviedes</t>
  </si>
  <si>
    <t>Jefe Proyecto Armada C-420</t>
  </si>
  <si>
    <t>Chamorro Fuentes, Carlos</t>
  </si>
  <si>
    <t>Jefe Taller Habitabilidad y Electricidad</t>
  </si>
  <si>
    <t>ASMARMAG</t>
  </si>
  <si>
    <t>Figari , Claudio</t>
  </si>
  <si>
    <t>Poblete , Carlos</t>
  </si>
  <si>
    <t>Poblete</t>
  </si>
  <si>
    <t xml:space="preserve">Presidente del Sindicato N°2 </t>
  </si>
  <si>
    <t>Venegas , Jaime</t>
  </si>
  <si>
    <t>Presidente del Sindicato N°1</t>
  </si>
  <si>
    <t>Jessop , John</t>
  </si>
  <si>
    <t>Jessop</t>
  </si>
  <si>
    <t>Subgerente de Logística</t>
  </si>
  <si>
    <t>Córdova , Gonzalo</t>
  </si>
  <si>
    <t>Subgerente de Personas</t>
  </si>
  <si>
    <t>Garrido Gajardo, Sebastián</t>
  </si>
  <si>
    <t xml:space="preserve">Sebastián </t>
  </si>
  <si>
    <t xml:space="preserve">Garrido </t>
  </si>
  <si>
    <t xml:space="preserve">Gajardo          </t>
  </si>
  <si>
    <t>Mora Riquelme, Luis</t>
  </si>
  <si>
    <t>Mora</t>
  </si>
  <si>
    <t>Jefe Depto. Comercial Armada</t>
  </si>
  <si>
    <t>Vásquez Leiva, Mauricio</t>
  </si>
  <si>
    <t>Jefe Depto. Planificación y Gestión</t>
  </si>
  <si>
    <t>CONTROL ASISTENCIA - GENERAL / VIP / 3 TRIBUNAS</t>
  </si>
  <si>
    <t>Indicador</t>
  </si>
  <si>
    <t>Cantidad</t>
  </si>
  <si>
    <t>Referencia</t>
  </si>
  <si>
    <t>TOTAL BASE</t>
  </si>
  <si>
    <t>Total invitados</t>
  </si>
  <si>
    <t>Confirmados SI</t>
  </si>
  <si>
    <t>No asisten</t>
  </si>
  <si>
    <t>Pendientes</t>
  </si>
  <si>
    <t>Distribuye</t>
  </si>
  <si>
    <t>AST. distinto de NO</t>
  </si>
  <si>
    <t>VIP distribuye</t>
  </si>
  <si>
    <t>Solo TRIBUNA = VIP</t>
  </si>
  <si>
    <t>Capacidad VIP</t>
  </si>
  <si>
    <t>Plano 149 asientos</t>
  </si>
  <si>
    <t>VIP sin asignar</t>
  </si>
  <si>
    <t>Exceso sobre 149</t>
  </si>
  <si>
    <t>RESUMEN POR FUENTE</t>
  </si>
  <si>
    <t>TOTAL</t>
  </si>
  <si>
    <t>ASMAR</t>
  </si>
  <si>
    <t>INVITADOS ASMAR</t>
  </si>
  <si>
    <t>LISTAS Y PARÁMETROS</t>
  </si>
  <si>
    <t>ASISTENCIA</t>
  </si>
  <si>
    <t>TRIBUNAS</t>
  </si>
  <si>
    <t>FUENTES</t>
  </si>
  <si>
    <t>FUENTES OPA</t>
  </si>
  <si>
    <t>CAPACIDAD VIP</t>
  </si>
  <si>
    <t>149 asientos</t>
  </si>
  <si>
    <t>Centro A21</t>
  </si>
  <si>
    <t>Solo tribuna VIP</t>
  </si>
  <si>
    <t>RESUMEN VIP SI</t>
  </si>
  <si>
    <t>VIP SI</t>
  </si>
  <si>
    <t>Asientos válidos</t>
  </si>
  <si>
    <t>Con asiento</t>
  </si>
  <si>
    <t>Pendiente</t>
  </si>
  <si>
    <t>DISTRIBUCIÓN VIP - DINÁMICA DESDE MAESTRO</t>
  </si>
  <si>
    <t>Al cambiar MAESTRO columna P / ASIENTO, este plano se actualiza automáticamente. Criterio: TRIBUNA BASE = VIP y AST. = SI.</t>
  </si>
  <si>
    <t>Centro filas A/B/C</t>
  </si>
  <si>
    <t>Fila D</t>
  </si>
  <si>
    <t>FILA A</t>
  </si>
  <si>
    <t>FILA B</t>
  </si>
  <si>
    <t>FILA C</t>
  </si>
  <si>
    <t>FILA D</t>
  </si>
  <si>
    <t>FILA MAESTRO</t>
  </si>
  <si>
    <t>VIP CONFIRMADOS SI - PENDIENTE POR ASIGNAR</t>
  </si>
  <si>
    <t>Se actualiza automáticamente desde LISTADO VIP.</t>
  </si>
  <si>
    <t>PRUEBA DE AUTOMATIZACIÓN</t>
  </si>
  <si>
    <t>Qué hace</t>
  </si>
  <si>
    <t>DISTRIBUCION VIP lee LISTADO VIP, y LISTADO VIP lee MAESTRO / ASIENTO</t>
  </si>
  <si>
    <t>Cambio esperado</t>
  </si>
  <si>
    <t>Si cambia MAESTRO!P2 de A23 a B23, el nombre sale de A23 y aparece en B23 al recalcular.</t>
  </si>
  <si>
    <t>Filtro aplicado</t>
  </si>
  <si>
    <t>Solo TRIBUNA BASE = VIP y AST. = SI</t>
  </si>
  <si>
    <t>Hoja editable</t>
  </si>
  <si>
    <t>MAESTRO, columna P / ASIENTO</t>
  </si>
  <si>
    <t>Estado</t>
  </si>
  <si>
    <t>AUTOMATIZADO</t>
  </si>
  <si>
    <t>TIPO</t>
  </si>
  <si>
    <t>NOTA</t>
  </si>
  <si>
    <t>DISPONIBLE</t>
  </si>
  <si>
    <t>Asiento válido VIP</t>
  </si>
  <si>
    <t>ESTADO</t>
  </si>
  <si>
    <t>Sin asiento asignado</t>
  </si>
  <si>
    <t>D11-D17</t>
  </si>
  <si>
    <t>RESERVADO</t>
  </si>
  <si>
    <t>No asignar autoridad</t>
  </si>
  <si>
    <t>D18-D27</t>
  </si>
  <si>
    <t>SIN SILLA</t>
  </si>
  <si>
    <t>No existe silla</t>
  </si>
  <si>
    <t>D28-D35</t>
  </si>
  <si>
    <t>CENTRO</t>
  </si>
  <si>
    <t>23</t>
  </si>
  <si>
    <t>Centro protocolar filas A, B y C</t>
  </si>
  <si>
    <t>General de Brigada Aérea (R.)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</si>
</sst>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0"/>
      <name val="Calibri"/>
      <family val="2"/>
    </font>
    <font>
      <sz val="11"/>
      <color theme="1"/>
      <name val="Calibri"/>
      <family val="2"/>
    </font>
    <font>
      <sz val="13"/>
      <color theme="1"/>
      <name val="Calibri"/>
      <family val="2"/>
    </font>
    <font>
      <b/>
      <sz val="13"/>
      <name val="Calibri"/>
      <family val="2"/>
    </font>
    <font>
      <b/>
      <sz val="15"/>
      <name val="Calibri"/>
      <family val="2"/>
    </font>
    <font>
      <i/>
      <sz val="11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8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rgb="FFFFFFFF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9F3E3"/>
      </patternFill>
    </fill>
    <fill>
      <patternFill patternType="solid">
        <fgColor theme="8" tint="0.79979857783745845"/>
        <bgColor indexed="65"/>
      </patternFill>
    </fill>
    <fill>
      <patternFill patternType="solid">
        <fgColor rgb="FFCCCCFF"/>
      </patternFill>
    </fill>
    <fill>
      <patternFill patternType="solid">
        <fgColor rgb="FFE8F3EA"/>
      </patternFill>
    </fill>
    <fill>
      <patternFill patternType="solid">
        <fgColor rgb="FFCCFF33"/>
      </patternFill>
    </fill>
    <fill>
      <patternFill patternType="solid">
        <fgColor rgb="FFFFFFCC"/>
      </patternFill>
    </fill>
    <fill>
      <patternFill patternType="solid">
        <fgColor rgb="FFEAF3F8"/>
      </patternFill>
    </fill>
    <fill>
      <patternFill patternType="solid">
        <fgColor rgb="FFF3EFE6"/>
      </patternFill>
    </fill>
    <fill>
      <patternFill patternType="solid">
        <fgColor rgb="FFFFFF00"/>
      </patternFill>
    </fill>
    <fill>
      <patternFill patternType="solid">
        <fgColor rgb="FFE7F0E2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1F4E78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/>
    <xf numFmtId="0" fontId="10" fillId="19" borderId="1" xfId="0" applyFont="1" applyFill="1" applyBorder="1" applyAlignment="1">
      <alignment horizontal="center" vertical="center" wrapText="1"/>
    </xf>
    <xf numFmtId="0" fontId="10" fillId="19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" fontId="12" fillId="3" borderId="2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1" fontId="12" fillId="5" borderId="2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left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left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left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left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left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>
      <alignment horizontal="left" vertical="center" wrapText="1"/>
    </xf>
    <xf numFmtId="0" fontId="12" fillId="15" borderId="2" xfId="0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horizontal="left" vertical="center" wrapText="1"/>
    </xf>
    <xf numFmtId="0" fontId="12" fillId="17" borderId="2" xfId="0" applyFont="1" applyFill="1" applyBorder="1" applyAlignment="1">
      <alignment horizontal="left" vertical="center" wrapText="1"/>
    </xf>
    <xf numFmtId="0" fontId="12" fillId="17" borderId="2" xfId="0" applyFont="1" applyFill="1" applyBorder="1" applyAlignment="1">
      <alignment horizontal="center" vertical="center" wrapText="1"/>
    </xf>
    <xf numFmtId="0" fontId="10" fillId="19" borderId="2" xfId="0" applyFont="1" applyFill="1" applyBorder="1" applyAlignment="1">
      <alignment horizontal="center" vertical="center" wrapText="1"/>
    </xf>
    <xf numFmtId="0" fontId="10" fillId="19" borderId="0" xfId="0" applyFont="1" applyFill="1" applyAlignment="1">
      <alignment horizontal="center" vertical="center" wrapText="1"/>
    </xf>
    <xf numFmtId="0" fontId="12" fillId="18" borderId="2" xfId="0" applyFont="1" applyFill="1" applyBorder="1" applyAlignment="1">
      <alignment horizontal="left" vertical="center" wrapText="1"/>
    </xf>
    <xf numFmtId="0" fontId="12" fillId="18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8" fillId="20" borderId="0" xfId="0" applyNumberFormat="1" applyFont="1" applyFill="1" applyBorder="1"/>
    <xf numFmtId="0" fontId="8" fillId="20" borderId="0" xfId="0" applyNumberFormat="1" applyFont="1" applyFill="1" applyBorder="1" applyAlignment="1">
      <alignment horizontal="center" vertical="center"/>
    </xf>
    <xf numFmtId="0" fontId="8" fillId="2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wrapText="1"/>
    </xf>
    <xf numFmtId="0" fontId="7" fillId="0" borderId="0" xfId="0" applyNumberFormat="1" applyFont="1" applyFill="1" applyBorder="1"/>
    <xf numFmtId="0" fontId="5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14" fillId="2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20" borderId="0" xfId="0" applyNumberFormat="1" applyFont="1" applyFill="1" applyBorder="1" applyAlignment="1">
      <alignment wrapText="1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3">
    <cellStyle name="Hipervínculo" xfId="1" xr:uid="{00000000-0005-0000-0000-000000000000}"/>
    <cellStyle name="Normal" xfId="0" builtinId="0"/>
    <cellStyle name="Normal 2" xfId="2" xr:uid="{00000000-0005-0000-0000-000002000000}"/>
  </cellStyles>
  <dxfs count="11">
    <dxf>
      <font>
        <sz val="11"/>
        <color rgb="FF9C6500"/>
        <name val="Calibri"/>
      </font>
      <fill>
        <patternFill>
          <bgColor rgb="FFFFEB9C"/>
        </patternFill>
      </fill>
    </dxf>
    <dxf>
      <font>
        <sz val="11"/>
        <color rgb="FF9C0006"/>
        <name val="Calibri"/>
      </font>
      <fill>
        <patternFill>
          <bgColor rgb="FFFFC7CE"/>
        </patternFill>
      </fill>
    </dxf>
    <dxf>
      <font>
        <sz val="11"/>
        <color rgb="FF006100"/>
        <name val="Calibri"/>
      </font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D9EAD3"/>
      <rgbColor rgb="FF993366"/>
      <rgbColor rgb="FFFFFFCC"/>
      <rgbColor rgb="FFDBEEF4"/>
      <rgbColor rgb="FF660066"/>
      <rgbColor rgb="FFF3EFE6"/>
      <rgbColor rgb="FF0066CC"/>
      <rgbColor rgb="FFCCCCFF"/>
      <rgbColor rgb="FF000080"/>
      <rgbColor rgb="FFFF00FF"/>
      <rgbColor rgb="FFCCFF33"/>
      <rgbColor rgb="FF00FFFF"/>
      <rgbColor rgb="FF800080"/>
      <rgbColor rgb="FF800000"/>
      <rgbColor rgb="FF008080"/>
      <rgbColor rgb="FF0000FF"/>
      <rgbColor rgb="FF00CCFF"/>
      <rgbColor rgb="FFD9EAF7"/>
      <rgbColor rgb="FFC6EFCE"/>
      <rgbColor rgb="FFFFF2CC"/>
      <rgbColor rgb="FFD9D9D9"/>
      <rgbColor rgb="FFFFC7CE"/>
      <rgbColor rgb="FFDDEBF7"/>
      <rgbColor rgb="FFF4CCCC"/>
      <rgbColor rgb="FF3366FF"/>
      <rgbColor rgb="FFEAF2F8"/>
      <rgbColor rgb="FFF9F3E3"/>
      <rgbColor rgb="FFE7F0E2"/>
      <rgbColor rgb="FFEAF3F8"/>
      <rgbColor rgb="FFFF6600"/>
      <rgbColor rgb="FF666666"/>
      <rgbColor rgb="FFE8F3EA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I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P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1402"/>
  <sheetViews>
    <sheetView tabSelected="1" topLeftCell="C305" zoomScale="70" zoomScaleNormal="70" workbookViewId="0">
      <selection activeCell="K316" sqref="K316"/>
    </sheetView>
  </sheetViews>
  <sheetFormatPr baseColWidth="10" defaultColWidth="14" defaultRowHeight="17.25" x14ac:dyDescent="0.3"/>
  <cols>
    <col min="1" max="1" width="8" style="1" customWidth="1"/>
    <col min="2" max="2" width="12" style="2" customWidth="1"/>
    <col min="3" max="3" width="20.140625" style="2" bestFit="1" customWidth="1"/>
    <col min="4" max="4" width="30" style="2" bestFit="1" customWidth="1"/>
    <col min="5" max="5" width="14" style="2" customWidth="1"/>
    <col min="6" max="6" width="28" style="2" hidden="1" customWidth="1"/>
    <col min="7" max="7" width="18" style="2" customWidth="1"/>
    <col min="8" max="9" width="18" customWidth="1"/>
    <col min="10" max="10" width="14" style="3" customWidth="1"/>
    <col min="11" max="11" width="109.42578125" style="4" customWidth="1"/>
    <col min="12" max="12" width="28" style="2" customWidth="1"/>
    <col min="13" max="13" width="14" style="4" customWidth="1"/>
    <col min="14" max="15" width="12" customWidth="1"/>
    <col min="16" max="16" width="25.140625" customWidth="1"/>
    <col min="17" max="86" width="14" style="4" customWidth="1"/>
    <col min="87" max="16384" width="14" style="4"/>
  </cols>
  <sheetData>
    <row r="1" spans="1:85" ht="18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8" t="s">
        <v>15</v>
      </c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</row>
    <row r="2" spans="1:85" ht="18" customHeight="1" x14ac:dyDescent="0.3">
      <c r="A2" s="10">
        <f t="shared" ref="A2:A65" si="0">IF(COUNTA(C2:K2)=0,"",ROW()-1)</f>
        <v>1</v>
      </c>
      <c r="B2" s="10">
        <f t="shared" ref="B2:B65" si="1">IF($F2&lt;&gt;"",$A2,"")</f>
        <v>1</v>
      </c>
      <c r="C2" s="11" t="s">
        <v>16</v>
      </c>
      <c r="D2" s="11" t="s">
        <v>17</v>
      </c>
      <c r="E2" s="12" t="str">
        <f t="shared" ref="E2:E65" si="2">IF(UPPER($J2)="NO","",$M2)</f>
        <v>VIP</v>
      </c>
      <c r="F2" s="11" t="s">
        <v>18</v>
      </c>
      <c r="G2" s="11" t="s">
        <v>19</v>
      </c>
      <c r="H2" s="11" t="s">
        <v>20</v>
      </c>
      <c r="I2" s="11" t="s">
        <v>21</v>
      </c>
      <c r="J2" s="13" t="s">
        <v>22</v>
      </c>
      <c r="K2" s="11" t="s">
        <v>23</v>
      </c>
      <c r="L2" s="11"/>
      <c r="M2" s="12" t="s">
        <v>24</v>
      </c>
      <c r="N2" s="12" t="str">
        <f t="shared" ref="N2:N65" si="3">IF(AND(UPPER($M2)="VIP",UPPER($J2)="SI",$F2&lt;&gt;""),"SI","NO")</f>
        <v>SI</v>
      </c>
      <c r="O2" s="12" t="str">
        <f t="shared" ref="O2:O65" si="4">IF(UPPER($J2)="SI","🟢",IF(UPPER($J2)="NO","🔴","🟡"))</f>
        <v>🟢</v>
      </c>
      <c r="P2" s="14" t="s">
        <v>25</v>
      </c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</row>
    <row r="3" spans="1:85" ht="18" customHeight="1" x14ac:dyDescent="0.3">
      <c r="A3" s="15">
        <f t="shared" si="0"/>
        <v>2</v>
      </c>
      <c r="B3" s="15">
        <f t="shared" si="1"/>
        <v>2</v>
      </c>
      <c r="C3" s="16" t="s">
        <v>16</v>
      </c>
      <c r="D3" s="16" t="s">
        <v>26</v>
      </c>
      <c r="E3" s="17" t="str">
        <f t="shared" si="2"/>
        <v>VIP</v>
      </c>
      <c r="F3" s="16" t="s">
        <v>27</v>
      </c>
      <c r="G3" s="16" t="s">
        <v>28</v>
      </c>
      <c r="H3" s="16" t="s">
        <v>29</v>
      </c>
      <c r="I3" s="16" t="s">
        <v>30</v>
      </c>
      <c r="J3" s="13" t="s">
        <v>22</v>
      </c>
      <c r="K3" s="16" t="s">
        <v>31</v>
      </c>
      <c r="L3" s="16"/>
      <c r="M3" s="17" t="s">
        <v>24</v>
      </c>
      <c r="N3" s="17" t="str">
        <f t="shared" si="3"/>
        <v>SI</v>
      </c>
      <c r="O3" s="17" t="str">
        <f t="shared" si="4"/>
        <v>🟢</v>
      </c>
      <c r="P3" s="18" t="s">
        <v>32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</row>
    <row r="4" spans="1:85" ht="18" customHeight="1" x14ac:dyDescent="0.3">
      <c r="A4" s="10">
        <f t="shared" si="0"/>
        <v>3</v>
      </c>
      <c r="B4" s="10">
        <f t="shared" si="1"/>
        <v>3</v>
      </c>
      <c r="C4" s="11" t="s">
        <v>16</v>
      </c>
      <c r="D4" s="11" t="s">
        <v>33</v>
      </c>
      <c r="E4" s="12" t="str">
        <f t="shared" si="2"/>
        <v>VIP</v>
      </c>
      <c r="F4" s="11" t="s">
        <v>34</v>
      </c>
      <c r="G4" s="11" t="s">
        <v>35</v>
      </c>
      <c r="H4" s="11" t="s">
        <v>36</v>
      </c>
      <c r="I4" s="11" t="s">
        <v>37</v>
      </c>
      <c r="J4" s="13" t="s">
        <v>22</v>
      </c>
      <c r="K4" s="11" t="s">
        <v>38</v>
      </c>
      <c r="L4" s="11"/>
      <c r="M4" s="12" t="s">
        <v>24</v>
      </c>
      <c r="N4" s="12" t="str">
        <f t="shared" si="3"/>
        <v>SI</v>
      </c>
      <c r="O4" s="12" t="str">
        <f t="shared" si="4"/>
        <v>🟢</v>
      </c>
      <c r="P4" s="14" t="s">
        <v>39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</row>
    <row r="5" spans="1:85" ht="18" customHeight="1" x14ac:dyDescent="0.3">
      <c r="A5" s="15">
        <f t="shared" si="0"/>
        <v>4</v>
      </c>
      <c r="B5" s="15">
        <f t="shared" si="1"/>
        <v>4</v>
      </c>
      <c r="C5" s="16" t="s">
        <v>16</v>
      </c>
      <c r="D5" s="16" t="s">
        <v>40</v>
      </c>
      <c r="E5" s="17" t="str">
        <f t="shared" si="2"/>
        <v>VIP</v>
      </c>
      <c r="F5" s="16" t="s">
        <v>41</v>
      </c>
      <c r="G5" s="16" t="s">
        <v>35</v>
      </c>
      <c r="H5" s="16" t="s">
        <v>42</v>
      </c>
      <c r="I5" s="16" t="s">
        <v>43</v>
      </c>
      <c r="J5" s="13" t="s">
        <v>22</v>
      </c>
      <c r="K5" s="16" t="s">
        <v>44</v>
      </c>
      <c r="L5" s="16"/>
      <c r="M5" s="17" t="s">
        <v>24</v>
      </c>
      <c r="N5" s="17" t="str">
        <f t="shared" si="3"/>
        <v>SI</v>
      </c>
      <c r="O5" s="17" t="str">
        <f t="shared" si="4"/>
        <v>🟢</v>
      </c>
      <c r="P5" s="18" t="s">
        <v>45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</row>
    <row r="6" spans="1:85" ht="18" customHeight="1" x14ac:dyDescent="0.3">
      <c r="A6" s="10">
        <f t="shared" si="0"/>
        <v>5</v>
      </c>
      <c r="B6" s="10">
        <f t="shared" si="1"/>
        <v>5</v>
      </c>
      <c r="C6" s="11" t="s">
        <v>16</v>
      </c>
      <c r="D6" s="11" t="s">
        <v>46</v>
      </c>
      <c r="E6" s="12" t="str">
        <f t="shared" si="2"/>
        <v>VIP</v>
      </c>
      <c r="F6" s="11" t="s">
        <v>47</v>
      </c>
      <c r="G6" s="11" t="s">
        <v>48</v>
      </c>
      <c r="H6" s="11" t="s">
        <v>49</v>
      </c>
      <c r="I6" s="11" t="s">
        <v>50</v>
      </c>
      <c r="J6" s="13" t="s">
        <v>22</v>
      </c>
      <c r="K6" s="11" t="s">
        <v>51</v>
      </c>
      <c r="L6" s="11"/>
      <c r="M6" s="12" t="s">
        <v>24</v>
      </c>
      <c r="N6" s="12" t="str">
        <f t="shared" si="3"/>
        <v>SI</v>
      </c>
      <c r="O6" s="12" t="str">
        <f t="shared" si="4"/>
        <v>🟢</v>
      </c>
      <c r="P6" s="14" t="s">
        <v>52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</row>
    <row r="7" spans="1:85" ht="18" customHeight="1" x14ac:dyDescent="0.3">
      <c r="A7" s="15">
        <f t="shared" si="0"/>
        <v>6</v>
      </c>
      <c r="B7" s="15">
        <f t="shared" si="1"/>
        <v>6</v>
      </c>
      <c r="C7" s="16" t="s">
        <v>16</v>
      </c>
      <c r="D7" s="16" t="s">
        <v>46</v>
      </c>
      <c r="E7" s="17" t="str">
        <f t="shared" si="2"/>
        <v>VIP</v>
      </c>
      <c r="F7" s="16" t="s">
        <v>53</v>
      </c>
      <c r="G7" s="16" t="s">
        <v>54</v>
      </c>
      <c r="H7" s="16" t="s">
        <v>55</v>
      </c>
      <c r="I7" s="16" t="s">
        <v>56</v>
      </c>
      <c r="J7" s="19" t="s">
        <v>57</v>
      </c>
      <c r="K7" s="16" t="s">
        <v>58</v>
      </c>
      <c r="L7" s="16"/>
      <c r="M7" s="17" t="s">
        <v>24</v>
      </c>
      <c r="N7" s="17" t="str">
        <f t="shared" si="3"/>
        <v>NO</v>
      </c>
      <c r="O7" s="17" t="str">
        <f t="shared" si="4"/>
        <v>🟡</v>
      </c>
      <c r="P7" s="18" t="s">
        <v>59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</row>
    <row r="8" spans="1:85" ht="18" customHeight="1" x14ac:dyDescent="0.3">
      <c r="A8" s="10">
        <f t="shared" si="0"/>
        <v>7</v>
      </c>
      <c r="B8" s="10">
        <f t="shared" si="1"/>
        <v>7</v>
      </c>
      <c r="C8" s="11" t="s">
        <v>16</v>
      </c>
      <c r="D8" s="11" t="s">
        <v>60</v>
      </c>
      <c r="E8" s="12" t="str">
        <f t="shared" si="2"/>
        <v/>
      </c>
      <c r="F8" s="11" t="s">
        <v>61</v>
      </c>
      <c r="G8" s="11" t="s">
        <v>62</v>
      </c>
      <c r="H8" s="11" t="s">
        <v>63</v>
      </c>
      <c r="I8" s="11" t="s">
        <v>36</v>
      </c>
      <c r="J8" s="13" t="s">
        <v>71</v>
      </c>
      <c r="K8" s="11" t="s">
        <v>64</v>
      </c>
      <c r="L8" s="11"/>
      <c r="M8" s="12" t="s">
        <v>24</v>
      </c>
      <c r="N8" s="12" t="str">
        <f t="shared" si="3"/>
        <v>NO</v>
      </c>
      <c r="O8" s="12" t="str">
        <f t="shared" si="4"/>
        <v>🔴</v>
      </c>
      <c r="P8" s="14" t="s">
        <v>65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</row>
    <row r="9" spans="1:85" ht="18" customHeight="1" x14ac:dyDescent="0.3">
      <c r="A9" s="15">
        <f t="shared" si="0"/>
        <v>8</v>
      </c>
      <c r="B9" s="15">
        <f t="shared" si="1"/>
        <v>8</v>
      </c>
      <c r="C9" s="16" t="s">
        <v>16</v>
      </c>
      <c r="D9" s="16" t="s">
        <v>66</v>
      </c>
      <c r="E9" s="17" t="str">
        <f t="shared" si="2"/>
        <v/>
      </c>
      <c r="F9" s="16" t="s">
        <v>67</v>
      </c>
      <c r="G9" s="16" t="s">
        <v>68</v>
      </c>
      <c r="H9" s="16" t="s">
        <v>69</v>
      </c>
      <c r="I9" s="16" t="s">
        <v>70</v>
      </c>
      <c r="J9" s="20" t="s">
        <v>71</v>
      </c>
      <c r="K9" s="16" t="s">
        <v>72</v>
      </c>
      <c r="L9" s="16"/>
      <c r="M9" s="17" t="s">
        <v>24</v>
      </c>
      <c r="N9" s="17" t="str">
        <f t="shared" si="3"/>
        <v>NO</v>
      </c>
      <c r="O9" s="17" t="str">
        <f t="shared" si="4"/>
        <v>🔴</v>
      </c>
      <c r="P9" s="1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</row>
    <row r="10" spans="1:85" ht="18" customHeight="1" x14ac:dyDescent="0.3">
      <c r="A10" s="10">
        <f t="shared" si="0"/>
        <v>9</v>
      </c>
      <c r="B10" s="10">
        <f t="shared" si="1"/>
        <v>9</v>
      </c>
      <c r="C10" s="11" t="s">
        <v>16</v>
      </c>
      <c r="D10" s="11" t="s">
        <v>17</v>
      </c>
      <c r="E10" s="12" t="str">
        <f t="shared" si="2"/>
        <v>VIP</v>
      </c>
      <c r="F10" s="11" t="s">
        <v>73</v>
      </c>
      <c r="G10" s="11" t="s">
        <v>74</v>
      </c>
      <c r="H10" s="11" t="s">
        <v>75</v>
      </c>
      <c r="I10" s="11" t="s">
        <v>76</v>
      </c>
      <c r="J10" s="19" t="s">
        <v>57</v>
      </c>
      <c r="K10" s="11" t="s">
        <v>77</v>
      </c>
      <c r="L10" s="11"/>
      <c r="M10" s="12" t="s">
        <v>24</v>
      </c>
      <c r="N10" s="12" t="str">
        <f t="shared" si="3"/>
        <v>NO</v>
      </c>
      <c r="O10" s="12" t="str">
        <f t="shared" si="4"/>
        <v>🟡</v>
      </c>
      <c r="P10" s="14" t="s">
        <v>78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</row>
    <row r="11" spans="1:85" ht="18" customHeight="1" x14ac:dyDescent="0.3">
      <c r="A11" s="15">
        <f t="shared" si="0"/>
        <v>10</v>
      </c>
      <c r="B11" s="15">
        <f t="shared" si="1"/>
        <v>10</v>
      </c>
      <c r="C11" s="16" t="s">
        <v>16</v>
      </c>
      <c r="D11" s="16" t="s">
        <v>17</v>
      </c>
      <c r="E11" s="17" t="str">
        <f t="shared" si="2"/>
        <v>VIP</v>
      </c>
      <c r="F11" s="16" t="s">
        <v>79</v>
      </c>
      <c r="G11" s="16" t="s">
        <v>80</v>
      </c>
      <c r="H11" s="16" t="s">
        <v>81</v>
      </c>
      <c r="I11" s="16" t="s">
        <v>82</v>
      </c>
      <c r="J11" s="19" t="s">
        <v>57</v>
      </c>
      <c r="K11" s="16" t="s">
        <v>83</v>
      </c>
      <c r="L11" s="16"/>
      <c r="M11" s="17" t="s">
        <v>24</v>
      </c>
      <c r="N11" s="17" t="str">
        <f t="shared" si="3"/>
        <v>NO</v>
      </c>
      <c r="O11" s="17" t="str">
        <f t="shared" si="4"/>
        <v>🟡</v>
      </c>
      <c r="P11" s="18" t="s">
        <v>84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</row>
    <row r="12" spans="1:85" ht="18" customHeight="1" x14ac:dyDescent="0.3">
      <c r="A12" s="10">
        <f t="shared" si="0"/>
        <v>11</v>
      </c>
      <c r="B12" s="10">
        <f t="shared" si="1"/>
        <v>11</v>
      </c>
      <c r="C12" s="11" t="s">
        <v>16</v>
      </c>
      <c r="D12" s="11" t="s">
        <v>17</v>
      </c>
      <c r="E12" s="12" t="str">
        <f t="shared" si="2"/>
        <v/>
      </c>
      <c r="F12" s="11" t="s">
        <v>85</v>
      </c>
      <c r="G12" s="11" t="s">
        <v>86</v>
      </c>
      <c r="H12" s="11" t="s">
        <v>87</v>
      </c>
      <c r="I12" s="11" t="s">
        <v>88</v>
      </c>
      <c r="J12" s="19" t="s">
        <v>71</v>
      </c>
      <c r="K12" s="11" t="s">
        <v>77</v>
      </c>
      <c r="L12" s="11"/>
      <c r="M12" s="12" t="s">
        <v>24</v>
      </c>
      <c r="N12" s="12" t="str">
        <f t="shared" si="3"/>
        <v>NO</v>
      </c>
      <c r="O12" s="12" t="str">
        <f t="shared" si="4"/>
        <v>🔴</v>
      </c>
      <c r="P12" s="14" t="s">
        <v>89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</row>
    <row r="13" spans="1:85" ht="18" customHeight="1" x14ac:dyDescent="0.3">
      <c r="A13" s="15">
        <f t="shared" si="0"/>
        <v>12</v>
      </c>
      <c r="B13" s="15">
        <f t="shared" si="1"/>
        <v>12</v>
      </c>
      <c r="C13" s="16" t="s">
        <v>16</v>
      </c>
      <c r="D13" s="16" t="s">
        <v>17</v>
      </c>
      <c r="E13" s="17" t="str">
        <f t="shared" si="2"/>
        <v>VIP</v>
      </c>
      <c r="F13" s="16" t="s">
        <v>90</v>
      </c>
      <c r="G13" s="16" t="s">
        <v>91</v>
      </c>
      <c r="H13" s="16" t="s">
        <v>92</v>
      </c>
      <c r="I13" s="16" t="s">
        <v>93</v>
      </c>
      <c r="J13" s="19" t="s">
        <v>57</v>
      </c>
      <c r="K13" s="16" t="s">
        <v>77</v>
      </c>
      <c r="L13" s="16"/>
      <c r="M13" s="17" t="s">
        <v>24</v>
      </c>
      <c r="N13" s="17" t="str">
        <f t="shared" si="3"/>
        <v>NO</v>
      </c>
      <c r="O13" s="17" t="str">
        <f t="shared" si="4"/>
        <v>🟡</v>
      </c>
      <c r="P13" s="18" t="s">
        <v>94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</row>
    <row r="14" spans="1:85" ht="18" customHeight="1" x14ac:dyDescent="0.3">
      <c r="A14" s="10">
        <f t="shared" si="0"/>
        <v>13</v>
      </c>
      <c r="B14" s="10">
        <f t="shared" si="1"/>
        <v>13</v>
      </c>
      <c r="C14" s="11" t="s">
        <v>16</v>
      </c>
      <c r="D14" s="11" t="s">
        <v>95</v>
      </c>
      <c r="E14" s="12" t="str">
        <f t="shared" si="2"/>
        <v/>
      </c>
      <c r="F14" s="11" t="s">
        <v>96</v>
      </c>
      <c r="G14" s="11" t="s">
        <v>97</v>
      </c>
      <c r="H14" s="11" t="s">
        <v>98</v>
      </c>
      <c r="I14" s="11" t="s">
        <v>99</v>
      </c>
      <c r="J14" s="20" t="s">
        <v>71</v>
      </c>
      <c r="K14" s="11" t="s">
        <v>100</v>
      </c>
      <c r="L14" s="11"/>
      <c r="M14" s="12" t="s">
        <v>24</v>
      </c>
      <c r="N14" s="12" t="str">
        <f t="shared" si="3"/>
        <v>NO</v>
      </c>
      <c r="O14" s="12" t="str">
        <f t="shared" si="4"/>
        <v>🔴</v>
      </c>
      <c r="P14" s="14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</row>
    <row r="15" spans="1:85" ht="18" customHeight="1" x14ac:dyDescent="0.3">
      <c r="A15" s="15">
        <f t="shared" si="0"/>
        <v>14</v>
      </c>
      <c r="B15" s="15">
        <f t="shared" si="1"/>
        <v>14</v>
      </c>
      <c r="C15" s="16" t="s">
        <v>16</v>
      </c>
      <c r="D15" s="16" t="s">
        <v>101</v>
      </c>
      <c r="E15" s="17" t="str">
        <f t="shared" si="2"/>
        <v/>
      </c>
      <c r="F15" s="16" t="s">
        <v>102</v>
      </c>
      <c r="G15" s="16" t="s">
        <v>103</v>
      </c>
      <c r="H15" s="16" t="s">
        <v>104</v>
      </c>
      <c r="I15" s="16" t="s">
        <v>105</v>
      </c>
      <c r="J15" s="20" t="s">
        <v>71</v>
      </c>
      <c r="K15" s="16" t="s">
        <v>106</v>
      </c>
      <c r="L15" s="16"/>
      <c r="M15" s="17" t="s">
        <v>24</v>
      </c>
      <c r="N15" s="17" t="str">
        <f t="shared" si="3"/>
        <v>NO</v>
      </c>
      <c r="O15" s="17" t="str">
        <f t="shared" si="4"/>
        <v>🔴</v>
      </c>
      <c r="P15" s="18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</row>
    <row r="16" spans="1:85" ht="18" customHeight="1" x14ac:dyDescent="0.3">
      <c r="A16" s="10">
        <f t="shared" si="0"/>
        <v>15</v>
      </c>
      <c r="B16" s="10">
        <f t="shared" si="1"/>
        <v>15</v>
      </c>
      <c r="C16" s="11" t="s">
        <v>16</v>
      </c>
      <c r="D16" s="11" t="s">
        <v>107</v>
      </c>
      <c r="E16" s="12" t="str">
        <f t="shared" si="2"/>
        <v/>
      </c>
      <c r="F16" s="11" t="s">
        <v>108</v>
      </c>
      <c r="G16" s="11" t="s">
        <v>109</v>
      </c>
      <c r="H16" s="11" t="s">
        <v>110</v>
      </c>
      <c r="I16" s="11" t="s">
        <v>111</v>
      </c>
      <c r="J16" s="20" t="s">
        <v>71</v>
      </c>
      <c r="K16" s="11" t="s">
        <v>112</v>
      </c>
      <c r="L16" s="11"/>
      <c r="M16" s="12" t="s">
        <v>24</v>
      </c>
      <c r="N16" s="12" t="str">
        <f t="shared" si="3"/>
        <v>NO</v>
      </c>
      <c r="O16" s="12" t="str">
        <f t="shared" si="4"/>
        <v>🔴</v>
      </c>
      <c r="P16" s="14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</row>
    <row r="17" spans="1:85" ht="18" customHeight="1" x14ac:dyDescent="0.3">
      <c r="A17" s="15">
        <f t="shared" si="0"/>
        <v>16</v>
      </c>
      <c r="B17" s="15">
        <f t="shared" si="1"/>
        <v>16</v>
      </c>
      <c r="C17" s="16" t="s">
        <v>16</v>
      </c>
      <c r="D17" s="16" t="s">
        <v>33</v>
      </c>
      <c r="E17" s="17" t="str">
        <f t="shared" si="2"/>
        <v>VIP</v>
      </c>
      <c r="F17" s="16" t="s">
        <v>113</v>
      </c>
      <c r="G17" s="16" t="s">
        <v>114</v>
      </c>
      <c r="H17" s="16" t="s">
        <v>115</v>
      </c>
      <c r="I17" s="16" t="s">
        <v>116</v>
      </c>
      <c r="J17" s="19" t="s">
        <v>22</v>
      </c>
      <c r="K17" s="16" t="s">
        <v>117</v>
      </c>
      <c r="L17" s="16"/>
      <c r="M17" s="17" t="s">
        <v>24</v>
      </c>
      <c r="N17" s="17" t="str">
        <f t="shared" si="3"/>
        <v>SI</v>
      </c>
      <c r="O17" s="17" t="str">
        <f t="shared" si="4"/>
        <v>🟢</v>
      </c>
      <c r="P17" s="18" t="s">
        <v>118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</row>
    <row r="18" spans="1:85" ht="18" customHeight="1" x14ac:dyDescent="0.3">
      <c r="A18" s="10">
        <f t="shared" si="0"/>
        <v>17</v>
      </c>
      <c r="B18" s="10">
        <f t="shared" si="1"/>
        <v>17</v>
      </c>
      <c r="C18" s="11" t="s">
        <v>16</v>
      </c>
      <c r="D18" s="11" t="s">
        <v>33</v>
      </c>
      <c r="E18" s="12" t="str">
        <f t="shared" si="2"/>
        <v/>
      </c>
      <c r="F18" s="11" t="s">
        <v>119</v>
      </c>
      <c r="G18" s="11" t="s">
        <v>120</v>
      </c>
      <c r="H18" s="11" t="s">
        <v>104</v>
      </c>
      <c r="I18" s="11" t="s">
        <v>121</v>
      </c>
      <c r="J18" s="20" t="s">
        <v>71</v>
      </c>
      <c r="K18" s="11" t="s">
        <v>122</v>
      </c>
      <c r="L18" s="11"/>
      <c r="M18" s="12" t="s">
        <v>24</v>
      </c>
      <c r="N18" s="12" t="str">
        <f t="shared" si="3"/>
        <v>NO</v>
      </c>
      <c r="O18" s="12" t="str">
        <f t="shared" si="4"/>
        <v>🔴</v>
      </c>
      <c r="P18" s="14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</row>
    <row r="19" spans="1:85" ht="18" customHeight="1" x14ac:dyDescent="0.3">
      <c r="A19" s="15">
        <f t="shared" si="0"/>
        <v>18</v>
      </c>
      <c r="B19" s="15">
        <f t="shared" si="1"/>
        <v>18</v>
      </c>
      <c r="C19" s="16" t="s">
        <v>16</v>
      </c>
      <c r="D19" s="16" t="s">
        <v>33</v>
      </c>
      <c r="E19" s="17" t="str">
        <f t="shared" si="2"/>
        <v/>
      </c>
      <c r="F19" s="16" t="s">
        <v>123</v>
      </c>
      <c r="G19" s="16" t="s">
        <v>68</v>
      </c>
      <c r="H19" s="16" t="s">
        <v>124</v>
      </c>
      <c r="I19" s="16" t="s">
        <v>125</v>
      </c>
      <c r="J19" s="20" t="s">
        <v>71</v>
      </c>
      <c r="K19" s="16" t="s">
        <v>126</v>
      </c>
      <c r="L19" s="16"/>
      <c r="M19" s="17" t="s">
        <v>24</v>
      </c>
      <c r="N19" s="17" t="str">
        <f t="shared" si="3"/>
        <v>NO</v>
      </c>
      <c r="O19" s="17" t="str">
        <f t="shared" si="4"/>
        <v>🔴</v>
      </c>
      <c r="P19" s="18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</row>
    <row r="20" spans="1:85" ht="18" customHeight="1" x14ac:dyDescent="0.3">
      <c r="A20" s="10">
        <f t="shared" si="0"/>
        <v>19</v>
      </c>
      <c r="B20" s="10">
        <f t="shared" si="1"/>
        <v>19</v>
      </c>
      <c r="C20" s="11" t="s">
        <v>16</v>
      </c>
      <c r="D20" s="11" t="s">
        <v>33</v>
      </c>
      <c r="E20" s="12" t="str">
        <f t="shared" si="2"/>
        <v/>
      </c>
      <c r="F20" s="11" t="s">
        <v>127</v>
      </c>
      <c r="G20" s="11" t="s">
        <v>128</v>
      </c>
      <c r="H20" s="11" t="s">
        <v>129</v>
      </c>
      <c r="I20" s="11" t="s">
        <v>130</v>
      </c>
      <c r="J20" s="20" t="s">
        <v>71</v>
      </c>
      <c r="K20" s="11" t="s">
        <v>131</v>
      </c>
      <c r="L20" s="11"/>
      <c r="M20" s="12" t="s">
        <v>24</v>
      </c>
      <c r="N20" s="12" t="str">
        <f t="shared" si="3"/>
        <v>NO</v>
      </c>
      <c r="O20" s="12" t="str">
        <f t="shared" si="4"/>
        <v>🔴</v>
      </c>
      <c r="P20" s="14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</row>
    <row r="21" spans="1:85" ht="18" customHeight="1" x14ac:dyDescent="0.3">
      <c r="A21" s="15">
        <f t="shared" si="0"/>
        <v>20</v>
      </c>
      <c r="B21" s="15">
        <f t="shared" si="1"/>
        <v>20</v>
      </c>
      <c r="C21" s="16" t="s">
        <v>16</v>
      </c>
      <c r="D21" s="16" t="s">
        <v>33</v>
      </c>
      <c r="E21" s="17" t="str">
        <f t="shared" si="2"/>
        <v/>
      </c>
      <c r="F21" s="16" t="s">
        <v>132</v>
      </c>
      <c r="G21" s="16" t="s">
        <v>133</v>
      </c>
      <c r="H21" s="16" t="s">
        <v>134</v>
      </c>
      <c r="I21" s="16" t="s">
        <v>135</v>
      </c>
      <c r="J21" s="20" t="s">
        <v>71</v>
      </c>
      <c r="K21" s="16" t="s">
        <v>136</v>
      </c>
      <c r="L21" s="16"/>
      <c r="M21" s="17" t="s">
        <v>24</v>
      </c>
      <c r="N21" s="17" t="str">
        <f t="shared" si="3"/>
        <v>NO</v>
      </c>
      <c r="O21" s="17" t="str">
        <f t="shared" si="4"/>
        <v>🔴</v>
      </c>
      <c r="P21" s="18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</row>
    <row r="22" spans="1:85" ht="18" customHeight="1" x14ac:dyDescent="0.3">
      <c r="A22" s="10">
        <f t="shared" si="0"/>
        <v>21</v>
      </c>
      <c r="B22" s="10">
        <f t="shared" si="1"/>
        <v>21</v>
      </c>
      <c r="C22" s="11" t="s">
        <v>16</v>
      </c>
      <c r="D22" s="11" t="s">
        <v>33</v>
      </c>
      <c r="E22" s="12" t="str">
        <f t="shared" si="2"/>
        <v/>
      </c>
      <c r="F22" s="11" t="s">
        <v>137</v>
      </c>
      <c r="G22" s="11" t="s">
        <v>138</v>
      </c>
      <c r="H22" s="11" t="s">
        <v>139</v>
      </c>
      <c r="I22" s="11" t="s">
        <v>140</v>
      </c>
      <c r="J22" s="20" t="s">
        <v>71</v>
      </c>
      <c r="K22" s="11" t="s">
        <v>141</v>
      </c>
      <c r="L22" s="11"/>
      <c r="M22" s="12" t="s">
        <v>24</v>
      </c>
      <c r="N22" s="12" t="str">
        <f t="shared" si="3"/>
        <v>NO</v>
      </c>
      <c r="O22" s="12" t="str">
        <f t="shared" si="4"/>
        <v>🔴</v>
      </c>
      <c r="P22" s="14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</row>
    <row r="23" spans="1:85" ht="18" customHeight="1" x14ac:dyDescent="0.3">
      <c r="A23" s="15">
        <f t="shared" si="0"/>
        <v>22</v>
      </c>
      <c r="B23" s="15">
        <f t="shared" si="1"/>
        <v>22</v>
      </c>
      <c r="C23" s="16" t="s">
        <v>16</v>
      </c>
      <c r="D23" s="16" t="s">
        <v>33</v>
      </c>
      <c r="E23" s="17" t="str">
        <f t="shared" si="2"/>
        <v/>
      </c>
      <c r="F23" s="16" t="s">
        <v>142</v>
      </c>
      <c r="G23" s="16" t="s">
        <v>143</v>
      </c>
      <c r="H23" s="16" t="s">
        <v>144</v>
      </c>
      <c r="I23" s="16" t="s">
        <v>145</v>
      </c>
      <c r="J23" s="19" t="s">
        <v>71</v>
      </c>
      <c r="K23" s="16" t="s">
        <v>146</v>
      </c>
      <c r="L23" s="16"/>
      <c r="M23" s="17" t="s">
        <v>24</v>
      </c>
      <c r="N23" s="17" t="str">
        <f t="shared" si="3"/>
        <v>NO</v>
      </c>
      <c r="O23" s="17" t="str">
        <f t="shared" si="4"/>
        <v>🔴</v>
      </c>
      <c r="P23" s="18" t="s">
        <v>147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</row>
    <row r="24" spans="1:85" ht="18" customHeight="1" x14ac:dyDescent="0.3">
      <c r="A24" s="10">
        <f t="shared" si="0"/>
        <v>23</v>
      </c>
      <c r="B24" s="10">
        <f t="shared" si="1"/>
        <v>23</v>
      </c>
      <c r="C24" s="11" t="s">
        <v>16</v>
      </c>
      <c r="D24" s="11" t="s">
        <v>33</v>
      </c>
      <c r="E24" s="12" t="str">
        <f t="shared" si="2"/>
        <v/>
      </c>
      <c r="F24" s="11" t="s">
        <v>148</v>
      </c>
      <c r="G24" s="11" t="s">
        <v>149</v>
      </c>
      <c r="H24" s="11" t="s">
        <v>150</v>
      </c>
      <c r="I24" s="11" t="s">
        <v>135</v>
      </c>
      <c r="J24" s="19" t="s">
        <v>71</v>
      </c>
      <c r="K24" s="11" t="s">
        <v>151</v>
      </c>
      <c r="L24" s="11"/>
      <c r="M24" s="12" t="s">
        <v>24</v>
      </c>
      <c r="N24" s="12" t="str">
        <f t="shared" si="3"/>
        <v>NO</v>
      </c>
      <c r="O24" s="12" t="str">
        <f t="shared" si="4"/>
        <v>🔴</v>
      </c>
      <c r="P24" s="14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</row>
    <row r="25" spans="1:85" ht="18" customHeight="1" x14ac:dyDescent="0.3">
      <c r="A25" s="15">
        <f t="shared" si="0"/>
        <v>24</v>
      </c>
      <c r="B25" s="15">
        <f t="shared" si="1"/>
        <v>24</v>
      </c>
      <c r="C25" s="16" t="s">
        <v>16</v>
      </c>
      <c r="D25" s="16" t="s">
        <v>33</v>
      </c>
      <c r="E25" s="17" t="str">
        <f t="shared" si="2"/>
        <v/>
      </c>
      <c r="F25" s="16" t="s">
        <v>152</v>
      </c>
      <c r="G25" s="16" t="s">
        <v>153</v>
      </c>
      <c r="H25" s="16" t="s">
        <v>154</v>
      </c>
      <c r="I25" s="16" t="s">
        <v>155</v>
      </c>
      <c r="J25" s="20" t="s">
        <v>71</v>
      </c>
      <c r="K25" s="16" t="s">
        <v>156</v>
      </c>
      <c r="L25" s="16"/>
      <c r="M25" s="17" t="s">
        <v>24</v>
      </c>
      <c r="N25" s="17" t="str">
        <f t="shared" si="3"/>
        <v>NO</v>
      </c>
      <c r="O25" s="17" t="str">
        <f t="shared" si="4"/>
        <v>🔴</v>
      </c>
      <c r="P25" s="18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</row>
    <row r="26" spans="1:85" ht="18" customHeight="1" x14ac:dyDescent="0.3">
      <c r="A26" s="10">
        <f t="shared" si="0"/>
        <v>25</v>
      </c>
      <c r="B26" s="10">
        <f t="shared" si="1"/>
        <v>25</v>
      </c>
      <c r="C26" s="11" t="s">
        <v>16</v>
      </c>
      <c r="D26" s="11" t="s">
        <v>33</v>
      </c>
      <c r="E26" s="12" t="str">
        <f t="shared" si="2"/>
        <v/>
      </c>
      <c r="F26" s="11" t="s">
        <v>157</v>
      </c>
      <c r="G26" s="11" t="s">
        <v>120</v>
      </c>
      <c r="H26" s="11" t="s">
        <v>158</v>
      </c>
      <c r="I26" s="11" t="s">
        <v>159</v>
      </c>
      <c r="J26" s="19" t="s">
        <v>71</v>
      </c>
      <c r="K26" s="11" t="s">
        <v>160</v>
      </c>
      <c r="L26" s="11"/>
      <c r="M26" s="12" t="s">
        <v>24</v>
      </c>
      <c r="N26" s="12" t="str">
        <f t="shared" si="3"/>
        <v>NO</v>
      </c>
      <c r="O26" s="12" t="str">
        <f t="shared" si="4"/>
        <v>🔴</v>
      </c>
      <c r="P26" s="14" t="s">
        <v>161</v>
      </c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</row>
    <row r="27" spans="1:85" ht="18" customHeight="1" x14ac:dyDescent="0.3">
      <c r="A27" s="15">
        <f t="shared" si="0"/>
        <v>26</v>
      </c>
      <c r="B27" s="15">
        <f t="shared" si="1"/>
        <v>26</v>
      </c>
      <c r="C27" s="16" t="s">
        <v>16</v>
      </c>
      <c r="D27" s="16" t="s">
        <v>33</v>
      </c>
      <c r="E27" s="17" t="str">
        <f t="shared" si="2"/>
        <v/>
      </c>
      <c r="F27" s="16" t="s">
        <v>162</v>
      </c>
      <c r="G27" s="16" t="s">
        <v>149</v>
      </c>
      <c r="H27" s="16" t="s">
        <v>163</v>
      </c>
      <c r="I27" s="16" t="s">
        <v>164</v>
      </c>
      <c r="J27" s="20" t="s">
        <v>71</v>
      </c>
      <c r="K27" s="16" t="s">
        <v>165</v>
      </c>
      <c r="L27" s="16"/>
      <c r="M27" s="17" t="s">
        <v>24</v>
      </c>
      <c r="N27" s="17" t="str">
        <f t="shared" si="3"/>
        <v>NO</v>
      </c>
      <c r="O27" s="17" t="str">
        <f t="shared" si="4"/>
        <v>🔴</v>
      </c>
      <c r="P27" s="18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</row>
    <row r="28" spans="1:85" ht="18" customHeight="1" x14ac:dyDescent="0.3">
      <c r="A28" s="10">
        <f t="shared" si="0"/>
        <v>27</v>
      </c>
      <c r="B28" s="10">
        <f t="shared" si="1"/>
        <v>27</v>
      </c>
      <c r="C28" s="11" t="s">
        <v>16</v>
      </c>
      <c r="D28" s="11" t="s">
        <v>33</v>
      </c>
      <c r="E28" s="12" t="str">
        <f t="shared" si="2"/>
        <v/>
      </c>
      <c r="F28" s="11" t="s">
        <v>166</v>
      </c>
      <c r="G28" s="11" t="s">
        <v>68</v>
      </c>
      <c r="H28" s="11" t="s">
        <v>167</v>
      </c>
      <c r="I28" s="11" t="s">
        <v>168</v>
      </c>
      <c r="J28" s="20" t="s">
        <v>71</v>
      </c>
      <c r="K28" s="11" t="s">
        <v>169</v>
      </c>
      <c r="L28" s="11"/>
      <c r="M28" s="12" t="s">
        <v>24</v>
      </c>
      <c r="N28" s="12" t="str">
        <f t="shared" si="3"/>
        <v>NO</v>
      </c>
      <c r="O28" s="12" t="str">
        <f t="shared" si="4"/>
        <v>🔴</v>
      </c>
      <c r="P28" s="14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</row>
    <row r="29" spans="1:85" ht="18" customHeight="1" x14ac:dyDescent="0.3">
      <c r="A29" s="15">
        <f t="shared" si="0"/>
        <v>28</v>
      </c>
      <c r="B29" s="15">
        <f t="shared" si="1"/>
        <v>28</v>
      </c>
      <c r="C29" s="16" t="s">
        <v>16</v>
      </c>
      <c r="D29" s="16" t="s">
        <v>33</v>
      </c>
      <c r="E29" s="17" t="str">
        <f t="shared" si="2"/>
        <v>VIP</v>
      </c>
      <c r="F29" s="16" t="s">
        <v>170</v>
      </c>
      <c r="G29" s="16" t="s">
        <v>171</v>
      </c>
      <c r="H29" s="16" t="s">
        <v>172</v>
      </c>
      <c r="I29" s="16" t="s">
        <v>173</v>
      </c>
      <c r="J29" s="19" t="s">
        <v>57</v>
      </c>
      <c r="K29" s="16" t="s">
        <v>174</v>
      </c>
      <c r="L29" s="16"/>
      <c r="M29" s="17" t="s">
        <v>24</v>
      </c>
      <c r="N29" s="17" t="str">
        <f t="shared" si="3"/>
        <v>NO</v>
      </c>
      <c r="O29" s="17" t="str">
        <f t="shared" si="4"/>
        <v>🟡</v>
      </c>
      <c r="P29" s="18" t="s">
        <v>175</v>
      </c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</row>
    <row r="30" spans="1:85" ht="18" customHeight="1" x14ac:dyDescent="0.3">
      <c r="A30" s="10">
        <f t="shared" si="0"/>
        <v>29</v>
      </c>
      <c r="B30" s="10">
        <f t="shared" si="1"/>
        <v>29</v>
      </c>
      <c r="C30" s="11" t="s">
        <v>16</v>
      </c>
      <c r="D30" s="11" t="s">
        <v>33</v>
      </c>
      <c r="E30" s="12" t="str">
        <f t="shared" si="2"/>
        <v>VIP</v>
      </c>
      <c r="F30" s="11" t="s">
        <v>176</v>
      </c>
      <c r="G30" s="11" t="s">
        <v>177</v>
      </c>
      <c r="H30" s="11" t="s">
        <v>178</v>
      </c>
      <c r="I30" s="11" t="s">
        <v>179</v>
      </c>
      <c r="J30" s="19" t="s">
        <v>57</v>
      </c>
      <c r="K30" s="11" t="s">
        <v>174</v>
      </c>
      <c r="L30" s="11"/>
      <c r="M30" s="12" t="s">
        <v>24</v>
      </c>
      <c r="N30" s="12" t="str">
        <f t="shared" si="3"/>
        <v>NO</v>
      </c>
      <c r="O30" s="12" t="str">
        <f t="shared" si="4"/>
        <v>🟡</v>
      </c>
      <c r="P30" s="14" t="s">
        <v>180</v>
      </c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</row>
    <row r="31" spans="1:85" ht="18" customHeight="1" x14ac:dyDescent="0.3">
      <c r="A31" s="15">
        <f t="shared" si="0"/>
        <v>30</v>
      </c>
      <c r="B31" s="15">
        <f t="shared" si="1"/>
        <v>30</v>
      </c>
      <c r="C31" s="16" t="s">
        <v>16</v>
      </c>
      <c r="D31" s="16" t="s">
        <v>181</v>
      </c>
      <c r="E31" s="17" t="str">
        <f t="shared" si="2"/>
        <v/>
      </c>
      <c r="F31" s="16" t="s">
        <v>182</v>
      </c>
      <c r="G31" s="16" t="s">
        <v>183</v>
      </c>
      <c r="H31" s="16" t="s">
        <v>184</v>
      </c>
      <c r="I31" s="16"/>
      <c r="J31" s="20" t="s">
        <v>71</v>
      </c>
      <c r="K31" s="16" t="s">
        <v>185</v>
      </c>
      <c r="L31" s="16"/>
      <c r="M31" s="17" t="s">
        <v>24</v>
      </c>
      <c r="N31" s="17" t="str">
        <f t="shared" si="3"/>
        <v>NO</v>
      </c>
      <c r="O31" s="17" t="str">
        <f t="shared" si="4"/>
        <v>🔴</v>
      </c>
      <c r="P31" s="18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</row>
    <row r="32" spans="1:85" ht="18" customHeight="1" x14ac:dyDescent="0.3">
      <c r="A32" s="10">
        <f t="shared" si="0"/>
        <v>31</v>
      </c>
      <c r="B32" s="10">
        <f t="shared" si="1"/>
        <v>31</v>
      </c>
      <c r="C32" s="11" t="s">
        <v>16</v>
      </c>
      <c r="D32" s="11" t="s">
        <v>181</v>
      </c>
      <c r="E32" s="12" t="str">
        <f t="shared" si="2"/>
        <v/>
      </c>
      <c r="F32" s="11" t="s">
        <v>186</v>
      </c>
      <c r="G32" s="11" t="s">
        <v>187</v>
      </c>
      <c r="H32" s="11" t="s">
        <v>188</v>
      </c>
      <c r="I32" s="11" t="s">
        <v>189</v>
      </c>
      <c r="J32" s="19" t="s">
        <v>71</v>
      </c>
      <c r="K32" s="11" t="s">
        <v>190</v>
      </c>
      <c r="L32" s="11"/>
      <c r="M32" s="12" t="s">
        <v>24</v>
      </c>
      <c r="N32" s="12" t="str">
        <f t="shared" si="3"/>
        <v>NO</v>
      </c>
      <c r="O32" s="12" t="str">
        <f t="shared" si="4"/>
        <v>🔴</v>
      </c>
      <c r="P32" s="14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</row>
    <row r="33" spans="1:85" ht="18" customHeight="1" x14ac:dyDescent="0.3">
      <c r="A33" s="15">
        <f t="shared" si="0"/>
        <v>32</v>
      </c>
      <c r="B33" s="15">
        <f t="shared" si="1"/>
        <v>32</v>
      </c>
      <c r="C33" s="16" t="s">
        <v>16</v>
      </c>
      <c r="D33" s="16" t="s">
        <v>181</v>
      </c>
      <c r="E33" s="17" t="str">
        <f t="shared" si="2"/>
        <v>VIP</v>
      </c>
      <c r="F33" s="16" t="s">
        <v>191</v>
      </c>
      <c r="G33" s="16" t="s">
        <v>192</v>
      </c>
      <c r="H33" s="16" t="s">
        <v>193</v>
      </c>
      <c r="I33" s="16"/>
      <c r="J33" s="19" t="s">
        <v>57</v>
      </c>
      <c r="K33" s="16" t="s">
        <v>194</v>
      </c>
      <c r="L33" s="16"/>
      <c r="M33" s="17" t="s">
        <v>24</v>
      </c>
      <c r="N33" s="17" t="str">
        <f t="shared" si="3"/>
        <v>NO</v>
      </c>
      <c r="O33" s="17" t="str">
        <f t="shared" si="4"/>
        <v>🟡</v>
      </c>
      <c r="P33" s="18" t="s">
        <v>195</v>
      </c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</row>
    <row r="34" spans="1:85" ht="18" customHeight="1" x14ac:dyDescent="0.3">
      <c r="A34" s="10">
        <f t="shared" si="0"/>
        <v>33</v>
      </c>
      <c r="B34" s="10">
        <f t="shared" si="1"/>
        <v>33</v>
      </c>
      <c r="C34" s="11" t="s">
        <v>16</v>
      </c>
      <c r="D34" s="11" t="s">
        <v>181</v>
      </c>
      <c r="E34" s="12" t="str">
        <f t="shared" si="2"/>
        <v>VIP</v>
      </c>
      <c r="F34" s="11" t="s">
        <v>196</v>
      </c>
      <c r="G34" s="11" t="s">
        <v>197</v>
      </c>
      <c r="H34" s="11" t="s">
        <v>198</v>
      </c>
      <c r="I34" s="11"/>
      <c r="J34" s="19" t="s">
        <v>57</v>
      </c>
      <c r="K34" s="11" t="s">
        <v>199</v>
      </c>
      <c r="L34" s="11"/>
      <c r="M34" s="12" t="s">
        <v>24</v>
      </c>
      <c r="N34" s="12" t="str">
        <f t="shared" si="3"/>
        <v>NO</v>
      </c>
      <c r="O34" s="12" t="str">
        <f t="shared" si="4"/>
        <v>🟡</v>
      </c>
      <c r="P34" s="14" t="s">
        <v>200</v>
      </c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</row>
    <row r="35" spans="1:85" ht="18" customHeight="1" x14ac:dyDescent="0.3">
      <c r="A35" s="15">
        <f t="shared" si="0"/>
        <v>34</v>
      </c>
      <c r="B35" s="15">
        <f t="shared" si="1"/>
        <v>34</v>
      </c>
      <c r="C35" s="16" t="s">
        <v>16</v>
      </c>
      <c r="D35" s="16" t="s">
        <v>181</v>
      </c>
      <c r="E35" s="17" t="str">
        <f t="shared" si="2"/>
        <v>VIP</v>
      </c>
      <c r="F35" s="16" t="s">
        <v>201</v>
      </c>
      <c r="G35" s="16" t="s">
        <v>202</v>
      </c>
      <c r="H35" s="16" t="s">
        <v>203</v>
      </c>
      <c r="I35" s="16"/>
      <c r="J35" s="19" t="s">
        <v>57</v>
      </c>
      <c r="K35" s="16" t="s">
        <v>204</v>
      </c>
      <c r="L35" s="16"/>
      <c r="M35" s="17" t="s">
        <v>24</v>
      </c>
      <c r="N35" s="17" t="str">
        <f t="shared" si="3"/>
        <v>NO</v>
      </c>
      <c r="O35" s="17" t="str">
        <f t="shared" si="4"/>
        <v>🟡</v>
      </c>
      <c r="P35" s="18" t="s">
        <v>205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</row>
    <row r="36" spans="1:85" ht="18" customHeight="1" x14ac:dyDescent="0.3">
      <c r="A36" s="10">
        <f t="shared" si="0"/>
        <v>35</v>
      </c>
      <c r="B36" s="10">
        <f t="shared" si="1"/>
        <v>35</v>
      </c>
      <c r="C36" s="11" t="s">
        <v>16</v>
      </c>
      <c r="D36" s="11" t="s">
        <v>181</v>
      </c>
      <c r="E36" s="12" t="str">
        <f t="shared" si="2"/>
        <v/>
      </c>
      <c r="F36" s="11" t="s">
        <v>206</v>
      </c>
      <c r="G36" s="11" t="s">
        <v>207</v>
      </c>
      <c r="H36" s="11" t="s">
        <v>208</v>
      </c>
      <c r="I36" s="11"/>
      <c r="J36" s="20" t="s">
        <v>71</v>
      </c>
      <c r="K36" s="11" t="s">
        <v>209</v>
      </c>
      <c r="L36" s="11"/>
      <c r="M36" s="12" t="s">
        <v>24</v>
      </c>
      <c r="N36" s="12" t="str">
        <f t="shared" si="3"/>
        <v>NO</v>
      </c>
      <c r="O36" s="12" t="str">
        <f t="shared" si="4"/>
        <v>🔴</v>
      </c>
      <c r="P36" s="14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</row>
    <row r="37" spans="1:85" ht="18" customHeight="1" x14ac:dyDescent="0.3">
      <c r="A37" s="15">
        <f t="shared" si="0"/>
        <v>36</v>
      </c>
      <c r="B37" s="15">
        <f t="shared" si="1"/>
        <v>36</v>
      </c>
      <c r="C37" s="16" t="s">
        <v>16</v>
      </c>
      <c r="D37" s="16" t="s">
        <v>181</v>
      </c>
      <c r="E37" s="17" t="str">
        <f t="shared" si="2"/>
        <v/>
      </c>
      <c r="F37" s="16" t="s">
        <v>210</v>
      </c>
      <c r="G37" s="16" t="s">
        <v>211</v>
      </c>
      <c r="H37" s="16" t="s">
        <v>212</v>
      </c>
      <c r="I37" s="16" t="s">
        <v>213</v>
      </c>
      <c r="J37" s="19" t="s">
        <v>71</v>
      </c>
      <c r="K37" s="16" t="s">
        <v>214</v>
      </c>
      <c r="L37" s="16"/>
      <c r="M37" s="17" t="s">
        <v>24</v>
      </c>
      <c r="N37" s="17" t="str">
        <f t="shared" si="3"/>
        <v>NO</v>
      </c>
      <c r="O37" s="17" t="str">
        <f t="shared" si="4"/>
        <v>🔴</v>
      </c>
      <c r="P37" s="1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</row>
    <row r="38" spans="1:85" ht="18" customHeight="1" x14ac:dyDescent="0.3">
      <c r="A38" s="10">
        <f t="shared" si="0"/>
        <v>37</v>
      </c>
      <c r="B38" s="10">
        <f t="shared" si="1"/>
        <v>37</v>
      </c>
      <c r="C38" s="11" t="s">
        <v>16</v>
      </c>
      <c r="D38" s="11" t="s">
        <v>181</v>
      </c>
      <c r="E38" s="12" t="str">
        <f t="shared" si="2"/>
        <v/>
      </c>
      <c r="F38" s="11" t="s">
        <v>215</v>
      </c>
      <c r="G38" s="11" t="s">
        <v>68</v>
      </c>
      <c r="H38" s="11" t="s">
        <v>216</v>
      </c>
      <c r="I38" s="11"/>
      <c r="J38" s="20" t="s">
        <v>71</v>
      </c>
      <c r="K38" s="11" t="s">
        <v>217</v>
      </c>
      <c r="L38" s="11"/>
      <c r="M38" s="12" t="s">
        <v>24</v>
      </c>
      <c r="N38" s="12" t="str">
        <f t="shared" si="3"/>
        <v>NO</v>
      </c>
      <c r="O38" s="12" t="str">
        <f t="shared" si="4"/>
        <v>🔴</v>
      </c>
      <c r="P38" s="14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</row>
    <row r="39" spans="1:85" ht="18" customHeight="1" x14ac:dyDescent="0.3">
      <c r="A39" s="15">
        <f t="shared" si="0"/>
        <v>38</v>
      </c>
      <c r="B39" s="15">
        <f t="shared" si="1"/>
        <v>38</v>
      </c>
      <c r="C39" s="16" t="s">
        <v>16</v>
      </c>
      <c r="D39" s="16" t="s">
        <v>181</v>
      </c>
      <c r="E39" s="17" t="str">
        <f t="shared" si="2"/>
        <v>VIP</v>
      </c>
      <c r="F39" s="16" t="s">
        <v>218</v>
      </c>
      <c r="G39" s="16" t="s">
        <v>219</v>
      </c>
      <c r="H39" s="16" t="s">
        <v>220</v>
      </c>
      <c r="I39" s="16" t="s">
        <v>221</v>
      </c>
      <c r="J39" s="19" t="s">
        <v>57</v>
      </c>
      <c r="K39" s="16" t="s">
        <v>222</v>
      </c>
      <c r="L39" s="16"/>
      <c r="M39" s="17" t="s">
        <v>24</v>
      </c>
      <c r="N39" s="17" t="str">
        <f t="shared" si="3"/>
        <v>NO</v>
      </c>
      <c r="O39" s="17" t="str">
        <f t="shared" si="4"/>
        <v>🟡</v>
      </c>
      <c r="P39" s="18" t="s">
        <v>223</v>
      </c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</row>
    <row r="40" spans="1:85" ht="18" customHeight="1" x14ac:dyDescent="0.3">
      <c r="A40" s="10">
        <f t="shared" si="0"/>
        <v>39</v>
      </c>
      <c r="B40" s="10">
        <f t="shared" si="1"/>
        <v>39</v>
      </c>
      <c r="C40" s="11" t="s">
        <v>16</v>
      </c>
      <c r="D40" s="11" t="s">
        <v>181</v>
      </c>
      <c r="E40" s="12" t="str">
        <f t="shared" si="2"/>
        <v/>
      </c>
      <c r="F40" s="11" t="s">
        <v>224</v>
      </c>
      <c r="G40" s="11" t="s">
        <v>225</v>
      </c>
      <c r="H40" s="11" t="s">
        <v>226</v>
      </c>
      <c r="I40" s="11"/>
      <c r="J40" s="13" t="s">
        <v>71</v>
      </c>
      <c r="K40" s="11" t="s">
        <v>227</v>
      </c>
      <c r="L40" s="11"/>
      <c r="M40" s="12" t="s">
        <v>24</v>
      </c>
      <c r="N40" s="12" t="str">
        <f t="shared" si="3"/>
        <v>NO</v>
      </c>
      <c r="O40" s="12" t="str">
        <f t="shared" si="4"/>
        <v>🔴</v>
      </c>
      <c r="P40" s="14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</row>
    <row r="41" spans="1:85" ht="18" customHeight="1" x14ac:dyDescent="0.3">
      <c r="A41" s="15">
        <f t="shared" si="0"/>
        <v>40</v>
      </c>
      <c r="B41" s="15">
        <f t="shared" si="1"/>
        <v>40</v>
      </c>
      <c r="C41" s="16" t="s">
        <v>16</v>
      </c>
      <c r="D41" s="16" t="s">
        <v>181</v>
      </c>
      <c r="E41" s="17" t="str">
        <f t="shared" si="2"/>
        <v/>
      </c>
      <c r="F41" s="16" t="s">
        <v>228</v>
      </c>
      <c r="G41" s="16" t="s">
        <v>97</v>
      </c>
      <c r="H41" s="16" t="s">
        <v>229</v>
      </c>
      <c r="I41" s="16"/>
      <c r="J41" s="20" t="s">
        <v>71</v>
      </c>
      <c r="K41" s="16" t="s">
        <v>230</v>
      </c>
      <c r="L41" s="16"/>
      <c r="M41" s="17" t="s">
        <v>24</v>
      </c>
      <c r="N41" s="17" t="str">
        <f t="shared" si="3"/>
        <v>NO</v>
      </c>
      <c r="O41" s="17" t="str">
        <f t="shared" si="4"/>
        <v>🔴</v>
      </c>
      <c r="P41" s="1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</row>
    <row r="42" spans="1:85" ht="18" customHeight="1" x14ac:dyDescent="0.3">
      <c r="A42" s="10">
        <f t="shared" si="0"/>
        <v>41</v>
      </c>
      <c r="B42" s="10">
        <f t="shared" si="1"/>
        <v>41</v>
      </c>
      <c r="C42" s="11" t="s">
        <v>16</v>
      </c>
      <c r="D42" s="11" t="s">
        <v>181</v>
      </c>
      <c r="E42" s="12" t="str">
        <f t="shared" si="2"/>
        <v>VIP</v>
      </c>
      <c r="F42" s="11" t="s">
        <v>231</v>
      </c>
      <c r="G42" s="11" t="s">
        <v>232</v>
      </c>
      <c r="H42" s="11" t="s">
        <v>233</v>
      </c>
      <c r="I42" s="11" t="s">
        <v>234</v>
      </c>
      <c r="J42" s="13" t="s">
        <v>22</v>
      </c>
      <c r="K42" s="11" t="s">
        <v>235</v>
      </c>
      <c r="L42" s="11"/>
      <c r="M42" s="12" t="s">
        <v>24</v>
      </c>
      <c r="N42" s="12" t="str">
        <f t="shared" si="3"/>
        <v>SI</v>
      </c>
      <c r="O42" s="12" t="str">
        <f t="shared" si="4"/>
        <v>🟢</v>
      </c>
      <c r="P42" s="14" t="s">
        <v>236</v>
      </c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</row>
    <row r="43" spans="1:85" ht="18" customHeight="1" x14ac:dyDescent="0.3">
      <c r="A43" s="15">
        <f t="shared" si="0"/>
        <v>42</v>
      </c>
      <c r="B43" s="15">
        <f t="shared" si="1"/>
        <v>42</v>
      </c>
      <c r="C43" s="16" t="s">
        <v>16</v>
      </c>
      <c r="D43" s="16" t="s">
        <v>181</v>
      </c>
      <c r="E43" s="17" t="str">
        <f t="shared" si="2"/>
        <v/>
      </c>
      <c r="F43" s="16" t="s">
        <v>237</v>
      </c>
      <c r="G43" s="16" t="s">
        <v>238</v>
      </c>
      <c r="H43" s="16" t="s">
        <v>239</v>
      </c>
      <c r="I43" s="16"/>
      <c r="J43" s="20" t="s">
        <v>71</v>
      </c>
      <c r="K43" s="16" t="s">
        <v>240</v>
      </c>
      <c r="L43" s="16"/>
      <c r="M43" s="17" t="s">
        <v>24</v>
      </c>
      <c r="N43" s="17" t="str">
        <f t="shared" si="3"/>
        <v>NO</v>
      </c>
      <c r="O43" s="17" t="str">
        <f t="shared" si="4"/>
        <v>🔴</v>
      </c>
      <c r="P43" s="1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</row>
    <row r="44" spans="1:85" ht="18" customHeight="1" x14ac:dyDescent="0.3">
      <c r="A44" s="10">
        <f t="shared" si="0"/>
        <v>43</v>
      </c>
      <c r="B44" s="10">
        <f t="shared" si="1"/>
        <v>43</v>
      </c>
      <c r="C44" s="11" t="s">
        <v>16</v>
      </c>
      <c r="D44" s="11" t="s">
        <v>181</v>
      </c>
      <c r="E44" s="12" t="str">
        <f t="shared" si="2"/>
        <v>VIP</v>
      </c>
      <c r="F44" s="11" t="s">
        <v>241</v>
      </c>
      <c r="G44" s="11" t="s">
        <v>242</v>
      </c>
      <c r="H44" s="11" t="s">
        <v>243</v>
      </c>
      <c r="I44" s="11" t="s">
        <v>244</v>
      </c>
      <c r="J44" s="13" t="s">
        <v>22</v>
      </c>
      <c r="K44" s="11" t="s">
        <v>245</v>
      </c>
      <c r="L44" s="11"/>
      <c r="M44" s="12" t="s">
        <v>24</v>
      </c>
      <c r="N44" s="12" t="str">
        <f t="shared" si="3"/>
        <v>SI</v>
      </c>
      <c r="O44" s="12" t="str">
        <f t="shared" si="4"/>
        <v>🟢</v>
      </c>
      <c r="P44" s="14" t="s">
        <v>246</v>
      </c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</row>
    <row r="45" spans="1:85" ht="18" customHeight="1" x14ac:dyDescent="0.3">
      <c r="A45" s="15">
        <f t="shared" si="0"/>
        <v>44</v>
      </c>
      <c r="B45" s="15">
        <f t="shared" si="1"/>
        <v>44</v>
      </c>
      <c r="C45" s="16" t="s">
        <v>16</v>
      </c>
      <c r="D45" s="16" t="s">
        <v>181</v>
      </c>
      <c r="E45" s="17" t="str">
        <f t="shared" si="2"/>
        <v>VIP</v>
      </c>
      <c r="F45" s="16" t="s">
        <v>247</v>
      </c>
      <c r="G45" s="16" t="s">
        <v>248</v>
      </c>
      <c r="H45" s="16" t="s">
        <v>249</v>
      </c>
      <c r="I45" s="16" t="s">
        <v>249</v>
      </c>
      <c r="J45" s="13" t="s">
        <v>22</v>
      </c>
      <c r="K45" s="16" t="s">
        <v>250</v>
      </c>
      <c r="L45" s="16"/>
      <c r="M45" s="17" t="s">
        <v>24</v>
      </c>
      <c r="N45" s="17" t="str">
        <f t="shared" si="3"/>
        <v>SI</v>
      </c>
      <c r="O45" s="17" t="str">
        <f t="shared" si="4"/>
        <v>🟢</v>
      </c>
      <c r="P45" s="18" t="s">
        <v>251</v>
      </c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</row>
    <row r="46" spans="1:85" ht="18" customHeight="1" x14ac:dyDescent="0.3">
      <c r="A46" s="10">
        <f t="shared" si="0"/>
        <v>45</v>
      </c>
      <c r="B46" s="10">
        <f t="shared" si="1"/>
        <v>45</v>
      </c>
      <c r="C46" s="11" t="s">
        <v>16</v>
      </c>
      <c r="D46" s="11" t="s">
        <v>181</v>
      </c>
      <c r="E46" s="12" t="str">
        <f t="shared" si="2"/>
        <v>VIP</v>
      </c>
      <c r="F46" s="11" t="s">
        <v>252</v>
      </c>
      <c r="G46" s="11" t="s">
        <v>253</v>
      </c>
      <c r="H46" s="11" t="s">
        <v>254</v>
      </c>
      <c r="I46" s="11" t="s">
        <v>255</v>
      </c>
      <c r="J46" s="19" t="s">
        <v>57</v>
      </c>
      <c r="K46" s="11" t="s">
        <v>256</v>
      </c>
      <c r="L46" s="11"/>
      <c r="M46" s="12" t="s">
        <v>24</v>
      </c>
      <c r="N46" s="12" t="str">
        <f t="shared" si="3"/>
        <v>NO</v>
      </c>
      <c r="O46" s="12" t="str">
        <f t="shared" si="4"/>
        <v>🟡</v>
      </c>
      <c r="P46" s="14" t="s">
        <v>257</v>
      </c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</row>
    <row r="47" spans="1:85" ht="18" customHeight="1" x14ac:dyDescent="0.3">
      <c r="A47" s="15">
        <f t="shared" si="0"/>
        <v>46</v>
      </c>
      <c r="B47" s="15">
        <f t="shared" si="1"/>
        <v>46</v>
      </c>
      <c r="C47" s="16" t="s">
        <v>16</v>
      </c>
      <c r="D47" s="16" t="s">
        <v>181</v>
      </c>
      <c r="E47" s="17" t="str">
        <f t="shared" si="2"/>
        <v/>
      </c>
      <c r="F47" s="16" t="s">
        <v>258</v>
      </c>
      <c r="G47" s="16" t="s">
        <v>259</v>
      </c>
      <c r="H47" s="16" t="s">
        <v>260</v>
      </c>
      <c r="I47" s="16" t="s">
        <v>261</v>
      </c>
      <c r="J47" s="20" t="s">
        <v>71</v>
      </c>
      <c r="K47" s="16" t="s">
        <v>262</v>
      </c>
      <c r="L47" s="16"/>
      <c r="M47" s="17" t="s">
        <v>24</v>
      </c>
      <c r="N47" s="17" t="str">
        <f t="shared" si="3"/>
        <v>NO</v>
      </c>
      <c r="O47" s="17" t="str">
        <f t="shared" si="4"/>
        <v>🔴</v>
      </c>
      <c r="P47" s="1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</row>
    <row r="48" spans="1:85" ht="18" customHeight="1" x14ac:dyDescent="0.3">
      <c r="A48" s="10">
        <f t="shared" si="0"/>
        <v>47</v>
      </c>
      <c r="B48" s="10">
        <f t="shared" si="1"/>
        <v>47</v>
      </c>
      <c r="C48" s="11" t="s">
        <v>16</v>
      </c>
      <c r="D48" s="11" t="s">
        <v>181</v>
      </c>
      <c r="E48" s="12" t="str">
        <f t="shared" si="2"/>
        <v>VIP</v>
      </c>
      <c r="F48" s="11" t="s">
        <v>263</v>
      </c>
      <c r="G48" s="11" t="s">
        <v>264</v>
      </c>
      <c r="H48" s="11" t="s">
        <v>265</v>
      </c>
      <c r="I48" s="11" t="s">
        <v>266</v>
      </c>
      <c r="J48" s="13" t="s">
        <v>22</v>
      </c>
      <c r="K48" s="11" t="s">
        <v>267</v>
      </c>
      <c r="L48" s="11"/>
      <c r="M48" s="12" t="s">
        <v>24</v>
      </c>
      <c r="N48" s="12" t="str">
        <f t="shared" si="3"/>
        <v>SI</v>
      </c>
      <c r="O48" s="12" t="str">
        <f t="shared" si="4"/>
        <v>🟢</v>
      </c>
      <c r="P48" s="14" t="s">
        <v>268</v>
      </c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</row>
    <row r="49" spans="1:85" ht="18" customHeight="1" x14ac:dyDescent="0.3">
      <c r="A49" s="15">
        <f t="shared" si="0"/>
        <v>48</v>
      </c>
      <c r="B49" s="15">
        <f t="shared" si="1"/>
        <v>48</v>
      </c>
      <c r="C49" s="16" t="s">
        <v>16</v>
      </c>
      <c r="D49" s="16" t="s">
        <v>181</v>
      </c>
      <c r="E49" s="17" t="str">
        <f t="shared" si="2"/>
        <v/>
      </c>
      <c r="F49" s="16" t="s">
        <v>269</v>
      </c>
      <c r="G49" s="16" t="s">
        <v>270</v>
      </c>
      <c r="H49" s="16" t="s">
        <v>116</v>
      </c>
      <c r="I49" s="16" t="s">
        <v>271</v>
      </c>
      <c r="J49" s="19" t="s">
        <v>71</v>
      </c>
      <c r="K49" s="16" t="s">
        <v>272</v>
      </c>
      <c r="L49" s="16"/>
      <c r="M49" s="17" t="s">
        <v>24</v>
      </c>
      <c r="N49" s="17" t="str">
        <f t="shared" si="3"/>
        <v>NO</v>
      </c>
      <c r="O49" s="17" t="str">
        <f t="shared" si="4"/>
        <v>🔴</v>
      </c>
      <c r="P49" s="18" t="s">
        <v>273</v>
      </c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</row>
    <row r="50" spans="1:85" ht="18" customHeight="1" x14ac:dyDescent="0.3">
      <c r="A50" s="10">
        <f t="shared" si="0"/>
        <v>49</v>
      </c>
      <c r="B50" s="10">
        <f t="shared" si="1"/>
        <v>49</v>
      </c>
      <c r="C50" s="11" t="s">
        <v>16</v>
      </c>
      <c r="D50" s="11" t="s">
        <v>181</v>
      </c>
      <c r="E50" s="12" t="str">
        <f t="shared" si="2"/>
        <v/>
      </c>
      <c r="F50" s="11" t="s">
        <v>274</v>
      </c>
      <c r="G50" s="11" t="s">
        <v>275</v>
      </c>
      <c r="H50" s="11" t="s">
        <v>276</v>
      </c>
      <c r="I50" s="11" t="s">
        <v>277</v>
      </c>
      <c r="J50" s="20" t="s">
        <v>71</v>
      </c>
      <c r="K50" s="11" t="s">
        <v>278</v>
      </c>
      <c r="L50" s="11"/>
      <c r="M50" s="12" t="s">
        <v>24</v>
      </c>
      <c r="N50" s="12" t="str">
        <f t="shared" si="3"/>
        <v>NO</v>
      </c>
      <c r="O50" s="12" t="str">
        <f t="shared" si="4"/>
        <v>🔴</v>
      </c>
      <c r="P50" s="14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</row>
    <row r="51" spans="1:85" ht="18" customHeight="1" x14ac:dyDescent="0.3">
      <c r="A51" s="15">
        <f t="shared" si="0"/>
        <v>50</v>
      </c>
      <c r="B51" s="15">
        <f t="shared" si="1"/>
        <v>50</v>
      </c>
      <c r="C51" s="16" t="s">
        <v>16</v>
      </c>
      <c r="D51" s="16" t="s">
        <v>181</v>
      </c>
      <c r="E51" s="17" t="str">
        <f t="shared" si="2"/>
        <v>VIP</v>
      </c>
      <c r="F51" s="16" t="s">
        <v>279</v>
      </c>
      <c r="G51" s="16" t="s">
        <v>211</v>
      </c>
      <c r="H51" s="16" t="s">
        <v>280</v>
      </c>
      <c r="I51" s="16" t="s">
        <v>281</v>
      </c>
      <c r="J51" s="13" t="s">
        <v>22</v>
      </c>
      <c r="K51" s="16" t="s">
        <v>282</v>
      </c>
      <c r="L51" s="16"/>
      <c r="M51" s="17" t="s">
        <v>24</v>
      </c>
      <c r="N51" s="17" t="str">
        <f t="shared" si="3"/>
        <v>SI</v>
      </c>
      <c r="O51" s="17" t="str">
        <f t="shared" si="4"/>
        <v>🟢</v>
      </c>
      <c r="P51" s="18" t="s">
        <v>283</v>
      </c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</row>
    <row r="52" spans="1:85" ht="18" customHeight="1" x14ac:dyDescent="0.3">
      <c r="A52" s="10">
        <f t="shared" si="0"/>
        <v>51</v>
      </c>
      <c r="B52" s="10">
        <f t="shared" si="1"/>
        <v>51</v>
      </c>
      <c r="C52" s="11" t="s">
        <v>16</v>
      </c>
      <c r="D52" s="11" t="s">
        <v>181</v>
      </c>
      <c r="E52" s="12" t="str">
        <f t="shared" si="2"/>
        <v>VIP</v>
      </c>
      <c r="F52" s="11" t="s">
        <v>284</v>
      </c>
      <c r="G52" s="11" t="s">
        <v>285</v>
      </c>
      <c r="H52" s="11" t="s">
        <v>286</v>
      </c>
      <c r="I52" s="11"/>
      <c r="J52" s="13" t="s">
        <v>22</v>
      </c>
      <c r="K52" s="11" t="s">
        <v>287</v>
      </c>
      <c r="L52" s="11"/>
      <c r="M52" s="12" t="s">
        <v>24</v>
      </c>
      <c r="N52" s="12" t="str">
        <f t="shared" si="3"/>
        <v>SI</v>
      </c>
      <c r="O52" s="12" t="str">
        <f t="shared" si="4"/>
        <v>🟢</v>
      </c>
      <c r="P52" s="14" t="s">
        <v>288</v>
      </c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</row>
    <row r="53" spans="1:85" ht="18" customHeight="1" x14ac:dyDescent="0.3">
      <c r="A53" s="15">
        <f t="shared" si="0"/>
        <v>52</v>
      </c>
      <c r="B53" s="15">
        <f t="shared" si="1"/>
        <v>52</v>
      </c>
      <c r="C53" s="16" t="s">
        <v>16</v>
      </c>
      <c r="D53" s="16" t="s">
        <v>181</v>
      </c>
      <c r="E53" s="17" t="str">
        <f t="shared" si="2"/>
        <v/>
      </c>
      <c r="F53" s="16" t="s">
        <v>289</v>
      </c>
      <c r="G53" s="16" t="s">
        <v>290</v>
      </c>
      <c r="H53" s="16" t="s">
        <v>291</v>
      </c>
      <c r="I53" s="16"/>
      <c r="J53" s="20" t="s">
        <v>71</v>
      </c>
      <c r="K53" s="16" t="s">
        <v>292</v>
      </c>
      <c r="L53" s="16"/>
      <c r="M53" s="17" t="s">
        <v>24</v>
      </c>
      <c r="N53" s="17" t="str">
        <f t="shared" si="3"/>
        <v>NO</v>
      </c>
      <c r="O53" s="17" t="str">
        <f t="shared" si="4"/>
        <v>🔴</v>
      </c>
      <c r="P53" s="1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</row>
    <row r="54" spans="1:85" ht="18" customHeight="1" x14ac:dyDescent="0.3">
      <c r="A54" s="10">
        <f t="shared" si="0"/>
        <v>53</v>
      </c>
      <c r="B54" s="10">
        <f t="shared" si="1"/>
        <v>53</v>
      </c>
      <c r="C54" s="11" t="s">
        <v>16</v>
      </c>
      <c r="D54" s="11" t="s">
        <v>181</v>
      </c>
      <c r="E54" s="12" t="str">
        <f t="shared" si="2"/>
        <v/>
      </c>
      <c r="F54" s="11" t="s">
        <v>293</v>
      </c>
      <c r="G54" s="11" t="s">
        <v>294</v>
      </c>
      <c r="H54" s="11" t="s">
        <v>295</v>
      </c>
      <c r="I54" s="11"/>
      <c r="J54" s="20" t="s">
        <v>71</v>
      </c>
      <c r="K54" s="11" t="s">
        <v>296</v>
      </c>
      <c r="L54" s="11"/>
      <c r="M54" s="12" t="s">
        <v>24</v>
      </c>
      <c r="N54" s="12" t="str">
        <f t="shared" si="3"/>
        <v>NO</v>
      </c>
      <c r="O54" s="12" t="str">
        <f t="shared" si="4"/>
        <v>🔴</v>
      </c>
      <c r="P54" s="14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</row>
    <row r="55" spans="1:85" ht="18" customHeight="1" x14ac:dyDescent="0.3">
      <c r="A55" s="15">
        <f t="shared" si="0"/>
        <v>54</v>
      </c>
      <c r="B55" s="15">
        <f t="shared" si="1"/>
        <v>54</v>
      </c>
      <c r="C55" s="16" t="s">
        <v>16</v>
      </c>
      <c r="D55" s="16" t="s">
        <v>181</v>
      </c>
      <c r="E55" s="17" t="str">
        <f t="shared" si="2"/>
        <v>VIP</v>
      </c>
      <c r="F55" s="16" t="s">
        <v>297</v>
      </c>
      <c r="G55" s="16" t="s">
        <v>298</v>
      </c>
      <c r="H55" s="16" t="s">
        <v>299</v>
      </c>
      <c r="I55" s="16"/>
      <c r="J55" s="13" t="s">
        <v>22</v>
      </c>
      <c r="K55" s="16" t="s">
        <v>300</v>
      </c>
      <c r="L55" s="16"/>
      <c r="M55" s="17" t="s">
        <v>24</v>
      </c>
      <c r="N55" s="17" t="str">
        <f t="shared" si="3"/>
        <v>SI</v>
      </c>
      <c r="O55" s="17" t="str">
        <f t="shared" si="4"/>
        <v>🟢</v>
      </c>
      <c r="P55" s="18" t="s">
        <v>301</v>
      </c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ht="18" customHeight="1" x14ac:dyDescent="0.3">
      <c r="A56" s="10">
        <f t="shared" si="0"/>
        <v>55</v>
      </c>
      <c r="B56" s="10">
        <f t="shared" si="1"/>
        <v>55</v>
      </c>
      <c r="C56" s="11" t="s">
        <v>16</v>
      </c>
      <c r="D56" s="11" t="s">
        <v>181</v>
      </c>
      <c r="E56" s="12" t="str">
        <f t="shared" si="2"/>
        <v/>
      </c>
      <c r="F56" s="11" t="s">
        <v>302</v>
      </c>
      <c r="G56" s="11" t="s">
        <v>303</v>
      </c>
      <c r="H56" s="11" t="s">
        <v>304</v>
      </c>
      <c r="I56" s="11"/>
      <c r="J56" s="20" t="s">
        <v>71</v>
      </c>
      <c r="K56" s="11" t="s">
        <v>305</v>
      </c>
      <c r="L56" s="11"/>
      <c r="M56" s="12" t="s">
        <v>24</v>
      </c>
      <c r="N56" s="12" t="str">
        <f t="shared" si="3"/>
        <v>NO</v>
      </c>
      <c r="O56" s="12" t="str">
        <f t="shared" si="4"/>
        <v>🔴</v>
      </c>
      <c r="P56" s="14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ht="18" customHeight="1" x14ac:dyDescent="0.3">
      <c r="A57" s="15">
        <f t="shared" si="0"/>
        <v>56</v>
      </c>
      <c r="B57" s="15">
        <f t="shared" si="1"/>
        <v>56</v>
      </c>
      <c r="C57" s="16" t="s">
        <v>16</v>
      </c>
      <c r="D57" s="16" t="s">
        <v>40</v>
      </c>
      <c r="E57" s="17" t="str">
        <f t="shared" si="2"/>
        <v/>
      </c>
      <c r="F57" s="16" t="s">
        <v>306</v>
      </c>
      <c r="G57" s="16" t="s">
        <v>307</v>
      </c>
      <c r="H57" s="16" t="s">
        <v>308</v>
      </c>
      <c r="I57" s="16" t="s">
        <v>221</v>
      </c>
      <c r="J57" s="20" t="s">
        <v>71</v>
      </c>
      <c r="K57" s="16" t="s">
        <v>309</v>
      </c>
      <c r="L57" s="16"/>
      <c r="M57" s="17" t="s">
        <v>24</v>
      </c>
      <c r="N57" s="17" t="str">
        <f t="shared" si="3"/>
        <v>NO</v>
      </c>
      <c r="O57" s="17" t="str">
        <f t="shared" si="4"/>
        <v>🔴</v>
      </c>
      <c r="P57" s="18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</row>
    <row r="58" spans="1:85" ht="18" customHeight="1" x14ac:dyDescent="0.3">
      <c r="A58" s="10">
        <f t="shared" si="0"/>
        <v>57</v>
      </c>
      <c r="B58" s="10">
        <f t="shared" si="1"/>
        <v>57</v>
      </c>
      <c r="C58" s="11" t="s">
        <v>16</v>
      </c>
      <c r="D58" s="11" t="s">
        <v>40</v>
      </c>
      <c r="E58" s="12" t="str">
        <f t="shared" si="2"/>
        <v>VIP</v>
      </c>
      <c r="F58" s="11" t="s">
        <v>310</v>
      </c>
      <c r="G58" s="11" t="s">
        <v>311</v>
      </c>
      <c r="H58" s="11" t="s">
        <v>312</v>
      </c>
      <c r="I58" s="11" t="s">
        <v>313</v>
      </c>
      <c r="J58" s="13" t="s">
        <v>22</v>
      </c>
      <c r="K58" s="11" t="s">
        <v>309</v>
      </c>
      <c r="L58" s="11"/>
      <c r="M58" s="12" t="s">
        <v>24</v>
      </c>
      <c r="N58" s="12" t="str">
        <f t="shared" si="3"/>
        <v>SI</v>
      </c>
      <c r="O58" s="12" t="str">
        <f t="shared" si="4"/>
        <v>🟢</v>
      </c>
      <c r="P58" s="14" t="s">
        <v>314</v>
      </c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</row>
    <row r="59" spans="1:85" ht="18" customHeight="1" x14ac:dyDescent="0.3">
      <c r="A59" s="15">
        <f t="shared" si="0"/>
        <v>58</v>
      </c>
      <c r="B59" s="15">
        <f t="shared" si="1"/>
        <v>58</v>
      </c>
      <c r="C59" s="16" t="s">
        <v>16</v>
      </c>
      <c r="D59" s="16" t="s">
        <v>315</v>
      </c>
      <c r="E59" s="17" t="str">
        <f t="shared" si="2"/>
        <v>VIP</v>
      </c>
      <c r="F59" s="16" t="s">
        <v>316</v>
      </c>
      <c r="G59" s="16" t="s">
        <v>317</v>
      </c>
      <c r="H59" s="16" t="s">
        <v>168</v>
      </c>
      <c r="I59" s="16" t="s">
        <v>318</v>
      </c>
      <c r="J59" s="13" t="s">
        <v>22</v>
      </c>
      <c r="K59" s="16" t="s">
        <v>319</v>
      </c>
      <c r="L59" s="16"/>
      <c r="M59" s="17" t="s">
        <v>24</v>
      </c>
      <c r="N59" s="17" t="str">
        <f t="shared" si="3"/>
        <v>SI</v>
      </c>
      <c r="O59" s="17" t="str">
        <f t="shared" si="4"/>
        <v>🟢</v>
      </c>
      <c r="P59" s="18" t="s">
        <v>320</v>
      </c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</row>
    <row r="60" spans="1:85" ht="18" customHeight="1" x14ac:dyDescent="0.3">
      <c r="A60" s="10">
        <f t="shared" si="0"/>
        <v>59</v>
      </c>
      <c r="B60" s="10">
        <f t="shared" si="1"/>
        <v>59</v>
      </c>
      <c r="C60" s="11" t="s">
        <v>16</v>
      </c>
      <c r="D60" s="11" t="s">
        <v>315</v>
      </c>
      <c r="E60" s="12" t="str">
        <f t="shared" si="2"/>
        <v>VIP</v>
      </c>
      <c r="F60" s="11" t="s">
        <v>321</v>
      </c>
      <c r="G60" s="11" t="s">
        <v>322</v>
      </c>
      <c r="H60" s="11" t="s">
        <v>323</v>
      </c>
      <c r="I60" s="11" t="s">
        <v>99</v>
      </c>
      <c r="J60" s="13" t="s">
        <v>22</v>
      </c>
      <c r="K60" s="11" t="s">
        <v>324</v>
      </c>
      <c r="L60" s="11"/>
      <c r="M60" s="12" t="s">
        <v>24</v>
      </c>
      <c r="N60" s="12" t="str">
        <f t="shared" si="3"/>
        <v>SI</v>
      </c>
      <c r="O60" s="12" t="str">
        <f t="shared" si="4"/>
        <v>🟢</v>
      </c>
      <c r="P60" s="14" t="s">
        <v>325</v>
      </c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</row>
    <row r="61" spans="1:85" ht="18" customHeight="1" x14ac:dyDescent="0.3">
      <c r="A61" s="15">
        <f t="shared" si="0"/>
        <v>60</v>
      </c>
      <c r="B61" s="15">
        <f t="shared" si="1"/>
        <v>60</v>
      </c>
      <c r="C61" s="16" t="s">
        <v>16</v>
      </c>
      <c r="D61" s="16" t="s">
        <v>326</v>
      </c>
      <c r="E61" s="17" t="str">
        <f t="shared" si="2"/>
        <v>VIP</v>
      </c>
      <c r="F61" s="16" t="s">
        <v>327</v>
      </c>
      <c r="G61" s="16" t="s">
        <v>328</v>
      </c>
      <c r="H61" s="16" t="s">
        <v>329</v>
      </c>
      <c r="I61" s="16" t="s">
        <v>330</v>
      </c>
      <c r="J61" s="13" t="s">
        <v>22</v>
      </c>
      <c r="K61" s="16" t="s">
        <v>331</v>
      </c>
      <c r="L61" s="16"/>
      <c r="M61" s="17" t="s">
        <v>24</v>
      </c>
      <c r="N61" s="17" t="str">
        <f t="shared" si="3"/>
        <v>SI</v>
      </c>
      <c r="O61" s="17" t="str">
        <f t="shared" si="4"/>
        <v>🟢</v>
      </c>
      <c r="P61" s="18" t="s">
        <v>332</v>
      </c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</row>
    <row r="62" spans="1:85" ht="18" customHeight="1" x14ac:dyDescent="0.3">
      <c r="A62" s="10">
        <f t="shared" si="0"/>
        <v>61</v>
      </c>
      <c r="B62" s="10">
        <f t="shared" si="1"/>
        <v>61</v>
      </c>
      <c r="C62" s="11" t="s">
        <v>16</v>
      </c>
      <c r="D62" s="11" t="s">
        <v>333</v>
      </c>
      <c r="E62" s="12" t="str">
        <f t="shared" si="2"/>
        <v>VIP</v>
      </c>
      <c r="F62" s="11" t="s">
        <v>334</v>
      </c>
      <c r="G62" s="11" t="s">
        <v>91</v>
      </c>
      <c r="H62" s="11" t="s">
        <v>335</v>
      </c>
      <c r="I62" s="11" t="s">
        <v>336</v>
      </c>
      <c r="J62" s="19" t="s">
        <v>57</v>
      </c>
      <c r="K62" s="11" t="s">
        <v>337</v>
      </c>
      <c r="L62" s="11"/>
      <c r="M62" s="12" t="s">
        <v>24</v>
      </c>
      <c r="N62" s="12" t="str">
        <f t="shared" si="3"/>
        <v>NO</v>
      </c>
      <c r="O62" s="12" t="str">
        <f t="shared" si="4"/>
        <v>🟡</v>
      </c>
      <c r="P62" s="14" t="s">
        <v>338</v>
      </c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</row>
    <row r="63" spans="1:85" ht="18" customHeight="1" x14ac:dyDescent="0.3">
      <c r="A63" s="15">
        <f t="shared" si="0"/>
        <v>62</v>
      </c>
      <c r="B63" s="15">
        <f t="shared" si="1"/>
        <v>62</v>
      </c>
      <c r="C63" s="16" t="s">
        <v>16</v>
      </c>
      <c r="D63" s="16" t="s">
        <v>40</v>
      </c>
      <c r="E63" s="17" t="str">
        <f t="shared" si="2"/>
        <v/>
      </c>
      <c r="F63" s="16" t="s">
        <v>339</v>
      </c>
      <c r="G63" s="16" t="s">
        <v>340</v>
      </c>
      <c r="H63" s="16" t="s">
        <v>341</v>
      </c>
      <c r="I63" s="16" t="s">
        <v>342</v>
      </c>
      <c r="J63" s="20" t="s">
        <v>71</v>
      </c>
      <c r="K63" s="16" t="s">
        <v>309</v>
      </c>
      <c r="L63" s="16"/>
      <c r="M63" s="17" t="s">
        <v>24</v>
      </c>
      <c r="N63" s="17" t="str">
        <f t="shared" si="3"/>
        <v>NO</v>
      </c>
      <c r="O63" s="17" t="str">
        <f t="shared" si="4"/>
        <v>🔴</v>
      </c>
      <c r="P63" s="18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</row>
    <row r="64" spans="1:85" ht="18" customHeight="1" x14ac:dyDescent="0.3">
      <c r="A64" s="10">
        <f t="shared" si="0"/>
        <v>63</v>
      </c>
      <c r="B64" s="10">
        <f t="shared" si="1"/>
        <v>63</v>
      </c>
      <c r="C64" s="11" t="s">
        <v>16</v>
      </c>
      <c r="D64" s="11" t="s">
        <v>40</v>
      </c>
      <c r="E64" s="12" t="str">
        <f t="shared" si="2"/>
        <v/>
      </c>
      <c r="F64" s="11" t="s">
        <v>343</v>
      </c>
      <c r="G64" s="11" t="s">
        <v>344</v>
      </c>
      <c r="H64" s="11" t="s">
        <v>70</v>
      </c>
      <c r="I64" s="11" t="s">
        <v>345</v>
      </c>
      <c r="J64" s="20" t="s">
        <v>71</v>
      </c>
      <c r="K64" s="11" t="s">
        <v>309</v>
      </c>
      <c r="L64" s="11"/>
      <c r="M64" s="12" t="s">
        <v>24</v>
      </c>
      <c r="N64" s="12" t="str">
        <f t="shared" si="3"/>
        <v>NO</v>
      </c>
      <c r="O64" s="12" t="str">
        <f t="shared" si="4"/>
        <v>🔴</v>
      </c>
      <c r="P64" s="14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</row>
    <row r="65" spans="1:85" ht="18" customHeight="1" x14ac:dyDescent="0.3">
      <c r="A65" s="15">
        <f t="shared" si="0"/>
        <v>64</v>
      </c>
      <c r="B65" s="15">
        <f t="shared" si="1"/>
        <v>64</v>
      </c>
      <c r="C65" s="16" t="s">
        <v>16</v>
      </c>
      <c r="D65" s="16" t="s">
        <v>40</v>
      </c>
      <c r="E65" s="17" t="str">
        <f t="shared" si="2"/>
        <v/>
      </c>
      <c r="F65" s="16" t="s">
        <v>346</v>
      </c>
      <c r="G65" s="16" t="s">
        <v>347</v>
      </c>
      <c r="H65" s="16" t="s">
        <v>348</v>
      </c>
      <c r="I65" s="16" t="s">
        <v>349</v>
      </c>
      <c r="J65" s="19" t="s">
        <v>71</v>
      </c>
      <c r="K65" s="16" t="s">
        <v>309</v>
      </c>
      <c r="L65" s="16"/>
      <c r="M65" s="17" t="s">
        <v>24</v>
      </c>
      <c r="N65" s="17" t="str">
        <f t="shared" si="3"/>
        <v>NO</v>
      </c>
      <c r="O65" s="17" t="str">
        <f t="shared" si="4"/>
        <v>🔴</v>
      </c>
      <c r="P65" s="18" t="s">
        <v>350</v>
      </c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</row>
    <row r="66" spans="1:85" ht="18" customHeight="1" x14ac:dyDescent="0.3">
      <c r="A66" s="10">
        <f t="shared" ref="A66:A129" si="5">IF(COUNTA(C66:K66)=0,"",ROW()-1)</f>
        <v>65</v>
      </c>
      <c r="B66" s="10">
        <f t="shared" ref="B66:B129" si="6">IF($F66&lt;&gt;"",$A66,"")</f>
        <v>65</v>
      </c>
      <c r="C66" s="11" t="s">
        <v>16</v>
      </c>
      <c r="D66" s="11" t="s">
        <v>40</v>
      </c>
      <c r="E66" s="12" t="str">
        <f t="shared" ref="E66:E129" si="7">IF(UPPER($J66)="NO","",$M66)</f>
        <v/>
      </c>
      <c r="F66" s="11" t="s">
        <v>351</v>
      </c>
      <c r="G66" s="11" t="s">
        <v>352</v>
      </c>
      <c r="H66" s="11" t="s">
        <v>135</v>
      </c>
      <c r="I66" s="11" t="s">
        <v>353</v>
      </c>
      <c r="J66" s="20" t="s">
        <v>71</v>
      </c>
      <c r="K66" s="11" t="s">
        <v>309</v>
      </c>
      <c r="L66" s="11"/>
      <c r="M66" s="12" t="s">
        <v>24</v>
      </c>
      <c r="N66" s="12" t="str">
        <f t="shared" ref="N66:N129" si="8">IF(AND(UPPER($M66)="VIP",UPPER($J66)="SI",$F66&lt;&gt;""),"SI","NO")</f>
        <v>NO</v>
      </c>
      <c r="O66" s="12" t="str">
        <f t="shared" ref="O66:O129" si="9">IF(UPPER($J66)="SI","🟢",IF(UPPER($J66)="NO","🔴","🟡"))</f>
        <v>🔴</v>
      </c>
      <c r="P66" s="14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</row>
    <row r="67" spans="1:85" ht="18" customHeight="1" x14ac:dyDescent="0.3">
      <c r="A67" s="15">
        <f t="shared" si="5"/>
        <v>66</v>
      </c>
      <c r="B67" s="15">
        <f t="shared" si="6"/>
        <v>66</v>
      </c>
      <c r="C67" s="16" t="s">
        <v>16</v>
      </c>
      <c r="D67" s="16" t="s">
        <v>46</v>
      </c>
      <c r="E67" s="17" t="str">
        <f t="shared" si="7"/>
        <v>VIP</v>
      </c>
      <c r="F67" s="16" t="s">
        <v>354</v>
      </c>
      <c r="G67" s="16" t="s">
        <v>355</v>
      </c>
      <c r="H67" s="16" t="s">
        <v>308</v>
      </c>
      <c r="I67" s="16" t="s">
        <v>221</v>
      </c>
      <c r="J67" s="13" t="s">
        <v>22</v>
      </c>
      <c r="K67" s="16" t="s">
        <v>356</v>
      </c>
      <c r="L67" s="16"/>
      <c r="M67" s="17" t="s">
        <v>24</v>
      </c>
      <c r="N67" s="17" t="str">
        <f t="shared" si="8"/>
        <v>SI</v>
      </c>
      <c r="O67" s="17" t="str">
        <f t="shared" si="9"/>
        <v>🟢</v>
      </c>
      <c r="P67" s="18" t="s">
        <v>357</v>
      </c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</row>
    <row r="68" spans="1:85" ht="18" customHeight="1" x14ac:dyDescent="0.3">
      <c r="A68" s="10">
        <f t="shared" si="5"/>
        <v>67</v>
      </c>
      <c r="B68" s="10">
        <f t="shared" si="6"/>
        <v>67</v>
      </c>
      <c r="C68" s="11" t="s">
        <v>16</v>
      </c>
      <c r="D68" s="11" t="s">
        <v>40</v>
      </c>
      <c r="E68" s="12" t="str">
        <f t="shared" si="7"/>
        <v/>
      </c>
      <c r="F68" s="11" t="s">
        <v>358</v>
      </c>
      <c r="G68" s="11" t="s">
        <v>359</v>
      </c>
      <c r="H68" s="11" t="s">
        <v>360</v>
      </c>
      <c r="I68" s="11" t="s">
        <v>361</v>
      </c>
      <c r="J68" s="20" t="s">
        <v>71</v>
      </c>
      <c r="K68" s="11" t="s">
        <v>309</v>
      </c>
      <c r="L68" s="11"/>
      <c r="M68" s="12" t="s">
        <v>24</v>
      </c>
      <c r="N68" s="12" t="str">
        <f t="shared" si="8"/>
        <v>NO</v>
      </c>
      <c r="O68" s="12" t="str">
        <f t="shared" si="9"/>
        <v>🔴</v>
      </c>
      <c r="P68" s="14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</row>
    <row r="69" spans="1:85" ht="18" customHeight="1" x14ac:dyDescent="0.3">
      <c r="A69" s="15">
        <f t="shared" si="5"/>
        <v>68</v>
      </c>
      <c r="B69" s="15">
        <f t="shared" si="6"/>
        <v>68</v>
      </c>
      <c r="C69" s="16" t="s">
        <v>16</v>
      </c>
      <c r="D69" s="16" t="s">
        <v>315</v>
      </c>
      <c r="E69" s="17" t="str">
        <f t="shared" si="7"/>
        <v>VIP</v>
      </c>
      <c r="F69" s="16" t="s">
        <v>362</v>
      </c>
      <c r="G69" s="16" t="s">
        <v>363</v>
      </c>
      <c r="H69" s="16" t="s">
        <v>364</v>
      </c>
      <c r="I69" s="16" t="s">
        <v>105</v>
      </c>
      <c r="J69" s="13" t="s">
        <v>22</v>
      </c>
      <c r="K69" s="16" t="s">
        <v>365</v>
      </c>
      <c r="L69" s="16"/>
      <c r="M69" s="17" t="s">
        <v>24</v>
      </c>
      <c r="N69" s="17" t="str">
        <f t="shared" si="8"/>
        <v>SI</v>
      </c>
      <c r="O69" s="17" t="str">
        <f t="shared" si="9"/>
        <v>🟢</v>
      </c>
      <c r="P69" s="18" t="s">
        <v>366</v>
      </c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</row>
    <row r="70" spans="1:85" ht="18" customHeight="1" x14ac:dyDescent="0.3">
      <c r="A70" s="10">
        <f t="shared" si="5"/>
        <v>69</v>
      </c>
      <c r="B70" s="10">
        <f t="shared" si="6"/>
        <v>69</v>
      </c>
      <c r="C70" s="11" t="s">
        <v>16</v>
      </c>
      <c r="D70" s="11" t="s">
        <v>367</v>
      </c>
      <c r="E70" s="12" t="str">
        <f t="shared" si="7"/>
        <v>VIP</v>
      </c>
      <c r="F70" s="11" t="s">
        <v>368</v>
      </c>
      <c r="G70" s="11" t="s">
        <v>369</v>
      </c>
      <c r="H70" s="11" t="s">
        <v>370</v>
      </c>
      <c r="I70" s="11" t="s">
        <v>371</v>
      </c>
      <c r="J70" s="13" t="s">
        <v>22</v>
      </c>
      <c r="K70" s="11" t="s">
        <v>372</v>
      </c>
      <c r="L70" s="11"/>
      <c r="M70" s="12" t="s">
        <v>24</v>
      </c>
      <c r="N70" s="12" t="str">
        <f t="shared" si="8"/>
        <v>SI</v>
      </c>
      <c r="O70" s="12" t="str">
        <f t="shared" si="9"/>
        <v>🟢</v>
      </c>
      <c r="P70" s="14" t="s">
        <v>373</v>
      </c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</row>
    <row r="71" spans="1:85" ht="18" customHeight="1" x14ac:dyDescent="0.3">
      <c r="A71" s="15">
        <f t="shared" si="5"/>
        <v>70</v>
      </c>
      <c r="B71" s="15">
        <f t="shared" si="6"/>
        <v>70</v>
      </c>
      <c r="C71" s="16" t="s">
        <v>16</v>
      </c>
      <c r="D71" s="16" t="s">
        <v>367</v>
      </c>
      <c r="E71" s="17" t="str">
        <f t="shared" si="7"/>
        <v>VIP</v>
      </c>
      <c r="F71" s="16" t="s">
        <v>374</v>
      </c>
      <c r="G71" s="16" t="s">
        <v>68</v>
      </c>
      <c r="H71" s="16" t="s">
        <v>375</v>
      </c>
      <c r="I71" s="16" t="s">
        <v>376</v>
      </c>
      <c r="J71" s="19" t="s">
        <v>22</v>
      </c>
      <c r="K71" s="16" t="s">
        <v>377</v>
      </c>
      <c r="L71" s="16"/>
      <c r="M71" s="17" t="s">
        <v>24</v>
      </c>
      <c r="N71" s="17" t="str">
        <f t="shared" si="8"/>
        <v>SI</v>
      </c>
      <c r="O71" s="17" t="str">
        <f t="shared" si="9"/>
        <v>🟢</v>
      </c>
      <c r="P71" s="18" t="s">
        <v>378</v>
      </c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</row>
    <row r="72" spans="1:85" ht="18" customHeight="1" x14ac:dyDescent="0.3">
      <c r="A72" s="10">
        <f t="shared" si="5"/>
        <v>71</v>
      </c>
      <c r="B72" s="10">
        <f t="shared" si="6"/>
        <v>71</v>
      </c>
      <c r="C72" s="11" t="s">
        <v>16</v>
      </c>
      <c r="D72" s="11" t="s">
        <v>379</v>
      </c>
      <c r="E72" s="12" t="str">
        <f t="shared" si="7"/>
        <v>VIP</v>
      </c>
      <c r="F72" s="11" t="s">
        <v>380</v>
      </c>
      <c r="G72" s="11" t="s">
        <v>311</v>
      </c>
      <c r="H72" s="11" t="s">
        <v>381</v>
      </c>
      <c r="I72" s="11" t="s">
        <v>382</v>
      </c>
      <c r="J72" s="13" t="s">
        <v>22</v>
      </c>
      <c r="K72" s="11" t="s">
        <v>383</v>
      </c>
      <c r="L72" s="11"/>
      <c r="M72" s="12" t="s">
        <v>24</v>
      </c>
      <c r="N72" s="12" t="str">
        <f t="shared" si="8"/>
        <v>SI</v>
      </c>
      <c r="O72" s="12" t="str">
        <f t="shared" si="9"/>
        <v>🟢</v>
      </c>
      <c r="P72" s="14" t="s">
        <v>384</v>
      </c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</row>
    <row r="73" spans="1:85" ht="18" customHeight="1" x14ac:dyDescent="0.3">
      <c r="A73" s="15">
        <f t="shared" si="5"/>
        <v>72</v>
      </c>
      <c r="B73" s="15">
        <f t="shared" si="6"/>
        <v>72</v>
      </c>
      <c r="C73" s="16" t="s">
        <v>16</v>
      </c>
      <c r="D73" s="16" t="s">
        <v>60</v>
      </c>
      <c r="E73" s="17" t="str">
        <f t="shared" si="7"/>
        <v/>
      </c>
      <c r="F73" s="16" t="s">
        <v>385</v>
      </c>
      <c r="G73" s="16" t="s">
        <v>120</v>
      </c>
      <c r="H73" s="16" t="s">
        <v>386</v>
      </c>
      <c r="I73" s="16" t="s">
        <v>387</v>
      </c>
      <c r="J73" s="20" t="s">
        <v>71</v>
      </c>
      <c r="K73" s="16" t="s">
        <v>388</v>
      </c>
      <c r="L73" s="16"/>
      <c r="M73" s="17" t="s">
        <v>24</v>
      </c>
      <c r="N73" s="17" t="str">
        <f t="shared" si="8"/>
        <v>NO</v>
      </c>
      <c r="O73" s="17" t="str">
        <f t="shared" si="9"/>
        <v>🔴</v>
      </c>
      <c r="P73" s="18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</row>
    <row r="74" spans="1:85" ht="18" customHeight="1" x14ac:dyDescent="0.3">
      <c r="A74" s="10">
        <f t="shared" si="5"/>
        <v>73</v>
      </c>
      <c r="B74" s="10">
        <f t="shared" si="6"/>
        <v>73</v>
      </c>
      <c r="C74" s="11" t="s">
        <v>16</v>
      </c>
      <c r="D74" s="11" t="s">
        <v>60</v>
      </c>
      <c r="E74" s="12" t="str">
        <f t="shared" si="7"/>
        <v/>
      </c>
      <c r="F74" s="11" t="s">
        <v>389</v>
      </c>
      <c r="G74" s="11" t="s">
        <v>317</v>
      </c>
      <c r="H74" s="11" t="s">
        <v>329</v>
      </c>
      <c r="I74" s="11" t="s">
        <v>390</v>
      </c>
      <c r="J74" s="19" t="s">
        <v>71</v>
      </c>
      <c r="K74" s="11" t="s">
        <v>391</v>
      </c>
      <c r="L74" s="11"/>
      <c r="M74" s="12" t="s">
        <v>24</v>
      </c>
      <c r="N74" s="12" t="str">
        <f t="shared" si="8"/>
        <v>NO</v>
      </c>
      <c r="O74" s="12" t="str">
        <f t="shared" si="9"/>
        <v>🔴</v>
      </c>
      <c r="P74" s="14" t="s">
        <v>392</v>
      </c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</row>
    <row r="75" spans="1:85" ht="18" customHeight="1" x14ac:dyDescent="0.3">
      <c r="A75" s="15">
        <f t="shared" si="5"/>
        <v>74</v>
      </c>
      <c r="B75" s="15">
        <f t="shared" si="6"/>
        <v>74</v>
      </c>
      <c r="C75" s="16" t="s">
        <v>16</v>
      </c>
      <c r="D75" s="16" t="s">
        <v>60</v>
      </c>
      <c r="E75" s="17" t="str">
        <f t="shared" si="7"/>
        <v/>
      </c>
      <c r="F75" s="16" t="s">
        <v>393</v>
      </c>
      <c r="G75" s="16" t="s">
        <v>394</v>
      </c>
      <c r="H75" s="16" t="s">
        <v>395</v>
      </c>
      <c r="I75" s="16" t="s">
        <v>396</v>
      </c>
      <c r="J75" s="19" t="s">
        <v>71</v>
      </c>
      <c r="K75" s="16" t="s">
        <v>391</v>
      </c>
      <c r="L75" s="16"/>
      <c r="M75" s="17" t="s">
        <v>24</v>
      </c>
      <c r="N75" s="17" t="str">
        <f t="shared" si="8"/>
        <v>NO</v>
      </c>
      <c r="O75" s="17" t="str">
        <f t="shared" si="9"/>
        <v>🔴</v>
      </c>
      <c r="P75" s="18" t="s">
        <v>397</v>
      </c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</row>
    <row r="76" spans="1:85" ht="18" customHeight="1" x14ac:dyDescent="0.3">
      <c r="A76" s="10">
        <f t="shared" si="5"/>
        <v>75</v>
      </c>
      <c r="B76" s="10">
        <f t="shared" si="6"/>
        <v>75</v>
      </c>
      <c r="C76" s="11" t="s">
        <v>16</v>
      </c>
      <c r="D76" s="11" t="s">
        <v>60</v>
      </c>
      <c r="E76" s="12" t="str">
        <f t="shared" si="7"/>
        <v>VIP</v>
      </c>
      <c r="F76" s="11" t="s">
        <v>398</v>
      </c>
      <c r="G76" s="11" t="s">
        <v>399</v>
      </c>
      <c r="H76" s="11" t="s">
        <v>400</v>
      </c>
      <c r="I76" s="11" t="s">
        <v>401</v>
      </c>
      <c r="J76" s="13" t="s">
        <v>22</v>
      </c>
      <c r="K76" s="11" t="s">
        <v>391</v>
      </c>
      <c r="L76" s="11"/>
      <c r="M76" s="12" t="s">
        <v>24</v>
      </c>
      <c r="N76" s="12" t="str">
        <f t="shared" si="8"/>
        <v>SI</v>
      </c>
      <c r="O76" s="12" t="str">
        <f t="shared" si="9"/>
        <v>🟢</v>
      </c>
      <c r="P76" s="14" t="s">
        <v>402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</row>
    <row r="77" spans="1:85" ht="18" customHeight="1" x14ac:dyDescent="0.3">
      <c r="A77" s="15">
        <f t="shared" si="5"/>
        <v>76</v>
      </c>
      <c r="B77" s="15">
        <f t="shared" si="6"/>
        <v>76</v>
      </c>
      <c r="C77" s="16" t="s">
        <v>16</v>
      </c>
      <c r="D77" s="16" t="s">
        <v>60</v>
      </c>
      <c r="E77" s="17" t="str">
        <f t="shared" si="7"/>
        <v/>
      </c>
      <c r="F77" s="16" t="s">
        <v>403</v>
      </c>
      <c r="G77" s="16" t="s">
        <v>404</v>
      </c>
      <c r="H77" s="16" t="s">
        <v>405</v>
      </c>
      <c r="I77" s="16" t="s">
        <v>406</v>
      </c>
      <c r="J77" s="20" t="s">
        <v>71</v>
      </c>
      <c r="K77" s="16" t="s">
        <v>391</v>
      </c>
      <c r="L77" s="16"/>
      <c r="M77" s="17" t="s">
        <v>24</v>
      </c>
      <c r="N77" s="17" t="str">
        <f t="shared" si="8"/>
        <v>NO</v>
      </c>
      <c r="O77" s="17" t="str">
        <f t="shared" si="9"/>
        <v>🔴</v>
      </c>
      <c r="P77" s="18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</row>
    <row r="78" spans="1:85" ht="18" customHeight="1" x14ac:dyDescent="0.3">
      <c r="A78" s="10">
        <f t="shared" si="5"/>
        <v>77</v>
      </c>
      <c r="B78" s="10">
        <f t="shared" si="6"/>
        <v>77</v>
      </c>
      <c r="C78" s="11" t="s">
        <v>16</v>
      </c>
      <c r="D78" s="11" t="s">
        <v>60</v>
      </c>
      <c r="E78" s="12" t="str">
        <f t="shared" si="7"/>
        <v/>
      </c>
      <c r="F78" s="11" t="s">
        <v>407</v>
      </c>
      <c r="G78" s="11" t="s">
        <v>408</v>
      </c>
      <c r="H78" s="11" t="s">
        <v>409</v>
      </c>
      <c r="I78" s="11" t="s">
        <v>410</v>
      </c>
      <c r="J78" s="20" t="s">
        <v>71</v>
      </c>
      <c r="K78" s="11" t="s">
        <v>411</v>
      </c>
      <c r="L78" s="11"/>
      <c r="M78" s="12" t="s">
        <v>24</v>
      </c>
      <c r="N78" s="12" t="str">
        <f t="shared" si="8"/>
        <v>NO</v>
      </c>
      <c r="O78" s="12" t="str">
        <f t="shared" si="9"/>
        <v>🔴</v>
      </c>
      <c r="P78" s="14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</row>
    <row r="79" spans="1:85" ht="18" customHeight="1" x14ac:dyDescent="0.3">
      <c r="A79" s="15">
        <f t="shared" si="5"/>
        <v>78</v>
      </c>
      <c r="B79" s="15">
        <f t="shared" si="6"/>
        <v>78</v>
      </c>
      <c r="C79" s="16" t="s">
        <v>16</v>
      </c>
      <c r="D79" s="16" t="s">
        <v>60</v>
      </c>
      <c r="E79" s="17" t="str">
        <f t="shared" si="7"/>
        <v/>
      </c>
      <c r="F79" s="16" t="s">
        <v>412</v>
      </c>
      <c r="G79" s="16" t="s">
        <v>86</v>
      </c>
      <c r="H79" s="16" t="s">
        <v>413</v>
      </c>
      <c r="I79" s="16" t="s">
        <v>329</v>
      </c>
      <c r="J79" s="20" t="s">
        <v>71</v>
      </c>
      <c r="K79" s="16" t="s">
        <v>414</v>
      </c>
      <c r="L79" s="16"/>
      <c r="M79" s="17" t="s">
        <v>24</v>
      </c>
      <c r="N79" s="17" t="str">
        <f t="shared" si="8"/>
        <v>NO</v>
      </c>
      <c r="O79" s="17" t="str">
        <f t="shared" si="9"/>
        <v>🔴</v>
      </c>
      <c r="P79" s="18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</row>
    <row r="80" spans="1:85" ht="18" customHeight="1" x14ac:dyDescent="0.3">
      <c r="A80" s="10">
        <f t="shared" si="5"/>
        <v>79</v>
      </c>
      <c r="B80" s="10">
        <f t="shared" si="6"/>
        <v>79</v>
      </c>
      <c r="C80" s="11" t="s">
        <v>16</v>
      </c>
      <c r="D80" s="11" t="s">
        <v>60</v>
      </c>
      <c r="E80" s="12" t="str">
        <f t="shared" si="7"/>
        <v/>
      </c>
      <c r="F80" s="11" t="s">
        <v>415</v>
      </c>
      <c r="G80" s="11" t="s">
        <v>416</v>
      </c>
      <c r="H80" s="11" t="s">
        <v>417</v>
      </c>
      <c r="I80" s="11" t="s">
        <v>418</v>
      </c>
      <c r="J80" s="20" t="s">
        <v>71</v>
      </c>
      <c r="K80" s="11" t="s">
        <v>414</v>
      </c>
      <c r="L80" s="11"/>
      <c r="M80" s="12" t="s">
        <v>24</v>
      </c>
      <c r="N80" s="12" t="str">
        <f t="shared" si="8"/>
        <v>NO</v>
      </c>
      <c r="O80" s="12" t="str">
        <f t="shared" si="9"/>
        <v>🔴</v>
      </c>
      <c r="P80" s="14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</row>
    <row r="81" spans="1:85" ht="18" customHeight="1" x14ac:dyDescent="0.3">
      <c r="A81" s="15">
        <f t="shared" si="5"/>
        <v>80</v>
      </c>
      <c r="B81" s="15">
        <f t="shared" si="6"/>
        <v>80</v>
      </c>
      <c r="C81" s="16" t="s">
        <v>16</v>
      </c>
      <c r="D81" s="16" t="s">
        <v>60</v>
      </c>
      <c r="E81" s="17" t="str">
        <f t="shared" si="7"/>
        <v/>
      </c>
      <c r="F81" s="16" t="s">
        <v>419</v>
      </c>
      <c r="G81" s="16" t="s">
        <v>420</v>
      </c>
      <c r="H81" s="16" t="s">
        <v>421</v>
      </c>
      <c r="I81" s="16" t="s">
        <v>422</v>
      </c>
      <c r="J81" s="20" t="s">
        <v>71</v>
      </c>
      <c r="K81" s="16" t="s">
        <v>414</v>
      </c>
      <c r="L81" s="16"/>
      <c r="M81" s="17" t="s">
        <v>24</v>
      </c>
      <c r="N81" s="17" t="str">
        <f t="shared" si="8"/>
        <v>NO</v>
      </c>
      <c r="O81" s="17" t="str">
        <f t="shared" si="9"/>
        <v>🔴</v>
      </c>
      <c r="P81" s="18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</row>
    <row r="82" spans="1:85" ht="18" customHeight="1" x14ac:dyDescent="0.3">
      <c r="A82" s="10">
        <f t="shared" si="5"/>
        <v>81</v>
      </c>
      <c r="B82" s="10">
        <f t="shared" si="6"/>
        <v>81</v>
      </c>
      <c r="C82" s="11" t="s">
        <v>16</v>
      </c>
      <c r="D82" s="11" t="s">
        <v>60</v>
      </c>
      <c r="E82" s="12" t="str">
        <f t="shared" si="7"/>
        <v/>
      </c>
      <c r="F82" s="11" t="s">
        <v>423</v>
      </c>
      <c r="G82" s="11" t="s">
        <v>424</v>
      </c>
      <c r="H82" s="11" t="s">
        <v>425</v>
      </c>
      <c r="I82" s="11" t="s">
        <v>426</v>
      </c>
      <c r="J82" s="20" t="s">
        <v>71</v>
      </c>
      <c r="K82" s="11" t="s">
        <v>414</v>
      </c>
      <c r="L82" s="11"/>
      <c r="M82" s="12" t="s">
        <v>24</v>
      </c>
      <c r="N82" s="12" t="str">
        <f t="shared" si="8"/>
        <v>NO</v>
      </c>
      <c r="O82" s="12" t="str">
        <f t="shared" si="9"/>
        <v>🔴</v>
      </c>
      <c r="P82" s="14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</row>
    <row r="83" spans="1:85" ht="18" customHeight="1" x14ac:dyDescent="0.3">
      <c r="A83" s="15">
        <f t="shared" si="5"/>
        <v>82</v>
      </c>
      <c r="B83" s="15">
        <f t="shared" si="6"/>
        <v>82</v>
      </c>
      <c r="C83" s="16" t="s">
        <v>16</v>
      </c>
      <c r="D83" s="16" t="s">
        <v>60</v>
      </c>
      <c r="E83" s="17" t="str">
        <f t="shared" si="7"/>
        <v>VIP</v>
      </c>
      <c r="F83" s="16" t="s">
        <v>427</v>
      </c>
      <c r="G83" s="16" t="s">
        <v>242</v>
      </c>
      <c r="H83" s="16" t="s">
        <v>428</v>
      </c>
      <c r="I83" s="16" t="s">
        <v>429</v>
      </c>
      <c r="J83" s="19" t="s">
        <v>57</v>
      </c>
      <c r="K83" s="16" t="s">
        <v>430</v>
      </c>
      <c r="L83" s="16"/>
      <c r="M83" s="17" t="s">
        <v>24</v>
      </c>
      <c r="N83" s="17" t="str">
        <f t="shared" si="8"/>
        <v>NO</v>
      </c>
      <c r="O83" s="17" t="str">
        <f t="shared" si="9"/>
        <v>🟡</v>
      </c>
      <c r="P83" s="18" t="s">
        <v>431</v>
      </c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</row>
    <row r="84" spans="1:85" ht="18" customHeight="1" x14ac:dyDescent="0.3">
      <c r="A84" s="10">
        <f t="shared" si="5"/>
        <v>83</v>
      </c>
      <c r="B84" s="10">
        <f t="shared" si="6"/>
        <v>83</v>
      </c>
      <c r="C84" s="11" t="s">
        <v>16</v>
      </c>
      <c r="D84" s="11" t="s">
        <v>60</v>
      </c>
      <c r="E84" s="12" t="str">
        <f t="shared" si="7"/>
        <v>VIP</v>
      </c>
      <c r="F84" s="11" t="s">
        <v>432</v>
      </c>
      <c r="G84" s="11" t="s">
        <v>307</v>
      </c>
      <c r="H84" s="11" t="s">
        <v>433</v>
      </c>
      <c r="I84" s="11" t="s">
        <v>434</v>
      </c>
      <c r="J84" s="13" t="s">
        <v>22</v>
      </c>
      <c r="K84" s="11" t="s">
        <v>430</v>
      </c>
      <c r="L84" s="11"/>
      <c r="M84" s="12" t="s">
        <v>24</v>
      </c>
      <c r="N84" s="12" t="str">
        <f t="shared" si="8"/>
        <v>SI</v>
      </c>
      <c r="O84" s="12" t="str">
        <f t="shared" si="9"/>
        <v>🟢</v>
      </c>
      <c r="P84" s="14" t="s">
        <v>435</v>
      </c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</row>
    <row r="85" spans="1:85" ht="18" customHeight="1" x14ac:dyDescent="0.3">
      <c r="A85" s="15">
        <f t="shared" si="5"/>
        <v>84</v>
      </c>
      <c r="B85" s="15">
        <f t="shared" si="6"/>
        <v>84</v>
      </c>
      <c r="C85" s="16" t="s">
        <v>16</v>
      </c>
      <c r="D85" s="16" t="s">
        <v>60</v>
      </c>
      <c r="E85" s="17" t="str">
        <f t="shared" si="7"/>
        <v>VIP</v>
      </c>
      <c r="F85" s="16" t="s">
        <v>436</v>
      </c>
      <c r="G85" s="16" t="s">
        <v>437</v>
      </c>
      <c r="H85" s="16" t="s">
        <v>438</v>
      </c>
      <c r="I85" s="16" t="s">
        <v>439</v>
      </c>
      <c r="J85" s="13" t="s">
        <v>22</v>
      </c>
      <c r="K85" s="16" t="s">
        <v>440</v>
      </c>
      <c r="L85" s="16"/>
      <c r="M85" s="17" t="s">
        <v>24</v>
      </c>
      <c r="N85" s="17" t="str">
        <f t="shared" si="8"/>
        <v>SI</v>
      </c>
      <c r="O85" s="17" t="str">
        <f t="shared" si="9"/>
        <v>🟢</v>
      </c>
      <c r="P85" s="18" t="s">
        <v>441</v>
      </c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</row>
    <row r="86" spans="1:85" ht="18" customHeight="1" x14ac:dyDescent="0.3">
      <c r="A86" s="10">
        <f t="shared" si="5"/>
        <v>85</v>
      </c>
      <c r="B86" s="10">
        <f t="shared" si="6"/>
        <v>85</v>
      </c>
      <c r="C86" s="11" t="s">
        <v>16</v>
      </c>
      <c r="D86" s="11" t="s">
        <v>60</v>
      </c>
      <c r="E86" s="12" t="str">
        <f t="shared" si="7"/>
        <v>VIP</v>
      </c>
      <c r="F86" s="11" t="s">
        <v>442</v>
      </c>
      <c r="G86" s="11" t="s">
        <v>443</v>
      </c>
      <c r="H86" s="11" t="s">
        <v>444</v>
      </c>
      <c r="I86" s="11" t="s">
        <v>445</v>
      </c>
      <c r="J86" s="19" t="s">
        <v>57</v>
      </c>
      <c r="K86" s="11" t="s">
        <v>446</v>
      </c>
      <c r="L86" s="11"/>
      <c r="M86" s="12" t="s">
        <v>24</v>
      </c>
      <c r="N86" s="12" t="str">
        <f t="shared" si="8"/>
        <v>NO</v>
      </c>
      <c r="O86" s="12" t="str">
        <f t="shared" si="9"/>
        <v>🟡</v>
      </c>
      <c r="P86" s="14" t="s">
        <v>447</v>
      </c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</row>
    <row r="87" spans="1:85" ht="18" customHeight="1" x14ac:dyDescent="0.3">
      <c r="A87" s="15">
        <f t="shared" si="5"/>
        <v>86</v>
      </c>
      <c r="B87" s="15">
        <f t="shared" si="6"/>
        <v>86</v>
      </c>
      <c r="C87" s="16" t="s">
        <v>16</v>
      </c>
      <c r="D87" s="16" t="s">
        <v>60</v>
      </c>
      <c r="E87" s="17" t="str">
        <f t="shared" si="7"/>
        <v>VIP</v>
      </c>
      <c r="F87" s="16" t="s">
        <v>448</v>
      </c>
      <c r="G87" s="16" t="s">
        <v>449</v>
      </c>
      <c r="H87" s="16" t="s">
        <v>450</v>
      </c>
      <c r="I87" s="16" t="s">
        <v>451</v>
      </c>
      <c r="J87" s="13" t="s">
        <v>22</v>
      </c>
      <c r="K87" s="16" t="s">
        <v>446</v>
      </c>
      <c r="L87" s="16"/>
      <c r="M87" s="17" t="s">
        <v>24</v>
      </c>
      <c r="N87" s="17" t="str">
        <f t="shared" si="8"/>
        <v>SI</v>
      </c>
      <c r="O87" s="17" t="str">
        <f t="shared" si="9"/>
        <v>🟢</v>
      </c>
      <c r="P87" s="18" t="s">
        <v>452</v>
      </c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</row>
    <row r="88" spans="1:85" ht="18" customHeight="1" x14ac:dyDescent="0.3">
      <c r="A88" s="10">
        <f t="shared" si="5"/>
        <v>87</v>
      </c>
      <c r="B88" s="10">
        <f t="shared" si="6"/>
        <v>87</v>
      </c>
      <c r="C88" s="11" t="s">
        <v>16</v>
      </c>
      <c r="D88" s="11" t="s">
        <v>66</v>
      </c>
      <c r="E88" s="12" t="str">
        <f t="shared" si="7"/>
        <v>VIP</v>
      </c>
      <c r="F88" s="11" t="s">
        <v>453</v>
      </c>
      <c r="G88" s="11" t="s">
        <v>454</v>
      </c>
      <c r="H88" s="11" t="s">
        <v>455</v>
      </c>
      <c r="I88" s="11" t="s">
        <v>172</v>
      </c>
      <c r="J88" s="13" t="s">
        <v>22</v>
      </c>
      <c r="K88" s="11" t="s">
        <v>456</v>
      </c>
      <c r="L88" s="11"/>
      <c r="M88" s="12" t="s">
        <v>24</v>
      </c>
      <c r="N88" s="12" t="str">
        <f t="shared" si="8"/>
        <v>SI</v>
      </c>
      <c r="O88" s="12" t="str">
        <f t="shared" si="9"/>
        <v>🟢</v>
      </c>
      <c r="P88" s="14" t="s">
        <v>457</v>
      </c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</row>
    <row r="89" spans="1:85" ht="18" customHeight="1" x14ac:dyDescent="0.3">
      <c r="A89" s="15">
        <f t="shared" si="5"/>
        <v>88</v>
      </c>
      <c r="B89" s="15">
        <f t="shared" si="6"/>
        <v>88</v>
      </c>
      <c r="C89" s="16" t="s">
        <v>16</v>
      </c>
      <c r="D89" s="16" t="s">
        <v>66</v>
      </c>
      <c r="E89" s="17" t="str">
        <f t="shared" si="7"/>
        <v>VIP</v>
      </c>
      <c r="F89" s="16" t="s">
        <v>458</v>
      </c>
      <c r="G89" s="16" t="s">
        <v>459</v>
      </c>
      <c r="H89" s="16" t="s">
        <v>460</v>
      </c>
      <c r="I89" s="16" t="s">
        <v>461</v>
      </c>
      <c r="J89" s="19" t="s">
        <v>57</v>
      </c>
      <c r="K89" s="16" t="s">
        <v>462</v>
      </c>
      <c r="L89" s="16"/>
      <c r="M89" s="17" t="s">
        <v>24</v>
      </c>
      <c r="N89" s="17" t="str">
        <f t="shared" si="8"/>
        <v>NO</v>
      </c>
      <c r="O89" s="17" t="str">
        <f t="shared" si="9"/>
        <v>🟡</v>
      </c>
      <c r="P89" s="18" t="s">
        <v>463</v>
      </c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</row>
    <row r="90" spans="1:85" ht="18" customHeight="1" x14ac:dyDescent="0.3">
      <c r="A90" s="10">
        <f t="shared" si="5"/>
        <v>89</v>
      </c>
      <c r="B90" s="10">
        <f t="shared" si="6"/>
        <v>89</v>
      </c>
      <c r="C90" s="11" t="s">
        <v>16</v>
      </c>
      <c r="D90" s="11" t="s">
        <v>66</v>
      </c>
      <c r="E90" s="12" t="str">
        <f t="shared" si="7"/>
        <v/>
      </c>
      <c r="F90" s="11" t="s">
        <v>464</v>
      </c>
      <c r="G90" s="11" t="s">
        <v>465</v>
      </c>
      <c r="H90" s="11" t="s">
        <v>466</v>
      </c>
      <c r="I90" s="11" t="s">
        <v>467</v>
      </c>
      <c r="J90" s="20" t="s">
        <v>71</v>
      </c>
      <c r="K90" s="11" t="s">
        <v>462</v>
      </c>
      <c r="L90" s="11"/>
      <c r="M90" s="12" t="s">
        <v>24</v>
      </c>
      <c r="N90" s="12" t="str">
        <f t="shared" si="8"/>
        <v>NO</v>
      </c>
      <c r="O90" s="12" t="str">
        <f t="shared" si="9"/>
        <v>🔴</v>
      </c>
      <c r="P90" s="14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</row>
    <row r="91" spans="1:85" ht="18" customHeight="1" x14ac:dyDescent="0.3">
      <c r="A91" s="15">
        <f t="shared" si="5"/>
        <v>90</v>
      </c>
      <c r="B91" s="15">
        <f t="shared" si="6"/>
        <v>90</v>
      </c>
      <c r="C91" s="16" t="s">
        <v>16</v>
      </c>
      <c r="D91" s="16" t="s">
        <v>66</v>
      </c>
      <c r="E91" s="17" t="str">
        <f t="shared" si="7"/>
        <v>VIP</v>
      </c>
      <c r="F91" s="16" t="s">
        <v>468</v>
      </c>
      <c r="G91" s="16" t="s">
        <v>68</v>
      </c>
      <c r="H91" s="16" t="s">
        <v>469</v>
      </c>
      <c r="I91" s="16" t="s">
        <v>470</v>
      </c>
      <c r="J91" s="19" t="s">
        <v>57</v>
      </c>
      <c r="K91" s="16" t="s">
        <v>462</v>
      </c>
      <c r="L91" s="16"/>
      <c r="M91" s="17" t="s">
        <v>24</v>
      </c>
      <c r="N91" s="17" t="str">
        <f t="shared" si="8"/>
        <v>NO</v>
      </c>
      <c r="O91" s="17" t="str">
        <f t="shared" si="9"/>
        <v>🟡</v>
      </c>
      <c r="P91" s="18" t="s">
        <v>471</v>
      </c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</row>
    <row r="92" spans="1:85" ht="18" customHeight="1" x14ac:dyDescent="0.3">
      <c r="A92" s="10">
        <f t="shared" si="5"/>
        <v>91</v>
      </c>
      <c r="B92" s="10">
        <f t="shared" si="6"/>
        <v>91</v>
      </c>
      <c r="C92" s="11" t="s">
        <v>16</v>
      </c>
      <c r="D92" s="11" t="s">
        <v>66</v>
      </c>
      <c r="E92" s="12" t="str">
        <f t="shared" si="7"/>
        <v>VIP</v>
      </c>
      <c r="F92" s="11" t="s">
        <v>472</v>
      </c>
      <c r="G92" s="11" t="s">
        <v>473</v>
      </c>
      <c r="H92" s="11" t="s">
        <v>474</v>
      </c>
      <c r="I92" s="11" t="s">
        <v>475</v>
      </c>
      <c r="J92" s="19" t="s">
        <v>57</v>
      </c>
      <c r="K92" s="11" t="s">
        <v>462</v>
      </c>
      <c r="L92" s="11"/>
      <c r="M92" s="12" t="s">
        <v>24</v>
      </c>
      <c r="N92" s="12" t="str">
        <f t="shared" si="8"/>
        <v>NO</v>
      </c>
      <c r="O92" s="12" t="str">
        <f t="shared" si="9"/>
        <v>🟡</v>
      </c>
      <c r="P92" s="14" t="s">
        <v>476</v>
      </c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</row>
    <row r="93" spans="1:85" ht="18" customHeight="1" x14ac:dyDescent="0.3">
      <c r="A93" s="15">
        <f t="shared" si="5"/>
        <v>92</v>
      </c>
      <c r="B93" s="15">
        <f t="shared" si="6"/>
        <v>92</v>
      </c>
      <c r="C93" s="16" t="s">
        <v>16</v>
      </c>
      <c r="D93" s="16" t="s">
        <v>66</v>
      </c>
      <c r="E93" s="17" t="str">
        <f t="shared" si="7"/>
        <v/>
      </c>
      <c r="F93" s="16" t="s">
        <v>477</v>
      </c>
      <c r="G93" s="16" t="s">
        <v>478</v>
      </c>
      <c r="H93" s="16" t="s">
        <v>20</v>
      </c>
      <c r="I93" s="16" t="s">
        <v>479</v>
      </c>
      <c r="J93" s="19" t="s">
        <v>71</v>
      </c>
      <c r="K93" s="16" t="s">
        <v>462</v>
      </c>
      <c r="L93" s="16"/>
      <c r="M93" s="17" t="s">
        <v>24</v>
      </c>
      <c r="N93" s="17" t="str">
        <f t="shared" si="8"/>
        <v>NO</v>
      </c>
      <c r="O93" s="17" t="str">
        <f t="shared" si="9"/>
        <v>🔴</v>
      </c>
      <c r="P93" s="18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</row>
    <row r="94" spans="1:85" ht="18" customHeight="1" x14ac:dyDescent="0.3">
      <c r="A94" s="10">
        <f t="shared" si="5"/>
        <v>93</v>
      </c>
      <c r="B94" s="10">
        <f t="shared" si="6"/>
        <v>93</v>
      </c>
      <c r="C94" s="11" t="s">
        <v>16</v>
      </c>
      <c r="D94" s="11" t="s">
        <v>66</v>
      </c>
      <c r="E94" s="12" t="str">
        <f t="shared" si="7"/>
        <v/>
      </c>
      <c r="F94" s="11" t="s">
        <v>480</v>
      </c>
      <c r="G94" s="11" t="s">
        <v>481</v>
      </c>
      <c r="H94" s="11" t="s">
        <v>312</v>
      </c>
      <c r="I94" s="11" t="s">
        <v>450</v>
      </c>
      <c r="J94" s="19" t="s">
        <v>71</v>
      </c>
      <c r="K94" s="11" t="s">
        <v>462</v>
      </c>
      <c r="L94" s="11"/>
      <c r="M94" s="12" t="s">
        <v>24</v>
      </c>
      <c r="N94" s="12" t="str">
        <f t="shared" si="8"/>
        <v>NO</v>
      </c>
      <c r="O94" s="12" t="str">
        <f t="shared" si="9"/>
        <v>🔴</v>
      </c>
      <c r="P94" s="14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</row>
    <row r="95" spans="1:85" ht="18" customHeight="1" x14ac:dyDescent="0.3">
      <c r="A95" s="15">
        <f t="shared" si="5"/>
        <v>94</v>
      </c>
      <c r="B95" s="15">
        <f t="shared" si="6"/>
        <v>94</v>
      </c>
      <c r="C95" s="16" t="s">
        <v>16</v>
      </c>
      <c r="D95" s="16" t="s">
        <v>66</v>
      </c>
      <c r="E95" s="17" t="str">
        <f t="shared" si="7"/>
        <v/>
      </c>
      <c r="F95" s="16" t="s">
        <v>482</v>
      </c>
      <c r="G95" s="16" t="s">
        <v>483</v>
      </c>
      <c r="H95" s="16" t="s">
        <v>484</v>
      </c>
      <c r="I95" s="16" t="s">
        <v>485</v>
      </c>
      <c r="J95" s="19" t="s">
        <v>71</v>
      </c>
      <c r="K95" s="16" t="s">
        <v>462</v>
      </c>
      <c r="L95" s="16"/>
      <c r="M95" s="17" t="s">
        <v>24</v>
      </c>
      <c r="N95" s="17" t="str">
        <f t="shared" si="8"/>
        <v>NO</v>
      </c>
      <c r="O95" s="17" t="str">
        <f t="shared" si="9"/>
        <v>🔴</v>
      </c>
      <c r="P95" s="18" t="s">
        <v>486</v>
      </c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</row>
    <row r="96" spans="1:85" ht="18" customHeight="1" x14ac:dyDescent="0.3">
      <c r="A96" s="10">
        <f t="shared" si="5"/>
        <v>95</v>
      </c>
      <c r="B96" s="10">
        <f t="shared" si="6"/>
        <v>95</v>
      </c>
      <c r="C96" s="11" t="s">
        <v>16</v>
      </c>
      <c r="D96" s="11" t="s">
        <v>66</v>
      </c>
      <c r="E96" s="12" t="str">
        <f t="shared" si="7"/>
        <v>VIP</v>
      </c>
      <c r="F96" s="11" t="s">
        <v>487</v>
      </c>
      <c r="G96" s="11" t="s">
        <v>488</v>
      </c>
      <c r="H96" s="11" t="s">
        <v>489</v>
      </c>
      <c r="I96" s="11" t="s">
        <v>490</v>
      </c>
      <c r="J96" s="19" t="s">
        <v>57</v>
      </c>
      <c r="K96" s="11" t="s">
        <v>462</v>
      </c>
      <c r="L96" s="11"/>
      <c r="M96" s="12" t="s">
        <v>24</v>
      </c>
      <c r="N96" s="12" t="str">
        <f t="shared" si="8"/>
        <v>NO</v>
      </c>
      <c r="O96" s="12" t="str">
        <f t="shared" si="9"/>
        <v>🟡</v>
      </c>
      <c r="P96" s="14" t="s">
        <v>491</v>
      </c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</row>
    <row r="97" spans="1:85" ht="18" customHeight="1" x14ac:dyDescent="0.3">
      <c r="A97" s="15">
        <f t="shared" si="5"/>
        <v>96</v>
      </c>
      <c r="B97" s="15">
        <f t="shared" si="6"/>
        <v>96</v>
      </c>
      <c r="C97" s="16" t="s">
        <v>16</v>
      </c>
      <c r="D97" s="16" t="s">
        <v>66</v>
      </c>
      <c r="E97" s="17" t="str">
        <f t="shared" si="7"/>
        <v>VIP</v>
      </c>
      <c r="F97" s="16" t="s">
        <v>492</v>
      </c>
      <c r="G97" s="16" t="s">
        <v>493</v>
      </c>
      <c r="H97" s="16" t="s">
        <v>494</v>
      </c>
      <c r="I97" s="16" t="s">
        <v>495</v>
      </c>
      <c r="J97" s="19" t="s">
        <v>57</v>
      </c>
      <c r="K97" s="16" t="s">
        <v>462</v>
      </c>
      <c r="L97" s="16"/>
      <c r="M97" s="17" t="s">
        <v>24</v>
      </c>
      <c r="N97" s="17" t="str">
        <f t="shared" si="8"/>
        <v>NO</v>
      </c>
      <c r="O97" s="17" t="str">
        <f t="shared" si="9"/>
        <v>🟡</v>
      </c>
      <c r="P97" s="18" t="s">
        <v>496</v>
      </c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</row>
    <row r="98" spans="1:85" ht="18" customHeight="1" x14ac:dyDescent="0.3">
      <c r="A98" s="10">
        <f t="shared" si="5"/>
        <v>97</v>
      </c>
      <c r="B98" s="10">
        <f t="shared" si="6"/>
        <v>97</v>
      </c>
      <c r="C98" s="11" t="s">
        <v>16</v>
      </c>
      <c r="D98" s="11" t="s">
        <v>66</v>
      </c>
      <c r="E98" s="12" t="str">
        <f t="shared" si="7"/>
        <v>VIP</v>
      </c>
      <c r="F98" s="11" t="s">
        <v>497</v>
      </c>
      <c r="G98" s="11" t="s">
        <v>498</v>
      </c>
      <c r="H98" s="11" t="s">
        <v>499</v>
      </c>
      <c r="I98" s="11" t="s">
        <v>500</v>
      </c>
      <c r="J98" s="13" t="s">
        <v>22</v>
      </c>
      <c r="K98" s="11" t="s">
        <v>462</v>
      </c>
      <c r="L98" s="11"/>
      <c r="M98" s="12" t="s">
        <v>24</v>
      </c>
      <c r="N98" s="12" t="str">
        <f t="shared" si="8"/>
        <v>SI</v>
      </c>
      <c r="O98" s="12" t="str">
        <f t="shared" si="9"/>
        <v>🟢</v>
      </c>
      <c r="P98" s="14" t="s">
        <v>501</v>
      </c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</row>
    <row r="99" spans="1:85" ht="18" customHeight="1" x14ac:dyDescent="0.3">
      <c r="A99" s="15">
        <f t="shared" si="5"/>
        <v>98</v>
      </c>
      <c r="B99" s="15">
        <f t="shared" si="6"/>
        <v>98</v>
      </c>
      <c r="C99" s="16" t="s">
        <v>16</v>
      </c>
      <c r="D99" s="16" t="s">
        <v>66</v>
      </c>
      <c r="E99" s="17" t="str">
        <f t="shared" si="7"/>
        <v>VIP</v>
      </c>
      <c r="F99" s="16" t="s">
        <v>502</v>
      </c>
      <c r="G99" s="16" t="s">
        <v>128</v>
      </c>
      <c r="H99" s="16" t="s">
        <v>503</v>
      </c>
      <c r="I99" s="16" t="s">
        <v>43</v>
      </c>
      <c r="J99" s="13" t="s">
        <v>22</v>
      </c>
      <c r="K99" s="16" t="s">
        <v>462</v>
      </c>
      <c r="L99" s="16"/>
      <c r="M99" s="17" t="s">
        <v>24</v>
      </c>
      <c r="N99" s="17" t="str">
        <f t="shared" si="8"/>
        <v>SI</v>
      </c>
      <c r="O99" s="17" t="str">
        <f t="shared" si="9"/>
        <v>🟢</v>
      </c>
      <c r="P99" s="18" t="s">
        <v>504</v>
      </c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</row>
    <row r="100" spans="1:85" ht="18" customHeight="1" x14ac:dyDescent="0.3">
      <c r="A100" s="10">
        <f t="shared" si="5"/>
        <v>99</v>
      </c>
      <c r="B100" s="10">
        <f t="shared" si="6"/>
        <v>99</v>
      </c>
      <c r="C100" s="11" t="s">
        <v>16</v>
      </c>
      <c r="D100" s="11" t="s">
        <v>66</v>
      </c>
      <c r="E100" s="12" t="str">
        <f t="shared" si="7"/>
        <v/>
      </c>
      <c r="F100" s="11" t="s">
        <v>505</v>
      </c>
      <c r="G100" s="11" t="s">
        <v>242</v>
      </c>
      <c r="H100" s="11" t="s">
        <v>382</v>
      </c>
      <c r="I100" s="11" t="s">
        <v>506</v>
      </c>
      <c r="J100" s="20" t="s">
        <v>71</v>
      </c>
      <c r="K100" s="11" t="s">
        <v>462</v>
      </c>
      <c r="L100" s="11"/>
      <c r="M100" s="12" t="s">
        <v>24</v>
      </c>
      <c r="N100" s="12" t="str">
        <f t="shared" si="8"/>
        <v>NO</v>
      </c>
      <c r="O100" s="12" t="str">
        <f t="shared" si="9"/>
        <v>🔴</v>
      </c>
      <c r="P100" s="14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</row>
    <row r="101" spans="1:85" ht="18" customHeight="1" x14ac:dyDescent="0.3">
      <c r="A101" s="15">
        <f t="shared" si="5"/>
        <v>100</v>
      </c>
      <c r="B101" s="15">
        <f t="shared" si="6"/>
        <v>100</v>
      </c>
      <c r="C101" s="16" t="s">
        <v>16</v>
      </c>
      <c r="D101" s="16" t="s">
        <v>66</v>
      </c>
      <c r="E101" s="17" t="str">
        <f t="shared" si="7"/>
        <v>VIP</v>
      </c>
      <c r="F101" s="16" t="s">
        <v>507</v>
      </c>
      <c r="G101" s="16" t="s">
        <v>128</v>
      </c>
      <c r="H101" s="16" t="s">
        <v>508</v>
      </c>
      <c r="I101" s="16" t="s">
        <v>509</v>
      </c>
      <c r="J101" s="19" t="s">
        <v>57</v>
      </c>
      <c r="K101" s="16" t="s">
        <v>510</v>
      </c>
      <c r="L101" s="16"/>
      <c r="M101" s="17" t="s">
        <v>24</v>
      </c>
      <c r="N101" s="17" t="str">
        <f t="shared" si="8"/>
        <v>NO</v>
      </c>
      <c r="O101" s="17" t="str">
        <f t="shared" si="9"/>
        <v>🟡</v>
      </c>
      <c r="P101" s="18" t="s">
        <v>511</v>
      </c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</row>
    <row r="102" spans="1:85" ht="18" customHeight="1" x14ac:dyDescent="0.3">
      <c r="A102" s="10">
        <f t="shared" si="5"/>
        <v>101</v>
      </c>
      <c r="B102" s="10">
        <f t="shared" si="6"/>
        <v>101</v>
      </c>
      <c r="C102" s="11" t="s">
        <v>16</v>
      </c>
      <c r="D102" s="11" t="s">
        <v>66</v>
      </c>
      <c r="E102" s="12" t="str">
        <f t="shared" si="7"/>
        <v>VIP</v>
      </c>
      <c r="F102" s="11" t="s">
        <v>512</v>
      </c>
      <c r="G102" s="11" t="s">
        <v>513</v>
      </c>
      <c r="H102" s="11" t="s">
        <v>514</v>
      </c>
      <c r="I102" s="11" t="s">
        <v>515</v>
      </c>
      <c r="J102" s="19" t="s">
        <v>22</v>
      </c>
      <c r="K102" s="11" t="s">
        <v>516</v>
      </c>
      <c r="L102" s="11"/>
      <c r="M102" s="12" t="s">
        <v>24</v>
      </c>
      <c r="N102" s="12" t="str">
        <f t="shared" si="8"/>
        <v>SI</v>
      </c>
      <c r="O102" s="12" t="str">
        <f t="shared" si="9"/>
        <v>🟢</v>
      </c>
      <c r="P102" s="14" t="s">
        <v>517</v>
      </c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</row>
    <row r="103" spans="1:85" ht="18" customHeight="1" x14ac:dyDescent="0.3">
      <c r="A103" s="15">
        <f t="shared" si="5"/>
        <v>102</v>
      </c>
      <c r="B103" s="15">
        <f t="shared" si="6"/>
        <v>102</v>
      </c>
      <c r="C103" s="16" t="s">
        <v>16</v>
      </c>
      <c r="D103" s="16" t="s">
        <v>66</v>
      </c>
      <c r="E103" s="17" t="str">
        <f t="shared" si="7"/>
        <v/>
      </c>
      <c r="F103" s="16" t="s">
        <v>518</v>
      </c>
      <c r="G103" s="16" t="s">
        <v>519</v>
      </c>
      <c r="H103" s="16" t="s">
        <v>413</v>
      </c>
      <c r="I103" s="16" t="s">
        <v>520</v>
      </c>
      <c r="J103" s="20" t="s">
        <v>71</v>
      </c>
      <c r="K103" s="16" t="s">
        <v>521</v>
      </c>
      <c r="L103" s="16"/>
      <c r="M103" s="17" t="s">
        <v>24</v>
      </c>
      <c r="N103" s="17" t="str">
        <f t="shared" si="8"/>
        <v>NO</v>
      </c>
      <c r="O103" s="17" t="str">
        <f t="shared" si="9"/>
        <v>🔴</v>
      </c>
      <c r="P103" s="18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</row>
    <row r="104" spans="1:85" ht="18" customHeight="1" x14ac:dyDescent="0.3">
      <c r="A104" s="10">
        <f t="shared" si="5"/>
        <v>103</v>
      </c>
      <c r="B104" s="10">
        <f t="shared" si="6"/>
        <v>103</v>
      </c>
      <c r="C104" s="11" t="s">
        <v>16</v>
      </c>
      <c r="D104" s="11" t="s">
        <v>66</v>
      </c>
      <c r="E104" s="12" t="str">
        <f t="shared" si="7"/>
        <v>VIP</v>
      </c>
      <c r="F104" s="11" t="s">
        <v>522</v>
      </c>
      <c r="G104" s="11" t="s">
        <v>523</v>
      </c>
      <c r="H104" s="11" t="s">
        <v>524</v>
      </c>
      <c r="I104" s="11" t="s">
        <v>525</v>
      </c>
      <c r="J104" s="19" t="s">
        <v>57</v>
      </c>
      <c r="K104" s="11" t="s">
        <v>521</v>
      </c>
      <c r="L104" s="11"/>
      <c r="M104" s="12" t="s">
        <v>24</v>
      </c>
      <c r="N104" s="12" t="str">
        <f t="shared" si="8"/>
        <v>NO</v>
      </c>
      <c r="O104" s="12" t="str">
        <f t="shared" si="9"/>
        <v>🟡</v>
      </c>
      <c r="P104" s="14" t="s">
        <v>526</v>
      </c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</row>
    <row r="105" spans="1:85" ht="18" customHeight="1" x14ac:dyDescent="0.3">
      <c r="A105" s="15">
        <f t="shared" si="5"/>
        <v>104</v>
      </c>
      <c r="B105" s="15">
        <f t="shared" si="6"/>
        <v>104</v>
      </c>
      <c r="C105" s="16" t="s">
        <v>16</v>
      </c>
      <c r="D105" s="16" t="s">
        <v>66</v>
      </c>
      <c r="E105" s="17" t="str">
        <f t="shared" si="7"/>
        <v>VIP</v>
      </c>
      <c r="F105" s="16" t="s">
        <v>527</v>
      </c>
      <c r="G105" s="16" t="s">
        <v>528</v>
      </c>
      <c r="H105" s="16" t="s">
        <v>529</v>
      </c>
      <c r="I105" s="16" t="s">
        <v>530</v>
      </c>
      <c r="J105" s="19" t="s">
        <v>57</v>
      </c>
      <c r="K105" s="16" t="s">
        <v>521</v>
      </c>
      <c r="L105" s="16"/>
      <c r="M105" s="17" t="s">
        <v>24</v>
      </c>
      <c r="N105" s="17" t="str">
        <f t="shared" si="8"/>
        <v>NO</v>
      </c>
      <c r="O105" s="17" t="str">
        <f t="shared" si="9"/>
        <v>🟡</v>
      </c>
      <c r="P105" s="18" t="s">
        <v>531</v>
      </c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</row>
    <row r="106" spans="1:85" ht="18" customHeight="1" x14ac:dyDescent="0.3">
      <c r="A106" s="10">
        <f t="shared" si="5"/>
        <v>105</v>
      </c>
      <c r="B106" s="10">
        <f t="shared" si="6"/>
        <v>105</v>
      </c>
      <c r="C106" s="11" t="s">
        <v>16</v>
      </c>
      <c r="D106" s="11" t="s">
        <v>66</v>
      </c>
      <c r="E106" s="12" t="str">
        <f t="shared" si="7"/>
        <v>VIP</v>
      </c>
      <c r="F106" s="11" t="s">
        <v>532</v>
      </c>
      <c r="G106" s="11" t="s">
        <v>533</v>
      </c>
      <c r="H106" s="11" t="s">
        <v>534</v>
      </c>
      <c r="I106" s="11" t="s">
        <v>524</v>
      </c>
      <c r="J106" s="19" t="s">
        <v>57</v>
      </c>
      <c r="K106" s="11" t="s">
        <v>521</v>
      </c>
      <c r="L106" s="11"/>
      <c r="M106" s="12" t="s">
        <v>24</v>
      </c>
      <c r="N106" s="12" t="str">
        <f t="shared" si="8"/>
        <v>NO</v>
      </c>
      <c r="O106" s="12" t="str">
        <f t="shared" si="9"/>
        <v>🟡</v>
      </c>
      <c r="P106" s="14" t="s">
        <v>535</v>
      </c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</row>
    <row r="107" spans="1:85" ht="18" customHeight="1" x14ac:dyDescent="0.3">
      <c r="A107" s="15">
        <f t="shared" si="5"/>
        <v>106</v>
      </c>
      <c r="B107" s="15">
        <f t="shared" si="6"/>
        <v>106</v>
      </c>
      <c r="C107" s="16" t="s">
        <v>16</v>
      </c>
      <c r="D107" s="16" t="s">
        <v>66</v>
      </c>
      <c r="E107" s="17" t="str">
        <f t="shared" si="7"/>
        <v/>
      </c>
      <c r="F107" s="16" t="s">
        <v>536</v>
      </c>
      <c r="G107" s="16" t="s">
        <v>537</v>
      </c>
      <c r="H107" s="16" t="s">
        <v>538</v>
      </c>
      <c r="I107" s="16" t="s">
        <v>539</v>
      </c>
      <c r="J107" s="20" t="s">
        <v>71</v>
      </c>
      <c r="K107" s="16" t="s">
        <v>521</v>
      </c>
      <c r="L107" s="16"/>
      <c r="M107" s="17" t="s">
        <v>24</v>
      </c>
      <c r="N107" s="17" t="str">
        <f t="shared" si="8"/>
        <v>NO</v>
      </c>
      <c r="O107" s="17" t="str">
        <f t="shared" si="9"/>
        <v>🔴</v>
      </c>
      <c r="P107" s="18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</row>
    <row r="108" spans="1:85" ht="18" customHeight="1" x14ac:dyDescent="0.3">
      <c r="A108" s="10">
        <f t="shared" si="5"/>
        <v>107</v>
      </c>
      <c r="B108" s="10">
        <f t="shared" si="6"/>
        <v>107</v>
      </c>
      <c r="C108" s="11" t="s">
        <v>16</v>
      </c>
      <c r="D108" s="11" t="s">
        <v>66</v>
      </c>
      <c r="E108" s="12" t="str">
        <f t="shared" si="7"/>
        <v>VIP</v>
      </c>
      <c r="F108" s="11" t="s">
        <v>540</v>
      </c>
      <c r="G108" s="11" t="s">
        <v>541</v>
      </c>
      <c r="H108" s="11" t="s">
        <v>542</v>
      </c>
      <c r="I108" s="11" t="s">
        <v>543</v>
      </c>
      <c r="J108" s="19" t="s">
        <v>57</v>
      </c>
      <c r="K108" s="11" t="s">
        <v>521</v>
      </c>
      <c r="L108" s="11"/>
      <c r="M108" s="12" t="s">
        <v>24</v>
      </c>
      <c r="N108" s="12" t="str">
        <f t="shared" si="8"/>
        <v>NO</v>
      </c>
      <c r="O108" s="12" t="str">
        <f t="shared" si="9"/>
        <v>🟡</v>
      </c>
      <c r="P108" s="14" t="s">
        <v>544</v>
      </c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</row>
    <row r="109" spans="1:85" ht="18" customHeight="1" x14ac:dyDescent="0.3">
      <c r="A109" s="15">
        <f t="shared" si="5"/>
        <v>108</v>
      </c>
      <c r="B109" s="15">
        <f t="shared" si="6"/>
        <v>108</v>
      </c>
      <c r="C109" s="16" t="s">
        <v>16</v>
      </c>
      <c r="D109" s="16" t="s">
        <v>66</v>
      </c>
      <c r="E109" s="17" t="str">
        <f t="shared" si="7"/>
        <v>VIP</v>
      </c>
      <c r="F109" s="16" t="s">
        <v>545</v>
      </c>
      <c r="G109" s="16" t="s">
        <v>97</v>
      </c>
      <c r="H109" s="16" t="s">
        <v>546</v>
      </c>
      <c r="I109" s="16" t="s">
        <v>43</v>
      </c>
      <c r="J109" s="19" t="s">
        <v>57</v>
      </c>
      <c r="K109" s="16" t="s">
        <v>521</v>
      </c>
      <c r="L109" s="16"/>
      <c r="M109" s="17" t="s">
        <v>24</v>
      </c>
      <c r="N109" s="17" t="str">
        <f t="shared" si="8"/>
        <v>NO</v>
      </c>
      <c r="O109" s="17" t="str">
        <f t="shared" si="9"/>
        <v>🟡</v>
      </c>
      <c r="P109" s="18" t="s">
        <v>547</v>
      </c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</row>
    <row r="110" spans="1:85" ht="18" customHeight="1" x14ac:dyDescent="0.3">
      <c r="A110" s="10">
        <f t="shared" si="5"/>
        <v>109</v>
      </c>
      <c r="B110" s="10">
        <f t="shared" si="6"/>
        <v>109</v>
      </c>
      <c r="C110" s="11" t="s">
        <v>16</v>
      </c>
      <c r="D110" s="11" t="s">
        <v>66</v>
      </c>
      <c r="E110" s="12" t="str">
        <f t="shared" si="7"/>
        <v>VIP</v>
      </c>
      <c r="F110" s="11" t="s">
        <v>548</v>
      </c>
      <c r="G110" s="11" t="s">
        <v>549</v>
      </c>
      <c r="H110" s="11" t="s">
        <v>550</v>
      </c>
      <c r="I110" s="11" t="s">
        <v>551</v>
      </c>
      <c r="J110" s="19" t="s">
        <v>57</v>
      </c>
      <c r="K110" s="11" t="s">
        <v>521</v>
      </c>
      <c r="L110" s="11"/>
      <c r="M110" s="12" t="s">
        <v>24</v>
      </c>
      <c r="N110" s="12" t="str">
        <f t="shared" si="8"/>
        <v>NO</v>
      </c>
      <c r="O110" s="12" t="str">
        <f t="shared" si="9"/>
        <v>🟡</v>
      </c>
      <c r="P110" s="14" t="s">
        <v>552</v>
      </c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</row>
    <row r="111" spans="1:85" ht="18" customHeight="1" x14ac:dyDescent="0.3">
      <c r="A111" s="15">
        <f t="shared" si="5"/>
        <v>110</v>
      </c>
      <c r="B111" s="15">
        <f t="shared" si="6"/>
        <v>110</v>
      </c>
      <c r="C111" s="16" t="s">
        <v>16</v>
      </c>
      <c r="D111" s="16" t="s">
        <v>66</v>
      </c>
      <c r="E111" s="17" t="str">
        <f t="shared" si="7"/>
        <v/>
      </c>
      <c r="F111" s="16" t="s">
        <v>553</v>
      </c>
      <c r="G111" s="16" t="s">
        <v>554</v>
      </c>
      <c r="H111" s="16" t="s">
        <v>555</v>
      </c>
      <c r="I111" s="16" t="s">
        <v>556</v>
      </c>
      <c r="J111" s="19" t="s">
        <v>71</v>
      </c>
      <c r="K111" s="16" t="s">
        <v>521</v>
      </c>
      <c r="L111" s="16"/>
      <c r="M111" s="17" t="s">
        <v>24</v>
      </c>
      <c r="N111" s="17" t="str">
        <f t="shared" si="8"/>
        <v>NO</v>
      </c>
      <c r="O111" s="17" t="str">
        <f t="shared" si="9"/>
        <v>🔴</v>
      </c>
      <c r="P111" s="18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</row>
    <row r="112" spans="1:85" ht="18" customHeight="1" x14ac:dyDescent="0.3">
      <c r="A112" s="10">
        <f t="shared" si="5"/>
        <v>111</v>
      </c>
      <c r="B112" s="10">
        <f t="shared" si="6"/>
        <v>111</v>
      </c>
      <c r="C112" s="11" t="s">
        <v>16</v>
      </c>
      <c r="D112" s="11" t="s">
        <v>66</v>
      </c>
      <c r="E112" s="12" t="str">
        <f t="shared" si="7"/>
        <v>VIP</v>
      </c>
      <c r="F112" s="11" t="s">
        <v>557</v>
      </c>
      <c r="G112" s="11" t="s">
        <v>558</v>
      </c>
      <c r="H112" s="11" t="s">
        <v>559</v>
      </c>
      <c r="I112" s="11" t="s">
        <v>329</v>
      </c>
      <c r="J112" s="19" t="s">
        <v>57</v>
      </c>
      <c r="K112" s="11" t="s">
        <v>521</v>
      </c>
      <c r="L112" s="11"/>
      <c r="M112" s="12" t="s">
        <v>24</v>
      </c>
      <c r="N112" s="12" t="str">
        <f t="shared" si="8"/>
        <v>NO</v>
      </c>
      <c r="O112" s="12" t="str">
        <f t="shared" si="9"/>
        <v>🟡</v>
      </c>
      <c r="P112" s="14" t="s">
        <v>560</v>
      </c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</row>
    <row r="113" spans="1:85" ht="18" customHeight="1" x14ac:dyDescent="0.3">
      <c r="A113" s="15">
        <f t="shared" si="5"/>
        <v>112</v>
      </c>
      <c r="B113" s="15">
        <f t="shared" si="6"/>
        <v>112</v>
      </c>
      <c r="C113" s="16" t="s">
        <v>16</v>
      </c>
      <c r="D113" s="16" t="s">
        <v>66</v>
      </c>
      <c r="E113" s="17" t="str">
        <f t="shared" si="7"/>
        <v>VIP</v>
      </c>
      <c r="F113" s="16" t="s">
        <v>561</v>
      </c>
      <c r="G113" s="16" t="s">
        <v>562</v>
      </c>
      <c r="H113" s="16" t="s">
        <v>563</v>
      </c>
      <c r="I113" s="16" t="s">
        <v>99</v>
      </c>
      <c r="J113" s="13" t="s">
        <v>22</v>
      </c>
      <c r="K113" s="16" t="s">
        <v>516</v>
      </c>
      <c r="L113" s="16"/>
      <c r="M113" s="17" t="s">
        <v>24</v>
      </c>
      <c r="N113" s="17" t="str">
        <f t="shared" si="8"/>
        <v>SI</v>
      </c>
      <c r="O113" s="17" t="str">
        <f t="shared" si="9"/>
        <v>🟢</v>
      </c>
      <c r="P113" s="18" t="s">
        <v>564</v>
      </c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</row>
    <row r="114" spans="1:85" ht="18" customHeight="1" x14ac:dyDescent="0.3">
      <c r="A114" s="10">
        <f t="shared" si="5"/>
        <v>113</v>
      </c>
      <c r="B114" s="10">
        <f t="shared" si="6"/>
        <v>113</v>
      </c>
      <c r="C114" s="11" t="s">
        <v>16</v>
      </c>
      <c r="D114" s="11" t="s">
        <v>66</v>
      </c>
      <c r="E114" s="12" t="str">
        <f t="shared" si="7"/>
        <v>VIP</v>
      </c>
      <c r="F114" s="11" t="s">
        <v>565</v>
      </c>
      <c r="G114" s="11" t="s">
        <v>369</v>
      </c>
      <c r="H114" s="11" t="s">
        <v>566</v>
      </c>
      <c r="I114" s="11" t="s">
        <v>99</v>
      </c>
      <c r="J114" s="13" t="s">
        <v>22</v>
      </c>
      <c r="K114" s="11" t="s">
        <v>516</v>
      </c>
      <c r="L114" s="11"/>
      <c r="M114" s="12" t="s">
        <v>24</v>
      </c>
      <c r="N114" s="12" t="str">
        <f t="shared" si="8"/>
        <v>SI</v>
      </c>
      <c r="O114" s="12" t="str">
        <f t="shared" si="9"/>
        <v>🟢</v>
      </c>
      <c r="P114" s="14" t="s">
        <v>567</v>
      </c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</row>
    <row r="115" spans="1:85" ht="18" customHeight="1" x14ac:dyDescent="0.3">
      <c r="A115" s="15">
        <f t="shared" si="5"/>
        <v>114</v>
      </c>
      <c r="B115" s="15">
        <f t="shared" si="6"/>
        <v>114</v>
      </c>
      <c r="C115" s="16" t="s">
        <v>16</v>
      </c>
      <c r="D115" s="16" t="s">
        <v>66</v>
      </c>
      <c r="E115" s="17" t="str">
        <f t="shared" si="7"/>
        <v>VIP</v>
      </c>
      <c r="F115" s="16" t="s">
        <v>568</v>
      </c>
      <c r="G115" s="16" t="s">
        <v>569</v>
      </c>
      <c r="H115" s="16" t="s">
        <v>570</v>
      </c>
      <c r="I115" s="16" t="s">
        <v>571</v>
      </c>
      <c r="J115" s="19" t="s">
        <v>57</v>
      </c>
      <c r="K115" s="16" t="s">
        <v>516</v>
      </c>
      <c r="L115" s="16"/>
      <c r="M115" s="17" t="s">
        <v>24</v>
      </c>
      <c r="N115" s="17" t="str">
        <f t="shared" si="8"/>
        <v>NO</v>
      </c>
      <c r="O115" s="17" t="str">
        <f t="shared" si="9"/>
        <v>🟡</v>
      </c>
      <c r="P115" s="18" t="s">
        <v>572</v>
      </c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</row>
    <row r="116" spans="1:85" ht="18" customHeight="1" x14ac:dyDescent="0.3">
      <c r="A116" s="10">
        <f t="shared" si="5"/>
        <v>115</v>
      </c>
      <c r="B116" s="10">
        <f t="shared" si="6"/>
        <v>115</v>
      </c>
      <c r="C116" s="11" t="s">
        <v>16</v>
      </c>
      <c r="D116" s="11" t="s">
        <v>66</v>
      </c>
      <c r="E116" s="12" t="str">
        <f t="shared" si="7"/>
        <v>VIP</v>
      </c>
      <c r="F116" s="11" t="s">
        <v>573</v>
      </c>
      <c r="G116" s="11" t="s">
        <v>574</v>
      </c>
      <c r="H116" s="11" t="s">
        <v>99</v>
      </c>
      <c r="I116" s="11" t="s">
        <v>135</v>
      </c>
      <c r="J116" s="13" t="s">
        <v>22</v>
      </c>
      <c r="K116" s="11" t="s">
        <v>516</v>
      </c>
      <c r="L116" s="11"/>
      <c r="M116" s="12" t="s">
        <v>24</v>
      </c>
      <c r="N116" s="12" t="str">
        <f t="shared" si="8"/>
        <v>SI</v>
      </c>
      <c r="O116" s="12" t="str">
        <f t="shared" si="9"/>
        <v>🟢</v>
      </c>
      <c r="P116" s="14" t="s">
        <v>575</v>
      </c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</row>
    <row r="117" spans="1:85" ht="18" customHeight="1" x14ac:dyDescent="0.3">
      <c r="A117" s="15">
        <f t="shared" si="5"/>
        <v>116</v>
      </c>
      <c r="B117" s="15">
        <f t="shared" si="6"/>
        <v>116</v>
      </c>
      <c r="C117" s="16" t="s">
        <v>16</v>
      </c>
      <c r="D117" s="16" t="s">
        <v>66</v>
      </c>
      <c r="E117" s="17" t="str">
        <f t="shared" si="7"/>
        <v>VIP</v>
      </c>
      <c r="F117" s="16" t="s">
        <v>576</v>
      </c>
      <c r="G117" s="16" t="s">
        <v>454</v>
      </c>
      <c r="H117" s="16" t="s">
        <v>577</v>
      </c>
      <c r="I117" s="16" t="s">
        <v>578</v>
      </c>
      <c r="J117" s="19" t="s">
        <v>57</v>
      </c>
      <c r="K117" s="16" t="s">
        <v>516</v>
      </c>
      <c r="L117" s="16"/>
      <c r="M117" s="17" t="s">
        <v>24</v>
      </c>
      <c r="N117" s="17" t="str">
        <f t="shared" si="8"/>
        <v>NO</v>
      </c>
      <c r="O117" s="17" t="str">
        <f t="shared" si="9"/>
        <v>🟡</v>
      </c>
      <c r="P117" s="18" t="s">
        <v>579</v>
      </c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</row>
    <row r="118" spans="1:85" ht="18" customHeight="1" x14ac:dyDescent="0.3">
      <c r="A118" s="10">
        <f t="shared" si="5"/>
        <v>117</v>
      </c>
      <c r="B118" s="10">
        <f t="shared" si="6"/>
        <v>117</v>
      </c>
      <c r="C118" s="11" t="s">
        <v>16</v>
      </c>
      <c r="D118" s="11" t="s">
        <v>66</v>
      </c>
      <c r="E118" s="12" t="str">
        <f t="shared" si="7"/>
        <v>VIP</v>
      </c>
      <c r="F118" s="11" t="s">
        <v>580</v>
      </c>
      <c r="G118" s="11" t="s">
        <v>581</v>
      </c>
      <c r="H118" s="11" t="s">
        <v>104</v>
      </c>
      <c r="I118" s="11" t="s">
        <v>582</v>
      </c>
      <c r="J118" s="13" t="s">
        <v>22</v>
      </c>
      <c r="K118" s="11" t="s">
        <v>516</v>
      </c>
      <c r="L118" s="11"/>
      <c r="M118" s="12" t="s">
        <v>24</v>
      </c>
      <c r="N118" s="12" t="str">
        <f t="shared" si="8"/>
        <v>SI</v>
      </c>
      <c r="O118" s="12" t="str">
        <f t="shared" si="9"/>
        <v>🟢</v>
      </c>
      <c r="P118" s="14" t="s">
        <v>583</v>
      </c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</row>
    <row r="119" spans="1:85" ht="18" customHeight="1" x14ac:dyDescent="0.3">
      <c r="A119" s="15">
        <f t="shared" si="5"/>
        <v>118</v>
      </c>
      <c r="B119" s="15">
        <f t="shared" si="6"/>
        <v>118</v>
      </c>
      <c r="C119" s="16" t="s">
        <v>16</v>
      </c>
      <c r="D119" s="16" t="s">
        <v>66</v>
      </c>
      <c r="E119" s="17" t="str">
        <f t="shared" si="7"/>
        <v>VIP</v>
      </c>
      <c r="F119" s="16" t="s">
        <v>584</v>
      </c>
      <c r="G119" s="16" t="s">
        <v>528</v>
      </c>
      <c r="H119" s="16" t="s">
        <v>585</v>
      </c>
      <c r="I119" s="16" t="s">
        <v>345</v>
      </c>
      <c r="J119" s="13" t="s">
        <v>22</v>
      </c>
      <c r="K119" s="16" t="s">
        <v>516</v>
      </c>
      <c r="L119" s="16"/>
      <c r="M119" s="17" t="s">
        <v>24</v>
      </c>
      <c r="N119" s="17" t="str">
        <f t="shared" si="8"/>
        <v>SI</v>
      </c>
      <c r="O119" s="17" t="str">
        <f t="shared" si="9"/>
        <v>🟢</v>
      </c>
      <c r="P119" s="18" t="s">
        <v>586</v>
      </c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</row>
    <row r="120" spans="1:85" ht="18" customHeight="1" x14ac:dyDescent="0.3">
      <c r="A120" s="10">
        <f t="shared" si="5"/>
        <v>119</v>
      </c>
      <c r="B120" s="10">
        <f t="shared" si="6"/>
        <v>119</v>
      </c>
      <c r="C120" s="11" t="s">
        <v>16</v>
      </c>
      <c r="D120" s="11" t="s">
        <v>66</v>
      </c>
      <c r="E120" s="12" t="str">
        <f t="shared" si="7"/>
        <v>VIP</v>
      </c>
      <c r="F120" s="11" t="s">
        <v>587</v>
      </c>
      <c r="G120" s="11" t="s">
        <v>588</v>
      </c>
      <c r="H120" s="11" t="s">
        <v>589</v>
      </c>
      <c r="I120" s="11" t="s">
        <v>590</v>
      </c>
      <c r="J120" s="19" t="s">
        <v>57</v>
      </c>
      <c r="K120" s="11" t="s">
        <v>591</v>
      </c>
      <c r="L120" s="11"/>
      <c r="M120" s="12" t="s">
        <v>24</v>
      </c>
      <c r="N120" s="12" t="str">
        <f t="shared" si="8"/>
        <v>NO</v>
      </c>
      <c r="O120" s="12" t="str">
        <f t="shared" si="9"/>
        <v>🟡</v>
      </c>
      <c r="P120" s="14" t="s">
        <v>592</v>
      </c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</row>
    <row r="121" spans="1:85" ht="18" customHeight="1" x14ac:dyDescent="0.3">
      <c r="A121" s="15">
        <f t="shared" si="5"/>
        <v>120</v>
      </c>
      <c r="B121" s="15">
        <f t="shared" si="6"/>
        <v>120</v>
      </c>
      <c r="C121" s="16" t="s">
        <v>16</v>
      </c>
      <c r="D121" s="16" t="s">
        <v>66</v>
      </c>
      <c r="E121" s="17" t="str">
        <f t="shared" si="7"/>
        <v>VIP</v>
      </c>
      <c r="F121" s="16" t="s">
        <v>593</v>
      </c>
      <c r="G121" s="16" t="s">
        <v>594</v>
      </c>
      <c r="H121" s="16" t="s">
        <v>104</v>
      </c>
      <c r="I121" s="16" t="s">
        <v>595</v>
      </c>
      <c r="J121" s="19" t="s">
        <v>57</v>
      </c>
      <c r="K121" s="16" t="s">
        <v>591</v>
      </c>
      <c r="L121" s="16"/>
      <c r="M121" s="17" t="s">
        <v>24</v>
      </c>
      <c r="N121" s="17" t="str">
        <f t="shared" si="8"/>
        <v>NO</v>
      </c>
      <c r="O121" s="17" t="str">
        <f t="shared" si="9"/>
        <v>🟡</v>
      </c>
      <c r="P121" s="18" t="s">
        <v>596</v>
      </c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</row>
    <row r="122" spans="1:85" ht="18" customHeight="1" x14ac:dyDescent="0.3">
      <c r="A122" s="10">
        <f t="shared" si="5"/>
        <v>121</v>
      </c>
      <c r="B122" s="10">
        <f t="shared" si="6"/>
        <v>121</v>
      </c>
      <c r="C122" s="11" t="s">
        <v>16</v>
      </c>
      <c r="D122" s="11" t="s">
        <v>66</v>
      </c>
      <c r="E122" s="12" t="str">
        <f t="shared" si="7"/>
        <v>VIP</v>
      </c>
      <c r="F122" s="11" t="s">
        <v>597</v>
      </c>
      <c r="G122" s="11" t="s">
        <v>513</v>
      </c>
      <c r="H122" s="11" t="s">
        <v>598</v>
      </c>
      <c r="I122" s="11" t="s">
        <v>110</v>
      </c>
      <c r="J122" s="20" t="s">
        <v>22</v>
      </c>
      <c r="K122" s="11" t="s">
        <v>591</v>
      </c>
      <c r="L122" s="11"/>
      <c r="M122" s="12" t="s">
        <v>24</v>
      </c>
      <c r="N122" s="12" t="str">
        <f t="shared" si="8"/>
        <v>SI</v>
      </c>
      <c r="O122" s="12" t="str">
        <f t="shared" si="9"/>
        <v>🟢</v>
      </c>
      <c r="P122" s="14" t="s">
        <v>599</v>
      </c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</row>
    <row r="123" spans="1:85" ht="18" customHeight="1" x14ac:dyDescent="0.3">
      <c r="A123" s="15">
        <f t="shared" si="5"/>
        <v>122</v>
      </c>
      <c r="B123" s="15">
        <f t="shared" si="6"/>
        <v>122</v>
      </c>
      <c r="C123" s="16" t="s">
        <v>16</v>
      </c>
      <c r="D123" s="16" t="s">
        <v>66</v>
      </c>
      <c r="E123" s="17" t="str">
        <f t="shared" si="7"/>
        <v>VIP</v>
      </c>
      <c r="F123" s="16" t="s">
        <v>600</v>
      </c>
      <c r="G123" s="16" t="s">
        <v>523</v>
      </c>
      <c r="H123" s="16" t="s">
        <v>601</v>
      </c>
      <c r="I123" s="16" t="s">
        <v>602</v>
      </c>
      <c r="J123" s="19" t="s">
        <v>57</v>
      </c>
      <c r="K123" s="16" t="s">
        <v>591</v>
      </c>
      <c r="L123" s="16"/>
      <c r="M123" s="17" t="s">
        <v>24</v>
      </c>
      <c r="N123" s="17" t="str">
        <f t="shared" si="8"/>
        <v>NO</v>
      </c>
      <c r="O123" s="17" t="str">
        <f t="shared" si="9"/>
        <v>🟡</v>
      </c>
      <c r="P123" s="18" t="s">
        <v>603</v>
      </c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</row>
    <row r="124" spans="1:85" ht="18" customHeight="1" x14ac:dyDescent="0.3">
      <c r="A124" s="10">
        <f t="shared" si="5"/>
        <v>123</v>
      </c>
      <c r="B124" s="10">
        <f t="shared" si="6"/>
        <v>123</v>
      </c>
      <c r="C124" s="11" t="s">
        <v>16</v>
      </c>
      <c r="D124" s="11" t="s">
        <v>66</v>
      </c>
      <c r="E124" s="12" t="str">
        <f t="shared" si="7"/>
        <v>VIP</v>
      </c>
      <c r="F124" s="11" t="s">
        <v>604</v>
      </c>
      <c r="G124" s="11" t="s">
        <v>605</v>
      </c>
      <c r="H124" s="11" t="s">
        <v>606</v>
      </c>
      <c r="I124" s="11" t="s">
        <v>607</v>
      </c>
      <c r="J124" s="19" t="s">
        <v>57</v>
      </c>
      <c r="K124" s="11" t="s">
        <v>591</v>
      </c>
      <c r="L124" s="11"/>
      <c r="M124" s="12" t="s">
        <v>24</v>
      </c>
      <c r="N124" s="12" t="str">
        <f t="shared" si="8"/>
        <v>NO</v>
      </c>
      <c r="O124" s="12" t="str">
        <f t="shared" si="9"/>
        <v>🟡</v>
      </c>
      <c r="P124" s="14" t="s">
        <v>608</v>
      </c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</row>
    <row r="125" spans="1:85" ht="18" customHeight="1" x14ac:dyDescent="0.3">
      <c r="A125" s="15">
        <f t="shared" si="5"/>
        <v>124</v>
      </c>
      <c r="B125" s="15">
        <f t="shared" si="6"/>
        <v>124</v>
      </c>
      <c r="C125" s="16" t="s">
        <v>16</v>
      </c>
      <c r="D125" s="16" t="s">
        <v>609</v>
      </c>
      <c r="E125" s="17" t="str">
        <f t="shared" si="7"/>
        <v/>
      </c>
      <c r="F125" s="16" t="s">
        <v>610</v>
      </c>
      <c r="G125" s="16" t="s">
        <v>513</v>
      </c>
      <c r="H125" s="16" t="s">
        <v>611</v>
      </c>
      <c r="I125" s="16" t="s">
        <v>612</v>
      </c>
      <c r="J125" s="20" t="s">
        <v>71</v>
      </c>
      <c r="K125" s="16" t="s">
        <v>613</v>
      </c>
      <c r="L125" s="16"/>
      <c r="M125" s="17" t="s">
        <v>24</v>
      </c>
      <c r="N125" s="17" t="str">
        <f t="shared" si="8"/>
        <v>NO</v>
      </c>
      <c r="O125" s="17" t="str">
        <f t="shared" si="9"/>
        <v>🔴</v>
      </c>
      <c r="P125" s="18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</row>
    <row r="126" spans="1:85" ht="18" customHeight="1" x14ac:dyDescent="0.3">
      <c r="A126" s="10">
        <f t="shared" si="5"/>
        <v>125</v>
      </c>
      <c r="B126" s="10">
        <f t="shared" si="6"/>
        <v>125</v>
      </c>
      <c r="C126" s="11" t="s">
        <v>16</v>
      </c>
      <c r="D126" s="11" t="s">
        <v>609</v>
      </c>
      <c r="E126" s="12" t="str">
        <f t="shared" si="7"/>
        <v>VIP</v>
      </c>
      <c r="F126" s="11" t="s">
        <v>614</v>
      </c>
      <c r="G126" s="11" t="s">
        <v>615</v>
      </c>
      <c r="H126" s="11" t="s">
        <v>616</v>
      </c>
      <c r="I126" s="11" t="s">
        <v>617</v>
      </c>
      <c r="J126" s="13" t="s">
        <v>22</v>
      </c>
      <c r="K126" s="11" t="s">
        <v>618</v>
      </c>
      <c r="L126" s="11"/>
      <c r="M126" s="12" t="s">
        <v>24</v>
      </c>
      <c r="N126" s="12" t="str">
        <f t="shared" si="8"/>
        <v>SI</v>
      </c>
      <c r="O126" s="12" t="str">
        <f t="shared" si="9"/>
        <v>🟢</v>
      </c>
      <c r="P126" s="14" t="s">
        <v>619</v>
      </c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</row>
    <row r="127" spans="1:85" ht="18" customHeight="1" x14ac:dyDescent="0.3">
      <c r="A127" s="15">
        <f t="shared" si="5"/>
        <v>126</v>
      </c>
      <c r="B127" s="15">
        <f t="shared" si="6"/>
        <v>126</v>
      </c>
      <c r="C127" s="16" t="s">
        <v>16</v>
      </c>
      <c r="D127" s="16" t="s">
        <v>609</v>
      </c>
      <c r="E127" s="17" t="str">
        <f t="shared" si="7"/>
        <v>VIP</v>
      </c>
      <c r="F127" s="16" t="s">
        <v>620</v>
      </c>
      <c r="G127" s="16" t="s">
        <v>621</v>
      </c>
      <c r="H127" s="16" t="s">
        <v>622</v>
      </c>
      <c r="I127" s="16" t="s">
        <v>623</v>
      </c>
      <c r="J127" s="13" t="s">
        <v>22</v>
      </c>
      <c r="K127" s="16" t="s">
        <v>624</v>
      </c>
      <c r="L127" s="16"/>
      <c r="M127" s="17" t="s">
        <v>24</v>
      </c>
      <c r="N127" s="17" t="str">
        <f t="shared" si="8"/>
        <v>SI</v>
      </c>
      <c r="O127" s="17" t="str">
        <f t="shared" si="9"/>
        <v>🟢</v>
      </c>
      <c r="P127" s="18" t="s">
        <v>625</v>
      </c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</row>
    <row r="128" spans="1:85" ht="18" customHeight="1" x14ac:dyDescent="0.3">
      <c r="A128" s="10">
        <f t="shared" si="5"/>
        <v>127</v>
      </c>
      <c r="B128" s="10">
        <f t="shared" si="6"/>
        <v>127</v>
      </c>
      <c r="C128" s="11" t="s">
        <v>16</v>
      </c>
      <c r="D128" s="11" t="s">
        <v>609</v>
      </c>
      <c r="E128" s="12" t="str">
        <f t="shared" si="7"/>
        <v/>
      </c>
      <c r="F128" s="11" t="s">
        <v>626</v>
      </c>
      <c r="G128" s="11" t="s">
        <v>627</v>
      </c>
      <c r="H128" s="11" t="s">
        <v>261</v>
      </c>
      <c r="I128" s="11" t="s">
        <v>628</v>
      </c>
      <c r="J128" s="20" t="s">
        <v>71</v>
      </c>
      <c r="K128" s="11" t="s">
        <v>629</v>
      </c>
      <c r="L128" s="11"/>
      <c r="M128" s="12" t="s">
        <v>24</v>
      </c>
      <c r="N128" s="12" t="str">
        <f t="shared" si="8"/>
        <v>NO</v>
      </c>
      <c r="O128" s="12" t="str">
        <f t="shared" si="9"/>
        <v>🔴</v>
      </c>
      <c r="P128" s="14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</row>
    <row r="129" spans="1:85" ht="18" customHeight="1" x14ac:dyDescent="0.3">
      <c r="A129" s="15">
        <f t="shared" si="5"/>
        <v>128</v>
      </c>
      <c r="B129" s="15">
        <f t="shared" si="6"/>
        <v>128</v>
      </c>
      <c r="C129" s="16" t="s">
        <v>16</v>
      </c>
      <c r="D129" s="16" t="s">
        <v>609</v>
      </c>
      <c r="E129" s="17" t="str">
        <f t="shared" si="7"/>
        <v/>
      </c>
      <c r="F129" s="16" t="s">
        <v>630</v>
      </c>
      <c r="G129" s="16" t="s">
        <v>631</v>
      </c>
      <c r="H129" s="16" t="s">
        <v>632</v>
      </c>
      <c r="I129" s="16" t="s">
        <v>633</v>
      </c>
      <c r="J129" s="20" t="s">
        <v>71</v>
      </c>
      <c r="K129" s="16" t="s">
        <v>634</v>
      </c>
      <c r="L129" s="16"/>
      <c r="M129" s="17" t="s">
        <v>24</v>
      </c>
      <c r="N129" s="17" t="str">
        <f t="shared" si="8"/>
        <v>NO</v>
      </c>
      <c r="O129" s="17" t="str">
        <f t="shared" si="9"/>
        <v>🔴</v>
      </c>
      <c r="P129" s="18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</row>
    <row r="130" spans="1:85" ht="18" customHeight="1" x14ac:dyDescent="0.3">
      <c r="A130" s="10">
        <f t="shared" ref="A130:A193" si="10">IF(COUNTA(C130:K130)=0,"",ROW()-1)</f>
        <v>129</v>
      </c>
      <c r="B130" s="10">
        <f t="shared" ref="B130:B193" si="11">IF($F130&lt;&gt;"",$A130,"")</f>
        <v>129</v>
      </c>
      <c r="C130" s="11" t="s">
        <v>16</v>
      </c>
      <c r="D130" s="11" t="s">
        <v>609</v>
      </c>
      <c r="E130" s="12" t="str">
        <f t="shared" ref="E130:E193" si="12">IF(UPPER($J130)="NO","",$M130)</f>
        <v/>
      </c>
      <c r="F130" s="11" t="s">
        <v>635</v>
      </c>
      <c r="G130" s="11" t="s">
        <v>636</v>
      </c>
      <c r="H130" s="11" t="s">
        <v>637</v>
      </c>
      <c r="I130" s="11" t="s">
        <v>410</v>
      </c>
      <c r="J130" s="20" t="s">
        <v>71</v>
      </c>
      <c r="K130" s="11" t="s">
        <v>638</v>
      </c>
      <c r="L130" s="11"/>
      <c r="M130" s="12" t="s">
        <v>24</v>
      </c>
      <c r="N130" s="12" t="str">
        <f t="shared" ref="N130:N193" si="13">IF(AND(UPPER($M130)="VIP",UPPER($J130)="SI",$F130&lt;&gt;""),"SI","NO")</f>
        <v>NO</v>
      </c>
      <c r="O130" s="12" t="str">
        <f t="shared" ref="O130:O193" si="14">IF(UPPER($J130)="SI","🟢",IF(UPPER($J130)="NO","🔴","🟡"))</f>
        <v>🔴</v>
      </c>
      <c r="P130" s="14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</row>
    <row r="131" spans="1:85" ht="18" customHeight="1" x14ac:dyDescent="0.3">
      <c r="A131" s="15">
        <f t="shared" si="10"/>
        <v>130</v>
      </c>
      <c r="B131" s="15">
        <f t="shared" si="11"/>
        <v>130</v>
      </c>
      <c r="C131" s="16" t="s">
        <v>16</v>
      </c>
      <c r="D131" s="16" t="s">
        <v>609</v>
      </c>
      <c r="E131" s="17" t="str">
        <f t="shared" si="12"/>
        <v>VIP</v>
      </c>
      <c r="F131" s="16" t="s">
        <v>639</v>
      </c>
      <c r="G131" s="16" t="s">
        <v>640</v>
      </c>
      <c r="H131" s="16" t="s">
        <v>641</v>
      </c>
      <c r="I131" s="16" t="s">
        <v>642</v>
      </c>
      <c r="J131" s="13" t="s">
        <v>22</v>
      </c>
      <c r="K131" s="16" t="s">
        <v>643</v>
      </c>
      <c r="L131" s="16"/>
      <c r="M131" s="17" t="s">
        <v>24</v>
      </c>
      <c r="N131" s="17" t="str">
        <f t="shared" si="13"/>
        <v>SI</v>
      </c>
      <c r="O131" s="17" t="str">
        <f t="shared" si="14"/>
        <v>🟢</v>
      </c>
      <c r="P131" s="18" t="s">
        <v>644</v>
      </c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</row>
    <row r="132" spans="1:85" ht="18" customHeight="1" x14ac:dyDescent="0.3">
      <c r="A132" s="10">
        <f t="shared" si="10"/>
        <v>131</v>
      </c>
      <c r="B132" s="10">
        <f t="shared" si="11"/>
        <v>131</v>
      </c>
      <c r="C132" s="11" t="s">
        <v>16</v>
      </c>
      <c r="D132" s="11" t="s">
        <v>645</v>
      </c>
      <c r="E132" s="12" t="str">
        <f t="shared" si="12"/>
        <v>VIP</v>
      </c>
      <c r="F132" s="11" t="s">
        <v>646</v>
      </c>
      <c r="G132" s="11" t="s">
        <v>311</v>
      </c>
      <c r="H132" s="11" t="s">
        <v>647</v>
      </c>
      <c r="I132" s="11" t="s">
        <v>648</v>
      </c>
      <c r="J132" s="13" t="s">
        <v>22</v>
      </c>
      <c r="K132" s="11" t="s">
        <v>649</v>
      </c>
      <c r="L132" s="11"/>
      <c r="M132" s="12" t="s">
        <v>24</v>
      </c>
      <c r="N132" s="12" t="str">
        <f t="shared" si="13"/>
        <v>SI</v>
      </c>
      <c r="O132" s="12" t="str">
        <f t="shared" si="14"/>
        <v>🟢</v>
      </c>
      <c r="P132" s="14" t="s">
        <v>650</v>
      </c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</row>
    <row r="133" spans="1:85" ht="18" customHeight="1" x14ac:dyDescent="0.3">
      <c r="A133" s="15">
        <f t="shared" si="10"/>
        <v>132</v>
      </c>
      <c r="B133" s="15">
        <f t="shared" si="11"/>
        <v>132</v>
      </c>
      <c r="C133" s="16" t="s">
        <v>16</v>
      </c>
      <c r="D133" s="16" t="s">
        <v>609</v>
      </c>
      <c r="E133" s="17" t="str">
        <f t="shared" si="12"/>
        <v/>
      </c>
      <c r="F133" s="16" t="s">
        <v>651</v>
      </c>
      <c r="G133" s="16" t="s">
        <v>404</v>
      </c>
      <c r="H133" s="16" t="s">
        <v>360</v>
      </c>
      <c r="I133" s="16" t="s">
        <v>652</v>
      </c>
      <c r="J133" s="20" t="s">
        <v>71</v>
      </c>
      <c r="K133" s="16" t="s">
        <v>653</v>
      </c>
      <c r="L133" s="16"/>
      <c r="M133" s="17" t="s">
        <v>24</v>
      </c>
      <c r="N133" s="17" t="str">
        <f t="shared" si="13"/>
        <v>NO</v>
      </c>
      <c r="O133" s="17" t="str">
        <f t="shared" si="14"/>
        <v>🔴</v>
      </c>
      <c r="P133" s="18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</row>
    <row r="134" spans="1:85" ht="18" customHeight="1" x14ac:dyDescent="0.3">
      <c r="A134" s="10">
        <f t="shared" si="10"/>
        <v>133</v>
      </c>
      <c r="B134" s="10">
        <f t="shared" si="11"/>
        <v>133</v>
      </c>
      <c r="C134" s="11" t="s">
        <v>16</v>
      </c>
      <c r="D134" s="11" t="s">
        <v>645</v>
      </c>
      <c r="E134" s="12" t="str">
        <f t="shared" si="12"/>
        <v>LATERAL VIP</v>
      </c>
      <c r="F134" s="11" t="s">
        <v>654</v>
      </c>
      <c r="G134" s="11" t="s">
        <v>655</v>
      </c>
      <c r="H134" s="11" t="s">
        <v>656</v>
      </c>
      <c r="I134" s="11" t="s">
        <v>657</v>
      </c>
      <c r="J134" s="13" t="s">
        <v>22</v>
      </c>
      <c r="K134" s="11" t="s">
        <v>658</v>
      </c>
      <c r="L134" s="11"/>
      <c r="M134" s="12" t="s">
        <v>659</v>
      </c>
      <c r="N134" s="12" t="str">
        <f t="shared" si="13"/>
        <v>NO</v>
      </c>
      <c r="O134" s="12" t="str">
        <f t="shared" si="14"/>
        <v>🟢</v>
      </c>
      <c r="P134" s="14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</row>
    <row r="135" spans="1:85" s="2" customFormat="1" ht="18" customHeight="1" x14ac:dyDescent="0.3">
      <c r="A135" s="15">
        <f t="shared" si="10"/>
        <v>134</v>
      </c>
      <c r="B135" s="15">
        <f t="shared" si="11"/>
        <v>134</v>
      </c>
      <c r="C135" s="16" t="s">
        <v>16</v>
      </c>
      <c r="D135" s="16"/>
      <c r="E135" s="17" t="str">
        <f t="shared" si="12"/>
        <v>VIP</v>
      </c>
      <c r="F135" s="16" t="s">
        <v>660</v>
      </c>
      <c r="G135" s="16" t="s">
        <v>143</v>
      </c>
      <c r="H135" s="16" t="s">
        <v>661</v>
      </c>
      <c r="I135" s="16" t="s">
        <v>662</v>
      </c>
      <c r="J135" s="19" t="s">
        <v>57</v>
      </c>
      <c r="K135" s="16" t="s">
        <v>663</v>
      </c>
      <c r="L135" s="16"/>
      <c r="M135" s="17" t="s">
        <v>24</v>
      </c>
      <c r="N135" s="17" t="str">
        <f t="shared" si="13"/>
        <v>NO</v>
      </c>
      <c r="O135" s="17" t="str">
        <f t="shared" si="14"/>
        <v>🟡</v>
      </c>
      <c r="P135" s="18" t="s">
        <v>664</v>
      </c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</row>
    <row r="136" spans="1:85" ht="18" customHeight="1" x14ac:dyDescent="0.3">
      <c r="A136" s="10">
        <f t="shared" si="10"/>
        <v>135</v>
      </c>
      <c r="B136" s="10">
        <f t="shared" si="11"/>
        <v>135</v>
      </c>
      <c r="C136" s="11" t="s">
        <v>16</v>
      </c>
      <c r="D136" s="11" t="s">
        <v>95</v>
      </c>
      <c r="E136" s="12" t="str">
        <f t="shared" si="12"/>
        <v>VIP</v>
      </c>
      <c r="F136" s="11" t="s">
        <v>665</v>
      </c>
      <c r="G136" s="11" t="s">
        <v>666</v>
      </c>
      <c r="H136" s="11" t="s">
        <v>667</v>
      </c>
      <c r="I136" s="11" t="s">
        <v>125</v>
      </c>
      <c r="J136" s="13" t="s">
        <v>22</v>
      </c>
      <c r="K136" s="11" t="s">
        <v>668</v>
      </c>
      <c r="L136" s="11"/>
      <c r="M136" s="12" t="s">
        <v>24</v>
      </c>
      <c r="N136" s="12" t="str">
        <f t="shared" si="13"/>
        <v>SI</v>
      </c>
      <c r="O136" s="12" t="str">
        <f t="shared" si="14"/>
        <v>🟢</v>
      </c>
      <c r="P136" s="14" t="s">
        <v>669</v>
      </c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</row>
    <row r="137" spans="1:85" ht="18" customHeight="1" x14ac:dyDescent="0.3">
      <c r="A137" s="15">
        <f t="shared" si="10"/>
        <v>136</v>
      </c>
      <c r="B137" s="15">
        <f t="shared" si="11"/>
        <v>136</v>
      </c>
      <c r="C137" s="16" t="s">
        <v>16</v>
      </c>
      <c r="D137" s="16" t="s">
        <v>670</v>
      </c>
      <c r="E137" s="17" t="str">
        <f t="shared" si="12"/>
        <v>VIP</v>
      </c>
      <c r="F137" s="16" t="s">
        <v>671</v>
      </c>
      <c r="G137" s="16" t="s">
        <v>672</v>
      </c>
      <c r="H137" s="16" t="s">
        <v>330</v>
      </c>
      <c r="I137" s="16" t="s">
        <v>135</v>
      </c>
      <c r="J137" s="13" t="s">
        <v>22</v>
      </c>
      <c r="K137" s="16" t="s">
        <v>673</v>
      </c>
      <c r="L137" s="16"/>
      <c r="M137" s="17" t="s">
        <v>24</v>
      </c>
      <c r="N137" s="17" t="str">
        <f t="shared" si="13"/>
        <v>SI</v>
      </c>
      <c r="O137" s="17" t="str">
        <f t="shared" si="14"/>
        <v>🟢</v>
      </c>
      <c r="P137" s="18" t="s">
        <v>674</v>
      </c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</row>
    <row r="138" spans="1:85" ht="18" customHeight="1" x14ac:dyDescent="0.3">
      <c r="A138" s="10">
        <f t="shared" si="10"/>
        <v>137</v>
      </c>
      <c r="B138" s="10">
        <f t="shared" si="11"/>
        <v>137</v>
      </c>
      <c r="C138" s="11" t="s">
        <v>16</v>
      </c>
      <c r="D138" s="11"/>
      <c r="E138" s="12" t="str">
        <f t="shared" si="12"/>
        <v>VIP</v>
      </c>
      <c r="F138" s="11" t="s">
        <v>675</v>
      </c>
      <c r="G138" s="11" t="s">
        <v>676</v>
      </c>
      <c r="H138" s="11" t="s">
        <v>677</v>
      </c>
      <c r="I138" s="11" t="s">
        <v>678</v>
      </c>
      <c r="J138" s="13" t="s">
        <v>22</v>
      </c>
      <c r="K138" s="11" t="s">
        <v>679</v>
      </c>
      <c r="L138" s="11"/>
      <c r="M138" s="12" t="s">
        <v>24</v>
      </c>
      <c r="N138" s="12" t="str">
        <f t="shared" si="13"/>
        <v>SI</v>
      </c>
      <c r="O138" s="12" t="str">
        <f t="shared" si="14"/>
        <v>🟢</v>
      </c>
      <c r="P138" s="14" t="s">
        <v>680</v>
      </c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</row>
    <row r="139" spans="1:85" ht="18" customHeight="1" x14ac:dyDescent="0.3">
      <c r="A139" s="15">
        <f t="shared" si="10"/>
        <v>138</v>
      </c>
      <c r="B139" s="15">
        <f t="shared" si="11"/>
        <v>138</v>
      </c>
      <c r="C139" s="16" t="s">
        <v>16</v>
      </c>
      <c r="D139" s="16"/>
      <c r="E139" s="17" t="str">
        <f t="shared" si="12"/>
        <v/>
      </c>
      <c r="F139" s="16" t="s">
        <v>681</v>
      </c>
      <c r="G139" s="16" t="s">
        <v>682</v>
      </c>
      <c r="H139" s="16" t="s">
        <v>683</v>
      </c>
      <c r="I139" s="16"/>
      <c r="J139" s="20" t="s">
        <v>71</v>
      </c>
      <c r="K139" s="16" t="s">
        <v>684</v>
      </c>
      <c r="L139" s="16"/>
      <c r="M139" s="17" t="s">
        <v>24</v>
      </c>
      <c r="N139" s="17" t="str">
        <f t="shared" si="13"/>
        <v>NO</v>
      </c>
      <c r="O139" s="17" t="str">
        <f t="shared" si="14"/>
        <v>🔴</v>
      </c>
      <c r="P139" s="18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</row>
    <row r="140" spans="1:85" ht="18" customHeight="1" x14ac:dyDescent="0.3">
      <c r="A140" s="10">
        <f t="shared" si="10"/>
        <v>139</v>
      </c>
      <c r="B140" s="10">
        <f t="shared" si="11"/>
        <v>139</v>
      </c>
      <c r="C140" s="11" t="s">
        <v>16</v>
      </c>
      <c r="D140" s="11"/>
      <c r="E140" s="12" t="str">
        <f t="shared" si="12"/>
        <v/>
      </c>
      <c r="F140" s="11" t="s">
        <v>685</v>
      </c>
      <c r="G140" s="11" t="s">
        <v>513</v>
      </c>
      <c r="H140" s="11" t="s">
        <v>686</v>
      </c>
      <c r="I140" s="11" t="s">
        <v>687</v>
      </c>
      <c r="J140" s="20" t="s">
        <v>71</v>
      </c>
      <c r="K140" s="11" t="s">
        <v>688</v>
      </c>
      <c r="L140" s="11"/>
      <c r="M140" s="12" t="s">
        <v>24</v>
      </c>
      <c r="N140" s="12" t="str">
        <f t="shared" si="13"/>
        <v>NO</v>
      </c>
      <c r="O140" s="12" t="str">
        <f t="shared" si="14"/>
        <v>🔴</v>
      </c>
      <c r="P140" s="14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</row>
    <row r="141" spans="1:85" ht="18" customHeight="1" x14ac:dyDescent="0.3">
      <c r="A141" s="15">
        <f t="shared" si="10"/>
        <v>140</v>
      </c>
      <c r="B141" s="15">
        <f t="shared" si="11"/>
        <v>140</v>
      </c>
      <c r="C141" s="16" t="s">
        <v>16</v>
      </c>
      <c r="D141" s="16"/>
      <c r="E141" s="17" t="str">
        <f t="shared" si="12"/>
        <v>VIP</v>
      </c>
      <c r="F141" s="16" t="s">
        <v>689</v>
      </c>
      <c r="G141" s="16" t="s">
        <v>690</v>
      </c>
      <c r="H141" s="16" t="s">
        <v>691</v>
      </c>
      <c r="I141" s="16"/>
      <c r="J141" s="19" t="s">
        <v>57</v>
      </c>
      <c r="K141" s="16" t="s">
        <v>692</v>
      </c>
      <c r="L141" s="16"/>
      <c r="M141" s="17" t="s">
        <v>24</v>
      </c>
      <c r="N141" s="17" t="str">
        <f t="shared" si="13"/>
        <v>NO</v>
      </c>
      <c r="O141" s="17" t="str">
        <f t="shared" si="14"/>
        <v>🟡</v>
      </c>
      <c r="P141" s="18" t="s">
        <v>693</v>
      </c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</row>
    <row r="142" spans="1:85" ht="18" customHeight="1" x14ac:dyDescent="0.3">
      <c r="A142" s="10">
        <f t="shared" si="10"/>
        <v>141</v>
      </c>
      <c r="B142" s="10">
        <f t="shared" si="11"/>
        <v>141</v>
      </c>
      <c r="C142" s="11" t="s">
        <v>16</v>
      </c>
      <c r="D142" s="11"/>
      <c r="E142" s="12" t="str">
        <f t="shared" si="12"/>
        <v>VIP</v>
      </c>
      <c r="F142" s="11" t="s">
        <v>694</v>
      </c>
      <c r="G142" s="11" t="s">
        <v>35</v>
      </c>
      <c r="H142" s="11" t="s">
        <v>695</v>
      </c>
      <c r="I142" s="11"/>
      <c r="J142" s="19" t="s">
        <v>57</v>
      </c>
      <c r="K142" s="11" t="s">
        <v>696</v>
      </c>
      <c r="L142" s="11"/>
      <c r="M142" s="12" t="s">
        <v>24</v>
      </c>
      <c r="N142" s="12" t="str">
        <f t="shared" si="13"/>
        <v>NO</v>
      </c>
      <c r="O142" s="12" t="str">
        <f t="shared" si="14"/>
        <v>🟡</v>
      </c>
      <c r="P142" s="14" t="s">
        <v>697</v>
      </c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</row>
    <row r="143" spans="1:85" ht="18" customHeight="1" x14ac:dyDescent="0.3">
      <c r="A143" s="15">
        <f t="shared" si="10"/>
        <v>142</v>
      </c>
      <c r="B143" s="15">
        <f t="shared" si="11"/>
        <v>142</v>
      </c>
      <c r="C143" s="16" t="s">
        <v>16</v>
      </c>
      <c r="D143" s="16" t="s">
        <v>95</v>
      </c>
      <c r="E143" s="17" t="str">
        <f t="shared" si="12"/>
        <v/>
      </c>
      <c r="F143" s="16" t="s">
        <v>698</v>
      </c>
      <c r="G143" s="16" t="s">
        <v>699</v>
      </c>
      <c r="H143" s="16" t="s">
        <v>700</v>
      </c>
      <c r="I143" s="16" t="s">
        <v>701</v>
      </c>
      <c r="J143" s="20" t="s">
        <v>71</v>
      </c>
      <c r="K143" s="16" t="s">
        <v>702</v>
      </c>
      <c r="L143" s="16"/>
      <c r="M143" s="17" t="s">
        <v>24</v>
      </c>
      <c r="N143" s="17" t="str">
        <f t="shared" si="13"/>
        <v>NO</v>
      </c>
      <c r="O143" s="17" t="str">
        <f t="shared" si="14"/>
        <v>🔴</v>
      </c>
      <c r="P143" s="18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</row>
    <row r="144" spans="1:85" ht="18" customHeight="1" x14ac:dyDescent="0.3">
      <c r="A144" s="10">
        <f t="shared" si="10"/>
        <v>143</v>
      </c>
      <c r="B144" s="10">
        <f t="shared" si="11"/>
        <v>143</v>
      </c>
      <c r="C144" s="11" t="s">
        <v>16</v>
      </c>
      <c r="D144" s="11"/>
      <c r="E144" s="12" t="str">
        <f t="shared" si="12"/>
        <v/>
      </c>
      <c r="F144" s="11" t="s">
        <v>703</v>
      </c>
      <c r="G144" s="11" t="s">
        <v>704</v>
      </c>
      <c r="H144" s="11" t="s">
        <v>172</v>
      </c>
      <c r="I144" s="11" t="s">
        <v>705</v>
      </c>
      <c r="J144" s="20" t="s">
        <v>71</v>
      </c>
      <c r="K144" s="11" t="s">
        <v>706</v>
      </c>
      <c r="L144" s="11"/>
      <c r="M144" s="12" t="s">
        <v>24</v>
      </c>
      <c r="N144" s="12" t="str">
        <f t="shared" si="13"/>
        <v>NO</v>
      </c>
      <c r="O144" s="12" t="str">
        <f t="shared" si="14"/>
        <v>🔴</v>
      </c>
      <c r="P144" s="14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</row>
    <row r="145" spans="1:85" ht="18" customHeight="1" x14ac:dyDescent="0.3">
      <c r="A145" s="15">
        <f t="shared" si="10"/>
        <v>144</v>
      </c>
      <c r="B145" s="15">
        <f t="shared" si="11"/>
        <v>144</v>
      </c>
      <c r="C145" s="16" t="s">
        <v>16</v>
      </c>
      <c r="D145" s="16" t="s">
        <v>670</v>
      </c>
      <c r="E145" s="17" t="str">
        <f t="shared" si="12"/>
        <v/>
      </c>
      <c r="F145" s="16" t="s">
        <v>707</v>
      </c>
      <c r="G145" s="16" t="s">
        <v>473</v>
      </c>
      <c r="H145" s="16" t="s">
        <v>708</v>
      </c>
      <c r="I145" s="16" t="s">
        <v>709</v>
      </c>
      <c r="J145" s="20" t="s">
        <v>71</v>
      </c>
      <c r="K145" s="16" t="s">
        <v>710</v>
      </c>
      <c r="L145" s="16"/>
      <c r="M145" s="17" t="s">
        <v>24</v>
      </c>
      <c r="N145" s="17" t="str">
        <f t="shared" si="13"/>
        <v>NO</v>
      </c>
      <c r="O145" s="17" t="str">
        <f t="shared" si="14"/>
        <v>🔴</v>
      </c>
      <c r="P145" s="18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</row>
    <row r="146" spans="1:85" ht="18" customHeight="1" x14ac:dyDescent="0.3">
      <c r="A146" s="10">
        <f t="shared" si="10"/>
        <v>145</v>
      </c>
      <c r="B146" s="10">
        <f t="shared" si="11"/>
        <v>145</v>
      </c>
      <c r="C146" s="11" t="s">
        <v>16</v>
      </c>
      <c r="D146" s="11"/>
      <c r="E146" s="12" t="str">
        <f t="shared" si="12"/>
        <v>VIP</v>
      </c>
      <c r="F146" s="11" t="s">
        <v>711</v>
      </c>
      <c r="G146" s="11" t="s">
        <v>712</v>
      </c>
      <c r="H146" s="11" t="s">
        <v>461</v>
      </c>
      <c r="I146" s="11"/>
      <c r="J146" s="19" t="s">
        <v>57</v>
      </c>
      <c r="K146" s="11" t="s">
        <v>713</v>
      </c>
      <c r="L146" s="11"/>
      <c r="M146" s="12" t="s">
        <v>24</v>
      </c>
      <c r="N146" s="12" t="str">
        <f t="shared" si="13"/>
        <v>NO</v>
      </c>
      <c r="O146" s="12" t="str">
        <f t="shared" si="14"/>
        <v>🟡</v>
      </c>
      <c r="P146" s="14" t="s">
        <v>714</v>
      </c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</row>
    <row r="147" spans="1:85" ht="18" customHeight="1" x14ac:dyDescent="0.3">
      <c r="A147" s="15">
        <f t="shared" si="10"/>
        <v>146</v>
      </c>
      <c r="B147" s="15">
        <f t="shared" si="11"/>
        <v>146</v>
      </c>
      <c r="C147" s="16" t="s">
        <v>16</v>
      </c>
      <c r="D147" s="16" t="s">
        <v>670</v>
      </c>
      <c r="E147" s="17" t="str">
        <f t="shared" si="12"/>
        <v/>
      </c>
      <c r="F147" s="16" t="s">
        <v>715</v>
      </c>
      <c r="G147" s="16" t="s">
        <v>666</v>
      </c>
      <c r="H147" s="16" t="s">
        <v>716</v>
      </c>
      <c r="I147" s="16" t="s">
        <v>405</v>
      </c>
      <c r="J147" s="19" t="s">
        <v>71</v>
      </c>
      <c r="K147" s="16" t="s">
        <v>717</v>
      </c>
      <c r="L147" s="16"/>
      <c r="M147" s="17" t="s">
        <v>24</v>
      </c>
      <c r="N147" s="17" t="str">
        <f t="shared" si="13"/>
        <v>NO</v>
      </c>
      <c r="O147" s="17" t="str">
        <f t="shared" si="14"/>
        <v>🔴</v>
      </c>
      <c r="P147" s="18" t="s">
        <v>718</v>
      </c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</row>
    <row r="148" spans="1:85" ht="18" customHeight="1" x14ac:dyDescent="0.3">
      <c r="A148" s="10">
        <f t="shared" si="10"/>
        <v>147</v>
      </c>
      <c r="B148" s="10">
        <f t="shared" si="11"/>
        <v>147</v>
      </c>
      <c r="C148" s="11" t="s">
        <v>16</v>
      </c>
      <c r="D148" s="11" t="s">
        <v>670</v>
      </c>
      <c r="E148" s="12" t="str">
        <f t="shared" si="12"/>
        <v>VIP</v>
      </c>
      <c r="F148" s="11" t="s">
        <v>719</v>
      </c>
      <c r="G148" s="11" t="s">
        <v>519</v>
      </c>
      <c r="H148" s="11" t="s">
        <v>720</v>
      </c>
      <c r="I148" s="11" t="s">
        <v>721</v>
      </c>
      <c r="J148" s="19" t="s">
        <v>57</v>
      </c>
      <c r="K148" s="11" t="s">
        <v>722</v>
      </c>
      <c r="L148" s="11"/>
      <c r="M148" s="12" t="s">
        <v>24</v>
      </c>
      <c r="N148" s="12" t="str">
        <f t="shared" si="13"/>
        <v>NO</v>
      </c>
      <c r="O148" s="12" t="str">
        <f t="shared" si="14"/>
        <v>🟡</v>
      </c>
      <c r="P148" s="14" t="s">
        <v>723</v>
      </c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</row>
    <row r="149" spans="1:85" ht="18" customHeight="1" x14ac:dyDescent="0.3">
      <c r="A149" s="15">
        <f t="shared" si="10"/>
        <v>148</v>
      </c>
      <c r="B149" s="15">
        <f t="shared" si="11"/>
        <v>148</v>
      </c>
      <c r="C149" s="16" t="s">
        <v>16</v>
      </c>
      <c r="D149" s="16"/>
      <c r="E149" s="17" t="str">
        <f t="shared" si="12"/>
        <v/>
      </c>
      <c r="F149" s="16" t="s">
        <v>724</v>
      </c>
      <c r="G149" s="16" t="s">
        <v>725</v>
      </c>
      <c r="H149" s="16" t="s">
        <v>726</v>
      </c>
      <c r="I149" s="16"/>
      <c r="J149" s="20" t="s">
        <v>71</v>
      </c>
      <c r="K149" s="16" t="s">
        <v>727</v>
      </c>
      <c r="L149" s="16"/>
      <c r="M149" s="17" t="s">
        <v>24</v>
      </c>
      <c r="N149" s="17" t="str">
        <f t="shared" si="13"/>
        <v>NO</v>
      </c>
      <c r="O149" s="17" t="str">
        <f t="shared" si="14"/>
        <v>🔴</v>
      </c>
      <c r="P149" s="18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</row>
    <row r="150" spans="1:85" ht="18" customHeight="1" x14ac:dyDescent="0.3">
      <c r="A150" s="10">
        <f t="shared" si="10"/>
        <v>149</v>
      </c>
      <c r="B150" s="10">
        <f t="shared" si="11"/>
        <v>149</v>
      </c>
      <c r="C150" s="11" t="s">
        <v>16</v>
      </c>
      <c r="D150" s="11"/>
      <c r="E150" s="12" t="str">
        <f t="shared" si="12"/>
        <v/>
      </c>
      <c r="F150" s="11" t="s">
        <v>728</v>
      </c>
      <c r="G150" s="11" t="s">
        <v>91</v>
      </c>
      <c r="H150" s="11" t="s">
        <v>729</v>
      </c>
      <c r="I150" s="11"/>
      <c r="J150" s="20" t="s">
        <v>71</v>
      </c>
      <c r="K150" s="11" t="s">
        <v>727</v>
      </c>
      <c r="L150" s="11"/>
      <c r="M150" s="12" t="s">
        <v>24</v>
      </c>
      <c r="N150" s="12" t="str">
        <f t="shared" si="13"/>
        <v>NO</v>
      </c>
      <c r="O150" s="12" t="str">
        <f t="shared" si="14"/>
        <v>🔴</v>
      </c>
      <c r="P150" s="14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</row>
    <row r="151" spans="1:85" ht="18" customHeight="1" x14ac:dyDescent="0.3">
      <c r="A151" s="15">
        <f t="shared" si="10"/>
        <v>150</v>
      </c>
      <c r="B151" s="15">
        <f t="shared" si="11"/>
        <v>150</v>
      </c>
      <c r="C151" s="16" t="s">
        <v>16</v>
      </c>
      <c r="D151" s="16"/>
      <c r="E151" s="17" t="str">
        <f t="shared" si="12"/>
        <v/>
      </c>
      <c r="F151" s="16" t="s">
        <v>730</v>
      </c>
      <c r="G151" s="16" t="s">
        <v>120</v>
      </c>
      <c r="H151" s="16" t="s">
        <v>731</v>
      </c>
      <c r="I151" s="16"/>
      <c r="J151" s="20" t="s">
        <v>71</v>
      </c>
      <c r="K151" s="16" t="s">
        <v>727</v>
      </c>
      <c r="L151" s="16"/>
      <c r="M151" s="17" t="s">
        <v>24</v>
      </c>
      <c r="N151" s="17" t="str">
        <f t="shared" si="13"/>
        <v>NO</v>
      </c>
      <c r="O151" s="17" t="str">
        <f t="shared" si="14"/>
        <v>🔴</v>
      </c>
      <c r="P151" s="18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</row>
    <row r="152" spans="1:85" ht="18" customHeight="1" x14ac:dyDescent="0.3">
      <c r="A152" s="10">
        <f t="shared" si="10"/>
        <v>151</v>
      </c>
      <c r="B152" s="10">
        <f t="shared" si="11"/>
        <v>151</v>
      </c>
      <c r="C152" s="11" t="s">
        <v>16</v>
      </c>
      <c r="D152" s="11"/>
      <c r="E152" s="12" t="str">
        <f t="shared" si="12"/>
        <v/>
      </c>
      <c r="F152" s="11" t="s">
        <v>732</v>
      </c>
      <c r="G152" s="11" t="s">
        <v>704</v>
      </c>
      <c r="H152" s="11" t="s">
        <v>733</v>
      </c>
      <c r="I152" s="11"/>
      <c r="J152" s="20" t="s">
        <v>71</v>
      </c>
      <c r="K152" s="11" t="s">
        <v>734</v>
      </c>
      <c r="L152" s="11"/>
      <c r="M152" s="12" t="s">
        <v>24</v>
      </c>
      <c r="N152" s="12" t="str">
        <f t="shared" si="13"/>
        <v>NO</v>
      </c>
      <c r="O152" s="12" t="str">
        <f t="shared" si="14"/>
        <v>🔴</v>
      </c>
      <c r="P152" s="14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</row>
    <row r="153" spans="1:85" ht="18" customHeight="1" x14ac:dyDescent="0.3">
      <c r="A153" s="15">
        <f t="shared" si="10"/>
        <v>152</v>
      </c>
      <c r="B153" s="15">
        <f t="shared" si="11"/>
        <v>152</v>
      </c>
      <c r="C153" s="16" t="s">
        <v>16</v>
      </c>
      <c r="D153" s="16"/>
      <c r="E153" s="17" t="str">
        <f t="shared" si="12"/>
        <v/>
      </c>
      <c r="F153" s="16" t="s">
        <v>735</v>
      </c>
      <c r="G153" s="16" t="s">
        <v>519</v>
      </c>
      <c r="H153" s="16" t="s">
        <v>736</v>
      </c>
      <c r="I153" s="16"/>
      <c r="J153" s="20" t="s">
        <v>71</v>
      </c>
      <c r="K153" s="16" t="s">
        <v>737</v>
      </c>
      <c r="L153" s="16"/>
      <c r="M153" s="17" t="s">
        <v>24</v>
      </c>
      <c r="N153" s="17" t="str">
        <f t="shared" si="13"/>
        <v>NO</v>
      </c>
      <c r="O153" s="17" t="str">
        <f t="shared" si="14"/>
        <v>🔴</v>
      </c>
      <c r="P153" s="18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</row>
    <row r="154" spans="1:85" ht="18" customHeight="1" x14ac:dyDescent="0.3">
      <c r="A154" s="10">
        <f t="shared" si="10"/>
        <v>153</v>
      </c>
      <c r="B154" s="10">
        <f t="shared" si="11"/>
        <v>153</v>
      </c>
      <c r="C154" s="11" t="s">
        <v>16</v>
      </c>
      <c r="D154" s="11"/>
      <c r="E154" s="12" t="str">
        <f t="shared" si="12"/>
        <v>VIP</v>
      </c>
      <c r="F154" s="11" t="s">
        <v>738</v>
      </c>
      <c r="G154" s="11" t="s">
        <v>488</v>
      </c>
      <c r="H154" s="11" t="s">
        <v>739</v>
      </c>
      <c r="I154" s="11" t="s">
        <v>740</v>
      </c>
      <c r="J154" s="19" t="s">
        <v>57</v>
      </c>
      <c r="K154" s="11" t="s">
        <v>741</v>
      </c>
      <c r="L154" s="11"/>
      <c r="M154" s="12" t="s">
        <v>24</v>
      </c>
      <c r="N154" s="12" t="str">
        <f t="shared" si="13"/>
        <v>NO</v>
      </c>
      <c r="O154" s="12" t="str">
        <f t="shared" si="14"/>
        <v>🟡</v>
      </c>
      <c r="P154" s="14" t="s">
        <v>742</v>
      </c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</row>
    <row r="155" spans="1:85" ht="18" customHeight="1" x14ac:dyDescent="0.3">
      <c r="A155" s="15">
        <f t="shared" si="10"/>
        <v>154</v>
      </c>
      <c r="B155" s="15">
        <f t="shared" si="11"/>
        <v>154</v>
      </c>
      <c r="C155" s="16" t="s">
        <v>16</v>
      </c>
      <c r="D155" s="16"/>
      <c r="E155" s="17" t="str">
        <f t="shared" si="12"/>
        <v/>
      </c>
      <c r="F155" s="16" t="s">
        <v>743</v>
      </c>
      <c r="G155" s="16" t="s">
        <v>744</v>
      </c>
      <c r="H155" s="16" t="s">
        <v>450</v>
      </c>
      <c r="I155" s="16" t="s">
        <v>745</v>
      </c>
      <c r="J155" s="19" t="s">
        <v>71</v>
      </c>
      <c r="K155" s="16" t="s">
        <v>746</v>
      </c>
      <c r="L155" s="16"/>
      <c r="M155" s="17" t="s">
        <v>24</v>
      </c>
      <c r="N155" s="17" t="str">
        <f t="shared" si="13"/>
        <v>NO</v>
      </c>
      <c r="O155" s="17" t="str">
        <f t="shared" si="14"/>
        <v>🔴</v>
      </c>
      <c r="P155" s="18" t="s">
        <v>747</v>
      </c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</row>
    <row r="156" spans="1:85" ht="18" customHeight="1" x14ac:dyDescent="0.3">
      <c r="A156" s="10">
        <f t="shared" si="10"/>
        <v>155</v>
      </c>
      <c r="B156" s="10">
        <f t="shared" si="11"/>
        <v>155</v>
      </c>
      <c r="C156" s="11" t="s">
        <v>16</v>
      </c>
      <c r="D156" s="11"/>
      <c r="E156" s="12" t="str">
        <f t="shared" si="12"/>
        <v/>
      </c>
      <c r="F156" s="11" t="s">
        <v>748</v>
      </c>
      <c r="G156" s="11" t="s">
        <v>725</v>
      </c>
      <c r="H156" s="11" t="s">
        <v>749</v>
      </c>
      <c r="I156" s="11"/>
      <c r="J156" s="19" t="s">
        <v>71</v>
      </c>
      <c r="K156" s="11" t="s">
        <v>750</v>
      </c>
      <c r="L156" s="11"/>
      <c r="M156" s="12" t="s">
        <v>24</v>
      </c>
      <c r="N156" s="12" t="str">
        <f t="shared" si="13"/>
        <v>NO</v>
      </c>
      <c r="O156" s="12" t="str">
        <f t="shared" si="14"/>
        <v>🔴</v>
      </c>
      <c r="P156" s="14" t="s">
        <v>751</v>
      </c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</row>
    <row r="157" spans="1:85" ht="18" customHeight="1" x14ac:dyDescent="0.3">
      <c r="A157" s="15">
        <f t="shared" si="10"/>
        <v>156</v>
      </c>
      <c r="B157" s="15">
        <f t="shared" si="11"/>
        <v>156</v>
      </c>
      <c r="C157" s="16" t="s">
        <v>16</v>
      </c>
      <c r="D157" s="16" t="s">
        <v>752</v>
      </c>
      <c r="E157" s="17" t="str">
        <f t="shared" si="12"/>
        <v/>
      </c>
      <c r="F157" s="16" t="s">
        <v>753</v>
      </c>
      <c r="G157" s="16" t="s">
        <v>754</v>
      </c>
      <c r="H157" s="16" t="s">
        <v>755</v>
      </c>
      <c r="I157" s="16" t="s">
        <v>221</v>
      </c>
      <c r="J157" s="20" t="s">
        <v>71</v>
      </c>
      <c r="K157" s="16" t="s">
        <v>756</v>
      </c>
      <c r="L157" s="16"/>
      <c r="M157" s="17" t="s">
        <v>24</v>
      </c>
      <c r="N157" s="17" t="str">
        <f t="shared" si="13"/>
        <v>NO</v>
      </c>
      <c r="O157" s="17" t="str">
        <f t="shared" si="14"/>
        <v>🔴</v>
      </c>
      <c r="P157" s="18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</row>
    <row r="158" spans="1:85" ht="18" customHeight="1" x14ac:dyDescent="0.3">
      <c r="A158" s="10">
        <f t="shared" si="10"/>
        <v>157</v>
      </c>
      <c r="B158" s="10">
        <f t="shared" si="11"/>
        <v>157</v>
      </c>
      <c r="C158" s="11" t="s">
        <v>16</v>
      </c>
      <c r="D158" s="11"/>
      <c r="E158" s="12" t="str">
        <f t="shared" si="12"/>
        <v/>
      </c>
      <c r="F158" s="11" t="s">
        <v>757</v>
      </c>
      <c r="G158" s="11" t="s">
        <v>758</v>
      </c>
      <c r="H158" s="11" t="s">
        <v>426</v>
      </c>
      <c r="I158" s="11" t="s">
        <v>437</v>
      </c>
      <c r="J158" s="19" t="s">
        <v>71</v>
      </c>
      <c r="K158" s="11" t="s">
        <v>759</v>
      </c>
      <c r="L158" s="11"/>
      <c r="M158" s="12" t="s">
        <v>24</v>
      </c>
      <c r="N158" s="12" t="str">
        <f t="shared" si="13"/>
        <v>NO</v>
      </c>
      <c r="O158" s="12" t="str">
        <f t="shared" si="14"/>
        <v>🔴</v>
      </c>
      <c r="P158" s="14" t="s">
        <v>760</v>
      </c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</row>
    <row r="159" spans="1:85" ht="18" customHeight="1" x14ac:dyDescent="0.3">
      <c r="A159" s="15">
        <f t="shared" si="10"/>
        <v>158</v>
      </c>
      <c r="B159" s="15">
        <f t="shared" si="11"/>
        <v>158</v>
      </c>
      <c r="C159" s="16" t="s">
        <v>16</v>
      </c>
      <c r="D159" s="16"/>
      <c r="E159" s="17" t="str">
        <f t="shared" si="12"/>
        <v>VIP</v>
      </c>
      <c r="F159" s="16" t="s">
        <v>761</v>
      </c>
      <c r="G159" s="16" t="s">
        <v>762</v>
      </c>
      <c r="H159" s="16" t="s">
        <v>312</v>
      </c>
      <c r="I159" s="16" t="s">
        <v>308</v>
      </c>
      <c r="J159" s="13" t="s">
        <v>22</v>
      </c>
      <c r="K159" s="16" t="s">
        <v>763</v>
      </c>
      <c r="L159" s="16" t="s">
        <v>356</v>
      </c>
      <c r="M159" s="17" t="s">
        <v>24</v>
      </c>
      <c r="N159" s="17" t="str">
        <f t="shared" si="13"/>
        <v>SI</v>
      </c>
      <c r="O159" s="17" t="str">
        <f t="shared" si="14"/>
        <v>🟢</v>
      </c>
      <c r="P159" s="18" t="s">
        <v>764</v>
      </c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</row>
    <row r="160" spans="1:85" ht="18" customHeight="1" x14ac:dyDescent="0.3">
      <c r="A160" s="10">
        <f t="shared" si="10"/>
        <v>159</v>
      </c>
      <c r="B160" s="10">
        <f t="shared" si="11"/>
        <v>159</v>
      </c>
      <c r="C160" s="11" t="s">
        <v>16</v>
      </c>
      <c r="D160" s="11"/>
      <c r="E160" s="12" t="str">
        <f t="shared" si="12"/>
        <v>VIP</v>
      </c>
      <c r="F160" s="11" t="s">
        <v>765</v>
      </c>
      <c r="G160" s="11" t="s">
        <v>766</v>
      </c>
      <c r="H160" s="11" t="s">
        <v>312</v>
      </c>
      <c r="I160" s="11" t="s">
        <v>308</v>
      </c>
      <c r="J160" s="13" t="s">
        <v>22</v>
      </c>
      <c r="K160" s="11" t="s">
        <v>767</v>
      </c>
      <c r="L160" s="11" t="s">
        <v>356</v>
      </c>
      <c r="M160" s="12" t="s">
        <v>24</v>
      </c>
      <c r="N160" s="12" t="str">
        <f t="shared" si="13"/>
        <v>SI</v>
      </c>
      <c r="O160" s="12" t="str">
        <f t="shared" si="14"/>
        <v>🟢</v>
      </c>
      <c r="P160" s="14" t="s">
        <v>768</v>
      </c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</row>
    <row r="161" spans="1:85" ht="18" customHeight="1" x14ac:dyDescent="0.3">
      <c r="A161" s="15">
        <f t="shared" si="10"/>
        <v>160</v>
      </c>
      <c r="B161" s="15">
        <f t="shared" si="11"/>
        <v>160</v>
      </c>
      <c r="C161" s="16" t="s">
        <v>16</v>
      </c>
      <c r="D161" s="16"/>
      <c r="E161" s="17" t="str">
        <f t="shared" si="12"/>
        <v>VIP</v>
      </c>
      <c r="F161" s="16" t="s">
        <v>769</v>
      </c>
      <c r="G161" s="16" t="s">
        <v>770</v>
      </c>
      <c r="H161" s="16" t="s">
        <v>104</v>
      </c>
      <c r="I161" s="16" t="s">
        <v>771</v>
      </c>
      <c r="J161" s="13" t="s">
        <v>22</v>
      </c>
      <c r="K161" s="16" t="s">
        <v>772</v>
      </c>
      <c r="L161" s="16"/>
      <c r="M161" s="17" t="s">
        <v>24</v>
      </c>
      <c r="N161" s="17" t="str">
        <f t="shared" si="13"/>
        <v>SI</v>
      </c>
      <c r="O161" s="17" t="str">
        <f t="shared" si="14"/>
        <v>🟢</v>
      </c>
      <c r="P161" s="18" t="s">
        <v>773</v>
      </c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</row>
    <row r="162" spans="1:85" ht="18" customHeight="1" x14ac:dyDescent="0.3">
      <c r="A162" s="10">
        <f t="shared" si="10"/>
        <v>161</v>
      </c>
      <c r="B162" s="10">
        <f t="shared" si="11"/>
        <v>161</v>
      </c>
      <c r="C162" s="11" t="s">
        <v>16</v>
      </c>
      <c r="D162" s="11" t="s">
        <v>46</v>
      </c>
      <c r="E162" s="12" t="str">
        <f t="shared" si="12"/>
        <v/>
      </c>
      <c r="F162" s="11" t="s">
        <v>774</v>
      </c>
      <c r="G162" s="11" t="s">
        <v>775</v>
      </c>
      <c r="H162" s="11" t="s">
        <v>776</v>
      </c>
      <c r="I162" s="11"/>
      <c r="J162" s="20" t="s">
        <v>71</v>
      </c>
      <c r="K162" s="11" t="s">
        <v>777</v>
      </c>
      <c r="L162" s="11" t="s">
        <v>778</v>
      </c>
      <c r="M162" s="12" t="s">
        <v>24</v>
      </c>
      <c r="N162" s="12" t="str">
        <f t="shared" si="13"/>
        <v>NO</v>
      </c>
      <c r="O162" s="12" t="str">
        <f t="shared" si="14"/>
        <v>🔴</v>
      </c>
      <c r="P162" s="14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</row>
    <row r="163" spans="1:85" ht="18" customHeight="1" x14ac:dyDescent="0.3">
      <c r="A163" s="15">
        <f t="shared" si="10"/>
        <v>162</v>
      </c>
      <c r="B163" s="15">
        <f t="shared" si="11"/>
        <v>162</v>
      </c>
      <c r="C163" s="16" t="s">
        <v>16</v>
      </c>
      <c r="D163" s="16" t="s">
        <v>670</v>
      </c>
      <c r="E163" s="17" t="str">
        <f t="shared" si="12"/>
        <v/>
      </c>
      <c r="F163" s="16" t="s">
        <v>779</v>
      </c>
      <c r="G163" s="16" t="s">
        <v>519</v>
      </c>
      <c r="H163" s="16" t="s">
        <v>780</v>
      </c>
      <c r="I163" s="16"/>
      <c r="J163" s="20" t="s">
        <v>71</v>
      </c>
      <c r="K163" s="16" t="s">
        <v>781</v>
      </c>
      <c r="L163" s="16" t="s">
        <v>778</v>
      </c>
      <c r="M163" s="17" t="s">
        <v>24</v>
      </c>
      <c r="N163" s="17" t="str">
        <f t="shared" si="13"/>
        <v>NO</v>
      </c>
      <c r="O163" s="17" t="str">
        <f t="shared" si="14"/>
        <v>🔴</v>
      </c>
      <c r="P163" s="18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</row>
    <row r="164" spans="1:85" ht="18" customHeight="1" x14ac:dyDescent="0.3">
      <c r="A164" s="10">
        <f t="shared" si="10"/>
        <v>163</v>
      </c>
      <c r="B164" s="10">
        <f t="shared" si="11"/>
        <v>163</v>
      </c>
      <c r="C164" s="11" t="s">
        <v>16</v>
      </c>
      <c r="D164" s="11" t="s">
        <v>670</v>
      </c>
      <c r="E164" s="12" t="str">
        <f t="shared" si="12"/>
        <v>VIP</v>
      </c>
      <c r="F164" s="11" t="s">
        <v>782</v>
      </c>
      <c r="G164" s="11" t="s">
        <v>783</v>
      </c>
      <c r="H164" s="11" t="s">
        <v>784</v>
      </c>
      <c r="I164" s="11" t="s">
        <v>785</v>
      </c>
      <c r="J164" s="13" t="s">
        <v>22</v>
      </c>
      <c r="K164" s="11" t="s">
        <v>786</v>
      </c>
      <c r="L164" s="11" t="s">
        <v>778</v>
      </c>
      <c r="M164" s="12" t="s">
        <v>24</v>
      </c>
      <c r="N164" s="12" t="str">
        <f t="shared" si="13"/>
        <v>SI</v>
      </c>
      <c r="O164" s="12" t="str">
        <f t="shared" si="14"/>
        <v>🟢</v>
      </c>
      <c r="P164" s="14" t="s">
        <v>787</v>
      </c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</row>
    <row r="165" spans="1:85" ht="18" customHeight="1" x14ac:dyDescent="0.3">
      <c r="A165" s="15">
        <f t="shared" si="10"/>
        <v>164</v>
      </c>
      <c r="B165" s="15">
        <f t="shared" si="11"/>
        <v>164</v>
      </c>
      <c r="C165" s="16" t="s">
        <v>16</v>
      </c>
      <c r="D165" s="16" t="s">
        <v>670</v>
      </c>
      <c r="E165" s="17" t="str">
        <f t="shared" si="12"/>
        <v>VIP</v>
      </c>
      <c r="F165" s="16" t="s">
        <v>788</v>
      </c>
      <c r="G165" s="16" t="s">
        <v>789</v>
      </c>
      <c r="H165" s="16" t="s">
        <v>312</v>
      </c>
      <c r="I165" s="16" t="s">
        <v>308</v>
      </c>
      <c r="J165" s="13" t="s">
        <v>22</v>
      </c>
      <c r="K165" s="16" t="s">
        <v>790</v>
      </c>
      <c r="L165" s="16" t="s">
        <v>356</v>
      </c>
      <c r="M165" s="17" t="s">
        <v>24</v>
      </c>
      <c r="N165" s="17" t="str">
        <f t="shared" si="13"/>
        <v>SI</v>
      </c>
      <c r="O165" s="17" t="str">
        <f t="shared" si="14"/>
        <v>🟢</v>
      </c>
      <c r="P165" s="18" t="s">
        <v>791</v>
      </c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</row>
    <row r="166" spans="1:85" ht="18" customHeight="1" x14ac:dyDescent="0.3">
      <c r="A166" s="10">
        <f t="shared" si="10"/>
        <v>165</v>
      </c>
      <c r="B166" s="10">
        <f t="shared" si="11"/>
        <v>165</v>
      </c>
      <c r="C166" s="11" t="s">
        <v>16</v>
      </c>
      <c r="D166" s="11"/>
      <c r="E166" s="12" t="str">
        <f t="shared" si="12"/>
        <v>LATERAL VIP</v>
      </c>
      <c r="F166" s="11" t="s">
        <v>792</v>
      </c>
      <c r="G166" s="11" t="s">
        <v>793</v>
      </c>
      <c r="H166" s="11" t="s">
        <v>794</v>
      </c>
      <c r="I166" s="11" t="s">
        <v>382</v>
      </c>
      <c r="J166" s="13" t="s">
        <v>22</v>
      </c>
      <c r="K166" s="11" t="s">
        <v>795</v>
      </c>
      <c r="L166" s="11"/>
      <c r="M166" s="12" t="s">
        <v>659</v>
      </c>
      <c r="N166" s="12" t="str">
        <f t="shared" si="13"/>
        <v>NO</v>
      </c>
      <c r="O166" s="12" t="str">
        <f t="shared" si="14"/>
        <v>🟢</v>
      </c>
      <c r="P166" s="14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</row>
    <row r="167" spans="1:85" ht="18" customHeight="1" x14ac:dyDescent="0.3">
      <c r="A167" s="15">
        <f t="shared" si="10"/>
        <v>166</v>
      </c>
      <c r="B167" s="15">
        <f t="shared" si="11"/>
        <v>166</v>
      </c>
      <c r="C167" s="16" t="s">
        <v>16</v>
      </c>
      <c r="D167" s="16"/>
      <c r="E167" s="17" t="str">
        <f t="shared" si="12"/>
        <v>LATERAL VIP</v>
      </c>
      <c r="F167" s="16" t="s">
        <v>796</v>
      </c>
      <c r="G167" s="16" t="s">
        <v>615</v>
      </c>
      <c r="H167" s="16" t="s">
        <v>797</v>
      </c>
      <c r="I167" s="16" t="s">
        <v>221</v>
      </c>
      <c r="J167" s="13" t="s">
        <v>22</v>
      </c>
      <c r="K167" s="16" t="s">
        <v>795</v>
      </c>
      <c r="L167" s="16" t="s">
        <v>356</v>
      </c>
      <c r="M167" s="17" t="s">
        <v>659</v>
      </c>
      <c r="N167" s="17" t="str">
        <f t="shared" si="13"/>
        <v>NO</v>
      </c>
      <c r="O167" s="17" t="str">
        <f t="shared" si="14"/>
        <v>🟢</v>
      </c>
      <c r="P167" s="18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</row>
    <row r="168" spans="1:85" ht="18" customHeight="1" x14ac:dyDescent="0.3">
      <c r="A168" s="10">
        <f t="shared" si="10"/>
        <v>167</v>
      </c>
      <c r="B168" s="10">
        <f t="shared" si="11"/>
        <v>167</v>
      </c>
      <c r="C168" s="11" t="s">
        <v>16</v>
      </c>
      <c r="D168" s="11" t="s">
        <v>46</v>
      </c>
      <c r="E168" s="12" t="str">
        <f t="shared" si="12"/>
        <v>VIP</v>
      </c>
      <c r="F168" s="11" t="s">
        <v>798</v>
      </c>
      <c r="G168" s="11" t="s">
        <v>799</v>
      </c>
      <c r="H168" s="11" t="s">
        <v>800</v>
      </c>
      <c r="I168" s="11" t="s">
        <v>104</v>
      </c>
      <c r="J168" s="13" t="s">
        <v>22</v>
      </c>
      <c r="K168" s="11" t="s">
        <v>801</v>
      </c>
      <c r="L168" s="11"/>
      <c r="M168" s="12" t="s">
        <v>24</v>
      </c>
      <c r="N168" s="12" t="str">
        <f t="shared" si="13"/>
        <v>SI</v>
      </c>
      <c r="O168" s="12" t="str">
        <f t="shared" si="14"/>
        <v>🟢</v>
      </c>
      <c r="P168" s="14" t="s">
        <v>802</v>
      </c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</row>
    <row r="169" spans="1:85" ht="18" customHeight="1" x14ac:dyDescent="0.3">
      <c r="A169" s="15">
        <f t="shared" si="10"/>
        <v>168</v>
      </c>
      <c r="B169" s="15">
        <f t="shared" si="11"/>
        <v>168</v>
      </c>
      <c r="C169" s="16" t="s">
        <v>16</v>
      </c>
      <c r="D169" s="16" t="s">
        <v>670</v>
      </c>
      <c r="E169" s="17" t="str">
        <f t="shared" si="12"/>
        <v>VIP</v>
      </c>
      <c r="F169" s="16" t="s">
        <v>803</v>
      </c>
      <c r="G169" s="16" t="s">
        <v>120</v>
      </c>
      <c r="H169" s="16" t="s">
        <v>804</v>
      </c>
      <c r="I169" s="16"/>
      <c r="J169" s="19" t="s">
        <v>57</v>
      </c>
      <c r="K169" s="16" t="s">
        <v>805</v>
      </c>
      <c r="L169" s="16"/>
      <c r="M169" s="17" t="s">
        <v>24</v>
      </c>
      <c r="N169" s="17" t="str">
        <f t="shared" si="13"/>
        <v>NO</v>
      </c>
      <c r="O169" s="17" t="str">
        <f t="shared" si="14"/>
        <v>🟡</v>
      </c>
      <c r="P169" s="18" t="s">
        <v>806</v>
      </c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</row>
    <row r="170" spans="1:85" ht="18" customHeight="1" x14ac:dyDescent="0.3">
      <c r="A170" s="10">
        <f t="shared" si="10"/>
        <v>169</v>
      </c>
      <c r="B170" s="10">
        <f t="shared" si="11"/>
        <v>169</v>
      </c>
      <c r="C170" s="11" t="s">
        <v>16</v>
      </c>
      <c r="D170" s="11" t="s">
        <v>670</v>
      </c>
      <c r="E170" s="12" t="str">
        <f t="shared" si="12"/>
        <v>LATERAL VIP</v>
      </c>
      <c r="F170" s="11" t="s">
        <v>807</v>
      </c>
      <c r="G170" s="11" t="s">
        <v>528</v>
      </c>
      <c r="H170" s="11" t="s">
        <v>808</v>
      </c>
      <c r="I170" s="11"/>
      <c r="J170" s="19" t="s">
        <v>22</v>
      </c>
      <c r="K170" s="11" t="s">
        <v>809</v>
      </c>
      <c r="L170" s="11"/>
      <c r="M170" s="12" t="s">
        <v>659</v>
      </c>
      <c r="N170" s="12" t="str">
        <f t="shared" si="13"/>
        <v>NO</v>
      </c>
      <c r="O170" s="12" t="str">
        <f t="shared" si="14"/>
        <v>🟢</v>
      </c>
      <c r="P170" s="14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</row>
    <row r="171" spans="1:85" ht="18" customHeight="1" x14ac:dyDescent="0.3">
      <c r="A171" s="15">
        <f t="shared" si="10"/>
        <v>170</v>
      </c>
      <c r="B171" s="15">
        <f t="shared" si="11"/>
        <v>170</v>
      </c>
      <c r="C171" s="16" t="s">
        <v>16</v>
      </c>
      <c r="D171" s="16" t="s">
        <v>670</v>
      </c>
      <c r="E171" s="17" t="str">
        <f t="shared" si="12"/>
        <v>VIP</v>
      </c>
      <c r="F171" s="16" t="s">
        <v>810</v>
      </c>
      <c r="G171" s="16" t="s">
        <v>811</v>
      </c>
      <c r="H171" s="16" t="s">
        <v>812</v>
      </c>
      <c r="I171" s="16"/>
      <c r="J171" s="19" t="s">
        <v>57</v>
      </c>
      <c r="K171" s="16" t="s">
        <v>813</v>
      </c>
      <c r="L171" s="16"/>
      <c r="M171" s="17" t="s">
        <v>24</v>
      </c>
      <c r="N171" s="17" t="str">
        <f t="shared" si="13"/>
        <v>NO</v>
      </c>
      <c r="O171" s="17" t="str">
        <f t="shared" si="14"/>
        <v>🟡</v>
      </c>
      <c r="P171" s="18" t="s">
        <v>814</v>
      </c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</row>
    <row r="172" spans="1:85" ht="18" customHeight="1" x14ac:dyDescent="0.3">
      <c r="A172" s="10">
        <f t="shared" si="10"/>
        <v>171</v>
      </c>
      <c r="B172" s="10">
        <f t="shared" si="11"/>
        <v>171</v>
      </c>
      <c r="C172" s="11" t="s">
        <v>16</v>
      </c>
      <c r="D172" s="11" t="s">
        <v>670</v>
      </c>
      <c r="E172" s="12" t="str">
        <f t="shared" si="12"/>
        <v>LATERAL VIP</v>
      </c>
      <c r="F172" s="11" t="s">
        <v>815</v>
      </c>
      <c r="G172" s="11" t="s">
        <v>816</v>
      </c>
      <c r="H172" s="11" t="s">
        <v>371</v>
      </c>
      <c r="I172" s="11"/>
      <c r="J172" s="19" t="s">
        <v>22</v>
      </c>
      <c r="K172" s="11" t="s">
        <v>817</v>
      </c>
      <c r="L172" s="11"/>
      <c r="M172" s="12" t="s">
        <v>659</v>
      </c>
      <c r="N172" s="12" t="str">
        <f t="shared" si="13"/>
        <v>NO</v>
      </c>
      <c r="O172" s="12" t="str">
        <f t="shared" si="14"/>
        <v>🟢</v>
      </c>
      <c r="P172" s="14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</row>
    <row r="173" spans="1:85" ht="18" customHeight="1" x14ac:dyDescent="0.3">
      <c r="A173" s="15">
        <f t="shared" si="10"/>
        <v>172</v>
      </c>
      <c r="B173" s="15">
        <f t="shared" si="11"/>
        <v>172</v>
      </c>
      <c r="C173" s="16" t="s">
        <v>16</v>
      </c>
      <c r="D173" s="16" t="s">
        <v>818</v>
      </c>
      <c r="E173" s="17" t="str">
        <f t="shared" si="12"/>
        <v>LATERAL VIP</v>
      </c>
      <c r="F173" s="16" t="s">
        <v>819</v>
      </c>
      <c r="G173" s="16" t="s">
        <v>120</v>
      </c>
      <c r="H173" s="16" t="s">
        <v>820</v>
      </c>
      <c r="I173" s="16" t="s">
        <v>821</v>
      </c>
      <c r="J173" s="20" t="s">
        <v>57</v>
      </c>
      <c r="K173" s="16" t="s">
        <v>822</v>
      </c>
      <c r="L173" s="16" t="s">
        <v>823</v>
      </c>
      <c r="M173" s="17" t="s">
        <v>659</v>
      </c>
      <c r="N173" s="17" t="str">
        <f t="shared" si="13"/>
        <v>NO</v>
      </c>
      <c r="O173" s="17" t="str">
        <f t="shared" si="14"/>
        <v>🟡</v>
      </c>
      <c r="P173" s="18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</row>
    <row r="174" spans="1:85" ht="18" customHeight="1" x14ac:dyDescent="0.3">
      <c r="A174" s="10">
        <f t="shared" si="10"/>
        <v>173</v>
      </c>
      <c r="B174" s="10">
        <f t="shared" si="11"/>
        <v>173</v>
      </c>
      <c r="C174" s="11" t="s">
        <v>16</v>
      </c>
      <c r="D174" s="11" t="s">
        <v>46</v>
      </c>
      <c r="E174" s="12" t="str">
        <f t="shared" si="12"/>
        <v>LATERAL VIP</v>
      </c>
      <c r="F174" s="11" t="s">
        <v>824</v>
      </c>
      <c r="G174" s="11" t="s">
        <v>825</v>
      </c>
      <c r="H174" s="11" t="s">
        <v>826</v>
      </c>
      <c r="I174" s="11" t="s">
        <v>827</v>
      </c>
      <c r="J174" s="19" t="s">
        <v>57</v>
      </c>
      <c r="K174" s="11" t="s">
        <v>828</v>
      </c>
      <c r="L174" s="11" t="s">
        <v>823</v>
      </c>
      <c r="M174" s="12" t="s">
        <v>659</v>
      </c>
      <c r="N174" s="12" t="str">
        <f t="shared" si="13"/>
        <v>NO</v>
      </c>
      <c r="O174" s="12" t="str">
        <f t="shared" si="14"/>
        <v>🟡</v>
      </c>
      <c r="P174" s="14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</row>
    <row r="175" spans="1:85" ht="18" customHeight="1" x14ac:dyDescent="0.3">
      <c r="A175" s="15">
        <f t="shared" si="10"/>
        <v>174</v>
      </c>
      <c r="B175" s="15">
        <f t="shared" si="11"/>
        <v>174</v>
      </c>
      <c r="C175" s="16" t="s">
        <v>16</v>
      </c>
      <c r="D175" s="16" t="s">
        <v>829</v>
      </c>
      <c r="E175" s="17" t="str">
        <f t="shared" si="12"/>
        <v>LATERAL VIP</v>
      </c>
      <c r="F175" s="16" t="s">
        <v>830</v>
      </c>
      <c r="G175" s="16" t="s">
        <v>831</v>
      </c>
      <c r="H175" s="16" t="s">
        <v>168</v>
      </c>
      <c r="I175" s="16" t="s">
        <v>832</v>
      </c>
      <c r="J175" s="19" t="s">
        <v>22</v>
      </c>
      <c r="K175" s="16" t="s">
        <v>833</v>
      </c>
      <c r="L175" s="16" t="s">
        <v>823</v>
      </c>
      <c r="M175" s="17" t="s">
        <v>659</v>
      </c>
      <c r="N175" s="17" t="str">
        <f t="shared" si="13"/>
        <v>NO</v>
      </c>
      <c r="O175" s="17" t="str">
        <f t="shared" si="14"/>
        <v>🟢</v>
      </c>
      <c r="P175" s="18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</row>
    <row r="176" spans="1:85" ht="18" customHeight="1" x14ac:dyDescent="0.3">
      <c r="A176" s="10">
        <f t="shared" si="10"/>
        <v>175</v>
      </c>
      <c r="B176" s="10">
        <f t="shared" si="11"/>
        <v>175</v>
      </c>
      <c r="C176" s="11" t="s">
        <v>16</v>
      </c>
      <c r="D176" s="11" t="s">
        <v>834</v>
      </c>
      <c r="E176" s="12" t="str">
        <f t="shared" si="12"/>
        <v>LATERAL VIP</v>
      </c>
      <c r="F176" s="11" t="s">
        <v>835</v>
      </c>
      <c r="G176" s="11" t="s">
        <v>68</v>
      </c>
      <c r="H176" s="11" t="s">
        <v>836</v>
      </c>
      <c r="I176" s="11" t="s">
        <v>837</v>
      </c>
      <c r="J176" s="20" t="s">
        <v>57</v>
      </c>
      <c r="K176" s="11" t="s">
        <v>822</v>
      </c>
      <c r="L176" s="11" t="s">
        <v>823</v>
      </c>
      <c r="M176" s="12" t="s">
        <v>659</v>
      </c>
      <c r="N176" s="12" t="str">
        <f t="shared" si="13"/>
        <v>NO</v>
      </c>
      <c r="O176" s="12" t="str">
        <f t="shared" si="14"/>
        <v>🟡</v>
      </c>
      <c r="P176" s="14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</row>
    <row r="177" spans="1:85" s="2" customFormat="1" ht="18" customHeight="1" x14ac:dyDescent="0.3">
      <c r="A177" s="15">
        <f t="shared" si="10"/>
        <v>176</v>
      </c>
      <c r="B177" s="15">
        <f t="shared" si="11"/>
        <v>176</v>
      </c>
      <c r="C177" s="16" t="s">
        <v>16</v>
      </c>
      <c r="D177" s="16" t="s">
        <v>670</v>
      </c>
      <c r="E177" s="17">
        <f t="shared" si="12"/>
        <v>0</v>
      </c>
      <c r="F177" s="16" t="s">
        <v>838</v>
      </c>
      <c r="G177" s="16" t="s">
        <v>725</v>
      </c>
      <c r="H177" s="16" t="s">
        <v>839</v>
      </c>
      <c r="I177" s="16" t="s">
        <v>172</v>
      </c>
      <c r="J177" s="19" t="s">
        <v>57</v>
      </c>
      <c r="K177" s="16" t="s">
        <v>840</v>
      </c>
      <c r="L177" s="16"/>
      <c r="M177" s="17"/>
      <c r="N177" s="17" t="str">
        <f t="shared" si="13"/>
        <v>NO</v>
      </c>
      <c r="O177" s="17" t="str">
        <f t="shared" si="14"/>
        <v>🟡</v>
      </c>
      <c r="P177" s="18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</row>
    <row r="178" spans="1:85" s="2" customFormat="1" ht="18" customHeight="1" x14ac:dyDescent="0.3">
      <c r="A178" s="10">
        <f t="shared" si="10"/>
        <v>177</v>
      </c>
      <c r="B178" s="10">
        <f t="shared" si="11"/>
        <v>177</v>
      </c>
      <c r="C178" s="11" t="s">
        <v>16</v>
      </c>
      <c r="D178" s="11" t="s">
        <v>46</v>
      </c>
      <c r="E178" s="12" t="str">
        <f t="shared" si="12"/>
        <v>VIP</v>
      </c>
      <c r="F178" s="11" t="s">
        <v>841</v>
      </c>
      <c r="G178" s="11" t="s">
        <v>762</v>
      </c>
      <c r="H178" s="11" t="s">
        <v>104</v>
      </c>
      <c r="I178" s="11"/>
      <c r="J178" s="19" t="s">
        <v>57</v>
      </c>
      <c r="K178" s="11" t="s">
        <v>842</v>
      </c>
      <c r="L178" s="11"/>
      <c r="M178" s="12" t="s">
        <v>24</v>
      </c>
      <c r="N178" s="12" t="str">
        <f t="shared" si="13"/>
        <v>NO</v>
      </c>
      <c r="O178" s="12" t="str">
        <f t="shared" si="14"/>
        <v>🟡</v>
      </c>
      <c r="P178" s="14" t="s">
        <v>843</v>
      </c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</row>
    <row r="179" spans="1:85" ht="18" customHeight="1" x14ac:dyDescent="0.3">
      <c r="A179" s="15">
        <f t="shared" si="10"/>
        <v>178</v>
      </c>
      <c r="B179" s="15">
        <f t="shared" si="11"/>
        <v>178</v>
      </c>
      <c r="C179" s="16" t="s">
        <v>844</v>
      </c>
      <c r="D179" s="16" t="s">
        <v>845</v>
      </c>
      <c r="E179" s="17" t="str">
        <f t="shared" si="12"/>
        <v>VIP</v>
      </c>
      <c r="F179" s="16" t="s">
        <v>846</v>
      </c>
      <c r="G179" s="16" t="s">
        <v>847</v>
      </c>
      <c r="H179" s="16" t="s">
        <v>848</v>
      </c>
      <c r="I179" s="16" t="s">
        <v>849</v>
      </c>
      <c r="J179" s="13" t="s">
        <v>22</v>
      </c>
      <c r="K179" s="16" t="s">
        <v>850</v>
      </c>
      <c r="L179" s="16"/>
      <c r="M179" s="17" t="s">
        <v>24</v>
      </c>
      <c r="N179" s="17" t="str">
        <f t="shared" si="13"/>
        <v>SI</v>
      </c>
      <c r="O179" s="17" t="str">
        <f t="shared" si="14"/>
        <v>🟢</v>
      </c>
      <c r="P179" s="18" t="s">
        <v>851</v>
      </c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</row>
    <row r="180" spans="1:85" ht="18" customHeight="1" x14ac:dyDescent="0.3">
      <c r="A180" s="10">
        <f t="shared" si="10"/>
        <v>179</v>
      </c>
      <c r="B180" s="10">
        <f t="shared" si="11"/>
        <v>179</v>
      </c>
      <c r="C180" s="11" t="s">
        <v>844</v>
      </c>
      <c r="D180" s="11" t="s">
        <v>852</v>
      </c>
      <c r="E180" s="12" t="str">
        <f t="shared" si="12"/>
        <v>VIP</v>
      </c>
      <c r="F180" s="11" t="s">
        <v>853</v>
      </c>
      <c r="G180" s="11" t="s">
        <v>854</v>
      </c>
      <c r="H180" s="11" t="s">
        <v>855</v>
      </c>
      <c r="I180" s="11" t="s">
        <v>856</v>
      </c>
      <c r="J180" s="13" t="s">
        <v>22</v>
      </c>
      <c r="K180" s="11" t="s">
        <v>857</v>
      </c>
      <c r="L180" s="11"/>
      <c r="M180" s="12" t="s">
        <v>24</v>
      </c>
      <c r="N180" s="12" t="str">
        <f t="shared" si="13"/>
        <v>SI</v>
      </c>
      <c r="O180" s="12" t="str">
        <f t="shared" si="14"/>
        <v>🟢</v>
      </c>
      <c r="P180" s="14" t="s">
        <v>858</v>
      </c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</row>
    <row r="181" spans="1:85" s="2" customFormat="1" ht="18" customHeight="1" x14ac:dyDescent="0.3">
      <c r="A181" s="15">
        <f t="shared" si="10"/>
        <v>180</v>
      </c>
      <c r="B181" s="15">
        <f t="shared" si="11"/>
        <v>180</v>
      </c>
      <c r="C181" s="16" t="s">
        <v>844</v>
      </c>
      <c r="D181" s="16" t="s">
        <v>645</v>
      </c>
      <c r="E181" s="17" t="str">
        <f t="shared" si="12"/>
        <v/>
      </c>
      <c r="F181" s="16" t="s">
        <v>859</v>
      </c>
      <c r="G181" s="16" t="s">
        <v>860</v>
      </c>
      <c r="H181" s="16" t="s">
        <v>861</v>
      </c>
      <c r="I181" s="16" t="s">
        <v>862</v>
      </c>
      <c r="J181" s="20" t="s">
        <v>71</v>
      </c>
      <c r="K181" s="16" t="s">
        <v>863</v>
      </c>
      <c r="L181" s="16"/>
      <c r="M181" s="17"/>
      <c r="N181" s="17" t="str">
        <f t="shared" si="13"/>
        <v>NO</v>
      </c>
      <c r="O181" s="17" t="str">
        <f t="shared" si="14"/>
        <v>🔴</v>
      </c>
      <c r="P181" s="18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</row>
    <row r="182" spans="1:85" ht="18" customHeight="1" x14ac:dyDescent="0.3">
      <c r="A182" s="10">
        <f t="shared" si="10"/>
        <v>181</v>
      </c>
      <c r="B182" s="10">
        <f t="shared" si="11"/>
        <v>181</v>
      </c>
      <c r="C182" s="11" t="s">
        <v>844</v>
      </c>
      <c r="D182" s="11" t="s">
        <v>864</v>
      </c>
      <c r="E182" s="12" t="str">
        <f t="shared" si="12"/>
        <v>VIP</v>
      </c>
      <c r="F182" s="11" t="s">
        <v>865</v>
      </c>
      <c r="G182" s="11" t="s">
        <v>866</v>
      </c>
      <c r="H182" s="11" t="s">
        <v>867</v>
      </c>
      <c r="I182" s="11" t="s">
        <v>868</v>
      </c>
      <c r="J182" s="19" t="s">
        <v>57</v>
      </c>
      <c r="K182" s="11" t="s">
        <v>869</v>
      </c>
      <c r="L182" s="11"/>
      <c r="M182" s="12" t="s">
        <v>24</v>
      </c>
      <c r="N182" s="12" t="str">
        <f t="shared" si="13"/>
        <v>NO</v>
      </c>
      <c r="O182" s="12" t="str">
        <f t="shared" si="14"/>
        <v>🟡</v>
      </c>
      <c r="P182" s="14" t="s">
        <v>870</v>
      </c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</row>
    <row r="183" spans="1:85" ht="18" customHeight="1" x14ac:dyDescent="0.3">
      <c r="A183" s="15">
        <f t="shared" si="10"/>
        <v>182</v>
      </c>
      <c r="B183" s="15">
        <f t="shared" si="11"/>
        <v>182</v>
      </c>
      <c r="C183" s="16" t="s">
        <v>844</v>
      </c>
      <c r="D183" s="16" t="s">
        <v>864</v>
      </c>
      <c r="E183" s="17" t="str">
        <f t="shared" si="12"/>
        <v>VIP</v>
      </c>
      <c r="F183" s="16" t="s">
        <v>871</v>
      </c>
      <c r="G183" s="16" t="s">
        <v>317</v>
      </c>
      <c r="H183" s="16" t="s">
        <v>872</v>
      </c>
      <c r="I183" s="16" t="s">
        <v>873</v>
      </c>
      <c r="J183" s="13" t="s">
        <v>22</v>
      </c>
      <c r="K183" s="16" t="s">
        <v>874</v>
      </c>
      <c r="L183" s="16"/>
      <c r="M183" s="17" t="s">
        <v>24</v>
      </c>
      <c r="N183" s="17" t="str">
        <f t="shared" si="13"/>
        <v>SI</v>
      </c>
      <c r="O183" s="17" t="str">
        <f t="shared" si="14"/>
        <v>🟢</v>
      </c>
      <c r="P183" s="18" t="s">
        <v>875</v>
      </c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</row>
    <row r="184" spans="1:85" ht="18" customHeight="1" x14ac:dyDescent="0.3">
      <c r="A184" s="10">
        <f t="shared" si="10"/>
        <v>183</v>
      </c>
      <c r="B184" s="10">
        <f t="shared" si="11"/>
        <v>183</v>
      </c>
      <c r="C184" s="11" t="s">
        <v>844</v>
      </c>
      <c r="D184" s="11" t="s">
        <v>864</v>
      </c>
      <c r="E184" s="12" t="str">
        <f t="shared" si="12"/>
        <v/>
      </c>
      <c r="F184" s="11" t="s">
        <v>876</v>
      </c>
      <c r="G184" s="11" t="s">
        <v>877</v>
      </c>
      <c r="H184" s="11" t="s">
        <v>878</v>
      </c>
      <c r="I184" s="11" t="s">
        <v>329</v>
      </c>
      <c r="J184" s="20" t="s">
        <v>71</v>
      </c>
      <c r="K184" s="11" t="s">
        <v>879</v>
      </c>
      <c r="L184" s="11"/>
      <c r="M184" s="12" t="s">
        <v>24</v>
      </c>
      <c r="N184" s="12" t="str">
        <f t="shared" si="13"/>
        <v>NO</v>
      </c>
      <c r="O184" s="12" t="str">
        <f t="shared" si="14"/>
        <v>🔴</v>
      </c>
      <c r="P184" s="14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</row>
    <row r="185" spans="1:85" ht="18" customHeight="1" x14ac:dyDescent="0.3">
      <c r="A185" s="15">
        <f t="shared" si="10"/>
        <v>184</v>
      </c>
      <c r="B185" s="15">
        <f t="shared" si="11"/>
        <v>184</v>
      </c>
      <c r="C185" s="16" t="s">
        <v>844</v>
      </c>
      <c r="D185" s="16" t="s">
        <v>864</v>
      </c>
      <c r="E185" s="17" t="str">
        <f t="shared" si="12"/>
        <v>VIP</v>
      </c>
      <c r="F185" s="16" t="s">
        <v>880</v>
      </c>
      <c r="G185" s="16" t="s">
        <v>881</v>
      </c>
      <c r="H185" s="16" t="s">
        <v>882</v>
      </c>
      <c r="I185" s="16" t="s">
        <v>883</v>
      </c>
      <c r="J185" s="13" t="s">
        <v>22</v>
      </c>
      <c r="K185" s="16" t="s">
        <v>884</v>
      </c>
      <c r="L185" s="16"/>
      <c r="M185" s="17" t="s">
        <v>24</v>
      </c>
      <c r="N185" s="17" t="str">
        <f t="shared" si="13"/>
        <v>SI</v>
      </c>
      <c r="O185" s="17" t="str">
        <f t="shared" si="14"/>
        <v>🟢</v>
      </c>
      <c r="P185" s="18" t="s">
        <v>885</v>
      </c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</row>
    <row r="186" spans="1:85" ht="18" customHeight="1" x14ac:dyDescent="0.3">
      <c r="A186" s="10">
        <f t="shared" si="10"/>
        <v>185</v>
      </c>
      <c r="B186" s="10">
        <f t="shared" si="11"/>
        <v>185</v>
      </c>
      <c r="C186" s="11" t="s">
        <v>844</v>
      </c>
      <c r="D186" s="11" t="s">
        <v>886</v>
      </c>
      <c r="E186" s="12" t="str">
        <f t="shared" si="12"/>
        <v>VIP</v>
      </c>
      <c r="F186" s="11" t="s">
        <v>887</v>
      </c>
      <c r="G186" s="11" t="s">
        <v>877</v>
      </c>
      <c r="H186" s="11" t="s">
        <v>888</v>
      </c>
      <c r="I186" s="11" t="s">
        <v>889</v>
      </c>
      <c r="J186" s="19" t="s">
        <v>57</v>
      </c>
      <c r="K186" s="11" t="s">
        <v>890</v>
      </c>
      <c r="L186" s="11"/>
      <c r="M186" s="12" t="s">
        <v>24</v>
      </c>
      <c r="N186" s="12" t="str">
        <f t="shared" si="13"/>
        <v>NO</v>
      </c>
      <c r="O186" s="12" t="str">
        <f t="shared" si="14"/>
        <v>🟡</v>
      </c>
      <c r="P186" s="14" t="s">
        <v>891</v>
      </c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</row>
    <row r="187" spans="1:85" ht="18" customHeight="1" x14ac:dyDescent="0.3">
      <c r="A187" s="15">
        <f t="shared" si="10"/>
        <v>186</v>
      </c>
      <c r="B187" s="15">
        <f t="shared" si="11"/>
        <v>186</v>
      </c>
      <c r="C187" s="16" t="s">
        <v>844</v>
      </c>
      <c r="D187" s="16" t="s">
        <v>892</v>
      </c>
      <c r="E187" s="17" t="str">
        <f t="shared" si="12"/>
        <v>VIP</v>
      </c>
      <c r="F187" s="16" t="s">
        <v>893</v>
      </c>
      <c r="G187" s="16" t="s">
        <v>894</v>
      </c>
      <c r="H187" s="16" t="s">
        <v>895</v>
      </c>
      <c r="I187" s="16" t="s">
        <v>524</v>
      </c>
      <c r="J187" s="13" t="s">
        <v>22</v>
      </c>
      <c r="K187" s="16" t="s">
        <v>896</v>
      </c>
      <c r="L187" s="16"/>
      <c r="M187" s="17" t="s">
        <v>24</v>
      </c>
      <c r="N187" s="17" t="str">
        <f t="shared" si="13"/>
        <v>SI</v>
      </c>
      <c r="O187" s="17" t="str">
        <f t="shared" si="14"/>
        <v>🟢</v>
      </c>
      <c r="P187" s="18" t="s">
        <v>897</v>
      </c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</row>
    <row r="188" spans="1:85" ht="18" customHeight="1" x14ac:dyDescent="0.3">
      <c r="A188" s="10">
        <f t="shared" si="10"/>
        <v>187</v>
      </c>
      <c r="B188" s="10">
        <f t="shared" si="11"/>
        <v>187</v>
      </c>
      <c r="C188" s="11" t="s">
        <v>844</v>
      </c>
      <c r="D188" s="11" t="s">
        <v>752</v>
      </c>
      <c r="E188" s="12" t="str">
        <f t="shared" si="12"/>
        <v>VIP</v>
      </c>
      <c r="F188" s="11" t="s">
        <v>898</v>
      </c>
      <c r="G188" s="11" t="s">
        <v>899</v>
      </c>
      <c r="H188" s="11" t="s">
        <v>900</v>
      </c>
      <c r="I188" s="11" t="s">
        <v>582</v>
      </c>
      <c r="J188" s="13" t="s">
        <v>22</v>
      </c>
      <c r="K188" s="11" t="s">
        <v>901</v>
      </c>
      <c r="L188" s="11"/>
      <c r="M188" s="12" t="s">
        <v>24</v>
      </c>
      <c r="N188" s="12" t="str">
        <f t="shared" si="13"/>
        <v>SI</v>
      </c>
      <c r="O188" s="12" t="str">
        <f t="shared" si="14"/>
        <v>🟢</v>
      </c>
      <c r="P188" s="14" t="s">
        <v>902</v>
      </c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</row>
    <row r="189" spans="1:85" s="5" customFormat="1" ht="18" customHeight="1" x14ac:dyDescent="0.3">
      <c r="A189" s="15">
        <f t="shared" si="10"/>
        <v>188</v>
      </c>
      <c r="B189" s="15">
        <f t="shared" si="11"/>
        <v>188</v>
      </c>
      <c r="C189" s="16" t="s">
        <v>844</v>
      </c>
      <c r="D189" s="16" t="s">
        <v>903</v>
      </c>
      <c r="E189" s="17" t="str">
        <f t="shared" si="12"/>
        <v/>
      </c>
      <c r="F189" s="16" t="s">
        <v>904</v>
      </c>
      <c r="G189" s="16" t="s">
        <v>454</v>
      </c>
      <c r="H189" s="16" t="s">
        <v>578</v>
      </c>
      <c r="I189" s="16" t="s">
        <v>506</v>
      </c>
      <c r="J189" s="19" t="s">
        <v>71</v>
      </c>
      <c r="K189" s="16" t="s">
        <v>905</v>
      </c>
      <c r="L189" s="16"/>
      <c r="M189" s="17" t="s">
        <v>24</v>
      </c>
      <c r="N189" s="17" t="str">
        <f t="shared" si="13"/>
        <v>NO</v>
      </c>
      <c r="O189" s="17" t="str">
        <f t="shared" si="14"/>
        <v>🔴</v>
      </c>
      <c r="P189" s="18" t="s">
        <v>906</v>
      </c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</row>
    <row r="190" spans="1:85" ht="18" customHeight="1" x14ac:dyDescent="0.3">
      <c r="A190" s="10">
        <f t="shared" si="10"/>
        <v>189</v>
      </c>
      <c r="B190" s="10">
        <f t="shared" si="11"/>
        <v>189</v>
      </c>
      <c r="C190" s="11" t="s">
        <v>907</v>
      </c>
      <c r="D190" s="11" t="s">
        <v>645</v>
      </c>
      <c r="E190" s="12" t="str">
        <f t="shared" si="12"/>
        <v>VIP</v>
      </c>
      <c r="F190" s="11" t="s">
        <v>908</v>
      </c>
      <c r="G190" s="11" t="s">
        <v>68</v>
      </c>
      <c r="H190" s="11" t="s">
        <v>909</v>
      </c>
      <c r="I190" s="11"/>
      <c r="J190" s="13" t="s">
        <v>22</v>
      </c>
      <c r="K190" s="11" t="s">
        <v>910</v>
      </c>
      <c r="L190" s="11"/>
      <c r="M190" s="12" t="s">
        <v>24</v>
      </c>
      <c r="N190" s="12" t="str">
        <f t="shared" si="13"/>
        <v>SI</v>
      </c>
      <c r="O190" s="12" t="str">
        <f t="shared" si="14"/>
        <v>🟢</v>
      </c>
      <c r="P190" s="14" t="s">
        <v>911</v>
      </c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</row>
    <row r="191" spans="1:85" ht="18" customHeight="1" x14ac:dyDescent="0.3">
      <c r="A191" s="15">
        <f t="shared" si="10"/>
        <v>190</v>
      </c>
      <c r="B191" s="15">
        <f t="shared" si="11"/>
        <v>190</v>
      </c>
      <c r="C191" s="16" t="s">
        <v>907</v>
      </c>
      <c r="D191" s="16" t="s">
        <v>912</v>
      </c>
      <c r="E191" s="17" t="str">
        <f t="shared" si="12"/>
        <v>VIP</v>
      </c>
      <c r="F191" s="16" t="s">
        <v>913</v>
      </c>
      <c r="G191" s="16" t="s">
        <v>914</v>
      </c>
      <c r="H191" s="16" t="s">
        <v>915</v>
      </c>
      <c r="I191" s="16"/>
      <c r="J191" s="13" t="s">
        <v>22</v>
      </c>
      <c r="K191" s="16" t="s">
        <v>916</v>
      </c>
      <c r="L191" s="16"/>
      <c r="M191" s="17" t="s">
        <v>24</v>
      </c>
      <c r="N191" s="17" t="str">
        <f t="shared" si="13"/>
        <v>SI</v>
      </c>
      <c r="O191" s="17" t="str">
        <f t="shared" si="14"/>
        <v>🟢</v>
      </c>
      <c r="P191" s="18" t="s">
        <v>917</v>
      </c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</row>
    <row r="192" spans="1:85" ht="18" customHeight="1" x14ac:dyDescent="0.3">
      <c r="A192" s="10">
        <f t="shared" si="10"/>
        <v>191</v>
      </c>
      <c r="B192" s="10">
        <f t="shared" si="11"/>
        <v>191</v>
      </c>
      <c r="C192" s="11" t="s">
        <v>907</v>
      </c>
      <c r="D192" s="11" t="s">
        <v>752</v>
      </c>
      <c r="E192" s="12" t="str">
        <f t="shared" si="12"/>
        <v>VIP</v>
      </c>
      <c r="F192" s="11" t="s">
        <v>918</v>
      </c>
      <c r="G192" s="11" t="s">
        <v>114</v>
      </c>
      <c r="H192" s="11" t="s">
        <v>919</v>
      </c>
      <c r="I192" s="11" t="s">
        <v>920</v>
      </c>
      <c r="J192" s="19" t="s">
        <v>57</v>
      </c>
      <c r="K192" s="11" t="s">
        <v>921</v>
      </c>
      <c r="L192" s="11"/>
      <c r="M192" s="12" t="s">
        <v>24</v>
      </c>
      <c r="N192" s="12" t="str">
        <f t="shared" si="13"/>
        <v>NO</v>
      </c>
      <c r="O192" s="12" t="str">
        <f t="shared" si="14"/>
        <v>🟡</v>
      </c>
      <c r="P192" s="14" t="s">
        <v>922</v>
      </c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</row>
    <row r="193" spans="1:85" ht="18" customHeight="1" x14ac:dyDescent="0.3">
      <c r="A193" s="15">
        <f t="shared" si="10"/>
        <v>192</v>
      </c>
      <c r="B193" s="15">
        <f t="shared" si="11"/>
        <v>192</v>
      </c>
      <c r="C193" s="16" t="s">
        <v>907</v>
      </c>
      <c r="D193" s="16" t="s">
        <v>752</v>
      </c>
      <c r="E193" s="17" t="str">
        <f t="shared" si="12"/>
        <v>VIP</v>
      </c>
      <c r="F193" s="16" t="s">
        <v>923</v>
      </c>
      <c r="G193" s="16" t="s">
        <v>924</v>
      </c>
      <c r="H193" s="16" t="s">
        <v>925</v>
      </c>
      <c r="I193" s="16" t="s">
        <v>926</v>
      </c>
      <c r="J193" s="13" t="s">
        <v>22</v>
      </c>
      <c r="K193" s="16" t="s">
        <v>927</v>
      </c>
      <c r="L193" s="16"/>
      <c r="M193" s="17" t="s">
        <v>24</v>
      </c>
      <c r="N193" s="17" t="str">
        <f t="shared" si="13"/>
        <v>SI</v>
      </c>
      <c r="O193" s="17" t="str">
        <f t="shared" si="14"/>
        <v>🟢</v>
      </c>
      <c r="P193" s="18" t="s">
        <v>928</v>
      </c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</row>
    <row r="194" spans="1:85" ht="18" customHeight="1" x14ac:dyDescent="0.3">
      <c r="A194" s="10">
        <f t="shared" ref="A194:A257" si="15">IF(COUNTA(C194:K194)=0,"",ROW()-1)</f>
        <v>193</v>
      </c>
      <c r="B194" s="10">
        <f t="shared" ref="B194:B257" si="16">IF($F194&lt;&gt;"",$A194,"")</f>
        <v>193</v>
      </c>
      <c r="C194" s="11" t="s">
        <v>907</v>
      </c>
      <c r="D194" s="11" t="s">
        <v>929</v>
      </c>
      <c r="E194" s="12" t="str">
        <f t="shared" ref="E194:E257" si="17">IF(UPPER($J194)="NO","",$M194)</f>
        <v/>
      </c>
      <c r="F194" s="11" t="s">
        <v>930</v>
      </c>
      <c r="G194" s="11" t="s">
        <v>640</v>
      </c>
      <c r="H194" s="11" t="s">
        <v>42</v>
      </c>
      <c r="I194" s="11" t="s">
        <v>931</v>
      </c>
      <c r="J194" s="19" t="s">
        <v>71</v>
      </c>
      <c r="K194" s="11" t="s">
        <v>932</v>
      </c>
      <c r="L194" s="11"/>
      <c r="M194" s="12" t="s">
        <v>24</v>
      </c>
      <c r="N194" s="12" t="str">
        <f t="shared" ref="N194:N257" si="18">IF(AND(UPPER($M194)="VIP",UPPER($J194)="SI",$F194&lt;&gt;""),"SI","NO")</f>
        <v>NO</v>
      </c>
      <c r="O194" s="12" t="str">
        <f t="shared" ref="O194:O257" si="19">IF(UPPER($J194)="SI","🟢",IF(UPPER($J194)="NO","🔴","🟡"))</f>
        <v>🔴</v>
      </c>
      <c r="P194" s="14" t="s">
        <v>933</v>
      </c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</row>
    <row r="195" spans="1:85" ht="18" customHeight="1" x14ac:dyDescent="0.3">
      <c r="A195" s="15">
        <f t="shared" si="15"/>
        <v>194</v>
      </c>
      <c r="B195" s="15">
        <f t="shared" si="16"/>
        <v>194</v>
      </c>
      <c r="C195" s="16" t="s">
        <v>907</v>
      </c>
      <c r="D195" s="16" t="s">
        <v>903</v>
      </c>
      <c r="E195" s="17" t="str">
        <f t="shared" si="17"/>
        <v/>
      </c>
      <c r="F195" s="16" t="s">
        <v>934</v>
      </c>
      <c r="G195" s="16" t="s">
        <v>91</v>
      </c>
      <c r="H195" s="16" t="s">
        <v>935</v>
      </c>
      <c r="I195" s="16" t="s">
        <v>936</v>
      </c>
      <c r="J195" s="20" t="s">
        <v>71</v>
      </c>
      <c r="K195" s="16" t="s">
        <v>937</v>
      </c>
      <c r="L195" s="16"/>
      <c r="M195" s="17" t="s">
        <v>24</v>
      </c>
      <c r="N195" s="17" t="str">
        <f t="shared" si="18"/>
        <v>NO</v>
      </c>
      <c r="O195" s="17" t="str">
        <f t="shared" si="19"/>
        <v>🔴</v>
      </c>
      <c r="P195" s="18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</row>
    <row r="196" spans="1:85" s="5" customFormat="1" ht="18" customHeight="1" x14ac:dyDescent="0.3">
      <c r="A196" s="10">
        <f t="shared" si="15"/>
        <v>195</v>
      </c>
      <c r="B196" s="10">
        <f t="shared" si="16"/>
        <v>195</v>
      </c>
      <c r="C196" s="11" t="s">
        <v>907</v>
      </c>
      <c r="D196" s="11" t="s">
        <v>752</v>
      </c>
      <c r="E196" s="12" t="str">
        <f t="shared" si="17"/>
        <v/>
      </c>
      <c r="F196" s="11" t="s">
        <v>938</v>
      </c>
      <c r="G196" s="11" t="s">
        <v>939</v>
      </c>
      <c r="H196" s="11" t="s">
        <v>940</v>
      </c>
      <c r="I196" s="11" t="s">
        <v>461</v>
      </c>
      <c r="J196" s="19" t="s">
        <v>71</v>
      </c>
      <c r="K196" s="11" t="s">
        <v>941</v>
      </c>
      <c r="L196" s="11"/>
      <c r="M196" s="12" t="s">
        <v>24</v>
      </c>
      <c r="N196" s="12" t="str">
        <f t="shared" si="18"/>
        <v>NO</v>
      </c>
      <c r="O196" s="12" t="str">
        <f t="shared" si="19"/>
        <v>🔴</v>
      </c>
      <c r="P196" s="14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</row>
    <row r="197" spans="1:85" ht="18" customHeight="1" x14ac:dyDescent="0.3">
      <c r="A197" s="15">
        <f t="shared" si="15"/>
        <v>196</v>
      </c>
      <c r="B197" s="15">
        <f t="shared" si="16"/>
        <v>196</v>
      </c>
      <c r="C197" s="16" t="s">
        <v>942</v>
      </c>
      <c r="D197" s="16" t="s">
        <v>943</v>
      </c>
      <c r="E197" s="17" t="str">
        <f t="shared" si="17"/>
        <v/>
      </c>
      <c r="F197" s="16" t="s">
        <v>944</v>
      </c>
      <c r="G197" s="16" t="s">
        <v>945</v>
      </c>
      <c r="H197" s="16" t="s">
        <v>99</v>
      </c>
      <c r="I197" s="16" t="s">
        <v>946</v>
      </c>
      <c r="J197" s="19" t="s">
        <v>71</v>
      </c>
      <c r="K197" s="16" t="s">
        <v>947</v>
      </c>
      <c r="L197" s="16"/>
      <c r="M197" s="17" t="s">
        <v>24</v>
      </c>
      <c r="N197" s="17" t="str">
        <f t="shared" si="18"/>
        <v>NO</v>
      </c>
      <c r="O197" s="17" t="str">
        <f t="shared" si="19"/>
        <v>🔴</v>
      </c>
      <c r="P197" s="18" t="s">
        <v>948</v>
      </c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</row>
    <row r="198" spans="1:85" ht="18" customHeight="1" x14ac:dyDescent="0.3">
      <c r="A198" s="10">
        <f t="shared" si="15"/>
        <v>197</v>
      </c>
      <c r="B198" s="10">
        <f t="shared" si="16"/>
        <v>197</v>
      </c>
      <c r="C198" s="11" t="s">
        <v>942</v>
      </c>
      <c r="D198" s="11" t="s">
        <v>943</v>
      </c>
      <c r="E198" s="12" t="str">
        <f t="shared" si="17"/>
        <v>VIP</v>
      </c>
      <c r="F198" s="11" t="s">
        <v>949</v>
      </c>
      <c r="G198" s="11" t="s">
        <v>322</v>
      </c>
      <c r="H198" s="11" t="s">
        <v>950</v>
      </c>
      <c r="I198" s="11" t="s">
        <v>951</v>
      </c>
      <c r="J198" s="13" t="s">
        <v>22</v>
      </c>
      <c r="K198" s="11" t="s">
        <v>952</v>
      </c>
      <c r="L198" s="11"/>
      <c r="M198" s="12" t="s">
        <v>24</v>
      </c>
      <c r="N198" s="12" t="str">
        <f t="shared" si="18"/>
        <v>SI</v>
      </c>
      <c r="O198" s="12" t="str">
        <f t="shared" si="19"/>
        <v>🟢</v>
      </c>
      <c r="P198" s="14" t="s">
        <v>953</v>
      </c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</row>
    <row r="199" spans="1:85" ht="18" customHeight="1" x14ac:dyDescent="0.3">
      <c r="A199" s="15">
        <f t="shared" si="15"/>
        <v>198</v>
      </c>
      <c r="B199" s="15">
        <f t="shared" si="16"/>
        <v>198</v>
      </c>
      <c r="C199" s="16" t="s">
        <v>942</v>
      </c>
      <c r="D199" s="16" t="s">
        <v>943</v>
      </c>
      <c r="E199" s="17" t="str">
        <f t="shared" si="17"/>
        <v>VIP</v>
      </c>
      <c r="F199" s="16" t="s">
        <v>954</v>
      </c>
      <c r="G199" s="16" t="s">
        <v>91</v>
      </c>
      <c r="H199" s="16" t="s">
        <v>400</v>
      </c>
      <c r="I199" s="16" t="s">
        <v>683</v>
      </c>
      <c r="J199" s="13" t="s">
        <v>22</v>
      </c>
      <c r="K199" s="16" t="s">
        <v>955</v>
      </c>
      <c r="L199" s="16"/>
      <c r="M199" s="17" t="s">
        <v>24</v>
      </c>
      <c r="N199" s="17" t="str">
        <f t="shared" si="18"/>
        <v>SI</v>
      </c>
      <c r="O199" s="17" t="str">
        <f t="shared" si="19"/>
        <v>🟢</v>
      </c>
      <c r="P199" s="18" t="s">
        <v>956</v>
      </c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</row>
    <row r="200" spans="1:85" ht="18" customHeight="1" x14ac:dyDescent="0.3">
      <c r="A200" s="10">
        <f t="shared" si="15"/>
        <v>199</v>
      </c>
      <c r="B200" s="10">
        <f t="shared" si="16"/>
        <v>199</v>
      </c>
      <c r="C200" s="11" t="s">
        <v>942</v>
      </c>
      <c r="D200" s="11" t="s">
        <v>943</v>
      </c>
      <c r="E200" s="12" t="str">
        <f t="shared" si="17"/>
        <v>VIP</v>
      </c>
      <c r="F200" s="11" t="s">
        <v>957</v>
      </c>
      <c r="G200" s="11" t="s">
        <v>690</v>
      </c>
      <c r="H200" s="11" t="s">
        <v>958</v>
      </c>
      <c r="I200" s="11" t="s">
        <v>959</v>
      </c>
      <c r="J200" s="13" t="s">
        <v>22</v>
      </c>
      <c r="K200" s="11" t="s">
        <v>960</v>
      </c>
      <c r="L200" s="11"/>
      <c r="M200" s="12" t="s">
        <v>24</v>
      </c>
      <c r="N200" s="12" t="str">
        <f t="shared" si="18"/>
        <v>SI</v>
      </c>
      <c r="O200" s="12" t="str">
        <f t="shared" si="19"/>
        <v>🟢</v>
      </c>
      <c r="P200" s="14" t="s">
        <v>961</v>
      </c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</row>
    <row r="201" spans="1:85" ht="18" customHeight="1" x14ac:dyDescent="0.3">
      <c r="A201" s="15">
        <f t="shared" si="15"/>
        <v>200</v>
      </c>
      <c r="B201" s="15">
        <f t="shared" si="16"/>
        <v>200</v>
      </c>
      <c r="C201" s="16" t="s">
        <v>942</v>
      </c>
      <c r="D201" s="16" t="s">
        <v>943</v>
      </c>
      <c r="E201" s="17" t="str">
        <f t="shared" si="17"/>
        <v>VIP</v>
      </c>
      <c r="F201" s="16" t="s">
        <v>962</v>
      </c>
      <c r="G201" s="16" t="s">
        <v>615</v>
      </c>
      <c r="H201" s="16" t="s">
        <v>963</v>
      </c>
      <c r="I201" s="16" t="s">
        <v>964</v>
      </c>
      <c r="J201" s="19" t="s">
        <v>57</v>
      </c>
      <c r="K201" s="16" t="s">
        <v>965</v>
      </c>
      <c r="L201" s="16"/>
      <c r="M201" s="17" t="s">
        <v>24</v>
      </c>
      <c r="N201" s="17" t="str">
        <f t="shared" si="18"/>
        <v>NO</v>
      </c>
      <c r="O201" s="17" t="str">
        <f t="shared" si="19"/>
        <v>🟡</v>
      </c>
      <c r="P201" s="18" t="s">
        <v>966</v>
      </c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</row>
    <row r="202" spans="1:85" ht="18" customHeight="1" x14ac:dyDescent="0.3">
      <c r="A202" s="10">
        <f t="shared" si="15"/>
        <v>201</v>
      </c>
      <c r="B202" s="10">
        <f t="shared" si="16"/>
        <v>201</v>
      </c>
      <c r="C202" s="11" t="s">
        <v>942</v>
      </c>
      <c r="D202" s="11" t="s">
        <v>943</v>
      </c>
      <c r="E202" s="12" t="str">
        <f t="shared" si="17"/>
        <v/>
      </c>
      <c r="F202" s="11" t="s">
        <v>967</v>
      </c>
      <c r="G202" s="11" t="s">
        <v>394</v>
      </c>
      <c r="H202" s="11" t="s">
        <v>968</v>
      </c>
      <c r="I202" s="11" t="s">
        <v>969</v>
      </c>
      <c r="J202" s="20" t="s">
        <v>71</v>
      </c>
      <c r="K202" s="11" t="s">
        <v>970</v>
      </c>
      <c r="L202" s="11"/>
      <c r="M202" s="12" t="s">
        <v>24</v>
      </c>
      <c r="N202" s="12" t="str">
        <f t="shared" si="18"/>
        <v>NO</v>
      </c>
      <c r="O202" s="12" t="str">
        <f t="shared" si="19"/>
        <v>🔴</v>
      </c>
      <c r="P202" s="14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</row>
    <row r="203" spans="1:85" ht="18" customHeight="1" x14ac:dyDescent="0.3">
      <c r="A203" s="15">
        <f t="shared" si="15"/>
        <v>202</v>
      </c>
      <c r="B203" s="15">
        <f t="shared" si="16"/>
        <v>202</v>
      </c>
      <c r="C203" s="16" t="s">
        <v>942</v>
      </c>
      <c r="D203" s="16" t="s">
        <v>943</v>
      </c>
      <c r="E203" s="17" t="str">
        <f t="shared" si="17"/>
        <v/>
      </c>
      <c r="F203" s="16" t="s">
        <v>971</v>
      </c>
      <c r="G203" s="16" t="s">
        <v>114</v>
      </c>
      <c r="H203" s="16" t="s">
        <v>972</v>
      </c>
      <c r="I203" s="16" t="s">
        <v>973</v>
      </c>
      <c r="J203" s="19" t="s">
        <v>71</v>
      </c>
      <c r="K203" s="16" t="s">
        <v>974</v>
      </c>
      <c r="L203" s="16"/>
      <c r="M203" s="17" t="s">
        <v>24</v>
      </c>
      <c r="N203" s="17" t="str">
        <f t="shared" si="18"/>
        <v>NO</v>
      </c>
      <c r="O203" s="17" t="str">
        <f t="shared" si="19"/>
        <v>🔴</v>
      </c>
      <c r="P203" s="18" t="s">
        <v>975</v>
      </c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</row>
    <row r="204" spans="1:85" ht="18" customHeight="1" x14ac:dyDescent="0.3">
      <c r="A204" s="10">
        <f t="shared" si="15"/>
        <v>203</v>
      </c>
      <c r="B204" s="10">
        <f t="shared" si="16"/>
        <v>203</v>
      </c>
      <c r="C204" s="11" t="s">
        <v>942</v>
      </c>
      <c r="D204" s="11" t="s">
        <v>752</v>
      </c>
      <c r="E204" s="12" t="str">
        <f t="shared" si="17"/>
        <v>VIP</v>
      </c>
      <c r="F204" s="11" t="s">
        <v>976</v>
      </c>
      <c r="G204" s="11" t="s">
        <v>977</v>
      </c>
      <c r="H204" s="11" t="s">
        <v>978</v>
      </c>
      <c r="I204" s="11" t="s">
        <v>979</v>
      </c>
      <c r="J204" s="13" t="s">
        <v>22</v>
      </c>
      <c r="K204" s="11" t="s">
        <v>980</v>
      </c>
      <c r="L204" s="11"/>
      <c r="M204" s="12" t="s">
        <v>24</v>
      </c>
      <c r="N204" s="12" t="str">
        <f t="shared" si="18"/>
        <v>SI</v>
      </c>
      <c r="O204" s="12" t="str">
        <f t="shared" si="19"/>
        <v>🟢</v>
      </c>
      <c r="P204" s="14" t="s">
        <v>981</v>
      </c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</row>
    <row r="205" spans="1:85" ht="18" customHeight="1" x14ac:dyDescent="0.3">
      <c r="A205" s="15">
        <f t="shared" si="15"/>
        <v>204</v>
      </c>
      <c r="B205" s="15">
        <f t="shared" si="16"/>
        <v>204</v>
      </c>
      <c r="C205" s="16" t="s">
        <v>942</v>
      </c>
      <c r="D205" s="16" t="s">
        <v>95</v>
      </c>
      <c r="E205" s="17" t="str">
        <f t="shared" si="17"/>
        <v>VIP</v>
      </c>
      <c r="F205" s="16" t="s">
        <v>982</v>
      </c>
      <c r="G205" s="16" t="s">
        <v>725</v>
      </c>
      <c r="H205" s="16" t="s">
        <v>983</v>
      </c>
      <c r="I205" s="16" t="s">
        <v>172</v>
      </c>
      <c r="J205" s="13" t="s">
        <v>22</v>
      </c>
      <c r="K205" s="16" t="s">
        <v>984</v>
      </c>
      <c r="L205" s="16"/>
      <c r="M205" s="17" t="s">
        <v>24</v>
      </c>
      <c r="N205" s="17" t="str">
        <f t="shared" si="18"/>
        <v>SI</v>
      </c>
      <c r="O205" s="17" t="str">
        <f t="shared" si="19"/>
        <v>🟢</v>
      </c>
      <c r="P205" s="18" t="s">
        <v>985</v>
      </c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</row>
    <row r="206" spans="1:85" ht="18" customHeight="1" x14ac:dyDescent="0.3">
      <c r="A206" s="10">
        <f t="shared" si="15"/>
        <v>205</v>
      </c>
      <c r="B206" s="10">
        <f t="shared" si="16"/>
        <v>205</v>
      </c>
      <c r="C206" s="11" t="s">
        <v>942</v>
      </c>
      <c r="D206" s="11"/>
      <c r="E206" s="12" t="str">
        <f t="shared" si="17"/>
        <v>VIP</v>
      </c>
      <c r="F206" s="11" t="s">
        <v>986</v>
      </c>
      <c r="G206" s="11" t="s">
        <v>355</v>
      </c>
      <c r="H206" s="11" t="s">
        <v>987</v>
      </c>
      <c r="I206" s="11" t="s">
        <v>988</v>
      </c>
      <c r="J206" s="13" t="s">
        <v>22</v>
      </c>
      <c r="K206" s="11" t="s">
        <v>989</v>
      </c>
      <c r="L206" s="11"/>
      <c r="M206" s="12" t="s">
        <v>24</v>
      </c>
      <c r="N206" s="12" t="str">
        <f t="shared" si="18"/>
        <v>SI</v>
      </c>
      <c r="O206" s="12" t="str">
        <f t="shared" si="19"/>
        <v>🟢</v>
      </c>
      <c r="P206" s="14" t="s">
        <v>990</v>
      </c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</row>
    <row r="207" spans="1:85" ht="18" customHeight="1" x14ac:dyDescent="0.3">
      <c r="A207" s="15">
        <f t="shared" si="15"/>
        <v>206</v>
      </c>
      <c r="B207" s="15">
        <f t="shared" si="16"/>
        <v>206</v>
      </c>
      <c r="C207" s="16" t="s">
        <v>942</v>
      </c>
      <c r="D207" s="16"/>
      <c r="E207" s="17" t="str">
        <f t="shared" si="17"/>
        <v>VIP</v>
      </c>
      <c r="F207" s="16" t="s">
        <v>991</v>
      </c>
      <c r="G207" s="16" t="s">
        <v>114</v>
      </c>
      <c r="H207" s="16" t="s">
        <v>116</v>
      </c>
      <c r="I207" s="16" t="s">
        <v>992</v>
      </c>
      <c r="J207" s="13" t="s">
        <v>22</v>
      </c>
      <c r="K207" s="16" t="s">
        <v>993</v>
      </c>
      <c r="L207" s="16"/>
      <c r="M207" s="17" t="s">
        <v>24</v>
      </c>
      <c r="N207" s="17" t="str">
        <f t="shared" si="18"/>
        <v>SI</v>
      </c>
      <c r="O207" s="17" t="str">
        <f t="shared" si="19"/>
        <v>🟢</v>
      </c>
      <c r="P207" s="18" t="s">
        <v>994</v>
      </c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</row>
    <row r="208" spans="1:85" ht="18" customHeight="1" x14ac:dyDescent="0.3">
      <c r="A208" s="10">
        <f t="shared" si="15"/>
        <v>207</v>
      </c>
      <c r="B208" s="10">
        <f t="shared" si="16"/>
        <v>207</v>
      </c>
      <c r="C208" s="11" t="s">
        <v>942</v>
      </c>
      <c r="D208" s="11"/>
      <c r="E208" s="12" t="str">
        <f t="shared" si="17"/>
        <v>VIP</v>
      </c>
      <c r="F208" s="11" t="s">
        <v>995</v>
      </c>
      <c r="G208" s="11" t="s">
        <v>996</v>
      </c>
      <c r="H208" s="11" t="s">
        <v>997</v>
      </c>
      <c r="I208" s="11" t="s">
        <v>998</v>
      </c>
      <c r="J208" s="13" t="s">
        <v>22</v>
      </c>
      <c r="K208" s="11" t="s">
        <v>999</v>
      </c>
      <c r="L208" s="11"/>
      <c r="M208" s="12" t="s">
        <v>24</v>
      </c>
      <c r="N208" s="12" t="str">
        <f t="shared" si="18"/>
        <v>SI</v>
      </c>
      <c r="O208" s="12" t="str">
        <f t="shared" si="19"/>
        <v>🟢</v>
      </c>
      <c r="P208" s="14" t="s">
        <v>1000</v>
      </c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</row>
    <row r="209" spans="1:85" ht="18" customHeight="1" x14ac:dyDescent="0.3">
      <c r="A209" s="15">
        <f t="shared" si="15"/>
        <v>208</v>
      </c>
      <c r="B209" s="15">
        <f t="shared" si="16"/>
        <v>208</v>
      </c>
      <c r="C209" s="16" t="s">
        <v>942</v>
      </c>
      <c r="D209" s="16"/>
      <c r="E209" s="17" t="str">
        <f t="shared" si="17"/>
        <v>VIP</v>
      </c>
      <c r="F209" s="16" t="s">
        <v>1001</v>
      </c>
      <c r="G209" s="16" t="s">
        <v>1002</v>
      </c>
      <c r="H209" s="16" t="s">
        <v>950</v>
      </c>
      <c r="I209" s="16" t="s">
        <v>1003</v>
      </c>
      <c r="J209" s="19" t="s">
        <v>22</v>
      </c>
      <c r="K209" s="16" t="s">
        <v>1004</v>
      </c>
      <c r="L209" s="16"/>
      <c r="M209" s="17" t="s">
        <v>24</v>
      </c>
      <c r="N209" s="17" t="str">
        <f t="shared" si="18"/>
        <v>SI</v>
      </c>
      <c r="O209" s="17" t="str">
        <f t="shared" si="19"/>
        <v>🟢</v>
      </c>
      <c r="P209" s="18" t="s">
        <v>1005</v>
      </c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</row>
    <row r="210" spans="1:85" ht="18" customHeight="1" x14ac:dyDescent="0.3">
      <c r="A210" s="10">
        <f t="shared" si="15"/>
        <v>209</v>
      </c>
      <c r="B210" s="10">
        <f t="shared" si="16"/>
        <v>209</v>
      </c>
      <c r="C210" s="11" t="s">
        <v>942</v>
      </c>
      <c r="D210" s="11"/>
      <c r="E210" s="12" t="str">
        <f t="shared" si="17"/>
        <v>VIP</v>
      </c>
      <c r="F210" s="11" t="s">
        <v>1006</v>
      </c>
      <c r="G210" s="11" t="s">
        <v>473</v>
      </c>
      <c r="H210" s="11" t="s">
        <v>1007</v>
      </c>
      <c r="I210" s="11" t="s">
        <v>1008</v>
      </c>
      <c r="J210" s="13" t="s">
        <v>22</v>
      </c>
      <c r="K210" s="11" t="s">
        <v>1009</v>
      </c>
      <c r="L210" s="11"/>
      <c r="M210" s="12" t="s">
        <v>24</v>
      </c>
      <c r="N210" s="12" t="str">
        <f t="shared" si="18"/>
        <v>SI</v>
      </c>
      <c r="O210" s="12" t="str">
        <f t="shared" si="19"/>
        <v>🟢</v>
      </c>
      <c r="P210" s="14" t="s">
        <v>1010</v>
      </c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</row>
    <row r="211" spans="1:85" s="5" customFormat="1" ht="18" customHeight="1" x14ac:dyDescent="0.3">
      <c r="A211" s="15">
        <f t="shared" si="15"/>
        <v>210</v>
      </c>
      <c r="B211" s="15">
        <f t="shared" si="16"/>
        <v>210</v>
      </c>
      <c r="C211" s="16" t="s">
        <v>942</v>
      </c>
      <c r="D211" s="16"/>
      <c r="E211" s="17" t="str">
        <f t="shared" si="17"/>
        <v>VIP</v>
      </c>
      <c r="F211" s="16" t="s">
        <v>1011</v>
      </c>
      <c r="G211" s="16" t="s">
        <v>1012</v>
      </c>
      <c r="H211" s="16" t="s">
        <v>1013</v>
      </c>
      <c r="I211" s="16" t="s">
        <v>1014</v>
      </c>
      <c r="J211" s="13" t="s">
        <v>22</v>
      </c>
      <c r="K211" s="16" t="s">
        <v>1015</v>
      </c>
      <c r="L211" s="16"/>
      <c r="M211" s="17" t="s">
        <v>24</v>
      </c>
      <c r="N211" s="17" t="str">
        <f t="shared" si="18"/>
        <v>SI</v>
      </c>
      <c r="O211" s="17" t="str">
        <f t="shared" si="19"/>
        <v>🟢</v>
      </c>
      <c r="P211" s="18" t="s">
        <v>1016</v>
      </c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</row>
    <row r="212" spans="1:85" ht="18" customHeight="1" x14ac:dyDescent="0.3">
      <c r="A212" s="10">
        <f t="shared" si="15"/>
        <v>211</v>
      </c>
      <c r="B212" s="10">
        <f t="shared" si="16"/>
        <v>211</v>
      </c>
      <c r="C212" s="11" t="s">
        <v>1017</v>
      </c>
      <c r="D212" s="11" t="s">
        <v>315</v>
      </c>
      <c r="E212" s="12" t="str">
        <f t="shared" si="17"/>
        <v>VIP</v>
      </c>
      <c r="F212" s="11" t="s">
        <v>1018</v>
      </c>
      <c r="G212" s="11" t="s">
        <v>1019</v>
      </c>
      <c r="H212" s="11" t="s">
        <v>1020</v>
      </c>
      <c r="I212" s="11" t="s">
        <v>1021</v>
      </c>
      <c r="J212" s="13" t="s">
        <v>22</v>
      </c>
      <c r="K212" s="11" t="s">
        <v>1022</v>
      </c>
      <c r="L212" s="11"/>
      <c r="M212" s="12" t="s">
        <v>24</v>
      </c>
      <c r="N212" s="12" t="str">
        <f t="shared" si="18"/>
        <v>SI</v>
      </c>
      <c r="O212" s="12" t="str">
        <f t="shared" si="19"/>
        <v>🟢</v>
      </c>
      <c r="P212" s="14" t="s">
        <v>1023</v>
      </c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</row>
    <row r="213" spans="1:85" ht="18" customHeight="1" x14ac:dyDescent="0.3">
      <c r="A213" s="15">
        <f t="shared" si="15"/>
        <v>212</v>
      </c>
      <c r="B213" s="15">
        <f t="shared" si="16"/>
        <v>212</v>
      </c>
      <c r="C213" s="16" t="s">
        <v>1017</v>
      </c>
      <c r="D213" s="16" t="s">
        <v>929</v>
      </c>
      <c r="E213" s="17" t="str">
        <f t="shared" si="17"/>
        <v/>
      </c>
      <c r="F213" s="16" t="s">
        <v>1024</v>
      </c>
      <c r="G213" s="16" t="s">
        <v>473</v>
      </c>
      <c r="H213" s="16" t="s">
        <v>99</v>
      </c>
      <c r="I213" s="16" t="s">
        <v>1025</v>
      </c>
      <c r="J213" s="20" t="s">
        <v>71</v>
      </c>
      <c r="K213" s="16" t="s">
        <v>1026</v>
      </c>
      <c r="L213" s="16"/>
      <c r="M213" s="17" t="s">
        <v>24</v>
      </c>
      <c r="N213" s="17" t="str">
        <f t="shared" si="18"/>
        <v>NO</v>
      </c>
      <c r="O213" s="17" t="str">
        <f t="shared" si="19"/>
        <v>🔴</v>
      </c>
      <c r="P213" s="18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</row>
    <row r="214" spans="1:85" ht="18" customHeight="1" x14ac:dyDescent="0.3">
      <c r="A214" s="10">
        <f t="shared" si="15"/>
        <v>213</v>
      </c>
      <c r="B214" s="10">
        <f t="shared" si="16"/>
        <v>213</v>
      </c>
      <c r="C214" s="11" t="s">
        <v>1017</v>
      </c>
      <c r="D214" s="11" t="s">
        <v>645</v>
      </c>
      <c r="E214" s="12" t="str">
        <f t="shared" si="17"/>
        <v>VIP</v>
      </c>
      <c r="F214" s="11" t="s">
        <v>1027</v>
      </c>
      <c r="G214" s="11" t="s">
        <v>481</v>
      </c>
      <c r="H214" s="11" t="s">
        <v>1028</v>
      </c>
      <c r="I214" s="11" t="s">
        <v>1029</v>
      </c>
      <c r="J214" s="13" t="s">
        <v>22</v>
      </c>
      <c r="K214" s="11" t="s">
        <v>1030</v>
      </c>
      <c r="L214" s="11"/>
      <c r="M214" s="12" t="s">
        <v>24</v>
      </c>
      <c r="N214" s="12" t="str">
        <f t="shared" si="18"/>
        <v>SI</v>
      </c>
      <c r="O214" s="12" t="str">
        <f t="shared" si="19"/>
        <v>🟢</v>
      </c>
      <c r="P214" s="14" t="s">
        <v>1031</v>
      </c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</row>
    <row r="215" spans="1:85" ht="18" customHeight="1" x14ac:dyDescent="0.3">
      <c r="A215" s="15">
        <f t="shared" si="15"/>
        <v>214</v>
      </c>
      <c r="B215" s="15">
        <f t="shared" si="16"/>
        <v>214</v>
      </c>
      <c r="C215" s="16" t="s">
        <v>1017</v>
      </c>
      <c r="D215" s="16" t="s">
        <v>645</v>
      </c>
      <c r="E215" s="17" t="str">
        <f t="shared" si="17"/>
        <v>VIP</v>
      </c>
      <c r="F215" s="16" t="s">
        <v>1032</v>
      </c>
      <c r="G215" s="16" t="s">
        <v>1033</v>
      </c>
      <c r="H215" s="16" t="s">
        <v>1034</v>
      </c>
      <c r="I215" s="16" t="s">
        <v>1035</v>
      </c>
      <c r="J215" s="13" t="s">
        <v>22</v>
      </c>
      <c r="K215" s="16" t="s">
        <v>1036</v>
      </c>
      <c r="L215" s="16"/>
      <c r="M215" s="17" t="s">
        <v>24</v>
      </c>
      <c r="N215" s="17" t="str">
        <f t="shared" si="18"/>
        <v>SI</v>
      </c>
      <c r="O215" s="17" t="str">
        <f t="shared" si="19"/>
        <v>🟢</v>
      </c>
      <c r="P215" s="18" t="s">
        <v>1037</v>
      </c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</row>
    <row r="216" spans="1:85" ht="18" customHeight="1" x14ac:dyDescent="0.3">
      <c r="A216" s="10">
        <f t="shared" si="15"/>
        <v>215</v>
      </c>
      <c r="B216" s="10">
        <f t="shared" si="16"/>
        <v>215</v>
      </c>
      <c r="C216" s="11" t="s">
        <v>1017</v>
      </c>
      <c r="D216" s="11" t="s">
        <v>645</v>
      </c>
      <c r="E216" s="12" t="str">
        <f t="shared" si="17"/>
        <v>VIP</v>
      </c>
      <c r="F216" s="11" t="s">
        <v>1038</v>
      </c>
      <c r="G216" s="11" t="s">
        <v>1039</v>
      </c>
      <c r="H216" s="11" t="s">
        <v>590</v>
      </c>
      <c r="I216" s="11" t="s">
        <v>1040</v>
      </c>
      <c r="J216" s="13" t="s">
        <v>22</v>
      </c>
      <c r="K216" s="11" t="s">
        <v>1041</v>
      </c>
      <c r="L216" s="11"/>
      <c r="M216" s="12" t="s">
        <v>24</v>
      </c>
      <c r="N216" s="12" t="str">
        <f t="shared" si="18"/>
        <v>SI</v>
      </c>
      <c r="O216" s="12" t="str">
        <f t="shared" si="19"/>
        <v>🟢</v>
      </c>
      <c r="P216" s="14" t="s">
        <v>1042</v>
      </c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</row>
    <row r="217" spans="1:85" ht="18" customHeight="1" x14ac:dyDescent="0.3">
      <c r="A217" s="15">
        <f t="shared" si="15"/>
        <v>216</v>
      </c>
      <c r="B217" s="15">
        <f t="shared" si="16"/>
        <v>216</v>
      </c>
      <c r="C217" s="16" t="s">
        <v>1017</v>
      </c>
      <c r="D217" s="16" t="s">
        <v>645</v>
      </c>
      <c r="E217" s="17" t="str">
        <f t="shared" si="17"/>
        <v>VIP</v>
      </c>
      <c r="F217" s="16" t="s">
        <v>1043</v>
      </c>
      <c r="G217" s="16" t="s">
        <v>1044</v>
      </c>
      <c r="H217" s="16" t="s">
        <v>1045</v>
      </c>
      <c r="I217" s="16" t="s">
        <v>1046</v>
      </c>
      <c r="J217" s="13" t="s">
        <v>22</v>
      </c>
      <c r="K217" s="16" t="s">
        <v>1047</v>
      </c>
      <c r="L217" s="16"/>
      <c r="M217" s="17" t="s">
        <v>24</v>
      </c>
      <c r="N217" s="17" t="str">
        <f t="shared" si="18"/>
        <v>SI</v>
      </c>
      <c r="O217" s="17" t="str">
        <f t="shared" si="19"/>
        <v>🟢</v>
      </c>
      <c r="P217" s="18" t="s">
        <v>1048</v>
      </c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</row>
    <row r="218" spans="1:85" ht="18" customHeight="1" x14ac:dyDescent="0.3">
      <c r="A218" s="10">
        <f t="shared" si="15"/>
        <v>217</v>
      </c>
      <c r="B218" s="10">
        <f t="shared" si="16"/>
        <v>217</v>
      </c>
      <c r="C218" s="11" t="s">
        <v>1017</v>
      </c>
      <c r="D218" s="11" t="s">
        <v>645</v>
      </c>
      <c r="E218" s="12" t="str">
        <f t="shared" si="17"/>
        <v>VIP</v>
      </c>
      <c r="F218" s="11" t="s">
        <v>1049</v>
      </c>
      <c r="G218" s="11" t="s">
        <v>627</v>
      </c>
      <c r="H218" s="11" t="s">
        <v>1050</v>
      </c>
      <c r="I218" s="11" t="s">
        <v>172</v>
      </c>
      <c r="J218" s="13" t="s">
        <v>22</v>
      </c>
      <c r="K218" s="11" t="s">
        <v>1051</v>
      </c>
      <c r="L218" s="11"/>
      <c r="M218" s="12" t="s">
        <v>24</v>
      </c>
      <c r="N218" s="12" t="str">
        <f t="shared" si="18"/>
        <v>SI</v>
      </c>
      <c r="O218" s="12" t="str">
        <f t="shared" si="19"/>
        <v>🟢</v>
      </c>
      <c r="P218" s="14" t="s">
        <v>1052</v>
      </c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</row>
    <row r="219" spans="1:85" ht="18" customHeight="1" x14ac:dyDescent="0.3">
      <c r="A219" s="15">
        <f t="shared" si="15"/>
        <v>218</v>
      </c>
      <c r="B219" s="15">
        <f t="shared" si="16"/>
        <v>218</v>
      </c>
      <c r="C219" s="16" t="s">
        <v>1017</v>
      </c>
      <c r="D219" s="16" t="s">
        <v>645</v>
      </c>
      <c r="E219" s="17" t="str">
        <f t="shared" si="17"/>
        <v>VIP</v>
      </c>
      <c r="F219" s="16" t="s">
        <v>1053</v>
      </c>
      <c r="G219" s="16" t="s">
        <v>128</v>
      </c>
      <c r="H219" s="16" t="s">
        <v>99</v>
      </c>
      <c r="I219" s="16" t="s">
        <v>1054</v>
      </c>
      <c r="J219" s="13" t="s">
        <v>22</v>
      </c>
      <c r="K219" s="16" t="s">
        <v>1055</v>
      </c>
      <c r="L219" s="16"/>
      <c r="M219" s="17" t="s">
        <v>24</v>
      </c>
      <c r="N219" s="17" t="str">
        <f t="shared" si="18"/>
        <v>SI</v>
      </c>
      <c r="O219" s="17" t="str">
        <f t="shared" si="19"/>
        <v>🟢</v>
      </c>
      <c r="P219" s="18" t="s">
        <v>1056</v>
      </c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</row>
    <row r="220" spans="1:85" ht="18" customHeight="1" x14ac:dyDescent="0.3">
      <c r="A220" s="10">
        <f t="shared" si="15"/>
        <v>219</v>
      </c>
      <c r="B220" s="10">
        <f t="shared" si="16"/>
        <v>219</v>
      </c>
      <c r="C220" s="11" t="s">
        <v>1017</v>
      </c>
      <c r="D220" s="11" t="s">
        <v>912</v>
      </c>
      <c r="E220" s="12" t="str">
        <f t="shared" si="17"/>
        <v>VIP</v>
      </c>
      <c r="F220" s="11" t="s">
        <v>1057</v>
      </c>
      <c r="G220" s="11" t="s">
        <v>1058</v>
      </c>
      <c r="H220" s="11" t="s">
        <v>969</v>
      </c>
      <c r="I220" s="11" t="s">
        <v>1059</v>
      </c>
      <c r="J220" s="13" t="s">
        <v>22</v>
      </c>
      <c r="K220" s="11" t="s">
        <v>1060</v>
      </c>
      <c r="L220" s="11"/>
      <c r="M220" s="12" t="s">
        <v>24</v>
      </c>
      <c r="N220" s="12" t="str">
        <f t="shared" si="18"/>
        <v>SI</v>
      </c>
      <c r="O220" s="12" t="str">
        <f t="shared" si="19"/>
        <v>🟢</v>
      </c>
      <c r="P220" s="14" t="s">
        <v>1061</v>
      </c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</row>
    <row r="221" spans="1:85" ht="18" customHeight="1" x14ac:dyDescent="0.3">
      <c r="A221" s="15">
        <f t="shared" si="15"/>
        <v>220</v>
      </c>
      <c r="B221" s="15">
        <f t="shared" si="16"/>
        <v>220</v>
      </c>
      <c r="C221" s="16" t="s">
        <v>1017</v>
      </c>
      <c r="D221" s="16" t="s">
        <v>912</v>
      </c>
      <c r="E221" s="17" t="str">
        <f t="shared" si="17"/>
        <v>VIP</v>
      </c>
      <c r="F221" s="16" t="s">
        <v>1062</v>
      </c>
      <c r="G221" s="16" t="s">
        <v>1002</v>
      </c>
      <c r="H221" s="16" t="s">
        <v>1063</v>
      </c>
      <c r="I221" s="16" t="s">
        <v>1064</v>
      </c>
      <c r="J221" s="13" t="s">
        <v>22</v>
      </c>
      <c r="K221" s="16" t="s">
        <v>1065</v>
      </c>
      <c r="L221" s="16"/>
      <c r="M221" s="17" t="s">
        <v>24</v>
      </c>
      <c r="N221" s="17" t="str">
        <f t="shared" si="18"/>
        <v>SI</v>
      </c>
      <c r="O221" s="17" t="str">
        <f t="shared" si="19"/>
        <v>🟢</v>
      </c>
      <c r="P221" s="18" t="s">
        <v>1066</v>
      </c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</row>
    <row r="222" spans="1:85" ht="18" customHeight="1" x14ac:dyDescent="0.3">
      <c r="A222" s="10">
        <f t="shared" si="15"/>
        <v>221</v>
      </c>
      <c r="B222" s="10">
        <f t="shared" si="16"/>
        <v>221</v>
      </c>
      <c r="C222" s="11" t="s">
        <v>1017</v>
      </c>
      <c r="D222" s="11" t="s">
        <v>912</v>
      </c>
      <c r="E222" s="12" t="str">
        <f t="shared" si="17"/>
        <v>VIP</v>
      </c>
      <c r="F222" s="11" t="s">
        <v>1067</v>
      </c>
      <c r="G222" s="11" t="s">
        <v>1068</v>
      </c>
      <c r="H222" s="11" t="s">
        <v>1069</v>
      </c>
      <c r="I222" s="11" t="s">
        <v>1070</v>
      </c>
      <c r="J222" s="13" t="s">
        <v>22</v>
      </c>
      <c r="K222" s="11" t="s">
        <v>1071</v>
      </c>
      <c r="L222" s="11"/>
      <c r="M222" s="12" t="s">
        <v>24</v>
      </c>
      <c r="N222" s="12" t="str">
        <f t="shared" si="18"/>
        <v>SI</v>
      </c>
      <c r="O222" s="12" t="str">
        <f t="shared" si="19"/>
        <v>🟢</v>
      </c>
      <c r="P222" s="14" t="s">
        <v>1072</v>
      </c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</row>
    <row r="223" spans="1:85" ht="18" customHeight="1" x14ac:dyDescent="0.3">
      <c r="A223" s="15">
        <f t="shared" si="15"/>
        <v>222</v>
      </c>
      <c r="B223" s="15">
        <f t="shared" si="16"/>
        <v>222</v>
      </c>
      <c r="C223" s="16" t="s">
        <v>1017</v>
      </c>
      <c r="D223" s="16" t="s">
        <v>912</v>
      </c>
      <c r="E223" s="17" t="str">
        <f t="shared" si="17"/>
        <v>VIP</v>
      </c>
      <c r="F223" s="16" t="s">
        <v>1073</v>
      </c>
      <c r="G223" s="16" t="s">
        <v>1074</v>
      </c>
      <c r="H223" s="16" t="s">
        <v>1075</v>
      </c>
      <c r="I223" s="16" t="s">
        <v>104</v>
      </c>
      <c r="J223" s="13" t="s">
        <v>22</v>
      </c>
      <c r="K223" s="16" t="s">
        <v>1076</v>
      </c>
      <c r="L223" s="16"/>
      <c r="M223" s="17" t="s">
        <v>24</v>
      </c>
      <c r="N223" s="17" t="str">
        <f t="shared" si="18"/>
        <v>SI</v>
      </c>
      <c r="O223" s="17" t="str">
        <f t="shared" si="19"/>
        <v>🟢</v>
      </c>
      <c r="P223" s="18" t="s">
        <v>1077</v>
      </c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</row>
    <row r="224" spans="1:85" ht="18" customHeight="1" x14ac:dyDescent="0.3">
      <c r="A224" s="10">
        <f t="shared" si="15"/>
        <v>223</v>
      </c>
      <c r="B224" s="10">
        <f t="shared" si="16"/>
        <v>223</v>
      </c>
      <c r="C224" s="11" t="s">
        <v>1017</v>
      </c>
      <c r="D224" s="11" t="s">
        <v>912</v>
      </c>
      <c r="E224" s="12" t="str">
        <f t="shared" si="17"/>
        <v>VIP</v>
      </c>
      <c r="F224" s="11" t="s">
        <v>1078</v>
      </c>
      <c r="G224" s="11" t="s">
        <v>1079</v>
      </c>
      <c r="H224" s="11" t="s">
        <v>1080</v>
      </c>
      <c r="I224" s="11" t="s">
        <v>140</v>
      </c>
      <c r="J224" s="13" t="s">
        <v>22</v>
      </c>
      <c r="K224" s="11" t="s">
        <v>1081</v>
      </c>
      <c r="L224" s="11"/>
      <c r="M224" s="12" t="s">
        <v>24</v>
      </c>
      <c r="N224" s="12" t="str">
        <f t="shared" si="18"/>
        <v>SI</v>
      </c>
      <c r="O224" s="12" t="str">
        <f t="shared" si="19"/>
        <v>🟢</v>
      </c>
      <c r="P224" s="14" t="s">
        <v>1082</v>
      </c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</row>
    <row r="225" spans="1:85" ht="18" customHeight="1" x14ac:dyDescent="0.3">
      <c r="A225" s="15">
        <f t="shared" si="15"/>
        <v>224</v>
      </c>
      <c r="B225" s="15">
        <f t="shared" si="16"/>
        <v>224</v>
      </c>
      <c r="C225" s="16" t="s">
        <v>1017</v>
      </c>
      <c r="D225" s="16" t="s">
        <v>46</v>
      </c>
      <c r="E225" s="17" t="str">
        <f t="shared" si="17"/>
        <v>VIP</v>
      </c>
      <c r="F225" s="16" t="s">
        <v>1083</v>
      </c>
      <c r="G225" s="16" t="s">
        <v>1084</v>
      </c>
      <c r="H225" s="16" t="s">
        <v>1085</v>
      </c>
      <c r="I225" s="16" t="s">
        <v>1086</v>
      </c>
      <c r="J225" s="13" t="s">
        <v>22</v>
      </c>
      <c r="K225" s="16" t="s">
        <v>1087</v>
      </c>
      <c r="L225" s="16"/>
      <c r="M225" s="17" t="s">
        <v>24</v>
      </c>
      <c r="N225" s="17" t="str">
        <f t="shared" si="18"/>
        <v>SI</v>
      </c>
      <c r="O225" s="17" t="str">
        <f t="shared" si="19"/>
        <v>🟢</v>
      </c>
      <c r="P225" s="18" t="s">
        <v>1088</v>
      </c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</row>
    <row r="226" spans="1:85" ht="18" customHeight="1" x14ac:dyDescent="0.3">
      <c r="A226" s="10">
        <f t="shared" si="15"/>
        <v>225</v>
      </c>
      <c r="B226" s="10">
        <f t="shared" si="16"/>
        <v>225</v>
      </c>
      <c r="C226" s="11" t="s">
        <v>1017</v>
      </c>
      <c r="D226" s="11" t="s">
        <v>1089</v>
      </c>
      <c r="E226" s="12" t="str">
        <f t="shared" si="17"/>
        <v>VIP</v>
      </c>
      <c r="F226" s="11" t="s">
        <v>1090</v>
      </c>
      <c r="G226" s="11" t="s">
        <v>128</v>
      </c>
      <c r="H226" s="11" t="s">
        <v>1091</v>
      </c>
      <c r="I226" s="11" t="s">
        <v>652</v>
      </c>
      <c r="J226" s="13" t="s">
        <v>22</v>
      </c>
      <c r="K226" s="11" t="s">
        <v>1092</v>
      </c>
      <c r="L226" s="11"/>
      <c r="M226" s="12" t="s">
        <v>24</v>
      </c>
      <c r="N226" s="12" t="str">
        <f t="shared" si="18"/>
        <v>SI</v>
      </c>
      <c r="O226" s="12" t="str">
        <f t="shared" si="19"/>
        <v>🟢</v>
      </c>
      <c r="P226" s="14" t="s">
        <v>1093</v>
      </c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</row>
    <row r="227" spans="1:85" ht="18" customHeight="1" x14ac:dyDescent="0.3">
      <c r="A227" s="15">
        <f t="shared" si="15"/>
        <v>226</v>
      </c>
      <c r="B227" s="15">
        <f t="shared" si="16"/>
        <v>226</v>
      </c>
      <c r="C227" s="16" t="s">
        <v>1017</v>
      </c>
      <c r="D227" s="16" t="s">
        <v>912</v>
      </c>
      <c r="E227" s="17" t="str">
        <f t="shared" si="17"/>
        <v>VIP</v>
      </c>
      <c r="F227" s="16" t="s">
        <v>1094</v>
      </c>
      <c r="G227" s="16" t="s">
        <v>1095</v>
      </c>
      <c r="H227" s="16" t="s">
        <v>390</v>
      </c>
      <c r="I227" s="16" t="s">
        <v>371</v>
      </c>
      <c r="J227" s="13" t="s">
        <v>22</v>
      </c>
      <c r="K227" s="16" t="s">
        <v>1096</v>
      </c>
      <c r="L227" s="16"/>
      <c r="M227" s="17" t="s">
        <v>24</v>
      </c>
      <c r="N227" s="17" t="str">
        <f t="shared" si="18"/>
        <v>SI</v>
      </c>
      <c r="O227" s="17" t="str">
        <f t="shared" si="19"/>
        <v>🟢</v>
      </c>
      <c r="P227" s="18" t="s">
        <v>1097</v>
      </c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</row>
    <row r="228" spans="1:85" ht="18" customHeight="1" x14ac:dyDescent="0.3">
      <c r="A228" s="10">
        <f t="shared" si="15"/>
        <v>227</v>
      </c>
      <c r="B228" s="10">
        <f t="shared" si="16"/>
        <v>227</v>
      </c>
      <c r="C228" s="11" t="s">
        <v>1017</v>
      </c>
      <c r="D228" s="11" t="s">
        <v>912</v>
      </c>
      <c r="E228" s="12" t="str">
        <f t="shared" si="17"/>
        <v>VIP</v>
      </c>
      <c r="F228" s="11" t="s">
        <v>1098</v>
      </c>
      <c r="G228" s="11" t="s">
        <v>114</v>
      </c>
      <c r="H228" s="11" t="s">
        <v>99</v>
      </c>
      <c r="I228" s="11" t="s">
        <v>42</v>
      </c>
      <c r="J228" s="13" t="s">
        <v>22</v>
      </c>
      <c r="K228" s="11" t="s">
        <v>1099</v>
      </c>
      <c r="L228" s="11"/>
      <c r="M228" s="12" t="s">
        <v>24</v>
      </c>
      <c r="N228" s="12" t="str">
        <f t="shared" si="18"/>
        <v>SI</v>
      </c>
      <c r="O228" s="12" t="str">
        <f t="shared" si="19"/>
        <v>🟢</v>
      </c>
      <c r="P228" s="14" t="s">
        <v>1100</v>
      </c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</row>
    <row r="229" spans="1:85" ht="18" customHeight="1" x14ac:dyDescent="0.3">
      <c r="A229" s="15">
        <f t="shared" si="15"/>
        <v>228</v>
      </c>
      <c r="B229" s="15">
        <f t="shared" si="16"/>
        <v>228</v>
      </c>
      <c r="C229" s="16" t="s">
        <v>1017</v>
      </c>
      <c r="D229" s="16" t="s">
        <v>1101</v>
      </c>
      <c r="E229" s="17" t="str">
        <f t="shared" si="17"/>
        <v>VIP</v>
      </c>
      <c r="F229" s="16" t="s">
        <v>1102</v>
      </c>
      <c r="G229" s="16" t="s">
        <v>1103</v>
      </c>
      <c r="H229" s="16" t="s">
        <v>1104</v>
      </c>
      <c r="I229" s="16" t="s">
        <v>1105</v>
      </c>
      <c r="J229" s="13" t="s">
        <v>22</v>
      </c>
      <c r="K229" s="16" t="s">
        <v>1106</v>
      </c>
      <c r="L229" s="16"/>
      <c r="M229" s="17" t="s">
        <v>24</v>
      </c>
      <c r="N229" s="17" t="str">
        <f t="shared" si="18"/>
        <v>SI</v>
      </c>
      <c r="O229" s="17" t="str">
        <f t="shared" si="19"/>
        <v>🟢</v>
      </c>
      <c r="P229" s="18" t="s">
        <v>1107</v>
      </c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</row>
    <row r="230" spans="1:85" ht="18" customHeight="1" x14ac:dyDescent="0.3">
      <c r="A230" s="10">
        <f t="shared" si="15"/>
        <v>229</v>
      </c>
      <c r="B230" s="10">
        <f t="shared" si="16"/>
        <v>229</v>
      </c>
      <c r="C230" s="11" t="s">
        <v>1017</v>
      </c>
      <c r="D230" s="11" t="s">
        <v>912</v>
      </c>
      <c r="E230" s="12" t="str">
        <f t="shared" si="17"/>
        <v>VIP</v>
      </c>
      <c r="F230" s="11" t="s">
        <v>1108</v>
      </c>
      <c r="G230" s="11" t="s">
        <v>758</v>
      </c>
      <c r="H230" s="11" t="s">
        <v>611</v>
      </c>
      <c r="I230" s="11" t="s">
        <v>1109</v>
      </c>
      <c r="J230" s="13" t="s">
        <v>22</v>
      </c>
      <c r="K230" s="11" t="s">
        <v>1110</v>
      </c>
      <c r="L230" s="11"/>
      <c r="M230" s="12" t="s">
        <v>24</v>
      </c>
      <c r="N230" s="12" t="str">
        <f t="shared" si="18"/>
        <v>SI</v>
      </c>
      <c r="O230" s="12" t="str">
        <f t="shared" si="19"/>
        <v>🟢</v>
      </c>
      <c r="P230" s="14" t="s">
        <v>1111</v>
      </c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</row>
    <row r="231" spans="1:85" ht="18" customHeight="1" x14ac:dyDescent="0.3">
      <c r="A231" s="15">
        <f t="shared" si="15"/>
        <v>230</v>
      </c>
      <c r="B231" s="15">
        <f t="shared" si="16"/>
        <v>230</v>
      </c>
      <c r="C231" s="16" t="s">
        <v>1017</v>
      </c>
      <c r="D231" s="16" t="s">
        <v>912</v>
      </c>
      <c r="E231" s="17" t="str">
        <f t="shared" si="17"/>
        <v>VIP</v>
      </c>
      <c r="F231" s="16" t="s">
        <v>1112</v>
      </c>
      <c r="G231" s="16" t="s">
        <v>1113</v>
      </c>
      <c r="H231" s="16" t="s">
        <v>1114</v>
      </c>
      <c r="I231" s="16" t="s">
        <v>978</v>
      </c>
      <c r="J231" s="13" t="s">
        <v>22</v>
      </c>
      <c r="K231" s="16" t="s">
        <v>1115</v>
      </c>
      <c r="L231" s="16"/>
      <c r="M231" s="17" t="s">
        <v>24</v>
      </c>
      <c r="N231" s="17" t="str">
        <f t="shared" si="18"/>
        <v>SI</v>
      </c>
      <c r="O231" s="17" t="str">
        <f t="shared" si="19"/>
        <v>🟢</v>
      </c>
      <c r="P231" s="18" t="s">
        <v>1116</v>
      </c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</row>
    <row r="232" spans="1:85" ht="18" customHeight="1" x14ac:dyDescent="0.3">
      <c r="A232" s="10">
        <f t="shared" si="15"/>
        <v>231</v>
      </c>
      <c r="B232" s="10">
        <f t="shared" si="16"/>
        <v>231</v>
      </c>
      <c r="C232" s="11" t="s">
        <v>1017</v>
      </c>
      <c r="D232" s="11" t="s">
        <v>1117</v>
      </c>
      <c r="E232" s="12" t="str">
        <f t="shared" si="17"/>
        <v>VIP</v>
      </c>
      <c r="F232" s="11" t="s">
        <v>1118</v>
      </c>
      <c r="G232" s="11" t="s">
        <v>1119</v>
      </c>
      <c r="H232" s="11" t="s">
        <v>1120</v>
      </c>
      <c r="I232" s="11" t="s">
        <v>1121</v>
      </c>
      <c r="J232" s="13" t="s">
        <v>22</v>
      </c>
      <c r="K232" s="11" t="s">
        <v>1122</v>
      </c>
      <c r="L232" s="11"/>
      <c r="M232" s="12" t="s">
        <v>24</v>
      </c>
      <c r="N232" s="12" t="str">
        <f t="shared" si="18"/>
        <v>SI</v>
      </c>
      <c r="O232" s="12" t="str">
        <f t="shared" si="19"/>
        <v>🟢</v>
      </c>
      <c r="P232" s="14" t="s">
        <v>1123</v>
      </c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</row>
    <row r="233" spans="1:85" ht="18" customHeight="1" x14ac:dyDescent="0.3">
      <c r="A233" s="15">
        <f t="shared" si="15"/>
        <v>232</v>
      </c>
      <c r="B233" s="15">
        <f t="shared" si="16"/>
        <v>232</v>
      </c>
      <c r="C233" s="16" t="s">
        <v>1017</v>
      </c>
      <c r="D233" s="16" t="s">
        <v>1124</v>
      </c>
      <c r="E233" s="17" t="str">
        <f t="shared" si="17"/>
        <v>VIP</v>
      </c>
      <c r="F233" s="16" t="s">
        <v>1125</v>
      </c>
      <c r="G233" s="16" t="s">
        <v>68</v>
      </c>
      <c r="H233" s="16" t="s">
        <v>1126</v>
      </c>
      <c r="I233" s="16" t="s">
        <v>1127</v>
      </c>
      <c r="J233" s="13" t="s">
        <v>22</v>
      </c>
      <c r="K233" s="16" t="s">
        <v>1128</v>
      </c>
      <c r="L233" s="16"/>
      <c r="M233" s="17" t="s">
        <v>24</v>
      </c>
      <c r="N233" s="17" t="str">
        <f t="shared" si="18"/>
        <v>SI</v>
      </c>
      <c r="O233" s="17" t="str">
        <f t="shared" si="19"/>
        <v>🟢</v>
      </c>
      <c r="P233" s="18" t="s">
        <v>1129</v>
      </c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</row>
    <row r="234" spans="1:85" ht="18" customHeight="1" x14ac:dyDescent="0.3">
      <c r="A234" s="10">
        <f t="shared" si="15"/>
        <v>233</v>
      </c>
      <c r="B234" s="10">
        <f t="shared" si="16"/>
        <v>233</v>
      </c>
      <c r="C234" s="11" t="s">
        <v>1017</v>
      </c>
      <c r="D234" s="11" t="s">
        <v>903</v>
      </c>
      <c r="E234" s="12" t="str">
        <f t="shared" si="17"/>
        <v/>
      </c>
      <c r="F234" s="11" t="s">
        <v>1130</v>
      </c>
      <c r="G234" s="11" t="s">
        <v>498</v>
      </c>
      <c r="H234" s="11" t="s">
        <v>797</v>
      </c>
      <c r="I234" s="11" t="s">
        <v>345</v>
      </c>
      <c r="J234" s="19" t="s">
        <v>71</v>
      </c>
      <c r="K234" s="11" t="s">
        <v>1131</v>
      </c>
      <c r="L234" s="11"/>
      <c r="M234" s="12" t="s">
        <v>24</v>
      </c>
      <c r="N234" s="12" t="str">
        <f t="shared" si="18"/>
        <v>NO</v>
      </c>
      <c r="O234" s="12" t="str">
        <f t="shared" si="19"/>
        <v>🔴</v>
      </c>
      <c r="P234" s="14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</row>
    <row r="235" spans="1:85" s="5" customFormat="1" ht="18" customHeight="1" x14ac:dyDescent="0.3">
      <c r="A235" s="15">
        <f t="shared" si="15"/>
        <v>234</v>
      </c>
      <c r="B235" s="15">
        <f t="shared" si="16"/>
        <v>234</v>
      </c>
      <c r="C235" s="16" t="s">
        <v>1017</v>
      </c>
      <c r="D235" s="16" t="s">
        <v>1132</v>
      </c>
      <c r="E235" s="17" t="str">
        <f t="shared" si="17"/>
        <v>VIP</v>
      </c>
      <c r="F235" s="16" t="s">
        <v>1133</v>
      </c>
      <c r="G235" s="16" t="s">
        <v>1134</v>
      </c>
      <c r="H235" s="16" t="s">
        <v>1135</v>
      </c>
      <c r="I235" s="16" t="s">
        <v>1136</v>
      </c>
      <c r="J235" s="20" t="s">
        <v>22</v>
      </c>
      <c r="K235" s="16" t="s">
        <v>1137</v>
      </c>
      <c r="L235" s="16"/>
      <c r="M235" s="17" t="s">
        <v>24</v>
      </c>
      <c r="N235" s="17" t="str">
        <f t="shared" si="18"/>
        <v>SI</v>
      </c>
      <c r="O235" s="17" t="str">
        <f t="shared" si="19"/>
        <v>🟢</v>
      </c>
      <c r="P235" s="18" t="s">
        <v>59</v>
      </c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</row>
    <row r="236" spans="1:85" ht="18" customHeight="1" x14ac:dyDescent="0.3">
      <c r="A236" s="23">
        <f t="shared" si="15"/>
        <v>235</v>
      </c>
      <c r="B236" s="23">
        <f t="shared" si="16"/>
        <v>235</v>
      </c>
      <c r="C236" s="24" t="s">
        <v>1138</v>
      </c>
      <c r="D236" s="24" t="s">
        <v>670</v>
      </c>
      <c r="E236" s="25" t="str">
        <f t="shared" si="17"/>
        <v>VIP</v>
      </c>
      <c r="F236" s="26" t="s">
        <v>1139</v>
      </c>
      <c r="G236" s="24" t="s">
        <v>1140</v>
      </c>
      <c r="H236" s="24" t="s">
        <v>721</v>
      </c>
      <c r="I236" s="24" t="s">
        <v>503</v>
      </c>
      <c r="J236" s="13" t="s">
        <v>22</v>
      </c>
      <c r="K236" s="24" t="s">
        <v>1141</v>
      </c>
      <c r="L236" s="26"/>
      <c r="M236" s="27" t="s">
        <v>24</v>
      </c>
      <c r="N236" s="27" t="str">
        <f t="shared" si="18"/>
        <v>SI</v>
      </c>
      <c r="O236" s="27" t="str">
        <f t="shared" si="19"/>
        <v>🟢</v>
      </c>
      <c r="P236" s="28" t="s">
        <v>1142</v>
      </c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</row>
    <row r="237" spans="1:85" ht="18" customHeight="1" x14ac:dyDescent="0.3">
      <c r="A237" s="23">
        <f t="shared" si="15"/>
        <v>236</v>
      </c>
      <c r="B237" s="23">
        <f t="shared" si="16"/>
        <v>236</v>
      </c>
      <c r="C237" s="24" t="s">
        <v>1138</v>
      </c>
      <c r="D237" s="24" t="s">
        <v>752</v>
      </c>
      <c r="E237" s="25" t="str">
        <f t="shared" si="17"/>
        <v>LATERAL VIP</v>
      </c>
      <c r="F237" s="26" t="s">
        <v>1143</v>
      </c>
      <c r="G237" s="24" t="s">
        <v>1144</v>
      </c>
      <c r="H237" s="24" t="s">
        <v>1008</v>
      </c>
      <c r="I237" s="24"/>
      <c r="J237" s="13" t="s">
        <v>22</v>
      </c>
      <c r="K237" s="24" t="s">
        <v>1145</v>
      </c>
      <c r="L237" s="26"/>
      <c r="M237" s="27" t="s">
        <v>659</v>
      </c>
      <c r="N237" s="27" t="str">
        <f t="shared" si="18"/>
        <v>NO</v>
      </c>
      <c r="O237" s="27" t="str">
        <f t="shared" si="19"/>
        <v>🟢</v>
      </c>
      <c r="P237" s="28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</row>
    <row r="238" spans="1:85" ht="18" customHeight="1" x14ac:dyDescent="0.3">
      <c r="A238" s="23">
        <f t="shared" si="15"/>
        <v>237</v>
      </c>
      <c r="B238" s="23">
        <f t="shared" si="16"/>
        <v>237</v>
      </c>
      <c r="C238" s="16" t="s">
        <v>1138</v>
      </c>
      <c r="D238" s="16" t="s">
        <v>752</v>
      </c>
      <c r="E238" s="17" t="str">
        <f t="shared" si="17"/>
        <v>VIP</v>
      </c>
      <c r="F238" s="26" t="s">
        <v>1146</v>
      </c>
      <c r="G238" s="26" t="s">
        <v>1147</v>
      </c>
      <c r="H238" s="26" t="s">
        <v>1148</v>
      </c>
      <c r="I238" s="26" t="s">
        <v>1149</v>
      </c>
      <c r="J238" s="19" t="s">
        <v>22</v>
      </c>
      <c r="K238" s="16" t="s">
        <v>1150</v>
      </c>
      <c r="L238" s="26"/>
      <c r="M238" s="27" t="s">
        <v>24</v>
      </c>
      <c r="N238" s="27" t="str">
        <f t="shared" si="18"/>
        <v>SI</v>
      </c>
      <c r="O238" s="27" t="str">
        <f t="shared" si="19"/>
        <v>🟢</v>
      </c>
      <c r="P238" s="28" t="s">
        <v>1151</v>
      </c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</row>
    <row r="239" spans="1:85" ht="18" customHeight="1" x14ac:dyDescent="0.3">
      <c r="A239" s="23">
        <f t="shared" si="15"/>
        <v>238</v>
      </c>
      <c r="B239" s="23">
        <f t="shared" si="16"/>
        <v>238</v>
      </c>
      <c r="C239" s="24" t="s">
        <v>1138</v>
      </c>
      <c r="D239" s="24" t="s">
        <v>752</v>
      </c>
      <c r="E239" s="25" t="str">
        <f t="shared" si="17"/>
        <v>VIP</v>
      </c>
      <c r="F239" s="26" t="s">
        <v>1152</v>
      </c>
      <c r="G239" s="24" t="s">
        <v>1153</v>
      </c>
      <c r="H239" s="24" t="s">
        <v>1154</v>
      </c>
      <c r="I239" s="24" t="s">
        <v>1154</v>
      </c>
      <c r="J239" s="19" t="s">
        <v>57</v>
      </c>
      <c r="K239" s="24" t="s">
        <v>1155</v>
      </c>
      <c r="L239" s="26"/>
      <c r="M239" s="27" t="s">
        <v>24</v>
      </c>
      <c r="N239" s="27" t="str">
        <f t="shared" si="18"/>
        <v>NO</v>
      </c>
      <c r="O239" s="27" t="str">
        <f t="shared" si="19"/>
        <v>🟡</v>
      </c>
      <c r="P239" s="28" t="s">
        <v>1156</v>
      </c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</row>
    <row r="240" spans="1:85" ht="18" customHeight="1" x14ac:dyDescent="0.3">
      <c r="A240" s="23">
        <f t="shared" si="15"/>
        <v>239</v>
      </c>
      <c r="B240" s="23">
        <f t="shared" si="16"/>
        <v>239</v>
      </c>
      <c r="C240" s="24" t="s">
        <v>1138</v>
      </c>
      <c r="D240" s="24"/>
      <c r="E240" s="25" t="str">
        <f t="shared" si="17"/>
        <v>LATERAL VIP</v>
      </c>
      <c r="F240" s="26" t="s">
        <v>1157</v>
      </c>
      <c r="G240" s="24" t="s">
        <v>459</v>
      </c>
      <c r="H240" s="24" t="s">
        <v>1158</v>
      </c>
      <c r="I240" s="24"/>
      <c r="J240" s="13" t="s">
        <v>22</v>
      </c>
      <c r="K240" s="24" t="s">
        <v>1159</v>
      </c>
      <c r="L240" s="26"/>
      <c r="M240" s="27" t="s">
        <v>659</v>
      </c>
      <c r="N240" s="27" t="str">
        <f t="shared" si="18"/>
        <v>NO</v>
      </c>
      <c r="O240" s="27" t="str">
        <f t="shared" si="19"/>
        <v>🟢</v>
      </c>
      <c r="P240" s="28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</row>
    <row r="241" spans="1:85" ht="18" customHeight="1" x14ac:dyDescent="0.3">
      <c r="A241" s="23">
        <f t="shared" si="15"/>
        <v>240</v>
      </c>
      <c r="B241" s="23">
        <f t="shared" si="16"/>
        <v>240</v>
      </c>
      <c r="C241" s="26" t="s">
        <v>1138</v>
      </c>
      <c r="D241" s="26" t="s">
        <v>752</v>
      </c>
      <c r="E241" s="27" t="str">
        <f t="shared" si="17"/>
        <v>VIP</v>
      </c>
      <c r="F241" s="26" t="s">
        <v>1160</v>
      </c>
      <c r="G241" s="26" t="s">
        <v>1161</v>
      </c>
      <c r="H241" s="26" t="s">
        <v>543</v>
      </c>
      <c r="I241" s="26" t="s">
        <v>1162</v>
      </c>
      <c r="J241" s="13" t="s">
        <v>22</v>
      </c>
      <c r="K241" s="26" t="s">
        <v>1163</v>
      </c>
      <c r="L241" s="26"/>
      <c r="M241" s="27" t="s">
        <v>24</v>
      </c>
      <c r="N241" s="27" t="str">
        <f t="shared" si="18"/>
        <v>SI</v>
      </c>
      <c r="O241" s="27" t="str">
        <f t="shared" si="19"/>
        <v>🟢</v>
      </c>
      <c r="P241" s="28" t="s">
        <v>78</v>
      </c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</row>
    <row r="242" spans="1:85" ht="18" customHeight="1" x14ac:dyDescent="0.3">
      <c r="A242" s="23">
        <f t="shared" si="15"/>
        <v>241</v>
      </c>
      <c r="B242" s="23">
        <f t="shared" si="16"/>
        <v>241</v>
      </c>
      <c r="C242" s="26" t="s">
        <v>1138</v>
      </c>
      <c r="D242" s="26" t="s">
        <v>752</v>
      </c>
      <c r="E242" s="27" t="str">
        <f t="shared" si="17"/>
        <v/>
      </c>
      <c r="F242" s="26" t="s">
        <v>1164</v>
      </c>
      <c r="G242" s="26" t="s">
        <v>1165</v>
      </c>
      <c r="H242" s="26" t="s">
        <v>261</v>
      </c>
      <c r="I242" s="26" t="s">
        <v>1166</v>
      </c>
      <c r="J242" s="20" t="s">
        <v>71</v>
      </c>
      <c r="K242" s="26" t="s">
        <v>1167</v>
      </c>
      <c r="L242" s="26"/>
      <c r="M242" s="27" t="s">
        <v>24</v>
      </c>
      <c r="N242" s="27" t="str">
        <f t="shared" si="18"/>
        <v>NO</v>
      </c>
      <c r="O242" s="27" t="str">
        <f t="shared" si="19"/>
        <v>🔴</v>
      </c>
      <c r="P242" s="28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</row>
    <row r="243" spans="1:85" ht="18" customHeight="1" x14ac:dyDescent="0.3">
      <c r="A243" s="23">
        <f t="shared" si="15"/>
        <v>242</v>
      </c>
      <c r="B243" s="23">
        <f t="shared" si="16"/>
        <v>242</v>
      </c>
      <c r="C243" s="24" t="s">
        <v>1138</v>
      </c>
      <c r="D243" s="24" t="s">
        <v>752</v>
      </c>
      <c r="E243" s="25" t="str">
        <f t="shared" si="17"/>
        <v>VIP</v>
      </c>
      <c r="F243" s="26" t="s">
        <v>1168</v>
      </c>
      <c r="G243" s="24" t="s">
        <v>1169</v>
      </c>
      <c r="H243" s="24" t="s">
        <v>1170</v>
      </c>
      <c r="I243" s="24" t="s">
        <v>1171</v>
      </c>
      <c r="J243" s="19" t="s">
        <v>57</v>
      </c>
      <c r="K243" s="24" t="s">
        <v>1172</v>
      </c>
      <c r="L243" s="26"/>
      <c r="M243" s="27" t="s">
        <v>24</v>
      </c>
      <c r="N243" s="27" t="str">
        <f t="shared" si="18"/>
        <v>NO</v>
      </c>
      <c r="O243" s="27" t="str">
        <f t="shared" si="19"/>
        <v>🟡</v>
      </c>
      <c r="P243" s="28" t="s">
        <v>1156</v>
      </c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</row>
    <row r="244" spans="1:85" ht="18" customHeight="1" x14ac:dyDescent="0.3">
      <c r="A244" s="23">
        <f t="shared" si="15"/>
        <v>243</v>
      </c>
      <c r="B244" s="23">
        <f t="shared" si="16"/>
        <v>243</v>
      </c>
      <c r="C244" s="24" t="s">
        <v>1138</v>
      </c>
      <c r="D244" s="24"/>
      <c r="E244" s="25" t="str">
        <f t="shared" si="17"/>
        <v>LATERAL VIP</v>
      </c>
      <c r="F244" s="26" t="s">
        <v>1173</v>
      </c>
      <c r="G244" s="24" t="s">
        <v>1084</v>
      </c>
      <c r="H244" s="24" t="s">
        <v>1174</v>
      </c>
      <c r="I244" s="24"/>
      <c r="J244" s="13" t="s">
        <v>22</v>
      </c>
      <c r="K244" s="24" t="s">
        <v>1175</v>
      </c>
      <c r="L244" s="26"/>
      <c r="M244" s="27" t="s">
        <v>659</v>
      </c>
      <c r="N244" s="27" t="str">
        <f t="shared" si="18"/>
        <v>NO</v>
      </c>
      <c r="O244" s="27" t="str">
        <f t="shared" si="19"/>
        <v>🟢</v>
      </c>
      <c r="P244" s="28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</row>
    <row r="245" spans="1:85" ht="18" customHeight="1" x14ac:dyDescent="0.3">
      <c r="A245" s="23">
        <f t="shared" si="15"/>
        <v>244</v>
      </c>
      <c r="B245" s="23">
        <f t="shared" si="16"/>
        <v>244</v>
      </c>
      <c r="C245" s="24" t="s">
        <v>1138</v>
      </c>
      <c r="D245" s="24"/>
      <c r="E245" s="25" t="str">
        <f t="shared" si="17"/>
        <v>LATERAL VIP</v>
      </c>
      <c r="F245" s="26" t="s">
        <v>1176</v>
      </c>
      <c r="G245" s="24" t="s">
        <v>68</v>
      </c>
      <c r="H245" s="24" t="s">
        <v>1177</v>
      </c>
      <c r="I245" s="24" t="s">
        <v>1178</v>
      </c>
      <c r="J245" s="13" t="s">
        <v>22</v>
      </c>
      <c r="K245" s="24" t="s">
        <v>1179</v>
      </c>
      <c r="L245" s="26"/>
      <c r="M245" s="27" t="s">
        <v>659</v>
      </c>
      <c r="N245" s="27" t="str">
        <f t="shared" si="18"/>
        <v>NO</v>
      </c>
      <c r="O245" s="27" t="str">
        <f t="shared" si="19"/>
        <v>🟢</v>
      </c>
      <c r="P245" s="28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</row>
    <row r="246" spans="1:85" ht="18" customHeight="1" x14ac:dyDescent="0.3">
      <c r="A246" s="23">
        <f t="shared" si="15"/>
        <v>245</v>
      </c>
      <c r="B246" s="23">
        <f t="shared" si="16"/>
        <v>245</v>
      </c>
      <c r="C246" s="26" t="s">
        <v>1138</v>
      </c>
      <c r="D246" s="26" t="s">
        <v>752</v>
      </c>
      <c r="E246" s="27" t="str">
        <f t="shared" si="17"/>
        <v/>
      </c>
      <c r="F246" s="26" t="s">
        <v>1180</v>
      </c>
      <c r="G246" s="26" t="s">
        <v>1181</v>
      </c>
      <c r="H246" s="26" t="s">
        <v>1182</v>
      </c>
      <c r="I246" s="26" t="s">
        <v>686</v>
      </c>
      <c r="J246" s="19" t="s">
        <v>71</v>
      </c>
      <c r="K246" s="26" t="s">
        <v>1183</v>
      </c>
      <c r="L246" s="26"/>
      <c r="M246" s="27" t="s">
        <v>24</v>
      </c>
      <c r="N246" s="27" t="str">
        <f t="shared" si="18"/>
        <v>NO</v>
      </c>
      <c r="O246" s="27" t="str">
        <f t="shared" si="19"/>
        <v>🔴</v>
      </c>
      <c r="P246" s="28" t="s">
        <v>1156</v>
      </c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</row>
    <row r="247" spans="1:85" ht="18" customHeight="1" x14ac:dyDescent="0.3">
      <c r="A247" s="23">
        <f t="shared" si="15"/>
        <v>246</v>
      </c>
      <c r="B247" s="23">
        <f t="shared" si="16"/>
        <v>246</v>
      </c>
      <c r="C247" s="24" t="s">
        <v>1138</v>
      </c>
      <c r="D247" s="24" t="s">
        <v>752</v>
      </c>
      <c r="E247" s="25" t="str">
        <f t="shared" si="17"/>
        <v/>
      </c>
      <c r="F247" s="26" t="s">
        <v>1184</v>
      </c>
      <c r="G247" s="24" t="s">
        <v>1079</v>
      </c>
      <c r="H247" s="24" t="s">
        <v>130</v>
      </c>
      <c r="I247" s="24" t="s">
        <v>1185</v>
      </c>
      <c r="J247" s="19" t="s">
        <v>71</v>
      </c>
      <c r="K247" s="24" t="s">
        <v>1186</v>
      </c>
      <c r="L247" s="26"/>
      <c r="M247" s="27" t="s">
        <v>24</v>
      </c>
      <c r="N247" s="27" t="str">
        <f t="shared" si="18"/>
        <v>NO</v>
      </c>
      <c r="O247" s="27" t="str">
        <f t="shared" si="19"/>
        <v>🔴</v>
      </c>
      <c r="P247" s="28" t="s">
        <v>1156</v>
      </c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</row>
    <row r="248" spans="1:85" ht="18" customHeight="1" x14ac:dyDescent="0.3">
      <c r="A248" s="23">
        <f t="shared" si="15"/>
        <v>247</v>
      </c>
      <c r="B248" s="23">
        <f t="shared" si="16"/>
        <v>247</v>
      </c>
      <c r="C248" s="24" t="s">
        <v>1138</v>
      </c>
      <c r="D248" s="24" t="s">
        <v>752</v>
      </c>
      <c r="E248" s="25" t="str">
        <f t="shared" si="17"/>
        <v/>
      </c>
      <c r="F248" s="26" t="s">
        <v>1187</v>
      </c>
      <c r="G248" s="24" t="s">
        <v>1188</v>
      </c>
      <c r="H248" s="24" t="s">
        <v>1189</v>
      </c>
      <c r="I248" s="24" t="s">
        <v>1190</v>
      </c>
      <c r="J248" s="20" t="s">
        <v>71</v>
      </c>
      <c r="K248" s="24" t="s">
        <v>1191</v>
      </c>
      <c r="L248" s="26"/>
      <c r="M248" s="27"/>
      <c r="N248" s="27" t="str">
        <f t="shared" si="18"/>
        <v>NO</v>
      </c>
      <c r="O248" s="27" t="str">
        <f t="shared" si="19"/>
        <v>🔴</v>
      </c>
      <c r="P248" s="28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</row>
    <row r="249" spans="1:85" ht="18" customHeight="1" x14ac:dyDescent="0.3">
      <c r="A249" s="23">
        <f t="shared" si="15"/>
        <v>248</v>
      </c>
      <c r="B249" s="23">
        <f t="shared" si="16"/>
        <v>248</v>
      </c>
      <c r="C249" s="24" t="s">
        <v>1138</v>
      </c>
      <c r="D249" s="24" t="s">
        <v>670</v>
      </c>
      <c r="E249" s="25" t="str">
        <f t="shared" si="17"/>
        <v>LATERAL VIP</v>
      </c>
      <c r="F249" s="26" t="s">
        <v>1192</v>
      </c>
      <c r="G249" s="24" t="s">
        <v>317</v>
      </c>
      <c r="H249" s="24" t="s">
        <v>410</v>
      </c>
      <c r="I249" s="24" t="s">
        <v>652</v>
      </c>
      <c r="J249" s="13" t="s">
        <v>22</v>
      </c>
      <c r="K249" s="24" t="s">
        <v>1193</v>
      </c>
      <c r="L249" s="26"/>
      <c r="M249" s="27" t="s">
        <v>659</v>
      </c>
      <c r="N249" s="27" t="str">
        <f t="shared" si="18"/>
        <v>NO</v>
      </c>
      <c r="O249" s="27" t="str">
        <f t="shared" si="19"/>
        <v>🟢</v>
      </c>
      <c r="P249" s="28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</row>
    <row r="250" spans="1:85" ht="18" customHeight="1" x14ac:dyDescent="0.3">
      <c r="A250" s="23">
        <f t="shared" si="15"/>
        <v>249</v>
      </c>
      <c r="B250" s="23">
        <f t="shared" si="16"/>
        <v>249</v>
      </c>
      <c r="C250" s="26" t="s">
        <v>1138</v>
      </c>
      <c r="D250" s="26" t="s">
        <v>752</v>
      </c>
      <c r="E250" s="27" t="str">
        <f t="shared" si="17"/>
        <v>VIP</v>
      </c>
      <c r="F250" s="26" t="s">
        <v>1194</v>
      </c>
      <c r="G250" s="26" t="s">
        <v>1195</v>
      </c>
      <c r="H250" s="26" t="s">
        <v>1196</v>
      </c>
      <c r="I250" s="26" t="s">
        <v>1197</v>
      </c>
      <c r="J250" s="19" t="s">
        <v>57</v>
      </c>
      <c r="K250" s="26" t="s">
        <v>1198</v>
      </c>
      <c r="L250" s="26"/>
      <c r="M250" s="27" t="s">
        <v>24</v>
      </c>
      <c r="N250" s="27" t="str">
        <f t="shared" si="18"/>
        <v>NO</v>
      </c>
      <c r="O250" s="27" t="str">
        <f t="shared" si="19"/>
        <v>🟡</v>
      </c>
      <c r="P250" s="28" t="s">
        <v>1156</v>
      </c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</row>
    <row r="251" spans="1:85" ht="18" customHeight="1" x14ac:dyDescent="0.3">
      <c r="A251" s="23">
        <f t="shared" si="15"/>
        <v>250</v>
      </c>
      <c r="B251" s="23">
        <f t="shared" si="16"/>
        <v>250</v>
      </c>
      <c r="C251" s="24" t="s">
        <v>1138</v>
      </c>
      <c r="D251" s="24" t="s">
        <v>752</v>
      </c>
      <c r="E251" s="25" t="str">
        <f t="shared" si="17"/>
        <v>VIP</v>
      </c>
      <c r="F251" s="26" t="s">
        <v>1199</v>
      </c>
      <c r="G251" s="24" t="s">
        <v>114</v>
      </c>
      <c r="H251" s="24" t="s">
        <v>140</v>
      </c>
      <c r="I251" s="24" t="s">
        <v>1200</v>
      </c>
      <c r="J251" s="19" t="s">
        <v>57</v>
      </c>
      <c r="K251" s="24" t="s">
        <v>1201</v>
      </c>
      <c r="L251" s="26"/>
      <c r="M251" s="27" t="s">
        <v>24</v>
      </c>
      <c r="N251" s="27" t="str">
        <f t="shared" si="18"/>
        <v>NO</v>
      </c>
      <c r="O251" s="27" t="str">
        <f t="shared" si="19"/>
        <v>🟡</v>
      </c>
      <c r="P251" s="28" t="s">
        <v>1156</v>
      </c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</row>
    <row r="252" spans="1:85" ht="18" customHeight="1" x14ac:dyDescent="0.3">
      <c r="A252" s="23">
        <f t="shared" si="15"/>
        <v>251</v>
      </c>
      <c r="B252" s="23">
        <f t="shared" si="16"/>
        <v>251</v>
      </c>
      <c r="C252" s="24" t="s">
        <v>1138</v>
      </c>
      <c r="D252" s="24"/>
      <c r="E252" s="25" t="str">
        <f t="shared" si="17"/>
        <v>LATERAL VIP</v>
      </c>
      <c r="F252" s="26" t="s">
        <v>1202</v>
      </c>
      <c r="G252" s="24" t="s">
        <v>528</v>
      </c>
      <c r="H252" s="24" t="s">
        <v>261</v>
      </c>
      <c r="I252" s="24" t="s">
        <v>104</v>
      </c>
      <c r="J252" s="19" t="s">
        <v>57</v>
      </c>
      <c r="K252" s="24" t="s">
        <v>1203</v>
      </c>
      <c r="L252" s="26"/>
      <c r="M252" s="27" t="s">
        <v>659</v>
      </c>
      <c r="N252" s="27" t="str">
        <f t="shared" si="18"/>
        <v>NO</v>
      </c>
      <c r="O252" s="27" t="str">
        <f t="shared" si="19"/>
        <v>🟡</v>
      </c>
      <c r="P252" s="28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</row>
    <row r="253" spans="1:85" ht="18" customHeight="1" x14ac:dyDescent="0.3">
      <c r="A253" s="23">
        <f t="shared" si="15"/>
        <v>252</v>
      </c>
      <c r="B253" s="23">
        <f t="shared" si="16"/>
        <v>252</v>
      </c>
      <c r="C253" s="26" t="s">
        <v>1138</v>
      </c>
      <c r="D253" s="26" t="s">
        <v>752</v>
      </c>
      <c r="E253" s="27" t="str">
        <f t="shared" si="17"/>
        <v>VIP</v>
      </c>
      <c r="F253" s="26" t="s">
        <v>1204</v>
      </c>
      <c r="G253" s="26" t="s">
        <v>899</v>
      </c>
      <c r="H253" s="26" t="s">
        <v>1205</v>
      </c>
      <c r="I253" s="26" t="s">
        <v>705</v>
      </c>
      <c r="J253" s="19" t="s">
        <v>22</v>
      </c>
      <c r="K253" s="26" t="s">
        <v>1206</v>
      </c>
      <c r="L253" s="26"/>
      <c r="M253" s="27" t="s">
        <v>24</v>
      </c>
      <c r="N253" s="27" t="str">
        <f t="shared" si="18"/>
        <v>SI</v>
      </c>
      <c r="O253" s="27" t="str">
        <f t="shared" si="19"/>
        <v>🟢</v>
      </c>
      <c r="P253" s="28" t="s">
        <v>1156</v>
      </c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</row>
    <row r="254" spans="1:85" ht="18" customHeight="1" x14ac:dyDescent="0.3">
      <c r="A254" s="23">
        <f t="shared" si="15"/>
        <v>253</v>
      </c>
      <c r="B254" s="23">
        <f t="shared" si="16"/>
        <v>253</v>
      </c>
      <c r="C254" s="24" t="s">
        <v>1138</v>
      </c>
      <c r="D254" s="24" t="s">
        <v>752</v>
      </c>
      <c r="E254" s="25" t="str">
        <f t="shared" si="17"/>
        <v>VIP</v>
      </c>
      <c r="F254" s="26" t="s">
        <v>1207</v>
      </c>
      <c r="G254" s="24" t="s">
        <v>473</v>
      </c>
      <c r="H254" s="24" t="s">
        <v>1208</v>
      </c>
      <c r="I254" s="24" t="s">
        <v>539</v>
      </c>
      <c r="J254" s="19" t="s">
        <v>57</v>
      </c>
      <c r="K254" s="24" t="s">
        <v>1209</v>
      </c>
      <c r="L254" s="26"/>
      <c r="M254" s="27" t="s">
        <v>24</v>
      </c>
      <c r="N254" s="27" t="str">
        <f t="shared" si="18"/>
        <v>NO</v>
      </c>
      <c r="O254" s="27" t="str">
        <f t="shared" si="19"/>
        <v>🟡</v>
      </c>
      <c r="P254" s="28" t="s">
        <v>1156</v>
      </c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</row>
    <row r="255" spans="1:85" ht="18" customHeight="1" x14ac:dyDescent="0.3">
      <c r="A255" s="23">
        <f t="shared" si="15"/>
        <v>254</v>
      </c>
      <c r="B255" s="23">
        <f t="shared" si="16"/>
        <v>254</v>
      </c>
      <c r="C255" s="24" t="s">
        <v>1138</v>
      </c>
      <c r="D255" s="24" t="s">
        <v>670</v>
      </c>
      <c r="E255" s="25" t="str">
        <f t="shared" si="17"/>
        <v>LATERAL VIP</v>
      </c>
      <c r="F255" s="26" t="s">
        <v>1210</v>
      </c>
      <c r="G255" s="24" t="s">
        <v>68</v>
      </c>
      <c r="H255" s="24" t="s">
        <v>1211</v>
      </c>
      <c r="I255" s="24"/>
      <c r="J255" s="13" t="s">
        <v>22</v>
      </c>
      <c r="K255" s="24" t="s">
        <v>1212</v>
      </c>
      <c r="L255" s="26"/>
      <c r="M255" s="27" t="s">
        <v>659</v>
      </c>
      <c r="N255" s="27" t="str">
        <f t="shared" si="18"/>
        <v>NO</v>
      </c>
      <c r="O255" s="27" t="str">
        <f t="shared" si="19"/>
        <v>🟢</v>
      </c>
      <c r="P255" s="28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</row>
    <row r="256" spans="1:85" ht="18" customHeight="1" x14ac:dyDescent="0.3">
      <c r="A256" s="23">
        <f t="shared" si="15"/>
        <v>255</v>
      </c>
      <c r="B256" s="23">
        <f t="shared" si="16"/>
        <v>255</v>
      </c>
      <c r="C256" s="26" t="s">
        <v>1138</v>
      </c>
      <c r="D256" s="26" t="s">
        <v>46</v>
      </c>
      <c r="E256" s="27" t="str">
        <f t="shared" si="17"/>
        <v>VIP</v>
      </c>
      <c r="F256" s="26" t="s">
        <v>1213</v>
      </c>
      <c r="G256" s="26" t="s">
        <v>569</v>
      </c>
      <c r="H256" s="26" t="s">
        <v>1214</v>
      </c>
      <c r="I256" s="26" t="s">
        <v>1215</v>
      </c>
      <c r="J256" s="13" t="s">
        <v>22</v>
      </c>
      <c r="K256" s="26" t="s">
        <v>1216</v>
      </c>
      <c r="L256" s="26"/>
      <c r="M256" s="27" t="s">
        <v>24</v>
      </c>
      <c r="N256" s="27" t="str">
        <f t="shared" si="18"/>
        <v>SI</v>
      </c>
      <c r="O256" s="27" t="str">
        <f t="shared" si="19"/>
        <v>🟢</v>
      </c>
      <c r="P256" s="28" t="s">
        <v>84</v>
      </c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</row>
    <row r="257" spans="1:85" ht="18" customHeight="1" x14ac:dyDescent="0.3">
      <c r="A257" s="23">
        <f t="shared" si="15"/>
        <v>256</v>
      </c>
      <c r="B257" s="23">
        <f t="shared" si="16"/>
        <v>256</v>
      </c>
      <c r="C257" s="24" t="s">
        <v>1138</v>
      </c>
      <c r="D257" s="24" t="s">
        <v>752</v>
      </c>
      <c r="E257" s="25" t="str">
        <f t="shared" si="17"/>
        <v>LATERAL VIP</v>
      </c>
      <c r="F257" s="26" t="s">
        <v>1217</v>
      </c>
      <c r="G257" s="24" t="s">
        <v>554</v>
      </c>
      <c r="H257" s="24" t="s">
        <v>1218</v>
      </c>
      <c r="I257" s="24" t="s">
        <v>1219</v>
      </c>
      <c r="J257" s="13" t="s">
        <v>22</v>
      </c>
      <c r="K257" s="24" t="s">
        <v>1220</v>
      </c>
      <c r="L257" s="26"/>
      <c r="M257" s="27" t="s">
        <v>659</v>
      </c>
      <c r="N257" s="27" t="str">
        <f t="shared" si="18"/>
        <v>NO</v>
      </c>
      <c r="O257" s="27" t="str">
        <f t="shared" si="19"/>
        <v>🟢</v>
      </c>
      <c r="P257" s="28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</row>
    <row r="258" spans="1:85" ht="18" customHeight="1" x14ac:dyDescent="0.3">
      <c r="A258" s="23">
        <f t="shared" ref="A258:A321" si="20">IF(COUNTA(C258:K258)=0,"",ROW()-1)</f>
        <v>257</v>
      </c>
      <c r="B258" s="23">
        <f t="shared" ref="B258:B321" si="21">IF($F258&lt;&gt;"",$A258,"")</f>
        <v>257</v>
      </c>
      <c r="C258" s="24" t="s">
        <v>1138</v>
      </c>
      <c r="D258" s="24" t="s">
        <v>752</v>
      </c>
      <c r="E258" s="25" t="str">
        <f t="shared" ref="E258:E321" si="22">IF(UPPER($J258)="NO","",$M258)</f>
        <v>LATERAL VIP</v>
      </c>
      <c r="F258" s="26" t="s">
        <v>1221</v>
      </c>
      <c r="G258" s="24" t="s">
        <v>1222</v>
      </c>
      <c r="H258" s="24" t="s">
        <v>1223</v>
      </c>
      <c r="I258" s="24" t="s">
        <v>1224</v>
      </c>
      <c r="J258" s="19" t="s">
        <v>57</v>
      </c>
      <c r="K258" s="24" t="s">
        <v>1225</v>
      </c>
      <c r="L258" s="26"/>
      <c r="M258" s="27" t="s">
        <v>659</v>
      </c>
      <c r="N258" s="27" t="str">
        <f t="shared" ref="N258:N321" si="23">IF(AND(UPPER($M258)="VIP",UPPER($J258)="SI",$F258&lt;&gt;""),"SI","NO")</f>
        <v>NO</v>
      </c>
      <c r="O258" s="27" t="str">
        <f t="shared" ref="O258:O321" si="24">IF(UPPER($J258)="SI","🟢",IF(UPPER($J258)="NO","🔴","🟡"))</f>
        <v>🟡</v>
      </c>
      <c r="P258" s="28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</row>
    <row r="259" spans="1:85" s="5" customFormat="1" ht="18" customHeight="1" x14ac:dyDescent="0.3">
      <c r="A259" s="23">
        <f t="shared" si="20"/>
        <v>258</v>
      </c>
      <c r="B259" s="23">
        <f t="shared" si="21"/>
        <v>258</v>
      </c>
      <c r="C259" s="26" t="s">
        <v>1138</v>
      </c>
      <c r="D259" s="26"/>
      <c r="E259" s="27" t="str">
        <f t="shared" si="22"/>
        <v>LATERAL VIP</v>
      </c>
      <c r="F259" s="26" t="s">
        <v>1226</v>
      </c>
      <c r="G259" s="26" t="s">
        <v>404</v>
      </c>
      <c r="H259" s="26" t="s">
        <v>1227</v>
      </c>
      <c r="I259" s="26" t="s">
        <v>652</v>
      </c>
      <c r="J259" s="19" t="s">
        <v>57</v>
      </c>
      <c r="K259" s="26" t="s">
        <v>1228</v>
      </c>
      <c r="L259" s="26"/>
      <c r="M259" s="27" t="s">
        <v>659</v>
      </c>
      <c r="N259" s="27" t="str">
        <f t="shared" si="23"/>
        <v>NO</v>
      </c>
      <c r="O259" s="27" t="str">
        <f t="shared" si="24"/>
        <v>🟡</v>
      </c>
      <c r="P259" s="28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  <c r="BX259" s="22"/>
      <c r="BY259" s="22"/>
      <c r="BZ259" s="22"/>
      <c r="CA259" s="22"/>
      <c r="CB259" s="22"/>
      <c r="CC259" s="22"/>
      <c r="CD259" s="22"/>
      <c r="CE259" s="22"/>
      <c r="CF259" s="22"/>
      <c r="CG259" s="22"/>
    </row>
    <row r="260" spans="1:85" ht="18" customHeight="1" x14ac:dyDescent="0.3">
      <c r="A260" s="23">
        <f t="shared" si="20"/>
        <v>259</v>
      </c>
      <c r="B260" s="23">
        <f t="shared" si="21"/>
        <v>259</v>
      </c>
      <c r="C260" s="29" t="s">
        <v>1229</v>
      </c>
      <c r="D260" s="29" t="s">
        <v>95</v>
      </c>
      <c r="E260" s="30" t="str">
        <f t="shared" si="22"/>
        <v/>
      </c>
      <c r="F260" s="26" t="s">
        <v>1230</v>
      </c>
      <c r="G260" s="29" t="s">
        <v>1231</v>
      </c>
      <c r="H260" s="29" t="s">
        <v>1232</v>
      </c>
      <c r="I260" s="29"/>
      <c r="J260" s="19" t="s">
        <v>71</v>
      </c>
      <c r="K260" s="29" t="s">
        <v>1233</v>
      </c>
      <c r="L260" s="26"/>
      <c r="M260" s="27" t="s">
        <v>24</v>
      </c>
      <c r="N260" s="27" t="str">
        <f t="shared" si="23"/>
        <v>NO</v>
      </c>
      <c r="O260" s="27" t="str">
        <f t="shared" si="24"/>
        <v>🔴</v>
      </c>
      <c r="P260" s="28" t="s">
        <v>1156</v>
      </c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</row>
    <row r="261" spans="1:85" ht="18" customHeight="1" x14ac:dyDescent="0.3">
      <c r="A261" s="23">
        <f t="shared" si="20"/>
        <v>260</v>
      </c>
      <c r="B261" s="23">
        <f t="shared" si="21"/>
        <v>260</v>
      </c>
      <c r="C261" s="16" t="s">
        <v>1229</v>
      </c>
      <c r="D261" s="26"/>
      <c r="E261" s="27" t="str">
        <f t="shared" si="22"/>
        <v/>
      </c>
      <c r="F261" s="26" t="s">
        <v>1234</v>
      </c>
      <c r="G261" s="26" t="s">
        <v>1235</v>
      </c>
      <c r="H261" s="26" t="s">
        <v>616</v>
      </c>
      <c r="I261" s="26" t="s">
        <v>1236</v>
      </c>
      <c r="J261" s="19" t="s">
        <v>71</v>
      </c>
      <c r="K261" s="26" t="s">
        <v>1237</v>
      </c>
      <c r="L261" s="26"/>
      <c r="M261" s="27" t="s">
        <v>24</v>
      </c>
      <c r="N261" s="27" t="str">
        <f t="shared" si="23"/>
        <v>NO</v>
      </c>
      <c r="O261" s="27" t="str">
        <f t="shared" si="24"/>
        <v>🔴</v>
      </c>
      <c r="P261" s="28" t="s">
        <v>1156</v>
      </c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</row>
    <row r="262" spans="1:85" ht="18" customHeight="1" x14ac:dyDescent="0.3">
      <c r="A262" s="23">
        <f t="shared" si="20"/>
        <v>261</v>
      </c>
      <c r="B262" s="23">
        <f t="shared" si="21"/>
        <v>261</v>
      </c>
      <c r="C262" s="29" t="s">
        <v>1229</v>
      </c>
      <c r="D262" s="29" t="s">
        <v>752</v>
      </c>
      <c r="E262" s="30" t="str">
        <f t="shared" si="22"/>
        <v/>
      </c>
      <c r="F262" s="26" t="s">
        <v>1238</v>
      </c>
      <c r="G262" s="29" t="s">
        <v>1019</v>
      </c>
      <c r="H262" s="29" t="s">
        <v>1239</v>
      </c>
      <c r="I262" s="29" t="s">
        <v>1240</v>
      </c>
      <c r="J262" s="19" t="s">
        <v>71</v>
      </c>
      <c r="K262" s="29" t="s">
        <v>1241</v>
      </c>
      <c r="L262" s="26"/>
      <c r="M262" s="27" t="s">
        <v>24</v>
      </c>
      <c r="N262" s="27" t="str">
        <f t="shared" si="23"/>
        <v>NO</v>
      </c>
      <c r="O262" s="27" t="str">
        <f t="shared" si="24"/>
        <v>🔴</v>
      </c>
      <c r="P262" s="28" t="s">
        <v>1156</v>
      </c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</row>
    <row r="263" spans="1:85" ht="18" customHeight="1" x14ac:dyDescent="0.3">
      <c r="A263" s="23">
        <f t="shared" si="20"/>
        <v>262</v>
      </c>
      <c r="B263" s="23">
        <f t="shared" si="21"/>
        <v>262</v>
      </c>
      <c r="C263" s="16" t="s">
        <v>1229</v>
      </c>
      <c r="D263" s="16"/>
      <c r="E263" s="17" t="str">
        <f t="shared" si="22"/>
        <v/>
      </c>
      <c r="F263" s="26" t="s">
        <v>1242</v>
      </c>
      <c r="G263" s="26" t="s">
        <v>114</v>
      </c>
      <c r="H263" s="26" t="s">
        <v>99</v>
      </c>
      <c r="I263" s="26"/>
      <c r="J263" s="20" t="s">
        <v>71</v>
      </c>
      <c r="K263" s="26" t="s">
        <v>1243</v>
      </c>
      <c r="L263" s="26"/>
      <c r="M263" s="27"/>
      <c r="N263" s="27" t="str">
        <f t="shared" si="23"/>
        <v>NO</v>
      </c>
      <c r="O263" s="27" t="str">
        <f t="shared" si="24"/>
        <v>🔴</v>
      </c>
      <c r="P263" s="28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</row>
    <row r="264" spans="1:85" ht="18" customHeight="1" x14ac:dyDescent="0.3">
      <c r="A264" s="23">
        <f t="shared" si="20"/>
        <v>263</v>
      </c>
      <c r="B264" s="23">
        <f t="shared" si="21"/>
        <v>263</v>
      </c>
      <c r="C264" s="29" t="s">
        <v>1229</v>
      </c>
      <c r="D264" s="29"/>
      <c r="E264" s="30" t="str">
        <f t="shared" si="22"/>
        <v/>
      </c>
      <c r="F264" s="26" t="s">
        <v>1244</v>
      </c>
      <c r="G264" s="29" t="s">
        <v>1245</v>
      </c>
      <c r="H264" s="29" t="s">
        <v>1246</v>
      </c>
      <c r="I264" s="29" t="s">
        <v>1247</v>
      </c>
      <c r="J264" s="19" t="s">
        <v>71</v>
      </c>
      <c r="K264" s="29" t="s">
        <v>1243</v>
      </c>
      <c r="L264" s="26"/>
      <c r="M264" s="27" t="s">
        <v>659</v>
      </c>
      <c r="N264" s="27" t="str">
        <f t="shared" si="23"/>
        <v>NO</v>
      </c>
      <c r="O264" s="27" t="str">
        <f t="shared" si="24"/>
        <v>🔴</v>
      </c>
      <c r="P264" s="28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</row>
    <row r="265" spans="1:85" ht="18" customHeight="1" x14ac:dyDescent="0.3">
      <c r="A265" s="23">
        <f t="shared" si="20"/>
        <v>264</v>
      </c>
      <c r="B265" s="23">
        <f t="shared" si="21"/>
        <v>264</v>
      </c>
      <c r="C265" s="16" t="s">
        <v>1229</v>
      </c>
      <c r="D265" s="16" t="s">
        <v>95</v>
      </c>
      <c r="E265" s="17" t="str">
        <f t="shared" si="22"/>
        <v/>
      </c>
      <c r="F265" s="26" t="s">
        <v>1248</v>
      </c>
      <c r="G265" s="26" t="s">
        <v>699</v>
      </c>
      <c r="H265" s="26" t="s">
        <v>1249</v>
      </c>
      <c r="I265" s="26"/>
      <c r="J265" s="20" t="s">
        <v>71</v>
      </c>
      <c r="K265" s="26" t="s">
        <v>1250</v>
      </c>
      <c r="L265" s="26"/>
      <c r="M265" s="27"/>
      <c r="N265" s="27" t="str">
        <f t="shared" si="23"/>
        <v>NO</v>
      </c>
      <c r="O265" s="27" t="str">
        <f t="shared" si="24"/>
        <v>🔴</v>
      </c>
      <c r="P265" s="28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</row>
    <row r="266" spans="1:85" ht="18" customHeight="1" x14ac:dyDescent="0.3">
      <c r="A266" s="23">
        <f t="shared" si="20"/>
        <v>265</v>
      </c>
      <c r="B266" s="23">
        <f t="shared" si="21"/>
        <v>265</v>
      </c>
      <c r="C266" s="29" t="s">
        <v>1229</v>
      </c>
      <c r="D266" s="29"/>
      <c r="E266" s="30" t="str">
        <f t="shared" si="22"/>
        <v/>
      </c>
      <c r="F266" s="26" t="s">
        <v>1251</v>
      </c>
      <c r="G266" s="29" t="s">
        <v>328</v>
      </c>
      <c r="H266" s="29" t="s">
        <v>1252</v>
      </c>
      <c r="I266" s="29"/>
      <c r="J266" s="20" t="s">
        <v>71</v>
      </c>
      <c r="K266" s="29" t="s">
        <v>1253</v>
      </c>
      <c r="L266" s="26"/>
      <c r="M266" s="27"/>
      <c r="N266" s="27" t="str">
        <f t="shared" si="23"/>
        <v>NO</v>
      </c>
      <c r="O266" s="27" t="str">
        <f t="shared" si="24"/>
        <v>🔴</v>
      </c>
      <c r="P266" s="28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</row>
    <row r="267" spans="1:85" ht="18" customHeight="1" x14ac:dyDescent="0.3">
      <c r="A267" s="23">
        <f t="shared" si="20"/>
        <v>266</v>
      </c>
      <c r="B267" s="23">
        <f t="shared" si="21"/>
        <v>266</v>
      </c>
      <c r="C267" s="26" t="s">
        <v>1229</v>
      </c>
      <c r="D267" s="26" t="s">
        <v>752</v>
      </c>
      <c r="E267" s="27" t="str">
        <f t="shared" si="22"/>
        <v/>
      </c>
      <c r="F267" s="26" t="s">
        <v>1254</v>
      </c>
      <c r="G267" s="26" t="s">
        <v>473</v>
      </c>
      <c r="H267" s="26" t="s">
        <v>1255</v>
      </c>
      <c r="I267" s="26"/>
      <c r="J267" s="19" t="s">
        <v>71</v>
      </c>
      <c r="K267" s="26" t="s">
        <v>1256</v>
      </c>
      <c r="L267" s="26"/>
      <c r="M267" s="27" t="s">
        <v>659</v>
      </c>
      <c r="N267" s="27" t="str">
        <f t="shared" si="23"/>
        <v>NO</v>
      </c>
      <c r="O267" s="27" t="str">
        <f t="shared" si="24"/>
        <v>🔴</v>
      </c>
      <c r="P267" s="28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</row>
    <row r="268" spans="1:85" ht="18" customHeight="1" x14ac:dyDescent="0.3">
      <c r="A268" s="23">
        <f t="shared" si="20"/>
        <v>267</v>
      </c>
      <c r="B268" s="23">
        <f t="shared" si="21"/>
        <v>267</v>
      </c>
      <c r="C268" s="29" t="s">
        <v>1229</v>
      </c>
      <c r="D268" s="29" t="s">
        <v>752</v>
      </c>
      <c r="E268" s="30" t="str">
        <f t="shared" si="22"/>
        <v/>
      </c>
      <c r="F268" s="26" t="s">
        <v>1257</v>
      </c>
      <c r="G268" s="29" t="s">
        <v>1258</v>
      </c>
      <c r="H268" s="29" t="s">
        <v>1259</v>
      </c>
      <c r="I268" s="29"/>
      <c r="J268" s="20" t="s">
        <v>71</v>
      </c>
      <c r="K268" s="29" t="s">
        <v>1260</v>
      </c>
      <c r="L268" s="26"/>
      <c r="M268" s="27" t="s">
        <v>1261</v>
      </c>
      <c r="N268" s="27" t="str">
        <f t="shared" si="23"/>
        <v>NO</v>
      </c>
      <c r="O268" s="27" t="str">
        <f t="shared" si="24"/>
        <v>🔴</v>
      </c>
      <c r="P268" s="28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</row>
    <row r="269" spans="1:85" ht="18" customHeight="1" x14ac:dyDescent="0.3">
      <c r="A269" s="23">
        <f t="shared" si="20"/>
        <v>268</v>
      </c>
      <c r="B269" s="23">
        <f t="shared" si="21"/>
        <v>268</v>
      </c>
      <c r="C269" s="26" t="s">
        <v>1229</v>
      </c>
      <c r="D269" s="26" t="s">
        <v>752</v>
      </c>
      <c r="E269" s="27" t="str">
        <f t="shared" si="22"/>
        <v/>
      </c>
      <c r="F269" s="26" t="s">
        <v>1262</v>
      </c>
      <c r="G269" s="26" t="s">
        <v>1263</v>
      </c>
      <c r="H269" s="26" t="s">
        <v>1264</v>
      </c>
      <c r="I269" s="26"/>
      <c r="J269" s="19" t="s">
        <v>71</v>
      </c>
      <c r="K269" s="26" t="s">
        <v>1265</v>
      </c>
      <c r="L269" s="26"/>
      <c r="M269" s="27" t="s">
        <v>659</v>
      </c>
      <c r="N269" s="27" t="str">
        <f t="shared" si="23"/>
        <v>NO</v>
      </c>
      <c r="O269" s="27" t="str">
        <f t="shared" si="24"/>
        <v>🔴</v>
      </c>
      <c r="P269" s="28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</row>
    <row r="270" spans="1:85" ht="18" customHeight="1" x14ac:dyDescent="0.3">
      <c r="A270" s="23">
        <f t="shared" si="20"/>
        <v>269</v>
      </c>
      <c r="B270" s="23">
        <f t="shared" si="21"/>
        <v>269</v>
      </c>
      <c r="C270" s="29" t="s">
        <v>1229</v>
      </c>
      <c r="D270" s="29" t="s">
        <v>645</v>
      </c>
      <c r="E270" s="30" t="str">
        <f t="shared" si="22"/>
        <v>LATERAL VIP</v>
      </c>
      <c r="F270" s="26" t="s">
        <v>1266</v>
      </c>
      <c r="G270" s="29" t="s">
        <v>704</v>
      </c>
      <c r="H270" s="29" t="s">
        <v>1267</v>
      </c>
      <c r="I270" s="29" t="s">
        <v>915</v>
      </c>
      <c r="J270" s="13" t="s">
        <v>22</v>
      </c>
      <c r="K270" s="29" t="s">
        <v>1268</v>
      </c>
      <c r="L270" s="26"/>
      <c r="M270" s="27" t="s">
        <v>659</v>
      </c>
      <c r="N270" s="27" t="str">
        <f t="shared" si="23"/>
        <v>NO</v>
      </c>
      <c r="O270" s="27" t="str">
        <f t="shared" si="24"/>
        <v>🟢</v>
      </c>
      <c r="P270" s="28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</row>
    <row r="271" spans="1:85" ht="18" customHeight="1" x14ac:dyDescent="0.3">
      <c r="A271" s="23">
        <f t="shared" si="20"/>
        <v>270</v>
      </c>
      <c r="B271" s="23">
        <f t="shared" si="21"/>
        <v>270</v>
      </c>
      <c r="C271" s="26" t="s">
        <v>1229</v>
      </c>
      <c r="D271" s="26"/>
      <c r="E271" s="27" t="str">
        <f t="shared" si="22"/>
        <v>LATERAL VIP</v>
      </c>
      <c r="F271" s="26" t="s">
        <v>1269</v>
      </c>
      <c r="G271" s="26" t="s">
        <v>35</v>
      </c>
      <c r="H271" s="26" t="s">
        <v>1270</v>
      </c>
      <c r="I271" s="26"/>
      <c r="J271" s="13" t="s">
        <v>22</v>
      </c>
      <c r="K271" s="26" t="s">
        <v>1271</v>
      </c>
      <c r="L271" s="26"/>
      <c r="M271" s="27" t="s">
        <v>659</v>
      </c>
      <c r="N271" s="27" t="str">
        <f t="shared" si="23"/>
        <v>NO</v>
      </c>
      <c r="O271" s="27" t="str">
        <f t="shared" si="24"/>
        <v>🟢</v>
      </c>
      <c r="P271" s="28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</row>
    <row r="272" spans="1:85" ht="18" customHeight="1" x14ac:dyDescent="0.3">
      <c r="A272" s="23">
        <f t="shared" si="20"/>
        <v>271</v>
      </c>
      <c r="B272" s="23">
        <f t="shared" si="21"/>
        <v>271</v>
      </c>
      <c r="C272" s="29" t="s">
        <v>1229</v>
      </c>
      <c r="D272" s="29"/>
      <c r="E272" s="30" t="s">
        <v>659</v>
      </c>
      <c r="F272" s="26" t="s">
        <v>1272</v>
      </c>
      <c r="G272" s="29" t="s">
        <v>519</v>
      </c>
      <c r="H272" s="29" t="s">
        <v>1273</v>
      </c>
      <c r="I272" s="29" t="s">
        <v>387</v>
      </c>
      <c r="J272" s="20" t="s">
        <v>22</v>
      </c>
      <c r="K272" s="29" t="s">
        <v>1274</v>
      </c>
      <c r="L272" s="26"/>
      <c r="M272" s="27"/>
      <c r="N272" s="27" t="str">
        <f t="shared" si="23"/>
        <v>NO</v>
      </c>
      <c r="O272" s="27" t="str">
        <f t="shared" si="24"/>
        <v>🟢</v>
      </c>
      <c r="P272" s="28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</row>
    <row r="273" spans="1:85" ht="18" customHeight="1" x14ac:dyDescent="0.3">
      <c r="A273" s="23">
        <f t="shared" si="20"/>
        <v>272</v>
      </c>
      <c r="B273" s="23">
        <f t="shared" si="21"/>
        <v>272</v>
      </c>
      <c r="C273" s="26" t="s">
        <v>1229</v>
      </c>
      <c r="D273" s="26" t="s">
        <v>912</v>
      </c>
      <c r="E273" s="27" t="str">
        <f t="shared" si="22"/>
        <v>LATERAL VIP</v>
      </c>
      <c r="F273" s="26" t="s">
        <v>1275</v>
      </c>
      <c r="G273" s="26" t="s">
        <v>533</v>
      </c>
      <c r="H273" s="26" t="s">
        <v>329</v>
      </c>
      <c r="I273" s="26" t="s">
        <v>88</v>
      </c>
      <c r="J273" s="13" t="s">
        <v>22</v>
      </c>
      <c r="K273" s="26" t="s">
        <v>1276</v>
      </c>
      <c r="L273" s="26"/>
      <c r="M273" s="27" t="s">
        <v>659</v>
      </c>
      <c r="N273" s="27" t="str">
        <f t="shared" si="23"/>
        <v>NO</v>
      </c>
      <c r="O273" s="27" t="str">
        <f t="shared" si="24"/>
        <v>🟢</v>
      </c>
      <c r="P273" s="28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</row>
    <row r="274" spans="1:85" ht="18" customHeight="1" x14ac:dyDescent="0.3">
      <c r="A274" s="23">
        <f t="shared" si="20"/>
        <v>273</v>
      </c>
      <c r="B274" s="23">
        <f t="shared" si="21"/>
        <v>273</v>
      </c>
      <c r="C274" s="29" t="s">
        <v>1229</v>
      </c>
      <c r="D274" s="29"/>
      <c r="E274" s="30" t="str">
        <f t="shared" si="22"/>
        <v>LATERAL VIP</v>
      </c>
      <c r="F274" s="26" t="s">
        <v>1277</v>
      </c>
      <c r="G274" s="29" t="s">
        <v>1278</v>
      </c>
      <c r="H274" s="29" t="s">
        <v>1279</v>
      </c>
      <c r="I274" s="29"/>
      <c r="J274" s="13" t="s">
        <v>22</v>
      </c>
      <c r="K274" s="29" t="s">
        <v>1280</v>
      </c>
      <c r="L274" s="26"/>
      <c r="M274" s="27" t="s">
        <v>659</v>
      </c>
      <c r="N274" s="27" t="str">
        <f t="shared" si="23"/>
        <v>NO</v>
      </c>
      <c r="O274" s="27" t="str">
        <f t="shared" si="24"/>
        <v>🟢</v>
      </c>
      <c r="P274" s="28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</row>
    <row r="275" spans="1:85" ht="18" customHeight="1" x14ac:dyDescent="0.3">
      <c r="A275" s="23">
        <f t="shared" si="20"/>
        <v>274</v>
      </c>
      <c r="B275" s="23">
        <f t="shared" si="21"/>
        <v>274</v>
      </c>
      <c r="C275" s="26" t="s">
        <v>1229</v>
      </c>
      <c r="D275" s="26"/>
      <c r="E275" s="27" t="str">
        <f t="shared" si="22"/>
        <v/>
      </c>
      <c r="F275" s="26" t="s">
        <v>1281</v>
      </c>
      <c r="G275" s="26" t="s">
        <v>114</v>
      </c>
      <c r="H275" s="26" t="s">
        <v>1282</v>
      </c>
      <c r="I275" s="26"/>
      <c r="J275" s="20" t="s">
        <v>71</v>
      </c>
      <c r="K275" s="26" t="s">
        <v>1283</v>
      </c>
      <c r="L275" s="26"/>
      <c r="M275" s="27"/>
      <c r="N275" s="27" t="str">
        <f t="shared" si="23"/>
        <v>NO</v>
      </c>
      <c r="O275" s="27" t="str">
        <f t="shared" si="24"/>
        <v>🔴</v>
      </c>
      <c r="P275" s="28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</row>
    <row r="276" spans="1:85" ht="18" customHeight="1" x14ac:dyDescent="0.3">
      <c r="A276" s="23">
        <f t="shared" si="20"/>
        <v>275</v>
      </c>
      <c r="B276" s="23">
        <f t="shared" si="21"/>
        <v>275</v>
      </c>
      <c r="C276" s="29" t="s">
        <v>1229</v>
      </c>
      <c r="D276" s="29" t="s">
        <v>752</v>
      </c>
      <c r="E276" s="30" t="str">
        <f t="shared" si="22"/>
        <v/>
      </c>
      <c r="F276" s="26" t="s">
        <v>1284</v>
      </c>
      <c r="G276" s="29" t="s">
        <v>537</v>
      </c>
      <c r="H276" s="29" t="s">
        <v>361</v>
      </c>
      <c r="I276" s="29"/>
      <c r="J276" s="20" t="s">
        <v>71</v>
      </c>
      <c r="K276" s="29" t="s">
        <v>1285</v>
      </c>
      <c r="L276" s="26"/>
      <c r="M276" s="27" t="s">
        <v>1261</v>
      </c>
      <c r="N276" s="27" t="str">
        <f t="shared" si="23"/>
        <v>NO</v>
      </c>
      <c r="O276" s="27" t="str">
        <f t="shared" si="24"/>
        <v>🔴</v>
      </c>
      <c r="P276" s="28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</row>
    <row r="277" spans="1:85" ht="18" customHeight="1" x14ac:dyDescent="0.3">
      <c r="A277" s="23">
        <f t="shared" si="20"/>
        <v>276</v>
      </c>
      <c r="B277" s="23">
        <f t="shared" si="21"/>
        <v>276</v>
      </c>
      <c r="C277" s="26" t="s">
        <v>1229</v>
      </c>
      <c r="D277" s="26"/>
      <c r="E277" s="27" t="str">
        <f t="shared" si="22"/>
        <v/>
      </c>
      <c r="F277" s="26" t="s">
        <v>1286</v>
      </c>
      <c r="G277" s="26" t="s">
        <v>91</v>
      </c>
      <c r="H277" s="26" t="s">
        <v>1287</v>
      </c>
      <c r="I277" s="26"/>
      <c r="J277" s="20" t="s">
        <v>71</v>
      </c>
      <c r="K277" s="26" t="s">
        <v>1288</v>
      </c>
      <c r="L277" s="26"/>
      <c r="M277" s="27" t="s">
        <v>1261</v>
      </c>
      <c r="N277" s="27" t="str">
        <f t="shared" si="23"/>
        <v>NO</v>
      </c>
      <c r="O277" s="27" t="str">
        <f t="shared" si="24"/>
        <v>🔴</v>
      </c>
      <c r="P277" s="28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</row>
    <row r="278" spans="1:85" ht="18" customHeight="1" x14ac:dyDescent="0.3">
      <c r="A278" s="23">
        <f t="shared" si="20"/>
        <v>277</v>
      </c>
      <c r="B278" s="23">
        <f t="shared" si="21"/>
        <v>277</v>
      </c>
      <c r="C278" s="29" t="s">
        <v>1229</v>
      </c>
      <c r="D278" s="29"/>
      <c r="E278" s="30" t="str">
        <f t="shared" si="22"/>
        <v>LATERAL VIP</v>
      </c>
      <c r="F278" s="26" t="s">
        <v>1289</v>
      </c>
      <c r="G278" s="29" t="s">
        <v>120</v>
      </c>
      <c r="H278" s="29" t="s">
        <v>1290</v>
      </c>
      <c r="I278" s="29" t="s">
        <v>1291</v>
      </c>
      <c r="J278" s="13" t="s">
        <v>22</v>
      </c>
      <c r="K278" s="29" t="s">
        <v>1292</v>
      </c>
      <c r="L278" s="26"/>
      <c r="M278" s="27" t="s">
        <v>659</v>
      </c>
      <c r="N278" s="27" t="str">
        <f t="shared" si="23"/>
        <v>NO</v>
      </c>
      <c r="O278" s="27" t="str">
        <f t="shared" si="24"/>
        <v>🟢</v>
      </c>
      <c r="P278" s="28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</row>
    <row r="279" spans="1:85" ht="18" customHeight="1" x14ac:dyDescent="0.3">
      <c r="A279" s="23">
        <f t="shared" si="20"/>
        <v>278</v>
      </c>
      <c r="B279" s="23">
        <f t="shared" si="21"/>
        <v>278</v>
      </c>
      <c r="C279" s="26" t="s">
        <v>1229</v>
      </c>
      <c r="D279" s="26"/>
      <c r="E279" s="27" t="str">
        <f t="shared" si="22"/>
        <v>LATERAL VIP</v>
      </c>
      <c r="F279" s="26" t="s">
        <v>1293</v>
      </c>
      <c r="G279" s="26" t="s">
        <v>1294</v>
      </c>
      <c r="H279" s="26" t="s">
        <v>1295</v>
      </c>
      <c r="I279" s="26"/>
      <c r="J279" s="13" t="s">
        <v>22</v>
      </c>
      <c r="K279" s="26" t="s">
        <v>1292</v>
      </c>
      <c r="L279" s="26"/>
      <c r="M279" s="27" t="s">
        <v>659</v>
      </c>
      <c r="N279" s="27" t="str">
        <f t="shared" si="23"/>
        <v>NO</v>
      </c>
      <c r="O279" s="27" t="str">
        <f t="shared" si="24"/>
        <v>🟢</v>
      </c>
      <c r="P279" s="28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</row>
    <row r="280" spans="1:85" ht="18" customHeight="1" x14ac:dyDescent="0.3">
      <c r="A280" s="23">
        <f t="shared" si="20"/>
        <v>279</v>
      </c>
      <c r="B280" s="23">
        <f t="shared" si="21"/>
        <v>279</v>
      </c>
      <c r="C280" s="29" t="s">
        <v>1229</v>
      </c>
      <c r="D280" s="29"/>
      <c r="E280" s="30" t="str">
        <f t="shared" si="22"/>
        <v>LATERAL VIP</v>
      </c>
      <c r="F280" s="26" t="s">
        <v>1296</v>
      </c>
      <c r="G280" s="29" t="s">
        <v>1297</v>
      </c>
      <c r="H280" s="29" t="s">
        <v>1298</v>
      </c>
      <c r="I280" s="29" t="s">
        <v>1227</v>
      </c>
      <c r="J280" s="13" t="s">
        <v>22</v>
      </c>
      <c r="K280" s="29" t="s">
        <v>1299</v>
      </c>
      <c r="L280" s="26"/>
      <c r="M280" s="27" t="s">
        <v>659</v>
      </c>
      <c r="N280" s="27" t="str">
        <f t="shared" si="23"/>
        <v>NO</v>
      </c>
      <c r="O280" s="27" t="str">
        <f t="shared" si="24"/>
        <v>🟢</v>
      </c>
      <c r="P280" s="28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</row>
    <row r="281" spans="1:85" ht="18" customHeight="1" x14ac:dyDescent="0.3">
      <c r="A281" s="23">
        <f t="shared" si="20"/>
        <v>280</v>
      </c>
      <c r="B281" s="23">
        <f t="shared" si="21"/>
        <v>280</v>
      </c>
      <c r="C281" s="26" t="s">
        <v>1229</v>
      </c>
      <c r="D281" s="26"/>
      <c r="E281" s="27" t="str">
        <f t="shared" si="22"/>
        <v>LATERAL VIP</v>
      </c>
      <c r="F281" s="26" t="s">
        <v>1300</v>
      </c>
      <c r="G281" s="26" t="s">
        <v>1033</v>
      </c>
      <c r="H281" s="26" t="s">
        <v>312</v>
      </c>
      <c r="I281" s="26" t="s">
        <v>313</v>
      </c>
      <c r="J281" s="13" t="s">
        <v>22</v>
      </c>
      <c r="K281" s="16" t="s">
        <v>1301</v>
      </c>
      <c r="L281" s="26"/>
      <c r="M281" s="27" t="s">
        <v>659</v>
      </c>
      <c r="N281" s="27" t="str">
        <f t="shared" si="23"/>
        <v>NO</v>
      </c>
      <c r="O281" s="27" t="str">
        <f t="shared" si="24"/>
        <v>🟢</v>
      </c>
      <c r="P281" s="28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</row>
    <row r="282" spans="1:85" ht="18" customHeight="1" x14ac:dyDescent="0.3">
      <c r="A282" s="23">
        <f t="shared" si="20"/>
        <v>281</v>
      </c>
      <c r="B282" s="23">
        <f t="shared" si="21"/>
        <v>281</v>
      </c>
      <c r="C282" s="29" t="s">
        <v>1229</v>
      </c>
      <c r="D282" s="29"/>
      <c r="E282" s="30" t="str">
        <f t="shared" si="22"/>
        <v>LATERAL VIP</v>
      </c>
      <c r="F282" s="26" t="s">
        <v>1302</v>
      </c>
      <c r="G282" s="29" t="s">
        <v>1303</v>
      </c>
      <c r="H282" s="29" t="s">
        <v>1304</v>
      </c>
      <c r="I282" s="29" t="s">
        <v>780</v>
      </c>
      <c r="J282" s="13" t="s">
        <v>22</v>
      </c>
      <c r="K282" s="29" t="s">
        <v>1301</v>
      </c>
      <c r="L282" s="26"/>
      <c r="M282" s="27" t="s">
        <v>659</v>
      </c>
      <c r="N282" s="27" t="str">
        <f t="shared" si="23"/>
        <v>NO</v>
      </c>
      <c r="O282" s="27" t="str">
        <f t="shared" si="24"/>
        <v>🟢</v>
      </c>
      <c r="P282" s="28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</row>
    <row r="283" spans="1:85" ht="18" customHeight="1" x14ac:dyDescent="0.3">
      <c r="A283" s="23">
        <f t="shared" si="20"/>
        <v>282</v>
      </c>
      <c r="B283" s="23">
        <f t="shared" si="21"/>
        <v>282</v>
      </c>
      <c r="C283" s="29" t="s">
        <v>1229</v>
      </c>
      <c r="D283" s="29"/>
      <c r="E283" s="30" t="s">
        <v>659</v>
      </c>
      <c r="F283" s="26" t="s">
        <v>1305</v>
      </c>
      <c r="G283" s="29" t="s">
        <v>437</v>
      </c>
      <c r="H283" s="29" t="s">
        <v>312</v>
      </c>
      <c r="I283" s="29" t="s">
        <v>1304</v>
      </c>
      <c r="J283" s="13" t="s">
        <v>57</v>
      </c>
      <c r="K283" s="29" t="s">
        <v>1306</v>
      </c>
      <c r="L283" s="26"/>
      <c r="M283" s="27"/>
      <c r="N283" s="27" t="str">
        <f t="shared" si="23"/>
        <v>NO</v>
      </c>
      <c r="O283" s="27" t="str">
        <f t="shared" si="24"/>
        <v>🟡</v>
      </c>
      <c r="P283" s="28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</row>
    <row r="284" spans="1:85" ht="18" customHeight="1" x14ac:dyDescent="0.3">
      <c r="A284" s="23">
        <f t="shared" si="20"/>
        <v>283</v>
      </c>
      <c r="B284" s="23">
        <f t="shared" si="21"/>
        <v>283</v>
      </c>
      <c r="C284" s="26" t="s">
        <v>1229</v>
      </c>
      <c r="D284" s="26"/>
      <c r="E284" s="27" t="s">
        <v>659</v>
      </c>
      <c r="F284" s="26" t="s">
        <v>1307</v>
      </c>
      <c r="G284" s="26" t="s">
        <v>615</v>
      </c>
      <c r="H284" s="26" t="s">
        <v>390</v>
      </c>
      <c r="I284" s="26" t="s">
        <v>1308</v>
      </c>
      <c r="J284" s="13" t="s">
        <v>22</v>
      </c>
      <c r="K284" s="26" t="s">
        <v>1309</v>
      </c>
      <c r="L284" s="26"/>
      <c r="M284" s="27"/>
      <c r="N284" s="27" t="str">
        <f t="shared" si="23"/>
        <v>NO</v>
      </c>
      <c r="O284" s="27" t="str">
        <f t="shared" si="24"/>
        <v>🟢</v>
      </c>
      <c r="P284" s="28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</row>
    <row r="285" spans="1:85" ht="18" customHeight="1" x14ac:dyDescent="0.3">
      <c r="A285" s="23">
        <f t="shared" si="20"/>
        <v>284</v>
      </c>
      <c r="B285" s="23">
        <f t="shared" si="21"/>
        <v>284</v>
      </c>
      <c r="C285" s="29" t="s">
        <v>1229</v>
      </c>
      <c r="D285" s="29"/>
      <c r="E285" s="30" t="s">
        <v>659</v>
      </c>
      <c r="F285" s="26" t="s">
        <v>1310</v>
      </c>
      <c r="G285" s="29" t="s">
        <v>533</v>
      </c>
      <c r="H285" s="29" t="s">
        <v>1311</v>
      </c>
      <c r="I285" s="29" t="s">
        <v>1312</v>
      </c>
      <c r="J285" s="13" t="s">
        <v>22</v>
      </c>
      <c r="K285" s="29" t="s">
        <v>1313</v>
      </c>
      <c r="L285" s="26"/>
      <c r="M285" s="27"/>
      <c r="N285" s="27" t="str">
        <f t="shared" si="23"/>
        <v>NO</v>
      </c>
      <c r="O285" s="27" t="str">
        <f t="shared" si="24"/>
        <v>🟢</v>
      </c>
      <c r="P285" s="28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</row>
    <row r="286" spans="1:85" ht="18" customHeight="1" x14ac:dyDescent="0.3">
      <c r="A286" s="23">
        <f t="shared" si="20"/>
        <v>285</v>
      </c>
      <c r="B286" s="23">
        <f t="shared" si="21"/>
        <v>285</v>
      </c>
      <c r="C286" s="26" t="s">
        <v>1229</v>
      </c>
      <c r="D286" s="26"/>
      <c r="E286" s="27" t="str">
        <f t="shared" si="22"/>
        <v>LATERAL</v>
      </c>
      <c r="F286" s="26" t="s">
        <v>1314</v>
      </c>
      <c r="G286" s="26" t="s">
        <v>1315</v>
      </c>
      <c r="H286" s="26" t="s">
        <v>1316</v>
      </c>
      <c r="I286" s="26" t="s">
        <v>1317</v>
      </c>
      <c r="J286" s="19" t="s">
        <v>22</v>
      </c>
      <c r="K286" s="26" t="s">
        <v>1318</v>
      </c>
      <c r="L286" s="26"/>
      <c r="M286" s="27" t="s">
        <v>1261</v>
      </c>
      <c r="N286" s="27" t="str">
        <f t="shared" si="23"/>
        <v>NO</v>
      </c>
      <c r="O286" s="27" t="str">
        <f t="shared" si="24"/>
        <v>🟢</v>
      </c>
      <c r="P286" s="28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</row>
    <row r="287" spans="1:85" ht="18" customHeight="1" x14ac:dyDescent="0.3">
      <c r="A287" s="23">
        <f t="shared" si="20"/>
        <v>286</v>
      </c>
      <c r="B287" s="23">
        <f t="shared" si="21"/>
        <v>286</v>
      </c>
      <c r="C287" s="29" t="s">
        <v>1229</v>
      </c>
      <c r="D287" s="29"/>
      <c r="E287" s="30" t="str">
        <f t="shared" si="22"/>
        <v/>
      </c>
      <c r="F287" s="26" t="s">
        <v>1319</v>
      </c>
      <c r="G287" s="29" t="s">
        <v>725</v>
      </c>
      <c r="H287" s="29" t="s">
        <v>539</v>
      </c>
      <c r="I287" s="29" t="s">
        <v>1320</v>
      </c>
      <c r="J287" s="20" t="s">
        <v>71</v>
      </c>
      <c r="K287" s="29" t="s">
        <v>1321</v>
      </c>
      <c r="L287" s="26"/>
      <c r="M287" s="27"/>
      <c r="N287" s="27" t="str">
        <f t="shared" si="23"/>
        <v>NO</v>
      </c>
      <c r="O287" s="27" t="str">
        <f t="shared" si="24"/>
        <v>🔴</v>
      </c>
      <c r="P287" s="28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</row>
    <row r="288" spans="1:85" s="5" customFormat="1" ht="18" customHeight="1" x14ac:dyDescent="0.3">
      <c r="A288" s="23">
        <f t="shared" si="20"/>
        <v>287</v>
      </c>
      <c r="B288" s="23">
        <f t="shared" si="21"/>
        <v>287</v>
      </c>
      <c r="C288" s="26" t="s">
        <v>1229</v>
      </c>
      <c r="D288" s="26"/>
      <c r="E288" s="27" t="s">
        <v>659</v>
      </c>
      <c r="F288" s="26" t="s">
        <v>1322</v>
      </c>
      <c r="G288" s="26" t="s">
        <v>1323</v>
      </c>
      <c r="H288" s="26" t="s">
        <v>534</v>
      </c>
      <c r="I288" s="26"/>
      <c r="J288" s="13" t="s">
        <v>22</v>
      </c>
      <c r="K288" s="26" t="s">
        <v>1324</v>
      </c>
      <c r="L288" s="26"/>
      <c r="M288" s="27" t="s">
        <v>1261</v>
      </c>
      <c r="N288" s="27" t="str">
        <f t="shared" si="23"/>
        <v>NO</v>
      </c>
      <c r="O288" s="27" t="str">
        <f t="shared" si="24"/>
        <v>🟢</v>
      </c>
      <c r="P288" s="28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  <c r="BX288" s="22"/>
      <c r="BY288" s="22"/>
      <c r="BZ288" s="22"/>
      <c r="CA288" s="22"/>
      <c r="CB288" s="22"/>
      <c r="CC288" s="22"/>
      <c r="CD288" s="22"/>
      <c r="CE288" s="22"/>
      <c r="CF288" s="22"/>
      <c r="CG288" s="22"/>
    </row>
    <row r="289" spans="1:85" ht="18" customHeight="1" x14ac:dyDescent="0.3">
      <c r="A289" s="23">
        <f t="shared" si="20"/>
        <v>288</v>
      </c>
      <c r="B289" s="23">
        <f t="shared" si="21"/>
        <v>288</v>
      </c>
      <c r="C289" s="31" t="s">
        <v>1325</v>
      </c>
      <c r="D289" s="31" t="s">
        <v>752</v>
      </c>
      <c r="E289" s="32" t="str">
        <f t="shared" si="22"/>
        <v>VIP</v>
      </c>
      <c r="F289" s="26" t="s">
        <v>1326</v>
      </c>
      <c r="G289" s="31" t="s">
        <v>1327</v>
      </c>
      <c r="H289" s="31" t="s">
        <v>1328</v>
      </c>
      <c r="I289" s="31" t="s">
        <v>1329</v>
      </c>
      <c r="J289" s="19" t="s">
        <v>57</v>
      </c>
      <c r="K289" s="31" t="s">
        <v>1330</v>
      </c>
      <c r="L289" s="26"/>
      <c r="M289" s="27" t="s">
        <v>24</v>
      </c>
      <c r="N289" s="27" t="str">
        <f t="shared" si="23"/>
        <v>NO</v>
      </c>
      <c r="O289" s="27" t="str">
        <f t="shared" si="24"/>
        <v>🟡</v>
      </c>
      <c r="P289" s="28" t="s">
        <v>1156</v>
      </c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</row>
    <row r="290" spans="1:85" ht="18" customHeight="1" x14ac:dyDescent="0.3">
      <c r="A290" s="23">
        <f t="shared" si="20"/>
        <v>289</v>
      </c>
      <c r="B290" s="23">
        <f t="shared" si="21"/>
        <v>289</v>
      </c>
      <c r="C290" s="26" t="s">
        <v>1325</v>
      </c>
      <c r="D290" s="26"/>
      <c r="E290" s="27" t="str">
        <f t="shared" si="22"/>
        <v>LATERAL VIP</v>
      </c>
      <c r="F290" s="26" t="s">
        <v>1331</v>
      </c>
      <c r="G290" s="26" t="s">
        <v>1332</v>
      </c>
      <c r="H290" s="26" t="s">
        <v>1333</v>
      </c>
      <c r="I290" s="26" t="s">
        <v>1334</v>
      </c>
      <c r="J290" s="19" t="s">
        <v>22</v>
      </c>
      <c r="K290" s="26" t="s">
        <v>1335</v>
      </c>
      <c r="L290" s="26"/>
      <c r="M290" s="27" t="s">
        <v>659</v>
      </c>
      <c r="N290" s="27" t="str">
        <f t="shared" si="23"/>
        <v>NO</v>
      </c>
      <c r="O290" s="27" t="str">
        <f t="shared" si="24"/>
        <v>🟢</v>
      </c>
      <c r="P290" s="28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</row>
    <row r="291" spans="1:85" ht="18" customHeight="1" x14ac:dyDescent="0.3">
      <c r="A291" s="23">
        <f t="shared" si="20"/>
        <v>290</v>
      </c>
      <c r="B291" s="23" t="str">
        <f t="shared" si="21"/>
        <v/>
      </c>
      <c r="C291" s="26" t="s">
        <v>1325</v>
      </c>
      <c r="D291" s="26"/>
      <c r="E291" s="27" t="s">
        <v>659</v>
      </c>
      <c r="F291" s="26"/>
      <c r="G291" s="26" t="s">
        <v>1336</v>
      </c>
      <c r="H291" s="26" t="s">
        <v>1337</v>
      </c>
      <c r="I291" s="26" t="s">
        <v>135</v>
      </c>
      <c r="J291" s="19" t="s">
        <v>57</v>
      </c>
      <c r="K291" s="26"/>
      <c r="L291" s="26"/>
      <c r="M291" s="27"/>
      <c r="N291" s="27" t="str">
        <f t="shared" si="23"/>
        <v>NO</v>
      </c>
      <c r="O291" s="27" t="str">
        <f t="shared" si="24"/>
        <v>🟡</v>
      </c>
      <c r="P291" s="28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</row>
    <row r="292" spans="1:85" ht="18" customHeight="1" x14ac:dyDescent="0.3">
      <c r="A292" s="23">
        <f t="shared" si="20"/>
        <v>291</v>
      </c>
      <c r="B292" s="23">
        <f t="shared" si="21"/>
        <v>291</v>
      </c>
      <c r="C292" s="26" t="s">
        <v>1325</v>
      </c>
      <c r="D292" s="26"/>
      <c r="E292" s="27" t="s">
        <v>659</v>
      </c>
      <c r="F292" s="26" t="s">
        <v>1338</v>
      </c>
      <c r="G292" s="26" t="s">
        <v>1339</v>
      </c>
      <c r="H292" s="26" t="s">
        <v>1340</v>
      </c>
      <c r="I292" s="26" t="s">
        <v>1341</v>
      </c>
      <c r="J292" s="19" t="s">
        <v>22</v>
      </c>
      <c r="K292" s="26" t="s">
        <v>1342</v>
      </c>
      <c r="L292" s="26"/>
      <c r="M292" s="27"/>
      <c r="N292" s="27" t="str">
        <f t="shared" si="23"/>
        <v>NO</v>
      </c>
      <c r="O292" s="27" t="str">
        <f t="shared" si="24"/>
        <v>🟢</v>
      </c>
      <c r="P292" s="28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</row>
    <row r="293" spans="1:85" ht="18" customHeight="1" x14ac:dyDescent="0.3">
      <c r="A293" s="23">
        <f t="shared" si="20"/>
        <v>292</v>
      </c>
      <c r="B293" s="23">
        <f t="shared" si="21"/>
        <v>292</v>
      </c>
      <c r="C293" s="31" t="s">
        <v>1325</v>
      </c>
      <c r="D293" s="31" t="s">
        <v>33</v>
      </c>
      <c r="E293" s="32" t="str">
        <f t="shared" si="22"/>
        <v/>
      </c>
      <c r="F293" s="26" t="s">
        <v>1343</v>
      </c>
      <c r="G293" s="31" t="s">
        <v>1344</v>
      </c>
      <c r="H293" s="31" t="s">
        <v>1345</v>
      </c>
      <c r="I293" s="31"/>
      <c r="J293" s="19" t="s">
        <v>71</v>
      </c>
      <c r="K293" s="31" t="s">
        <v>1346</v>
      </c>
      <c r="L293" s="26"/>
      <c r="M293" s="27" t="s">
        <v>659</v>
      </c>
      <c r="N293" s="27" t="str">
        <f t="shared" si="23"/>
        <v>NO</v>
      </c>
      <c r="O293" s="27" t="str">
        <f t="shared" si="24"/>
        <v>🔴</v>
      </c>
      <c r="P293" s="28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</row>
    <row r="294" spans="1:85" ht="18" customHeight="1" x14ac:dyDescent="0.3">
      <c r="A294" s="23">
        <f t="shared" si="20"/>
        <v>293</v>
      </c>
      <c r="B294" s="23">
        <f t="shared" si="21"/>
        <v>293</v>
      </c>
      <c r="C294" s="26" t="s">
        <v>1325</v>
      </c>
      <c r="D294" s="26" t="s">
        <v>818</v>
      </c>
      <c r="E294" s="27" t="s">
        <v>659</v>
      </c>
      <c r="F294" s="26" t="s">
        <v>1347</v>
      </c>
      <c r="G294" s="26" t="s">
        <v>1348</v>
      </c>
      <c r="H294" s="26" t="s">
        <v>1349</v>
      </c>
      <c r="I294" s="26"/>
      <c r="J294" s="19" t="s">
        <v>22</v>
      </c>
      <c r="K294" s="26" t="s">
        <v>1350</v>
      </c>
      <c r="L294" s="26"/>
      <c r="M294" s="27" t="s">
        <v>24</v>
      </c>
      <c r="N294" s="27" t="str">
        <f t="shared" si="23"/>
        <v>SI</v>
      </c>
      <c r="O294" s="27" t="str">
        <f t="shared" si="24"/>
        <v>🟢</v>
      </c>
      <c r="P294" s="28" t="s">
        <v>1156</v>
      </c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</row>
    <row r="295" spans="1:85" ht="18" customHeight="1" x14ac:dyDescent="0.3">
      <c r="A295" s="23">
        <f t="shared" si="20"/>
        <v>294</v>
      </c>
      <c r="B295" s="23">
        <f t="shared" si="21"/>
        <v>294</v>
      </c>
      <c r="C295" s="31" t="s">
        <v>1325</v>
      </c>
      <c r="D295" s="31"/>
      <c r="E295" s="32" t="str">
        <f t="shared" si="22"/>
        <v/>
      </c>
      <c r="F295" s="26" t="s">
        <v>1351</v>
      </c>
      <c r="G295" s="31" t="s">
        <v>615</v>
      </c>
      <c r="H295" s="31" t="s">
        <v>382</v>
      </c>
      <c r="I295" s="31" t="s">
        <v>1352</v>
      </c>
      <c r="J295" s="20" t="s">
        <v>71</v>
      </c>
      <c r="K295" s="31" t="s">
        <v>1353</v>
      </c>
      <c r="L295" s="26"/>
      <c r="M295" s="27" t="s">
        <v>1261</v>
      </c>
      <c r="N295" s="27" t="str">
        <f t="shared" si="23"/>
        <v>NO</v>
      </c>
      <c r="O295" s="27" t="str">
        <f t="shared" si="24"/>
        <v>🔴</v>
      </c>
      <c r="P295" s="28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</row>
    <row r="296" spans="1:85" ht="18" customHeight="1" x14ac:dyDescent="0.3">
      <c r="A296" s="23">
        <f t="shared" si="20"/>
        <v>295</v>
      </c>
      <c r="B296" s="23">
        <f t="shared" si="21"/>
        <v>295</v>
      </c>
      <c r="C296" s="26" t="s">
        <v>1325</v>
      </c>
      <c r="D296" s="26"/>
      <c r="E296" s="27" t="str">
        <f t="shared" si="22"/>
        <v>LATERAL VIP</v>
      </c>
      <c r="F296" s="26" t="s">
        <v>1354</v>
      </c>
      <c r="G296" s="26" t="s">
        <v>1297</v>
      </c>
      <c r="H296" s="26" t="s">
        <v>1355</v>
      </c>
      <c r="I296" s="26" t="s">
        <v>1356</v>
      </c>
      <c r="J296" s="19" t="s">
        <v>57</v>
      </c>
      <c r="K296" s="26" t="s">
        <v>1357</v>
      </c>
      <c r="L296" s="26"/>
      <c r="M296" s="27" t="s">
        <v>659</v>
      </c>
      <c r="N296" s="27" t="str">
        <f t="shared" si="23"/>
        <v>NO</v>
      </c>
      <c r="O296" s="27" t="str">
        <f t="shared" si="24"/>
        <v>🟡</v>
      </c>
      <c r="P296" s="28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</row>
    <row r="297" spans="1:85" ht="18" customHeight="1" x14ac:dyDescent="0.3">
      <c r="A297" s="23">
        <f t="shared" si="20"/>
        <v>296</v>
      </c>
      <c r="B297" s="23">
        <f t="shared" si="21"/>
        <v>296</v>
      </c>
      <c r="C297" s="31" t="s">
        <v>1325</v>
      </c>
      <c r="D297" s="31"/>
      <c r="E297" s="32" t="str">
        <f t="shared" si="22"/>
        <v/>
      </c>
      <c r="F297" s="26" t="s">
        <v>1358</v>
      </c>
      <c r="G297" s="31" t="s">
        <v>1359</v>
      </c>
      <c r="H297" s="31" t="s">
        <v>1360</v>
      </c>
      <c r="I297" s="31" t="s">
        <v>1361</v>
      </c>
      <c r="J297" s="20" t="s">
        <v>71</v>
      </c>
      <c r="K297" s="31" t="s">
        <v>1362</v>
      </c>
      <c r="L297" s="26"/>
      <c r="M297" s="27"/>
      <c r="N297" s="27" t="str">
        <f t="shared" si="23"/>
        <v>NO</v>
      </c>
      <c r="O297" s="27" t="str">
        <f t="shared" si="24"/>
        <v>🔴</v>
      </c>
      <c r="P297" s="28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</row>
    <row r="298" spans="1:85" ht="18" customHeight="1" x14ac:dyDescent="0.3">
      <c r="A298" s="23">
        <f t="shared" si="20"/>
        <v>297</v>
      </c>
      <c r="B298" s="23">
        <f t="shared" si="21"/>
        <v>297</v>
      </c>
      <c r="C298" s="26" t="s">
        <v>1325</v>
      </c>
      <c r="D298" s="26"/>
      <c r="E298" s="27" t="str">
        <f t="shared" si="22"/>
        <v/>
      </c>
      <c r="F298" s="26" t="s">
        <v>1363</v>
      </c>
      <c r="G298" s="26" t="s">
        <v>533</v>
      </c>
      <c r="H298" s="26" t="s">
        <v>1364</v>
      </c>
      <c r="I298" s="26" t="s">
        <v>1365</v>
      </c>
      <c r="J298" s="20" t="s">
        <v>71</v>
      </c>
      <c r="K298" s="26" t="s">
        <v>1366</v>
      </c>
      <c r="L298" s="26"/>
      <c r="M298" s="27" t="s">
        <v>1261</v>
      </c>
      <c r="N298" s="27" t="str">
        <f t="shared" si="23"/>
        <v>NO</v>
      </c>
      <c r="O298" s="27" t="str">
        <f t="shared" si="24"/>
        <v>🔴</v>
      </c>
      <c r="P298" s="28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</row>
    <row r="299" spans="1:85" ht="18" customHeight="1" x14ac:dyDescent="0.3">
      <c r="A299" s="23">
        <f t="shared" si="20"/>
        <v>298</v>
      </c>
      <c r="B299" s="23">
        <f t="shared" si="21"/>
        <v>298</v>
      </c>
      <c r="C299" s="31" t="s">
        <v>1325</v>
      </c>
      <c r="D299" s="31"/>
      <c r="E299" s="32" t="str">
        <f t="shared" si="22"/>
        <v>LATERAL VIP</v>
      </c>
      <c r="F299" s="26" t="s">
        <v>1367</v>
      </c>
      <c r="G299" s="31" t="s">
        <v>1368</v>
      </c>
      <c r="H299" s="31" t="s">
        <v>1369</v>
      </c>
      <c r="I299" s="31" t="s">
        <v>490</v>
      </c>
      <c r="J299" s="19" t="s">
        <v>57</v>
      </c>
      <c r="K299" s="31" t="s">
        <v>1370</v>
      </c>
      <c r="L299" s="26"/>
      <c r="M299" s="27" t="s">
        <v>659</v>
      </c>
      <c r="N299" s="27" t="str">
        <f t="shared" si="23"/>
        <v>NO</v>
      </c>
      <c r="O299" s="27" t="str">
        <f t="shared" si="24"/>
        <v>🟡</v>
      </c>
      <c r="P299" s="28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</row>
    <row r="300" spans="1:85" ht="18" customHeight="1" x14ac:dyDescent="0.3">
      <c r="A300" s="23">
        <f t="shared" si="20"/>
        <v>299</v>
      </c>
      <c r="B300" s="23">
        <f t="shared" si="21"/>
        <v>299</v>
      </c>
      <c r="C300" s="26" t="s">
        <v>1325</v>
      </c>
      <c r="D300" s="26"/>
      <c r="E300" s="27" t="str">
        <f t="shared" si="22"/>
        <v>LATERAL VIP</v>
      </c>
      <c r="F300" s="26" t="s">
        <v>1371</v>
      </c>
      <c r="G300" s="26" t="s">
        <v>1372</v>
      </c>
      <c r="H300" s="26" t="s">
        <v>1373</v>
      </c>
      <c r="I300" s="26" t="s">
        <v>1190</v>
      </c>
      <c r="J300" s="19" t="s">
        <v>57</v>
      </c>
      <c r="K300" s="26" t="s">
        <v>1374</v>
      </c>
      <c r="L300" s="26"/>
      <c r="M300" s="27" t="s">
        <v>659</v>
      </c>
      <c r="N300" s="27" t="str">
        <f t="shared" si="23"/>
        <v>NO</v>
      </c>
      <c r="O300" s="27" t="str">
        <f t="shared" si="24"/>
        <v>🟡</v>
      </c>
      <c r="P300" s="28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</row>
    <row r="301" spans="1:85" ht="18" customHeight="1" x14ac:dyDescent="0.3">
      <c r="A301" s="23">
        <f t="shared" si="20"/>
        <v>300</v>
      </c>
      <c r="B301" s="23">
        <f t="shared" si="21"/>
        <v>300</v>
      </c>
      <c r="C301" s="31" t="s">
        <v>1325</v>
      </c>
      <c r="D301" s="31"/>
      <c r="E301" s="32" t="str">
        <f t="shared" si="22"/>
        <v>VIP</v>
      </c>
      <c r="F301" s="26" t="s">
        <v>1375</v>
      </c>
      <c r="G301" s="31" t="s">
        <v>303</v>
      </c>
      <c r="H301" s="31" t="s">
        <v>1369</v>
      </c>
      <c r="I301" s="31" t="s">
        <v>1245</v>
      </c>
      <c r="J301" s="13" t="s">
        <v>22</v>
      </c>
      <c r="K301" s="31" t="s">
        <v>1376</v>
      </c>
      <c r="L301" s="26"/>
      <c r="M301" s="27" t="s">
        <v>24</v>
      </c>
      <c r="N301" s="27" t="str">
        <f t="shared" si="23"/>
        <v>SI</v>
      </c>
      <c r="O301" s="27" t="str">
        <f t="shared" si="24"/>
        <v>🟢</v>
      </c>
      <c r="P301" s="28" t="s">
        <v>89</v>
      </c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</row>
    <row r="302" spans="1:85" ht="18" customHeight="1" x14ac:dyDescent="0.3">
      <c r="A302" s="23">
        <f t="shared" si="20"/>
        <v>301</v>
      </c>
      <c r="B302" s="23">
        <f t="shared" si="21"/>
        <v>301</v>
      </c>
      <c r="C302" s="26" t="s">
        <v>1325</v>
      </c>
      <c r="D302" s="26"/>
      <c r="E302" s="27" t="str">
        <f t="shared" si="22"/>
        <v>LATERAL VIP</v>
      </c>
      <c r="F302" s="26" t="s">
        <v>1377</v>
      </c>
      <c r="G302" s="26" t="s">
        <v>762</v>
      </c>
      <c r="H302" s="26" t="s">
        <v>104</v>
      </c>
      <c r="I302" s="26" t="s">
        <v>1158</v>
      </c>
      <c r="J302" s="19" t="s">
        <v>57</v>
      </c>
      <c r="K302" s="26" t="s">
        <v>1378</v>
      </c>
      <c r="L302" s="26"/>
      <c r="M302" s="27" t="s">
        <v>659</v>
      </c>
      <c r="N302" s="27" t="str">
        <f t="shared" si="23"/>
        <v>NO</v>
      </c>
      <c r="O302" s="27" t="str">
        <f t="shared" si="24"/>
        <v>🟡</v>
      </c>
      <c r="P302" s="28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</row>
    <row r="303" spans="1:85" ht="18" customHeight="1" x14ac:dyDescent="0.3">
      <c r="A303" s="23">
        <f t="shared" si="20"/>
        <v>302</v>
      </c>
      <c r="B303" s="23">
        <f t="shared" si="21"/>
        <v>302</v>
      </c>
      <c r="C303" s="31" t="s">
        <v>1325</v>
      </c>
      <c r="D303" s="31" t="s">
        <v>2922</v>
      </c>
      <c r="E303" s="32" t="str">
        <f t="shared" si="22"/>
        <v>LATERAL VIP</v>
      </c>
      <c r="F303" s="26" t="s">
        <v>1379</v>
      </c>
      <c r="G303" s="31" t="s">
        <v>1033</v>
      </c>
      <c r="H303" s="31" t="s">
        <v>371</v>
      </c>
      <c r="I303" s="31" t="s">
        <v>1380</v>
      </c>
      <c r="J303" s="19" t="s">
        <v>22</v>
      </c>
      <c r="K303" s="31" t="s">
        <v>1381</v>
      </c>
      <c r="L303" s="26"/>
      <c r="M303" s="27" t="s">
        <v>659</v>
      </c>
      <c r="N303" s="27" t="str">
        <f t="shared" si="23"/>
        <v>NO</v>
      </c>
      <c r="O303" s="27" t="str">
        <f t="shared" si="24"/>
        <v>🟢</v>
      </c>
      <c r="P303" s="28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</row>
    <row r="304" spans="1:85" s="5" customFormat="1" ht="18" customHeight="1" x14ac:dyDescent="0.3">
      <c r="A304" s="23">
        <f t="shared" si="20"/>
        <v>303</v>
      </c>
      <c r="B304" s="23">
        <f t="shared" si="21"/>
        <v>303</v>
      </c>
      <c r="C304" s="26" t="s">
        <v>1325</v>
      </c>
      <c r="D304" s="26"/>
      <c r="E304" s="27" t="str">
        <f t="shared" si="22"/>
        <v/>
      </c>
      <c r="F304" s="26" t="s">
        <v>1382</v>
      </c>
      <c r="G304" s="26" t="s">
        <v>1383</v>
      </c>
      <c r="H304" s="26" t="s">
        <v>395</v>
      </c>
      <c r="I304" s="26" t="s">
        <v>1384</v>
      </c>
      <c r="J304" s="20" t="s">
        <v>71</v>
      </c>
      <c r="K304" s="26" t="s">
        <v>1385</v>
      </c>
      <c r="L304" s="26"/>
      <c r="M304" s="27" t="s">
        <v>1261</v>
      </c>
      <c r="N304" s="27" t="str">
        <f t="shared" si="23"/>
        <v>NO</v>
      </c>
      <c r="O304" s="27" t="str">
        <f t="shared" si="24"/>
        <v>🔴</v>
      </c>
      <c r="P304" s="28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  <c r="BX304" s="22"/>
      <c r="BY304" s="22"/>
      <c r="BZ304" s="22"/>
      <c r="CA304" s="22"/>
      <c r="CB304" s="22"/>
      <c r="CC304" s="22"/>
      <c r="CD304" s="22"/>
      <c r="CE304" s="22"/>
      <c r="CF304" s="22"/>
      <c r="CG304" s="22"/>
    </row>
    <row r="305" spans="1:85" ht="18" customHeight="1" x14ac:dyDescent="0.3">
      <c r="A305" s="23">
        <f t="shared" si="20"/>
        <v>304</v>
      </c>
      <c r="B305" s="23">
        <f t="shared" si="21"/>
        <v>304</v>
      </c>
      <c r="C305" s="26" t="s">
        <v>1386</v>
      </c>
      <c r="D305" s="26" t="s">
        <v>670</v>
      </c>
      <c r="E305" s="27" t="str">
        <f t="shared" si="22"/>
        <v>VIP</v>
      </c>
      <c r="F305" s="26" t="s">
        <v>1387</v>
      </c>
      <c r="G305" s="26" t="s">
        <v>554</v>
      </c>
      <c r="H305" s="26" t="s">
        <v>1388</v>
      </c>
      <c r="I305" s="26" t="s">
        <v>1389</v>
      </c>
      <c r="J305" s="13" t="s">
        <v>22</v>
      </c>
      <c r="K305" s="26" t="s">
        <v>1390</v>
      </c>
      <c r="L305" s="26"/>
      <c r="M305" s="27" t="s">
        <v>24</v>
      </c>
      <c r="N305" s="27" t="str">
        <f t="shared" si="23"/>
        <v>SI</v>
      </c>
      <c r="O305" s="27" t="str">
        <f t="shared" si="24"/>
        <v>🟢</v>
      </c>
      <c r="P305" s="28" t="s">
        <v>94</v>
      </c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</row>
    <row r="306" spans="1:85" ht="18" customHeight="1" x14ac:dyDescent="0.3">
      <c r="A306" s="23">
        <f t="shared" si="20"/>
        <v>305</v>
      </c>
      <c r="B306" s="23">
        <f t="shared" si="21"/>
        <v>305</v>
      </c>
      <c r="C306" s="26" t="s">
        <v>1386</v>
      </c>
      <c r="D306" s="26" t="s">
        <v>1391</v>
      </c>
      <c r="E306" s="27" t="str">
        <f t="shared" si="22"/>
        <v/>
      </c>
      <c r="F306" s="26" t="s">
        <v>1392</v>
      </c>
      <c r="G306" s="26" t="s">
        <v>369</v>
      </c>
      <c r="H306" s="26" t="s">
        <v>1393</v>
      </c>
      <c r="I306" s="26" t="s">
        <v>1394</v>
      </c>
      <c r="J306" s="20" t="s">
        <v>71</v>
      </c>
      <c r="K306" s="26" t="s">
        <v>1395</v>
      </c>
      <c r="L306" s="26"/>
      <c r="M306" s="27" t="s">
        <v>1261</v>
      </c>
      <c r="N306" s="27" t="str">
        <f t="shared" si="23"/>
        <v>NO</v>
      </c>
      <c r="O306" s="27" t="str">
        <f t="shared" si="24"/>
        <v>🔴</v>
      </c>
      <c r="P306" s="28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</row>
    <row r="307" spans="1:85" s="5" customFormat="1" ht="18" customHeight="1" x14ac:dyDescent="0.3">
      <c r="A307" s="23">
        <f t="shared" si="20"/>
        <v>306</v>
      </c>
      <c r="B307" s="23">
        <f t="shared" si="21"/>
        <v>306</v>
      </c>
      <c r="C307" s="26" t="s">
        <v>1386</v>
      </c>
      <c r="D307" s="26" t="s">
        <v>1396</v>
      </c>
      <c r="E307" s="27" t="str">
        <f t="shared" si="22"/>
        <v>LATERAL VIP</v>
      </c>
      <c r="F307" s="26" t="s">
        <v>1397</v>
      </c>
      <c r="G307" s="26" t="s">
        <v>1398</v>
      </c>
      <c r="H307" s="26" t="s">
        <v>1295</v>
      </c>
      <c r="I307" s="26" t="s">
        <v>1399</v>
      </c>
      <c r="J307" s="19" t="s">
        <v>57</v>
      </c>
      <c r="K307" s="26" t="s">
        <v>1400</v>
      </c>
      <c r="L307" s="26"/>
      <c r="M307" s="27" t="s">
        <v>659</v>
      </c>
      <c r="N307" s="27" t="str">
        <f t="shared" si="23"/>
        <v>NO</v>
      </c>
      <c r="O307" s="27" t="str">
        <f t="shared" si="24"/>
        <v>🟡</v>
      </c>
      <c r="P307" s="28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  <c r="BX307" s="22"/>
      <c r="BY307" s="22"/>
      <c r="BZ307" s="22"/>
      <c r="CA307" s="22"/>
      <c r="CB307" s="22"/>
      <c r="CC307" s="22"/>
      <c r="CD307" s="22"/>
      <c r="CE307" s="22"/>
      <c r="CF307" s="22"/>
      <c r="CG307" s="22"/>
    </row>
    <row r="308" spans="1:85" ht="18" customHeight="1" x14ac:dyDescent="0.3">
      <c r="A308" s="23">
        <f t="shared" si="20"/>
        <v>307</v>
      </c>
      <c r="B308" s="23">
        <f t="shared" si="21"/>
        <v>307</v>
      </c>
      <c r="C308" s="26" t="s">
        <v>1401</v>
      </c>
      <c r="D308" s="26" t="s">
        <v>1402</v>
      </c>
      <c r="E308" s="27" t="str">
        <f t="shared" si="22"/>
        <v>LATERAL VIP</v>
      </c>
      <c r="F308" s="26" t="s">
        <v>1403</v>
      </c>
      <c r="G308" s="26" t="s">
        <v>488</v>
      </c>
      <c r="H308" s="26" t="s">
        <v>104</v>
      </c>
      <c r="I308" s="26" t="s">
        <v>410</v>
      </c>
      <c r="J308" s="19" t="s">
        <v>57</v>
      </c>
      <c r="K308" s="26" t="s">
        <v>1404</v>
      </c>
      <c r="L308" s="26"/>
      <c r="M308" s="27" t="s">
        <v>659</v>
      </c>
      <c r="N308" s="27" t="str">
        <f t="shared" si="23"/>
        <v>NO</v>
      </c>
      <c r="O308" s="27" t="str">
        <f t="shared" si="24"/>
        <v>🟡</v>
      </c>
      <c r="P308" s="28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9"/>
      <c r="CC308" s="9"/>
      <c r="CD308" s="9"/>
      <c r="CE308" s="9"/>
      <c r="CF308" s="9"/>
      <c r="CG308" s="9"/>
    </row>
    <row r="309" spans="1:85" ht="18" customHeight="1" x14ac:dyDescent="0.3">
      <c r="A309" s="23">
        <f t="shared" si="20"/>
        <v>308</v>
      </c>
      <c r="B309" s="23">
        <f t="shared" si="21"/>
        <v>308</v>
      </c>
      <c r="C309" s="33" t="s">
        <v>1401</v>
      </c>
      <c r="D309" s="33" t="s">
        <v>1405</v>
      </c>
      <c r="E309" s="34" t="str">
        <f t="shared" si="22"/>
        <v>LATERAL VIP</v>
      </c>
      <c r="F309" s="26" t="s">
        <v>1406</v>
      </c>
      <c r="G309" s="33" t="s">
        <v>1407</v>
      </c>
      <c r="H309" s="33" t="s">
        <v>1408</v>
      </c>
      <c r="I309" s="33" t="s">
        <v>400</v>
      </c>
      <c r="J309" s="19" t="s">
        <v>57</v>
      </c>
      <c r="K309" s="33" t="s">
        <v>1409</v>
      </c>
      <c r="L309" s="26"/>
      <c r="M309" s="27" t="s">
        <v>659</v>
      </c>
      <c r="N309" s="27" t="str">
        <f t="shared" si="23"/>
        <v>NO</v>
      </c>
      <c r="O309" s="27" t="str">
        <f t="shared" si="24"/>
        <v>🟡</v>
      </c>
      <c r="P309" s="28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9"/>
      <c r="CC309" s="9"/>
      <c r="CD309" s="9"/>
      <c r="CE309" s="9"/>
      <c r="CF309" s="9"/>
      <c r="CG309" s="9"/>
    </row>
    <row r="310" spans="1:85" ht="18" customHeight="1" x14ac:dyDescent="0.3">
      <c r="A310" s="23">
        <f t="shared" si="20"/>
        <v>309</v>
      </c>
      <c r="B310" s="23">
        <f t="shared" si="21"/>
        <v>309</v>
      </c>
      <c r="C310" s="26" t="s">
        <v>1401</v>
      </c>
      <c r="D310" s="26" t="s">
        <v>1410</v>
      </c>
      <c r="E310" s="27" t="str">
        <f t="shared" si="22"/>
        <v>LATERAL VIP</v>
      </c>
      <c r="F310" s="26" t="s">
        <v>1411</v>
      </c>
      <c r="G310" s="26" t="s">
        <v>562</v>
      </c>
      <c r="H310" s="26" t="s">
        <v>1412</v>
      </c>
      <c r="I310" s="26" t="s">
        <v>1413</v>
      </c>
      <c r="J310" s="13" t="s">
        <v>22</v>
      </c>
      <c r="K310" s="26" t="s">
        <v>1414</v>
      </c>
      <c r="L310" s="26"/>
      <c r="M310" s="27" t="s">
        <v>659</v>
      </c>
      <c r="N310" s="27" t="str">
        <f t="shared" si="23"/>
        <v>NO</v>
      </c>
      <c r="O310" s="27" t="str">
        <f t="shared" si="24"/>
        <v>🟢</v>
      </c>
      <c r="P310" s="28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9"/>
      <c r="CF310" s="9"/>
      <c r="CG310" s="9"/>
    </row>
    <row r="311" spans="1:85" ht="18" customHeight="1" x14ac:dyDescent="0.3">
      <c r="A311" s="23">
        <f t="shared" si="20"/>
        <v>310</v>
      </c>
      <c r="B311" s="23">
        <f t="shared" si="21"/>
        <v>310</v>
      </c>
      <c r="C311" s="33" t="s">
        <v>1401</v>
      </c>
      <c r="D311" s="33" t="s">
        <v>1410</v>
      </c>
      <c r="E311" s="34" t="str">
        <f t="shared" si="22"/>
        <v>LATERAL VIP</v>
      </c>
      <c r="F311" s="26" t="s">
        <v>1415</v>
      </c>
      <c r="G311" s="33" t="s">
        <v>1002</v>
      </c>
      <c r="H311" s="33" t="s">
        <v>371</v>
      </c>
      <c r="I311" s="33" t="s">
        <v>1416</v>
      </c>
      <c r="J311" s="13" t="s">
        <v>22</v>
      </c>
      <c r="K311" s="33" t="s">
        <v>1417</v>
      </c>
      <c r="L311" s="26"/>
      <c r="M311" s="27" t="s">
        <v>659</v>
      </c>
      <c r="N311" s="27" t="str">
        <f t="shared" si="23"/>
        <v>NO</v>
      </c>
      <c r="O311" s="27" t="str">
        <f t="shared" si="24"/>
        <v>🟢</v>
      </c>
      <c r="P311" s="28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9"/>
      <c r="CC311" s="9"/>
      <c r="CD311" s="9"/>
      <c r="CE311" s="9"/>
      <c r="CF311" s="9"/>
      <c r="CG311" s="9"/>
    </row>
    <row r="312" spans="1:85" ht="18" customHeight="1" x14ac:dyDescent="0.3">
      <c r="A312" s="23">
        <f t="shared" si="20"/>
        <v>311</v>
      </c>
      <c r="B312" s="23">
        <f t="shared" si="21"/>
        <v>311</v>
      </c>
      <c r="C312" s="26" t="s">
        <v>1401</v>
      </c>
      <c r="D312" s="26" t="s">
        <v>1410</v>
      </c>
      <c r="E312" s="27" t="str">
        <f t="shared" si="22"/>
        <v>LATERAL VIP</v>
      </c>
      <c r="F312" s="26" t="s">
        <v>1418</v>
      </c>
      <c r="G312" s="26" t="s">
        <v>1419</v>
      </c>
      <c r="H312" s="26" t="s">
        <v>1420</v>
      </c>
      <c r="I312" s="26" t="s">
        <v>349</v>
      </c>
      <c r="J312" s="13" t="s">
        <v>22</v>
      </c>
      <c r="K312" s="26" t="s">
        <v>1421</v>
      </c>
      <c r="L312" s="26"/>
      <c r="M312" s="27" t="s">
        <v>659</v>
      </c>
      <c r="N312" s="27" t="str">
        <f t="shared" si="23"/>
        <v>NO</v>
      </c>
      <c r="O312" s="27" t="str">
        <f t="shared" si="24"/>
        <v>🟢</v>
      </c>
      <c r="P312" s="28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9"/>
      <c r="CC312" s="9"/>
      <c r="CD312" s="9"/>
      <c r="CE312" s="9"/>
      <c r="CF312" s="9"/>
      <c r="CG312" s="9"/>
    </row>
    <row r="313" spans="1:85" ht="18" customHeight="1" x14ac:dyDescent="0.3">
      <c r="A313" s="23">
        <f t="shared" si="20"/>
        <v>312</v>
      </c>
      <c r="B313" s="23">
        <f t="shared" si="21"/>
        <v>312</v>
      </c>
      <c r="C313" s="33" t="s">
        <v>1401</v>
      </c>
      <c r="D313" s="33" t="s">
        <v>818</v>
      </c>
      <c r="E313" s="34" t="str">
        <f t="shared" si="22"/>
        <v>LATERAL VIP</v>
      </c>
      <c r="F313" s="26" t="s">
        <v>1422</v>
      </c>
      <c r="G313" s="33" t="s">
        <v>473</v>
      </c>
      <c r="H313" s="33" t="s">
        <v>1182</v>
      </c>
      <c r="I313" s="33" t="s">
        <v>951</v>
      </c>
      <c r="J313" s="13" t="s">
        <v>22</v>
      </c>
      <c r="K313" s="33" t="s">
        <v>1423</v>
      </c>
      <c r="L313" s="26"/>
      <c r="M313" s="27" t="s">
        <v>659</v>
      </c>
      <c r="N313" s="27" t="str">
        <f t="shared" si="23"/>
        <v>NO</v>
      </c>
      <c r="O313" s="27" t="str">
        <f t="shared" si="24"/>
        <v>🟢</v>
      </c>
      <c r="P313" s="28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9"/>
      <c r="CC313" s="9"/>
      <c r="CD313" s="9"/>
      <c r="CE313" s="9"/>
      <c r="CF313" s="9"/>
      <c r="CG313" s="9"/>
    </row>
    <row r="314" spans="1:85" ht="18" customHeight="1" x14ac:dyDescent="0.3">
      <c r="A314" s="23">
        <f t="shared" si="20"/>
        <v>313</v>
      </c>
      <c r="B314" s="23">
        <f t="shared" si="21"/>
        <v>313</v>
      </c>
      <c r="C314" s="26" t="s">
        <v>1401</v>
      </c>
      <c r="D314" s="26" t="s">
        <v>1410</v>
      </c>
      <c r="E314" s="27" t="str">
        <f t="shared" si="22"/>
        <v/>
      </c>
      <c r="F314" s="26" t="s">
        <v>1424</v>
      </c>
      <c r="G314" s="26" t="s">
        <v>437</v>
      </c>
      <c r="H314" s="26" t="s">
        <v>1425</v>
      </c>
      <c r="I314" s="26" t="s">
        <v>1426</v>
      </c>
      <c r="J314" s="20" t="s">
        <v>71</v>
      </c>
      <c r="K314" s="26" t="s">
        <v>1427</v>
      </c>
      <c r="L314" s="26"/>
      <c r="M314" s="27" t="s">
        <v>1261</v>
      </c>
      <c r="N314" s="27" t="str">
        <f t="shared" si="23"/>
        <v>NO</v>
      </c>
      <c r="O314" s="27" t="str">
        <f t="shared" si="24"/>
        <v>🔴</v>
      </c>
      <c r="P314" s="28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9"/>
      <c r="CC314" s="9"/>
      <c r="CD314" s="9"/>
      <c r="CE314" s="9"/>
      <c r="CF314" s="9"/>
      <c r="CG314" s="9"/>
    </row>
    <row r="315" spans="1:85" ht="18" customHeight="1" x14ac:dyDescent="0.3">
      <c r="A315" s="23">
        <f t="shared" si="20"/>
        <v>314</v>
      </c>
      <c r="B315" s="23">
        <f t="shared" si="21"/>
        <v>314</v>
      </c>
      <c r="C315" s="33" t="s">
        <v>1401</v>
      </c>
      <c r="D315" s="33" t="s">
        <v>1428</v>
      </c>
      <c r="E315" s="34" t="str">
        <f t="shared" si="22"/>
        <v>LATERAL VIP</v>
      </c>
      <c r="F315" s="26" t="s">
        <v>1429</v>
      </c>
      <c r="G315" s="33" t="s">
        <v>1315</v>
      </c>
      <c r="H315" s="33" t="s">
        <v>1430</v>
      </c>
      <c r="I315" s="33" t="s">
        <v>410</v>
      </c>
      <c r="J315" s="13" t="s">
        <v>22</v>
      </c>
      <c r="K315" s="33" t="s">
        <v>1427</v>
      </c>
      <c r="L315" s="26"/>
      <c r="M315" s="27" t="s">
        <v>659</v>
      </c>
      <c r="N315" s="27" t="str">
        <f t="shared" si="23"/>
        <v>NO</v>
      </c>
      <c r="O315" s="27" t="str">
        <f t="shared" si="24"/>
        <v>🟢</v>
      </c>
      <c r="P315" s="28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</row>
    <row r="316" spans="1:85" ht="18" customHeight="1" x14ac:dyDescent="0.3">
      <c r="A316" s="23">
        <f t="shared" si="20"/>
        <v>315</v>
      </c>
      <c r="B316" s="23">
        <f t="shared" si="21"/>
        <v>315</v>
      </c>
      <c r="C316" s="26" t="s">
        <v>1401</v>
      </c>
      <c r="D316" s="26" t="s">
        <v>912</v>
      </c>
      <c r="E316" s="27" t="str">
        <f t="shared" si="22"/>
        <v>LATERAL VIP</v>
      </c>
      <c r="F316" s="26" t="s">
        <v>1431</v>
      </c>
      <c r="G316" s="26" t="s">
        <v>615</v>
      </c>
      <c r="H316" s="26" t="s">
        <v>1432</v>
      </c>
      <c r="I316" s="26" t="s">
        <v>1433</v>
      </c>
      <c r="J316" s="19" t="s">
        <v>57</v>
      </c>
      <c r="K316" s="26" t="s">
        <v>1434</v>
      </c>
      <c r="L316" s="26"/>
      <c r="M316" s="27" t="s">
        <v>659</v>
      </c>
      <c r="N316" s="27" t="str">
        <f t="shared" si="23"/>
        <v>NO</v>
      </c>
      <c r="O316" s="27" t="str">
        <f t="shared" si="24"/>
        <v>🟡</v>
      </c>
      <c r="P316" s="28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</row>
    <row r="317" spans="1:85" ht="18" customHeight="1" x14ac:dyDescent="0.3">
      <c r="A317" s="23">
        <f t="shared" si="20"/>
        <v>316</v>
      </c>
      <c r="B317" s="23">
        <f t="shared" si="21"/>
        <v>316</v>
      </c>
      <c r="C317" s="33" t="s">
        <v>1401</v>
      </c>
      <c r="D317" s="33" t="s">
        <v>1410</v>
      </c>
      <c r="E317" s="34" t="str">
        <f t="shared" si="22"/>
        <v>LATERAL VIP</v>
      </c>
      <c r="F317" s="26" t="s">
        <v>1435</v>
      </c>
      <c r="G317" s="33" t="s">
        <v>1058</v>
      </c>
      <c r="H317" s="33" t="s">
        <v>1045</v>
      </c>
      <c r="I317" s="33" t="s">
        <v>1046</v>
      </c>
      <c r="J317" s="13" t="s">
        <v>22</v>
      </c>
      <c r="K317" s="33" t="s">
        <v>1436</v>
      </c>
      <c r="L317" s="26"/>
      <c r="M317" s="27" t="s">
        <v>659</v>
      </c>
      <c r="N317" s="27" t="str">
        <f t="shared" si="23"/>
        <v>NO</v>
      </c>
      <c r="O317" s="27" t="str">
        <f t="shared" si="24"/>
        <v>🟢</v>
      </c>
      <c r="P317" s="28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</row>
    <row r="318" spans="1:85" ht="18" customHeight="1" x14ac:dyDescent="0.3">
      <c r="A318" s="23">
        <f t="shared" si="20"/>
        <v>317</v>
      </c>
      <c r="B318" s="23">
        <f t="shared" si="21"/>
        <v>317</v>
      </c>
      <c r="C318" s="26" t="s">
        <v>1401</v>
      </c>
      <c r="D318" s="26" t="s">
        <v>1410</v>
      </c>
      <c r="E318" s="27" t="str">
        <f t="shared" si="22"/>
        <v>VIP</v>
      </c>
      <c r="F318" s="26" t="s">
        <v>1437</v>
      </c>
      <c r="G318" s="26" t="s">
        <v>1438</v>
      </c>
      <c r="H318" s="26" t="s">
        <v>1439</v>
      </c>
      <c r="I318" s="26" t="s">
        <v>395</v>
      </c>
      <c r="J318" s="13" t="s">
        <v>22</v>
      </c>
      <c r="K318" s="26" t="s">
        <v>1440</v>
      </c>
      <c r="L318" s="26"/>
      <c r="M318" s="27" t="s">
        <v>24</v>
      </c>
      <c r="N318" s="27" t="str">
        <f t="shared" si="23"/>
        <v>SI</v>
      </c>
      <c r="O318" s="27" t="str">
        <f t="shared" si="24"/>
        <v>🟢</v>
      </c>
      <c r="P318" s="28" t="s">
        <v>147</v>
      </c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</row>
    <row r="319" spans="1:85" ht="18" customHeight="1" x14ac:dyDescent="0.3">
      <c r="A319" s="23">
        <f t="shared" si="20"/>
        <v>318</v>
      </c>
      <c r="B319" s="23">
        <f t="shared" si="21"/>
        <v>318</v>
      </c>
      <c r="C319" s="33" t="s">
        <v>1401</v>
      </c>
      <c r="D319" s="33" t="s">
        <v>818</v>
      </c>
      <c r="E319" s="34" t="str">
        <f t="shared" si="22"/>
        <v>VIP</v>
      </c>
      <c r="F319" s="26" t="s">
        <v>1441</v>
      </c>
      <c r="G319" s="33" t="s">
        <v>725</v>
      </c>
      <c r="H319" s="33" t="s">
        <v>1442</v>
      </c>
      <c r="I319" s="33" t="s">
        <v>1443</v>
      </c>
      <c r="J319" s="13" t="s">
        <v>22</v>
      </c>
      <c r="K319" s="33" t="s">
        <v>1444</v>
      </c>
      <c r="L319" s="26"/>
      <c r="M319" s="27" t="s">
        <v>24</v>
      </c>
      <c r="N319" s="27" t="str">
        <f t="shared" si="23"/>
        <v>SI</v>
      </c>
      <c r="O319" s="27" t="str">
        <f t="shared" si="24"/>
        <v>🟢</v>
      </c>
      <c r="P319" s="28" t="s">
        <v>161</v>
      </c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</row>
    <row r="320" spans="1:85" ht="18" customHeight="1" x14ac:dyDescent="0.3">
      <c r="A320" s="23">
        <f t="shared" si="20"/>
        <v>319</v>
      </c>
      <c r="B320" s="23">
        <f t="shared" si="21"/>
        <v>319</v>
      </c>
      <c r="C320" s="33" t="s">
        <v>1401</v>
      </c>
      <c r="D320" s="33" t="s">
        <v>1445</v>
      </c>
      <c r="E320" s="34" t="str">
        <f t="shared" si="22"/>
        <v>VIP</v>
      </c>
      <c r="F320" s="26" t="s">
        <v>1446</v>
      </c>
      <c r="G320" s="33" t="s">
        <v>1039</v>
      </c>
      <c r="H320" s="33" t="s">
        <v>1447</v>
      </c>
      <c r="I320" s="33" t="s">
        <v>1448</v>
      </c>
      <c r="J320" s="13" t="s">
        <v>22</v>
      </c>
      <c r="K320" s="33" t="s">
        <v>1449</v>
      </c>
      <c r="L320" s="26"/>
      <c r="M320" s="27" t="s">
        <v>24</v>
      </c>
      <c r="N320" s="27" t="str">
        <f t="shared" si="23"/>
        <v>SI</v>
      </c>
      <c r="O320" s="27" t="str">
        <f t="shared" si="24"/>
        <v>🟢</v>
      </c>
      <c r="P320" s="28" t="s">
        <v>175</v>
      </c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</row>
    <row r="321" spans="1:85" ht="18" customHeight="1" x14ac:dyDescent="0.3">
      <c r="A321" s="23">
        <f t="shared" si="20"/>
        <v>320</v>
      </c>
      <c r="B321" s="23">
        <f t="shared" si="21"/>
        <v>320</v>
      </c>
      <c r="C321" s="33" t="s">
        <v>1401</v>
      </c>
      <c r="D321" s="33" t="s">
        <v>1410</v>
      </c>
      <c r="E321" s="34" t="str">
        <f t="shared" si="22"/>
        <v>VIP</v>
      </c>
      <c r="F321" s="26" t="s">
        <v>1450</v>
      </c>
      <c r="G321" s="33" t="s">
        <v>621</v>
      </c>
      <c r="H321" s="33" t="s">
        <v>1451</v>
      </c>
      <c r="I321" s="33" t="s">
        <v>1452</v>
      </c>
      <c r="J321" s="13" t="s">
        <v>22</v>
      </c>
      <c r="K321" s="33" t="s">
        <v>1453</v>
      </c>
      <c r="L321" s="26"/>
      <c r="M321" s="27" t="s">
        <v>24</v>
      </c>
      <c r="N321" s="27" t="str">
        <f t="shared" si="23"/>
        <v>SI</v>
      </c>
      <c r="O321" s="27" t="str">
        <f t="shared" si="24"/>
        <v>🟢</v>
      </c>
      <c r="P321" s="28" t="s">
        <v>180</v>
      </c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</row>
    <row r="322" spans="1:85" ht="18" customHeight="1" x14ac:dyDescent="0.3">
      <c r="A322" s="23">
        <f t="shared" ref="A322:A385" si="25">IF(COUNTA(C322:K322)=0,"",ROW()-1)</f>
        <v>321</v>
      </c>
      <c r="B322" s="23">
        <f t="shared" ref="B322:B385" si="26">IF($F322&lt;&gt;"",$A322,"")</f>
        <v>321</v>
      </c>
      <c r="C322" s="26" t="s">
        <v>1401</v>
      </c>
      <c r="D322" s="26" t="s">
        <v>818</v>
      </c>
      <c r="E322" s="27" t="str">
        <f t="shared" ref="E322:E385" si="27">IF(UPPER($J322)="NO","",$M322)</f>
        <v>VIP</v>
      </c>
      <c r="F322" s="26" t="s">
        <v>1454</v>
      </c>
      <c r="G322" s="26" t="s">
        <v>1455</v>
      </c>
      <c r="H322" s="26" t="s">
        <v>1091</v>
      </c>
      <c r="I322" s="26" t="s">
        <v>1456</v>
      </c>
      <c r="J322" s="13" t="s">
        <v>22</v>
      </c>
      <c r="K322" s="26" t="s">
        <v>1457</v>
      </c>
      <c r="L322" s="26"/>
      <c r="M322" s="27" t="s">
        <v>24</v>
      </c>
      <c r="N322" s="27" t="str">
        <f t="shared" ref="N322:N385" si="28">IF(AND(UPPER($M322)="VIP",UPPER($J322)="SI",$F322&lt;&gt;""),"SI","NO")</f>
        <v>SI</v>
      </c>
      <c r="O322" s="27" t="str">
        <f t="shared" ref="O322:O385" si="29">IF(UPPER($J322)="SI","🟢",IF(UPPER($J322)="NO","🔴","🟡"))</f>
        <v>🟢</v>
      </c>
      <c r="P322" s="28" t="s">
        <v>195</v>
      </c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</row>
    <row r="323" spans="1:85" ht="18" customHeight="1" x14ac:dyDescent="0.3">
      <c r="A323" s="23">
        <f t="shared" si="25"/>
        <v>322</v>
      </c>
      <c r="B323" s="23">
        <f t="shared" si="26"/>
        <v>322</v>
      </c>
      <c r="C323" s="26" t="s">
        <v>1401</v>
      </c>
      <c r="D323" s="26" t="s">
        <v>818</v>
      </c>
      <c r="E323" s="27" t="str">
        <f t="shared" si="27"/>
        <v>VIP</v>
      </c>
      <c r="F323" s="26" t="s">
        <v>1458</v>
      </c>
      <c r="G323" s="26" t="s">
        <v>1459</v>
      </c>
      <c r="H323" s="26" t="s">
        <v>135</v>
      </c>
      <c r="I323" s="26" t="s">
        <v>1460</v>
      </c>
      <c r="J323" s="13" t="s">
        <v>22</v>
      </c>
      <c r="K323" s="26" t="s">
        <v>1461</v>
      </c>
      <c r="L323" s="26"/>
      <c r="M323" s="27" t="s">
        <v>24</v>
      </c>
      <c r="N323" s="27" t="str">
        <f t="shared" si="28"/>
        <v>SI</v>
      </c>
      <c r="O323" s="27" t="str">
        <f t="shared" si="29"/>
        <v>🟢</v>
      </c>
      <c r="P323" s="28" t="s">
        <v>200</v>
      </c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</row>
    <row r="324" spans="1:85" ht="18" customHeight="1" x14ac:dyDescent="0.3">
      <c r="A324" s="23">
        <f t="shared" si="25"/>
        <v>323</v>
      </c>
      <c r="B324" s="23">
        <f t="shared" si="26"/>
        <v>323</v>
      </c>
      <c r="C324" s="33" t="s">
        <v>1401</v>
      </c>
      <c r="D324" s="33" t="s">
        <v>1462</v>
      </c>
      <c r="E324" s="34" t="str">
        <f t="shared" si="27"/>
        <v>LATERAL</v>
      </c>
      <c r="F324" s="26" t="s">
        <v>1463</v>
      </c>
      <c r="G324" s="33" t="s">
        <v>1263</v>
      </c>
      <c r="H324" s="33" t="s">
        <v>1464</v>
      </c>
      <c r="I324" s="33" t="s">
        <v>1465</v>
      </c>
      <c r="J324" s="13" t="s">
        <v>22</v>
      </c>
      <c r="K324" s="33" t="s">
        <v>1466</v>
      </c>
      <c r="L324" s="26"/>
      <c r="M324" s="27" t="s">
        <v>1261</v>
      </c>
      <c r="N324" s="27" t="str">
        <f t="shared" si="28"/>
        <v>NO</v>
      </c>
      <c r="O324" s="27" t="str">
        <f t="shared" si="29"/>
        <v>🟢</v>
      </c>
      <c r="P324" s="28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</row>
    <row r="325" spans="1:85" ht="18" customHeight="1" x14ac:dyDescent="0.3">
      <c r="A325" s="23">
        <f t="shared" si="25"/>
        <v>324</v>
      </c>
      <c r="B325" s="23">
        <f t="shared" si="26"/>
        <v>324</v>
      </c>
      <c r="C325" s="26" t="s">
        <v>1401</v>
      </c>
      <c r="D325" s="26" t="s">
        <v>1462</v>
      </c>
      <c r="E325" s="27" t="str">
        <f t="shared" si="27"/>
        <v>LATERAL</v>
      </c>
      <c r="F325" s="26" t="s">
        <v>1467</v>
      </c>
      <c r="G325" s="26" t="s">
        <v>704</v>
      </c>
      <c r="H325" s="26" t="s">
        <v>1468</v>
      </c>
      <c r="I325" s="26" t="s">
        <v>1469</v>
      </c>
      <c r="J325" s="13" t="s">
        <v>22</v>
      </c>
      <c r="K325" s="26" t="s">
        <v>1470</v>
      </c>
      <c r="L325" s="26"/>
      <c r="M325" s="27" t="s">
        <v>1261</v>
      </c>
      <c r="N325" s="27" t="str">
        <f t="shared" si="28"/>
        <v>NO</v>
      </c>
      <c r="O325" s="27" t="str">
        <f t="shared" si="29"/>
        <v>🟢</v>
      </c>
      <c r="P325" s="28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</row>
    <row r="326" spans="1:85" ht="18" customHeight="1" x14ac:dyDescent="0.3">
      <c r="A326" s="23">
        <f t="shared" si="25"/>
        <v>325</v>
      </c>
      <c r="B326" s="23">
        <f t="shared" si="26"/>
        <v>325</v>
      </c>
      <c r="C326" s="33" t="s">
        <v>1401</v>
      </c>
      <c r="D326" s="33" t="s">
        <v>1471</v>
      </c>
      <c r="E326" s="34" t="str">
        <f t="shared" si="27"/>
        <v>LATERAL</v>
      </c>
      <c r="F326" s="26" t="s">
        <v>1472</v>
      </c>
      <c r="G326" s="33" t="s">
        <v>97</v>
      </c>
      <c r="H326" s="33" t="s">
        <v>1473</v>
      </c>
      <c r="I326" s="33" t="s">
        <v>1474</v>
      </c>
      <c r="J326" s="13" t="s">
        <v>22</v>
      </c>
      <c r="K326" s="33" t="s">
        <v>1475</v>
      </c>
      <c r="L326" s="26"/>
      <c r="M326" s="27" t="s">
        <v>1261</v>
      </c>
      <c r="N326" s="27" t="str">
        <f t="shared" si="28"/>
        <v>NO</v>
      </c>
      <c r="O326" s="27" t="str">
        <f t="shared" si="29"/>
        <v>🟢</v>
      </c>
      <c r="P326" s="28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</row>
    <row r="327" spans="1:85" ht="18" customHeight="1" x14ac:dyDescent="0.3">
      <c r="A327" s="23">
        <f t="shared" si="25"/>
        <v>326</v>
      </c>
      <c r="B327" s="23">
        <f t="shared" si="26"/>
        <v>326</v>
      </c>
      <c r="C327" s="26" t="s">
        <v>1401</v>
      </c>
      <c r="D327" s="26" t="s">
        <v>1476</v>
      </c>
      <c r="E327" s="27" t="str">
        <f t="shared" si="27"/>
        <v>LATERAL VIP</v>
      </c>
      <c r="F327" s="26" t="s">
        <v>1477</v>
      </c>
      <c r="G327" s="26" t="s">
        <v>1478</v>
      </c>
      <c r="H327" s="26" t="s">
        <v>988</v>
      </c>
      <c r="I327" s="26" t="s">
        <v>1105</v>
      </c>
      <c r="J327" s="13" t="s">
        <v>22</v>
      </c>
      <c r="K327" s="26" t="s">
        <v>1479</v>
      </c>
      <c r="L327" s="26"/>
      <c r="M327" s="27" t="s">
        <v>659</v>
      </c>
      <c r="N327" s="27" t="str">
        <f t="shared" si="28"/>
        <v>NO</v>
      </c>
      <c r="O327" s="27" t="str">
        <f t="shared" si="29"/>
        <v>🟢</v>
      </c>
      <c r="P327" s="28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</row>
    <row r="328" spans="1:85" ht="18" customHeight="1" x14ac:dyDescent="0.3">
      <c r="A328" s="23">
        <f t="shared" si="25"/>
        <v>327</v>
      </c>
      <c r="B328" s="23">
        <f t="shared" si="26"/>
        <v>327</v>
      </c>
      <c r="C328" s="33" t="s">
        <v>1401</v>
      </c>
      <c r="D328" s="33" t="s">
        <v>1476</v>
      </c>
      <c r="E328" s="34" t="str">
        <f t="shared" si="27"/>
        <v>LATERAL VIP</v>
      </c>
      <c r="F328" s="26" t="s">
        <v>1480</v>
      </c>
      <c r="G328" s="33" t="s">
        <v>488</v>
      </c>
      <c r="H328" s="33" t="s">
        <v>1182</v>
      </c>
      <c r="I328" s="33" t="s">
        <v>1481</v>
      </c>
      <c r="J328" s="13" t="s">
        <v>22</v>
      </c>
      <c r="K328" s="33" t="s">
        <v>1482</v>
      </c>
      <c r="L328" s="26"/>
      <c r="M328" s="27" t="s">
        <v>659</v>
      </c>
      <c r="N328" s="27" t="str">
        <f t="shared" si="28"/>
        <v>NO</v>
      </c>
      <c r="O328" s="27" t="str">
        <f t="shared" si="29"/>
        <v>🟢</v>
      </c>
      <c r="P328" s="28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</row>
    <row r="329" spans="1:85" ht="18" customHeight="1" x14ac:dyDescent="0.3">
      <c r="A329" s="23">
        <f t="shared" si="25"/>
        <v>328</v>
      </c>
      <c r="B329" s="23">
        <f t="shared" si="26"/>
        <v>328</v>
      </c>
      <c r="C329" s="26" t="s">
        <v>1401</v>
      </c>
      <c r="D329" s="26" t="s">
        <v>1483</v>
      </c>
      <c r="E329" s="27" t="str">
        <f t="shared" si="27"/>
        <v/>
      </c>
      <c r="F329" s="26" t="s">
        <v>1484</v>
      </c>
      <c r="G329" s="26" t="s">
        <v>621</v>
      </c>
      <c r="H329" s="26" t="s">
        <v>1485</v>
      </c>
      <c r="I329" s="26"/>
      <c r="J329" s="20" t="s">
        <v>71</v>
      </c>
      <c r="K329" s="26" t="s">
        <v>1486</v>
      </c>
      <c r="L329" s="26"/>
      <c r="M329" s="27"/>
      <c r="N329" s="27" t="str">
        <f t="shared" si="28"/>
        <v>NO</v>
      </c>
      <c r="O329" s="27" t="str">
        <f t="shared" si="29"/>
        <v>🔴</v>
      </c>
      <c r="P329" s="28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</row>
    <row r="330" spans="1:85" ht="18" customHeight="1" x14ac:dyDescent="0.3">
      <c r="A330" s="23">
        <f t="shared" si="25"/>
        <v>329</v>
      </c>
      <c r="B330" s="23">
        <f t="shared" si="26"/>
        <v>329</v>
      </c>
      <c r="C330" s="26" t="s">
        <v>1401</v>
      </c>
      <c r="D330" s="26" t="s">
        <v>1487</v>
      </c>
      <c r="E330" s="27" t="str">
        <f t="shared" si="27"/>
        <v>LATERAL VIP</v>
      </c>
      <c r="F330" s="26" t="s">
        <v>1488</v>
      </c>
      <c r="G330" s="26" t="s">
        <v>533</v>
      </c>
      <c r="H330" s="26" t="s">
        <v>1489</v>
      </c>
      <c r="I330" s="26" t="s">
        <v>1490</v>
      </c>
      <c r="J330" s="13" t="s">
        <v>22</v>
      </c>
      <c r="K330" s="26" t="s">
        <v>1491</v>
      </c>
      <c r="L330" s="26"/>
      <c r="M330" s="27" t="s">
        <v>659</v>
      </c>
      <c r="N330" s="27" t="str">
        <f t="shared" si="28"/>
        <v>NO</v>
      </c>
      <c r="O330" s="27" t="str">
        <f t="shared" si="29"/>
        <v>🟢</v>
      </c>
      <c r="P330" s="28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</row>
    <row r="331" spans="1:85" ht="18" customHeight="1" x14ac:dyDescent="0.3">
      <c r="A331" s="23">
        <f t="shared" si="25"/>
        <v>330</v>
      </c>
      <c r="B331" s="23">
        <f t="shared" si="26"/>
        <v>330</v>
      </c>
      <c r="C331" s="33" t="s">
        <v>1401</v>
      </c>
      <c r="D331" s="33" t="s">
        <v>1410</v>
      </c>
      <c r="E331" s="34" t="str">
        <f t="shared" si="27"/>
        <v>LATERAL VIP</v>
      </c>
      <c r="F331" s="26" t="s">
        <v>1492</v>
      </c>
      <c r="G331" s="33" t="s">
        <v>128</v>
      </c>
      <c r="H331" s="33" t="s">
        <v>1493</v>
      </c>
      <c r="I331" s="33"/>
      <c r="J331" s="13" t="s">
        <v>22</v>
      </c>
      <c r="K331" s="33" t="s">
        <v>1494</v>
      </c>
      <c r="L331" s="26"/>
      <c r="M331" s="27" t="s">
        <v>659</v>
      </c>
      <c r="N331" s="27" t="str">
        <f t="shared" si="28"/>
        <v>NO</v>
      </c>
      <c r="O331" s="27" t="str">
        <f t="shared" si="29"/>
        <v>🟢</v>
      </c>
      <c r="P331" s="28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</row>
    <row r="332" spans="1:85" ht="18" customHeight="1" x14ac:dyDescent="0.3">
      <c r="A332" s="23">
        <f t="shared" si="25"/>
        <v>331</v>
      </c>
      <c r="B332" s="23">
        <f t="shared" si="26"/>
        <v>331</v>
      </c>
      <c r="C332" s="26" t="s">
        <v>1401</v>
      </c>
      <c r="D332" s="26" t="s">
        <v>1410</v>
      </c>
      <c r="E332" s="27" t="str">
        <f t="shared" si="27"/>
        <v/>
      </c>
      <c r="F332" s="26" t="s">
        <v>1495</v>
      </c>
      <c r="G332" s="26" t="s">
        <v>473</v>
      </c>
      <c r="H332" s="26" t="s">
        <v>1496</v>
      </c>
      <c r="I332" s="26" t="s">
        <v>1497</v>
      </c>
      <c r="J332" s="20" t="s">
        <v>71</v>
      </c>
      <c r="K332" s="26" t="s">
        <v>1498</v>
      </c>
      <c r="L332" s="26"/>
      <c r="M332" s="27" t="s">
        <v>659</v>
      </c>
      <c r="N332" s="27" t="str">
        <f t="shared" si="28"/>
        <v>NO</v>
      </c>
      <c r="O332" s="27" t="str">
        <f t="shared" si="29"/>
        <v>🔴</v>
      </c>
      <c r="P332" s="28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</row>
    <row r="333" spans="1:85" ht="18" customHeight="1" x14ac:dyDescent="0.3">
      <c r="A333" s="23">
        <f t="shared" si="25"/>
        <v>332</v>
      </c>
      <c r="B333" s="23">
        <f t="shared" si="26"/>
        <v>332</v>
      </c>
      <c r="C333" s="33" t="s">
        <v>1401</v>
      </c>
      <c r="D333" s="33" t="s">
        <v>1410</v>
      </c>
      <c r="E333" s="34" t="str">
        <f t="shared" si="27"/>
        <v>LATERAL VIP</v>
      </c>
      <c r="F333" s="26" t="s">
        <v>1499</v>
      </c>
      <c r="G333" s="33" t="s">
        <v>1500</v>
      </c>
      <c r="H333" s="33" t="s">
        <v>1501</v>
      </c>
      <c r="I333" s="33"/>
      <c r="J333" s="13" t="s">
        <v>22</v>
      </c>
      <c r="K333" s="33" t="s">
        <v>1502</v>
      </c>
      <c r="L333" s="26"/>
      <c r="M333" s="27" t="s">
        <v>659</v>
      </c>
      <c r="N333" s="27" t="str">
        <f t="shared" si="28"/>
        <v>NO</v>
      </c>
      <c r="O333" s="27" t="str">
        <f t="shared" si="29"/>
        <v>🟢</v>
      </c>
      <c r="P333" s="28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</row>
    <row r="334" spans="1:85" ht="18" customHeight="1" x14ac:dyDescent="0.3">
      <c r="A334" s="23">
        <f t="shared" si="25"/>
        <v>333</v>
      </c>
      <c r="B334" s="23">
        <f t="shared" si="26"/>
        <v>333</v>
      </c>
      <c r="C334" s="26" t="s">
        <v>1401</v>
      </c>
      <c r="D334" s="26" t="s">
        <v>1503</v>
      </c>
      <c r="E334" s="27" t="str">
        <f t="shared" si="27"/>
        <v/>
      </c>
      <c r="F334" s="26" t="s">
        <v>1504</v>
      </c>
      <c r="G334" s="26" t="s">
        <v>1505</v>
      </c>
      <c r="H334" s="26" t="s">
        <v>1506</v>
      </c>
      <c r="I334" s="26"/>
      <c r="J334" s="20" t="s">
        <v>71</v>
      </c>
      <c r="K334" s="26" t="s">
        <v>1507</v>
      </c>
      <c r="L334" s="26"/>
      <c r="M334" s="27" t="s">
        <v>659</v>
      </c>
      <c r="N334" s="27" t="str">
        <f t="shared" si="28"/>
        <v>NO</v>
      </c>
      <c r="O334" s="27" t="str">
        <f t="shared" si="29"/>
        <v>🔴</v>
      </c>
      <c r="P334" s="28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</row>
    <row r="335" spans="1:85" ht="18" customHeight="1" x14ac:dyDescent="0.3">
      <c r="A335" s="23">
        <f t="shared" si="25"/>
        <v>334</v>
      </c>
      <c r="B335" s="23">
        <f t="shared" si="26"/>
        <v>334</v>
      </c>
      <c r="C335" s="33" t="s">
        <v>1401</v>
      </c>
      <c r="D335" s="33" t="s">
        <v>1402</v>
      </c>
      <c r="E335" s="34" t="str">
        <f t="shared" si="27"/>
        <v>LATERAL VIP</v>
      </c>
      <c r="F335" s="26" t="s">
        <v>1508</v>
      </c>
      <c r="G335" s="33" t="s">
        <v>1509</v>
      </c>
      <c r="H335" s="33" t="s">
        <v>1509</v>
      </c>
      <c r="I335" s="33"/>
      <c r="J335" s="19" t="s">
        <v>57</v>
      </c>
      <c r="K335" s="33" t="s">
        <v>1510</v>
      </c>
      <c r="L335" s="26"/>
      <c r="M335" s="27" t="s">
        <v>659</v>
      </c>
      <c r="N335" s="27" t="str">
        <f t="shared" si="28"/>
        <v>NO</v>
      </c>
      <c r="O335" s="27" t="str">
        <f t="shared" si="29"/>
        <v>🟡</v>
      </c>
      <c r="P335" s="28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9"/>
      <c r="CC335" s="9"/>
      <c r="CD335" s="9"/>
      <c r="CE335" s="9"/>
      <c r="CF335" s="9"/>
      <c r="CG335" s="9"/>
    </row>
    <row r="336" spans="1:85" ht="18" customHeight="1" x14ac:dyDescent="0.3">
      <c r="A336" s="23">
        <f t="shared" si="25"/>
        <v>335</v>
      </c>
      <c r="B336" s="23">
        <f t="shared" si="26"/>
        <v>335</v>
      </c>
      <c r="C336" s="26" t="s">
        <v>1401</v>
      </c>
      <c r="D336" s="26" t="s">
        <v>1410</v>
      </c>
      <c r="E336" s="27" t="str">
        <f t="shared" si="27"/>
        <v/>
      </c>
      <c r="F336" s="26" t="s">
        <v>1511</v>
      </c>
      <c r="G336" s="26" t="s">
        <v>1512</v>
      </c>
      <c r="H336" s="26" t="s">
        <v>1513</v>
      </c>
      <c r="I336" s="26" t="s">
        <v>172</v>
      </c>
      <c r="J336" s="20" t="s">
        <v>71</v>
      </c>
      <c r="K336" s="26" t="s">
        <v>1514</v>
      </c>
      <c r="L336" s="26"/>
      <c r="M336" s="27"/>
      <c r="N336" s="27" t="str">
        <f t="shared" si="28"/>
        <v>NO</v>
      </c>
      <c r="O336" s="27" t="str">
        <f t="shared" si="29"/>
        <v>🔴</v>
      </c>
      <c r="P336" s="28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9"/>
      <c r="CC336" s="9"/>
      <c r="CD336" s="9"/>
      <c r="CE336" s="9"/>
      <c r="CF336" s="9"/>
      <c r="CG336" s="9"/>
    </row>
    <row r="337" spans="1:85" ht="18" customHeight="1" x14ac:dyDescent="0.3">
      <c r="A337" s="23">
        <f t="shared" si="25"/>
        <v>336</v>
      </c>
      <c r="B337" s="23">
        <f t="shared" si="26"/>
        <v>336</v>
      </c>
      <c r="C337" s="33" t="s">
        <v>1401</v>
      </c>
      <c r="D337" s="33" t="s">
        <v>1402</v>
      </c>
      <c r="E337" s="34" t="str">
        <f t="shared" si="27"/>
        <v>LATERAL VIP</v>
      </c>
      <c r="F337" s="26" t="s">
        <v>1515</v>
      </c>
      <c r="G337" s="33" t="s">
        <v>1516</v>
      </c>
      <c r="H337" s="33" t="s">
        <v>1517</v>
      </c>
      <c r="I337" s="33"/>
      <c r="J337" s="13" t="s">
        <v>22</v>
      </c>
      <c r="K337" s="33" t="s">
        <v>1518</v>
      </c>
      <c r="L337" s="26"/>
      <c r="M337" s="27" t="s">
        <v>659</v>
      </c>
      <c r="N337" s="27" t="str">
        <f t="shared" si="28"/>
        <v>NO</v>
      </c>
      <c r="O337" s="27" t="str">
        <f t="shared" si="29"/>
        <v>🟢</v>
      </c>
      <c r="P337" s="28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9"/>
      <c r="CC337" s="9"/>
      <c r="CD337" s="9"/>
      <c r="CE337" s="9"/>
      <c r="CF337" s="9"/>
      <c r="CG337" s="9"/>
    </row>
    <row r="338" spans="1:85" ht="18" customHeight="1" x14ac:dyDescent="0.3">
      <c r="A338" s="23">
        <f t="shared" si="25"/>
        <v>337</v>
      </c>
      <c r="B338" s="23">
        <f t="shared" si="26"/>
        <v>337</v>
      </c>
      <c r="C338" s="26" t="s">
        <v>1401</v>
      </c>
      <c r="D338" s="26" t="s">
        <v>1410</v>
      </c>
      <c r="E338" s="27" t="str">
        <f t="shared" si="27"/>
        <v>LATERAL VIP</v>
      </c>
      <c r="F338" s="26" t="s">
        <v>1519</v>
      </c>
      <c r="G338" s="26" t="s">
        <v>1344</v>
      </c>
      <c r="H338" s="26" t="s">
        <v>1520</v>
      </c>
      <c r="I338" s="26" t="s">
        <v>1521</v>
      </c>
      <c r="J338" s="13" t="s">
        <v>22</v>
      </c>
      <c r="K338" s="26" t="s">
        <v>1522</v>
      </c>
      <c r="L338" s="26"/>
      <c r="M338" s="27" t="s">
        <v>659</v>
      </c>
      <c r="N338" s="27" t="str">
        <f t="shared" si="28"/>
        <v>NO</v>
      </c>
      <c r="O338" s="27" t="str">
        <f t="shared" si="29"/>
        <v>🟢</v>
      </c>
      <c r="P338" s="28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9"/>
      <c r="CC338" s="9"/>
      <c r="CD338" s="9"/>
      <c r="CE338" s="9"/>
      <c r="CF338" s="9"/>
      <c r="CG338" s="9"/>
    </row>
    <row r="339" spans="1:85" ht="18" customHeight="1" x14ac:dyDescent="0.3">
      <c r="A339" s="23">
        <f t="shared" si="25"/>
        <v>338</v>
      </c>
      <c r="B339" s="23">
        <f t="shared" si="26"/>
        <v>338</v>
      </c>
      <c r="C339" s="33" t="s">
        <v>1401</v>
      </c>
      <c r="D339" s="33" t="s">
        <v>1410</v>
      </c>
      <c r="E339" s="34" t="str">
        <f t="shared" si="27"/>
        <v/>
      </c>
      <c r="F339" s="26" t="s">
        <v>1523</v>
      </c>
      <c r="G339" s="33" t="s">
        <v>1524</v>
      </c>
      <c r="H339" s="33" t="s">
        <v>538</v>
      </c>
      <c r="I339" s="33"/>
      <c r="J339" s="20" t="s">
        <v>71</v>
      </c>
      <c r="K339" s="33" t="s">
        <v>1525</v>
      </c>
      <c r="L339" s="26"/>
      <c r="M339" s="27" t="s">
        <v>1261</v>
      </c>
      <c r="N339" s="27" t="str">
        <f t="shared" si="28"/>
        <v>NO</v>
      </c>
      <c r="O339" s="27" t="str">
        <f t="shared" si="29"/>
        <v>🔴</v>
      </c>
      <c r="P339" s="28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</row>
    <row r="340" spans="1:85" ht="18" customHeight="1" x14ac:dyDescent="0.3">
      <c r="A340" s="23">
        <f t="shared" si="25"/>
        <v>339</v>
      </c>
      <c r="B340" s="23">
        <f t="shared" si="26"/>
        <v>339</v>
      </c>
      <c r="C340" s="26" t="s">
        <v>1401</v>
      </c>
      <c r="D340" s="26" t="s">
        <v>1410</v>
      </c>
      <c r="E340" s="27" t="str">
        <f t="shared" si="27"/>
        <v/>
      </c>
      <c r="F340" s="26" t="s">
        <v>1526</v>
      </c>
      <c r="G340" s="26" t="s">
        <v>1527</v>
      </c>
      <c r="H340" s="26" t="s">
        <v>1528</v>
      </c>
      <c r="I340" s="26" t="s">
        <v>1529</v>
      </c>
      <c r="J340" s="20" t="s">
        <v>71</v>
      </c>
      <c r="K340" s="26" t="s">
        <v>1530</v>
      </c>
      <c r="L340" s="26"/>
      <c r="M340" s="27" t="s">
        <v>659</v>
      </c>
      <c r="N340" s="27" t="str">
        <f t="shared" si="28"/>
        <v>NO</v>
      </c>
      <c r="O340" s="27" t="str">
        <f t="shared" si="29"/>
        <v>🔴</v>
      </c>
      <c r="P340" s="28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9"/>
      <c r="CC340" s="9"/>
      <c r="CD340" s="9"/>
      <c r="CE340" s="9"/>
      <c r="CF340" s="9"/>
      <c r="CG340" s="9"/>
    </row>
    <row r="341" spans="1:85" ht="18" customHeight="1" x14ac:dyDescent="0.3">
      <c r="A341" s="23">
        <f t="shared" si="25"/>
        <v>340</v>
      </c>
      <c r="B341" s="23">
        <f t="shared" si="26"/>
        <v>340</v>
      </c>
      <c r="C341" s="33" t="s">
        <v>1401</v>
      </c>
      <c r="D341" s="33" t="s">
        <v>1410</v>
      </c>
      <c r="E341" s="34" t="str">
        <f t="shared" si="27"/>
        <v/>
      </c>
      <c r="F341" s="26" t="s">
        <v>1531</v>
      </c>
      <c r="G341" s="33" t="s">
        <v>1532</v>
      </c>
      <c r="H341" s="33" t="s">
        <v>1533</v>
      </c>
      <c r="I341" s="33"/>
      <c r="J341" s="20" t="s">
        <v>71</v>
      </c>
      <c r="K341" s="33" t="s">
        <v>1534</v>
      </c>
      <c r="L341" s="26"/>
      <c r="M341" s="27" t="s">
        <v>659</v>
      </c>
      <c r="N341" s="27" t="str">
        <f t="shared" si="28"/>
        <v>NO</v>
      </c>
      <c r="O341" s="27" t="str">
        <f t="shared" si="29"/>
        <v>🔴</v>
      </c>
      <c r="P341" s="28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9"/>
      <c r="CC341" s="9"/>
      <c r="CD341" s="9"/>
      <c r="CE341" s="9"/>
      <c r="CF341" s="9"/>
      <c r="CG341" s="9"/>
    </row>
    <row r="342" spans="1:85" ht="18" customHeight="1" x14ac:dyDescent="0.3">
      <c r="A342" s="23">
        <f t="shared" si="25"/>
        <v>341</v>
      </c>
      <c r="B342" s="23">
        <f t="shared" si="26"/>
        <v>341</v>
      </c>
      <c r="C342" s="26" t="s">
        <v>1401</v>
      </c>
      <c r="D342" s="26" t="s">
        <v>1405</v>
      </c>
      <c r="E342" s="27" t="str">
        <f t="shared" si="27"/>
        <v/>
      </c>
      <c r="F342" s="26" t="s">
        <v>1535</v>
      </c>
      <c r="G342" s="26" t="s">
        <v>1536</v>
      </c>
      <c r="H342" s="26" t="s">
        <v>1537</v>
      </c>
      <c r="I342" s="26"/>
      <c r="J342" s="20" t="s">
        <v>71</v>
      </c>
      <c r="K342" s="26" t="s">
        <v>1538</v>
      </c>
      <c r="L342" s="26"/>
      <c r="M342" s="27" t="s">
        <v>659</v>
      </c>
      <c r="N342" s="27" t="str">
        <f t="shared" si="28"/>
        <v>NO</v>
      </c>
      <c r="O342" s="27" t="str">
        <f t="shared" si="29"/>
        <v>🔴</v>
      </c>
      <c r="P342" s="28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9"/>
      <c r="CC342" s="9"/>
      <c r="CD342" s="9"/>
      <c r="CE342" s="9"/>
      <c r="CF342" s="9"/>
      <c r="CG342" s="9"/>
    </row>
    <row r="343" spans="1:85" ht="18" customHeight="1" x14ac:dyDescent="0.3">
      <c r="A343" s="23">
        <f t="shared" si="25"/>
        <v>342</v>
      </c>
      <c r="B343" s="23">
        <f t="shared" si="26"/>
        <v>342</v>
      </c>
      <c r="C343" s="33" t="s">
        <v>1401</v>
      </c>
      <c r="D343" s="33" t="s">
        <v>1405</v>
      </c>
      <c r="E343" s="34" t="str">
        <f t="shared" si="27"/>
        <v/>
      </c>
      <c r="F343" s="26" t="s">
        <v>1539</v>
      </c>
      <c r="G343" s="33" t="s">
        <v>1540</v>
      </c>
      <c r="H343" s="33" t="s">
        <v>1541</v>
      </c>
      <c r="I343" s="33"/>
      <c r="J343" s="20" t="s">
        <v>71</v>
      </c>
      <c r="K343" s="33" t="s">
        <v>1542</v>
      </c>
      <c r="L343" s="26"/>
      <c r="M343" s="27" t="s">
        <v>659</v>
      </c>
      <c r="N343" s="27" t="str">
        <f t="shared" si="28"/>
        <v>NO</v>
      </c>
      <c r="O343" s="27" t="str">
        <f t="shared" si="29"/>
        <v>🔴</v>
      </c>
      <c r="P343" s="28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9"/>
      <c r="CC343" s="9"/>
      <c r="CD343" s="9"/>
      <c r="CE343" s="9"/>
      <c r="CF343" s="9"/>
      <c r="CG343" s="9"/>
    </row>
    <row r="344" spans="1:85" ht="18" customHeight="1" x14ac:dyDescent="0.3">
      <c r="A344" s="23">
        <f t="shared" si="25"/>
        <v>343</v>
      </c>
      <c r="B344" s="23">
        <f t="shared" si="26"/>
        <v>343</v>
      </c>
      <c r="C344" s="26" t="s">
        <v>1401</v>
      </c>
      <c r="D344" s="26" t="s">
        <v>1402</v>
      </c>
      <c r="E344" s="27" t="str">
        <f t="shared" si="27"/>
        <v>LATERAL VIP</v>
      </c>
      <c r="F344" s="26" t="s">
        <v>1543</v>
      </c>
      <c r="G344" s="26" t="s">
        <v>1544</v>
      </c>
      <c r="H344" s="26" t="s">
        <v>1545</v>
      </c>
      <c r="I344" s="26"/>
      <c r="J344" s="13" t="s">
        <v>22</v>
      </c>
      <c r="K344" s="26" t="s">
        <v>1546</v>
      </c>
      <c r="L344" s="26"/>
      <c r="M344" s="27" t="s">
        <v>659</v>
      </c>
      <c r="N344" s="27" t="str">
        <f t="shared" si="28"/>
        <v>NO</v>
      </c>
      <c r="O344" s="27" t="str">
        <f t="shared" si="29"/>
        <v>🟢</v>
      </c>
      <c r="P344" s="28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</row>
    <row r="345" spans="1:85" ht="18" customHeight="1" x14ac:dyDescent="0.3">
      <c r="A345" s="23">
        <f t="shared" si="25"/>
        <v>344</v>
      </c>
      <c r="B345" s="23">
        <f t="shared" si="26"/>
        <v>344</v>
      </c>
      <c r="C345" s="33" t="s">
        <v>1401</v>
      </c>
      <c r="D345" s="33" t="s">
        <v>912</v>
      </c>
      <c r="E345" s="34" t="str">
        <f t="shared" si="27"/>
        <v/>
      </c>
      <c r="F345" s="26" t="s">
        <v>1547</v>
      </c>
      <c r="G345" s="33" t="s">
        <v>1144</v>
      </c>
      <c r="H345" s="33" t="s">
        <v>1548</v>
      </c>
      <c r="I345" s="33" t="s">
        <v>1549</v>
      </c>
      <c r="J345" s="19" t="s">
        <v>71</v>
      </c>
      <c r="K345" s="33" t="s">
        <v>1550</v>
      </c>
      <c r="L345" s="26"/>
      <c r="M345" s="27" t="s">
        <v>24</v>
      </c>
      <c r="N345" s="27" t="str">
        <f t="shared" si="28"/>
        <v>NO</v>
      </c>
      <c r="O345" s="27" t="str">
        <f t="shared" si="29"/>
        <v>🔴</v>
      </c>
      <c r="P345" s="28" t="s">
        <v>1156</v>
      </c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9"/>
      <c r="CC345" s="9"/>
      <c r="CD345" s="9"/>
      <c r="CE345" s="9"/>
      <c r="CF345" s="9"/>
      <c r="CG345" s="9"/>
    </row>
    <row r="346" spans="1:85" ht="18" customHeight="1" x14ac:dyDescent="0.3">
      <c r="A346" s="23">
        <f t="shared" si="25"/>
        <v>345</v>
      </c>
      <c r="B346" s="23">
        <f t="shared" si="26"/>
        <v>345</v>
      </c>
      <c r="C346" s="26" t="s">
        <v>1401</v>
      </c>
      <c r="D346" s="26" t="s">
        <v>1410</v>
      </c>
      <c r="E346" s="27" t="str">
        <f t="shared" si="27"/>
        <v>LATERAL VIP</v>
      </c>
      <c r="F346" s="26" t="s">
        <v>1551</v>
      </c>
      <c r="G346" s="26" t="s">
        <v>68</v>
      </c>
      <c r="H346" s="26" t="s">
        <v>616</v>
      </c>
      <c r="I346" s="26" t="s">
        <v>585</v>
      </c>
      <c r="J346" s="13" t="s">
        <v>22</v>
      </c>
      <c r="K346" s="26" t="s">
        <v>1552</v>
      </c>
      <c r="L346" s="26"/>
      <c r="M346" s="27" t="s">
        <v>659</v>
      </c>
      <c r="N346" s="27" t="str">
        <f t="shared" si="28"/>
        <v>NO</v>
      </c>
      <c r="O346" s="27" t="str">
        <f t="shared" si="29"/>
        <v>🟢</v>
      </c>
      <c r="P346" s="28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9"/>
      <c r="CC346" s="9"/>
      <c r="CD346" s="9"/>
      <c r="CE346" s="9"/>
      <c r="CF346" s="9"/>
      <c r="CG346" s="9"/>
    </row>
    <row r="347" spans="1:85" ht="18" customHeight="1" x14ac:dyDescent="0.3">
      <c r="A347" s="23">
        <f t="shared" si="25"/>
        <v>346</v>
      </c>
      <c r="B347" s="23">
        <f t="shared" si="26"/>
        <v>346</v>
      </c>
      <c r="C347" s="33" t="s">
        <v>1401</v>
      </c>
      <c r="D347" s="33" t="s">
        <v>1410</v>
      </c>
      <c r="E347" s="34" t="str">
        <f t="shared" si="27"/>
        <v/>
      </c>
      <c r="F347" s="26" t="s">
        <v>1553</v>
      </c>
      <c r="G347" s="33" t="s">
        <v>1554</v>
      </c>
      <c r="H347" s="33" t="s">
        <v>1555</v>
      </c>
      <c r="I347" s="33"/>
      <c r="J347" s="20" t="s">
        <v>71</v>
      </c>
      <c r="K347" s="33" t="s">
        <v>1556</v>
      </c>
      <c r="L347" s="26"/>
      <c r="M347" s="27" t="s">
        <v>659</v>
      </c>
      <c r="N347" s="27" t="str">
        <f t="shared" si="28"/>
        <v>NO</v>
      </c>
      <c r="O347" s="27" t="str">
        <f t="shared" si="29"/>
        <v>🔴</v>
      </c>
      <c r="P347" s="28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9"/>
      <c r="CC347" s="9"/>
      <c r="CD347" s="9"/>
      <c r="CE347" s="9"/>
      <c r="CF347" s="9"/>
      <c r="CG347" s="9"/>
    </row>
    <row r="348" spans="1:85" ht="18" customHeight="1" x14ac:dyDescent="0.3">
      <c r="A348" s="23">
        <f t="shared" si="25"/>
        <v>347</v>
      </c>
      <c r="B348" s="23">
        <f t="shared" si="26"/>
        <v>347</v>
      </c>
      <c r="C348" s="26" t="s">
        <v>1401</v>
      </c>
      <c r="D348" s="26" t="s">
        <v>1405</v>
      </c>
      <c r="E348" s="27" t="str">
        <f t="shared" si="27"/>
        <v/>
      </c>
      <c r="F348" s="26" t="s">
        <v>1557</v>
      </c>
      <c r="G348" s="26" t="s">
        <v>1558</v>
      </c>
      <c r="H348" s="26" t="s">
        <v>1559</v>
      </c>
      <c r="I348" s="26"/>
      <c r="J348" s="20" t="s">
        <v>71</v>
      </c>
      <c r="K348" s="26" t="s">
        <v>1560</v>
      </c>
      <c r="L348" s="26"/>
      <c r="M348" s="27" t="s">
        <v>659</v>
      </c>
      <c r="N348" s="27" t="str">
        <f t="shared" si="28"/>
        <v>NO</v>
      </c>
      <c r="O348" s="27" t="str">
        <f t="shared" si="29"/>
        <v>🔴</v>
      </c>
      <c r="P348" s="28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9"/>
      <c r="CC348" s="9"/>
      <c r="CD348" s="9"/>
      <c r="CE348" s="9"/>
      <c r="CF348" s="9"/>
      <c r="CG348" s="9"/>
    </row>
    <row r="349" spans="1:85" ht="18" customHeight="1" x14ac:dyDescent="0.3">
      <c r="A349" s="23">
        <f t="shared" si="25"/>
        <v>348</v>
      </c>
      <c r="B349" s="23">
        <f t="shared" si="26"/>
        <v>348</v>
      </c>
      <c r="C349" s="33" t="s">
        <v>1401</v>
      </c>
      <c r="D349" s="33" t="s">
        <v>1405</v>
      </c>
      <c r="E349" s="34" t="str">
        <f t="shared" si="27"/>
        <v/>
      </c>
      <c r="F349" s="26" t="s">
        <v>1561</v>
      </c>
      <c r="G349" s="33" t="s">
        <v>1562</v>
      </c>
      <c r="H349" s="33" t="s">
        <v>1563</v>
      </c>
      <c r="I349" s="33"/>
      <c r="J349" s="19" t="s">
        <v>71</v>
      </c>
      <c r="K349" s="33" t="s">
        <v>1564</v>
      </c>
      <c r="L349" s="26"/>
      <c r="M349" s="27" t="s">
        <v>659</v>
      </c>
      <c r="N349" s="27" t="str">
        <f t="shared" si="28"/>
        <v>NO</v>
      </c>
      <c r="O349" s="27" t="str">
        <f t="shared" si="29"/>
        <v>🔴</v>
      </c>
      <c r="P349" s="28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9"/>
      <c r="CC349" s="9"/>
      <c r="CD349" s="9"/>
      <c r="CE349" s="9"/>
      <c r="CF349" s="9"/>
      <c r="CG349" s="9"/>
    </row>
    <row r="350" spans="1:85" ht="18" customHeight="1" x14ac:dyDescent="0.3">
      <c r="A350" s="23">
        <f t="shared" si="25"/>
        <v>349</v>
      </c>
      <c r="B350" s="23">
        <f t="shared" si="26"/>
        <v>349</v>
      </c>
      <c r="C350" s="26" t="s">
        <v>1401</v>
      </c>
      <c r="D350" s="26" t="s">
        <v>1410</v>
      </c>
      <c r="E350" s="27" t="str">
        <f t="shared" si="27"/>
        <v>LATERAL VIP</v>
      </c>
      <c r="F350" s="26" t="s">
        <v>1565</v>
      </c>
      <c r="G350" s="26" t="s">
        <v>1566</v>
      </c>
      <c r="H350" s="26" t="s">
        <v>1567</v>
      </c>
      <c r="I350" s="26"/>
      <c r="J350" s="13" t="s">
        <v>22</v>
      </c>
      <c r="K350" s="26" t="s">
        <v>1568</v>
      </c>
      <c r="L350" s="26"/>
      <c r="M350" s="27" t="s">
        <v>659</v>
      </c>
      <c r="N350" s="27" t="str">
        <f t="shared" si="28"/>
        <v>NO</v>
      </c>
      <c r="O350" s="27" t="str">
        <f t="shared" si="29"/>
        <v>🟢</v>
      </c>
      <c r="P350" s="28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9"/>
      <c r="CC350" s="9"/>
      <c r="CD350" s="9"/>
      <c r="CE350" s="9"/>
      <c r="CF350" s="9"/>
      <c r="CG350" s="9"/>
    </row>
    <row r="351" spans="1:85" ht="18" customHeight="1" x14ac:dyDescent="0.3">
      <c r="A351" s="23">
        <f t="shared" si="25"/>
        <v>350</v>
      </c>
      <c r="B351" s="23">
        <f t="shared" si="26"/>
        <v>350</v>
      </c>
      <c r="C351" s="33" t="s">
        <v>1401</v>
      </c>
      <c r="D351" s="33" t="s">
        <v>1405</v>
      </c>
      <c r="E351" s="34" t="str">
        <f t="shared" si="27"/>
        <v/>
      </c>
      <c r="F351" s="26" t="s">
        <v>1569</v>
      </c>
      <c r="G351" s="33" t="s">
        <v>1570</v>
      </c>
      <c r="H351" s="33" t="s">
        <v>1571</v>
      </c>
      <c r="I351" s="33"/>
      <c r="J351" s="20" t="s">
        <v>71</v>
      </c>
      <c r="K351" s="33" t="s">
        <v>1572</v>
      </c>
      <c r="L351" s="26"/>
      <c r="M351" s="27" t="s">
        <v>659</v>
      </c>
      <c r="N351" s="27" t="str">
        <f t="shared" si="28"/>
        <v>NO</v>
      </c>
      <c r="O351" s="27" t="str">
        <f t="shared" si="29"/>
        <v>🔴</v>
      </c>
      <c r="P351" s="28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9"/>
      <c r="CC351" s="9"/>
      <c r="CD351" s="9"/>
      <c r="CE351" s="9"/>
      <c r="CF351" s="9"/>
      <c r="CG351" s="9"/>
    </row>
    <row r="352" spans="1:85" ht="18" customHeight="1" x14ac:dyDescent="0.3">
      <c r="A352" s="23">
        <f t="shared" si="25"/>
        <v>351</v>
      </c>
      <c r="B352" s="23">
        <f t="shared" si="26"/>
        <v>351</v>
      </c>
      <c r="C352" s="26" t="s">
        <v>1401</v>
      </c>
      <c r="D352" s="26" t="s">
        <v>1483</v>
      </c>
      <c r="E352" s="27" t="str">
        <f t="shared" si="27"/>
        <v>LATERAL VIP</v>
      </c>
      <c r="F352" s="26" t="s">
        <v>1573</v>
      </c>
      <c r="G352" s="26" t="s">
        <v>519</v>
      </c>
      <c r="H352" s="26" t="s">
        <v>1574</v>
      </c>
      <c r="I352" s="26" t="s">
        <v>1575</v>
      </c>
      <c r="J352" s="13" t="s">
        <v>22</v>
      </c>
      <c r="K352" s="26" t="s">
        <v>1576</v>
      </c>
      <c r="L352" s="26"/>
      <c r="M352" s="27" t="s">
        <v>659</v>
      </c>
      <c r="N352" s="27" t="str">
        <f t="shared" si="28"/>
        <v>NO</v>
      </c>
      <c r="O352" s="27" t="str">
        <f t="shared" si="29"/>
        <v>🟢</v>
      </c>
      <c r="P352" s="28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9"/>
      <c r="CC352" s="9"/>
      <c r="CD352" s="9"/>
      <c r="CE352" s="9"/>
      <c r="CF352" s="9"/>
      <c r="CG352" s="9"/>
    </row>
    <row r="353" spans="1:85" s="5" customFormat="1" ht="18" customHeight="1" x14ac:dyDescent="0.3">
      <c r="A353" s="23">
        <f t="shared" si="25"/>
        <v>352</v>
      </c>
      <c r="B353" s="23">
        <f t="shared" si="26"/>
        <v>352</v>
      </c>
      <c r="C353" s="33" t="s">
        <v>1401</v>
      </c>
      <c r="D353" s="33" t="s">
        <v>1577</v>
      </c>
      <c r="E353" s="34" t="str">
        <f t="shared" si="27"/>
        <v/>
      </c>
      <c r="F353" s="26" t="s">
        <v>1578</v>
      </c>
      <c r="G353" s="33" t="s">
        <v>1579</v>
      </c>
      <c r="H353" s="33" t="s">
        <v>1580</v>
      </c>
      <c r="I353" s="33"/>
      <c r="J353" s="20" t="s">
        <v>71</v>
      </c>
      <c r="K353" s="33" t="s">
        <v>1581</v>
      </c>
      <c r="L353" s="26"/>
      <c r="M353" s="27"/>
      <c r="N353" s="27" t="str">
        <f t="shared" si="28"/>
        <v>NO</v>
      </c>
      <c r="O353" s="27" t="str">
        <f t="shared" si="29"/>
        <v>🔴</v>
      </c>
      <c r="P353" s="28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2"/>
      <c r="BX353" s="22"/>
      <c r="BY353" s="22"/>
      <c r="BZ353" s="22"/>
      <c r="CA353" s="22"/>
      <c r="CB353" s="22"/>
      <c r="CC353" s="22"/>
      <c r="CD353" s="22"/>
      <c r="CE353" s="22"/>
      <c r="CF353" s="22"/>
      <c r="CG353" s="22"/>
    </row>
    <row r="354" spans="1:85" ht="18" customHeight="1" x14ac:dyDescent="0.3">
      <c r="A354" s="23">
        <f t="shared" si="25"/>
        <v>353</v>
      </c>
      <c r="B354" s="23">
        <f t="shared" si="26"/>
        <v>353</v>
      </c>
      <c r="C354" s="35" t="s">
        <v>1582</v>
      </c>
      <c r="D354" s="35" t="s">
        <v>1583</v>
      </c>
      <c r="E354" s="36" t="str">
        <f t="shared" si="27"/>
        <v>LATERAL VIP</v>
      </c>
      <c r="F354" s="26" t="s">
        <v>1584</v>
      </c>
      <c r="G354" s="35" t="s">
        <v>1585</v>
      </c>
      <c r="H354" s="35" t="s">
        <v>1586</v>
      </c>
      <c r="I354" s="35" t="s">
        <v>1587</v>
      </c>
      <c r="J354" s="13" t="s">
        <v>22</v>
      </c>
      <c r="K354" s="35" t="s">
        <v>1588</v>
      </c>
      <c r="L354" s="26"/>
      <c r="M354" s="27" t="s">
        <v>659</v>
      </c>
      <c r="N354" s="27" t="str">
        <f t="shared" si="28"/>
        <v>NO</v>
      </c>
      <c r="O354" s="27" t="str">
        <f t="shared" si="29"/>
        <v>🟢</v>
      </c>
      <c r="P354" s="28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9"/>
      <c r="CC354" s="9"/>
      <c r="CD354" s="9"/>
      <c r="CE354" s="9"/>
      <c r="CF354" s="9"/>
      <c r="CG354" s="9"/>
    </row>
    <row r="355" spans="1:85" ht="18" customHeight="1" x14ac:dyDescent="0.3">
      <c r="A355" s="23">
        <f t="shared" si="25"/>
        <v>354</v>
      </c>
      <c r="B355" s="23">
        <f t="shared" si="26"/>
        <v>354</v>
      </c>
      <c r="C355" s="26" t="s">
        <v>1582</v>
      </c>
      <c r="D355" s="26" t="s">
        <v>1410</v>
      </c>
      <c r="E355" s="27" t="str">
        <f t="shared" si="27"/>
        <v>LATERAL VIP</v>
      </c>
      <c r="F355" s="26" t="s">
        <v>1589</v>
      </c>
      <c r="G355" s="26" t="s">
        <v>1590</v>
      </c>
      <c r="H355" s="26" t="s">
        <v>1591</v>
      </c>
      <c r="I355" s="26" t="s">
        <v>400</v>
      </c>
      <c r="J355" s="13" t="s">
        <v>22</v>
      </c>
      <c r="K355" s="26" t="s">
        <v>1592</v>
      </c>
      <c r="L355" s="26"/>
      <c r="M355" s="27" t="s">
        <v>659</v>
      </c>
      <c r="N355" s="27" t="str">
        <f t="shared" si="28"/>
        <v>NO</v>
      </c>
      <c r="O355" s="27" t="str">
        <f t="shared" si="29"/>
        <v>🟢</v>
      </c>
      <c r="P355" s="28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9"/>
      <c r="CC355" s="9"/>
      <c r="CD355" s="9"/>
      <c r="CE355" s="9"/>
      <c r="CF355" s="9"/>
      <c r="CG355" s="9"/>
    </row>
    <row r="356" spans="1:85" ht="18" customHeight="1" x14ac:dyDescent="0.3">
      <c r="A356" s="23">
        <f t="shared" si="25"/>
        <v>355</v>
      </c>
      <c r="B356" s="23">
        <f t="shared" si="26"/>
        <v>355</v>
      </c>
      <c r="C356" s="35" t="s">
        <v>1582</v>
      </c>
      <c r="D356" s="35" t="s">
        <v>1410</v>
      </c>
      <c r="E356" s="36" t="str">
        <f t="shared" si="27"/>
        <v>LATERAL VIP</v>
      </c>
      <c r="F356" s="26" t="s">
        <v>1593</v>
      </c>
      <c r="G356" s="35" t="s">
        <v>1594</v>
      </c>
      <c r="H356" s="35" t="s">
        <v>1595</v>
      </c>
      <c r="I356" s="35" t="s">
        <v>105</v>
      </c>
      <c r="J356" s="19" t="s">
        <v>57</v>
      </c>
      <c r="K356" s="35" t="s">
        <v>1596</v>
      </c>
      <c r="L356" s="26"/>
      <c r="M356" s="27" t="s">
        <v>659</v>
      </c>
      <c r="N356" s="27" t="str">
        <f t="shared" si="28"/>
        <v>NO</v>
      </c>
      <c r="O356" s="27" t="str">
        <f t="shared" si="29"/>
        <v>🟡</v>
      </c>
      <c r="P356" s="28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9"/>
      <c r="CC356" s="9"/>
      <c r="CD356" s="9"/>
      <c r="CE356" s="9"/>
      <c r="CF356" s="9"/>
      <c r="CG356" s="9"/>
    </row>
    <row r="357" spans="1:85" ht="18" customHeight="1" x14ac:dyDescent="0.3">
      <c r="A357" s="23">
        <f t="shared" si="25"/>
        <v>356</v>
      </c>
      <c r="B357" s="23">
        <f t="shared" si="26"/>
        <v>356</v>
      </c>
      <c r="C357" s="26" t="s">
        <v>1582</v>
      </c>
      <c r="D357" s="26" t="s">
        <v>1410</v>
      </c>
      <c r="E357" s="27" t="str">
        <f t="shared" si="27"/>
        <v>LATERAL VIP</v>
      </c>
      <c r="F357" s="26" t="s">
        <v>1597</v>
      </c>
      <c r="G357" s="26" t="s">
        <v>363</v>
      </c>
      <c r="H357" s="26" t="s">
        <v>1598</v>
      </c>
      <c r="I357" s="26" t="s">
        <v>1599</v>
      </c>
      <c r="J357" s="13" t="s">
        <v>22</v>
      </c>
      <c r="K357" s="26" t="s">
        <v>1600</v>
      </c>
      <c r="L357" s="26"/>
      <c r="M357" s="27" t="s">
        <v>659</v>
      </c>
      <c r="N357" s="27" t="str">
        <f t="shared" si="28"/>
        <v>NO</v>
      </c>
      <c r="O357" s="27" t="str">
        <f t="shared" si="29"/>
        <v>🟢</v>
      </c>
      <c r="P357" s="28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9"/>
      <c r="CC357" s="9"/>
      <c r="CD357" s="9"/>
      <c r="CE357" s="9"/>
      <c r="CF357" s="9"/>
      <c r="CG357" s="9"/>
    </row>
    <row r="358" spans="1:85" ht="18" customHeight="1" x14ac:dyDescent="0.3">
      <c r="A358" s="23">
        <f t="shared" si="25"/>
        <v>357</v>
      </c>
      <c r="B358" s="23">
        <f t="shared" si="26"/>
        <v>357</v>
      </c>
      <c r="C358" s="35" t="s">
        <v>1582</v>
      </c>
      <c r="D358" s="35" t="s">
        <v>1410</v>
      </c>
      <c r="E358" s="36" t="str">
        <f t="shared" si="27"/>
        <v>LATERAL VIP</v>
      </c>
      <c r="F358" s="26" t="s">
        <v>1601</v>
      </c>
      <c r="G358" s="35" t="s">
        <v>1602</v>
      </c>
      <c r="H358" s="35" t="s">
        <v>1603</v>
      </c>
      <c r="I358" s="35" t="s">
        <v>1054</v>
      </c>
      <c r="J358" s="13" t="s">
        <v>22</v>
      </c>
      <c r="K358" s="35" t="s">
        <v>1604</v>
      </c>
      <c r="L358" s="26"/>
      <c r="M358" s="27" t="s">
        <v>659</v>
      </c>
      <c r="N358" s="27" t="str">
        <f t="shared" si="28"/>
        <v>NO</v>
      </c>
      <c r="O358" s="27" t="str">
        <f t="shared" si="29"/>
        <v>🟢</v>
      </c>
      <c r="P358" s="28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9"/>
      <c r="CC358" s="9"/>
      <c r="CD358" s="9"/>
      <c r="CE358" s="9"/>
      <c r="CF358" s="9"/>
      <c r="CG358" s="9"/>
    </row>
    <row r="359" spans="1:85" ht="18" customHeight="1" x14ac:dyDescent="0.3">
      <c r="A359" s="23">
        <f t="shared" si="25"/>
        <v>358</v>
      </c>
      <c r="B359" s="23">
        <f t="shared" si="26"/>
        <v>358</v>
      </c>
      <c r="C359" s="26" t="s">
        <v>1582</v>
      </c>
      <c r="D359" s="26" t="s">
        <v>1410</v>
      </c>
      <c r="E359" s="27" t="str">
        <f t="shared" si="27"/>
        <v>LATERAL VIP</v>
      </c>
      <c r="F359" s="26" t="s">
        <v>1605</v>
      </c>
      <c r="G359" s="26" t="s">
        <v>1606</v>
      </c>
      <c r="H359" s="26" t="s">
        <v>1607</v>
      </c>
      <c r="I359" s="26" t="s">
        <v>1608</v>
      </c>
      <c r="J359" s="13" t="s">
        <v>22</v>
      </c>
      <c r="K359" s="26" t="s">
        <v>1609</v>
      </c>
      <c r="L359" s="26"/>
      <c r="M359" s="27" t="s">
        <v>659</v>
      </c>
      <c r="N359" s="27" t="str">
        <f t="shared" si="28"/>
        <v>NO</v>
      </c>
      <c r="O359" s="27" t="str">
        <f t="shared" si="29"/>
        <v>🟢</v>
      </c>
      <c r="P359" s="28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9"/>
      <c r="CC359" s="9"/>
      <c r="CD359" s="9"/>
      <c r="CE359" s="9"/>
      <c r="CF359" s="9"/>
      <c r="CG359" s="9"/>
    </row>
    <row r="360" spans="1:85" ht="18" customHeight="1" x14ac:dyDescent="0.3">
      <c r="A360" s="23">
        <f t="shared" si="25"/>
        <v>359</v>
      </c>
      <c r="B360" s="23">
        <f t="shared" si="26"/>
        <v>359</v>
      </c>
      <c r="C360" s="35" t="s">
        <v>1582</v>
      </c>
      <c r="D360" s="35" t="s">
        <v>1410</v>
      </c>
      <c r="E360" s="36" t="str">
        <f t="shared" si="27"/>
        <v>LATERAL VIP</v>
      </c>
      <c r="F360" s="26" t="s">
        <v>1610</v>
      </c>
      <c r="G360" s="35" t="s">
        <v>1611</v>
      </c>
      <c r="H360" s="35" t="s">
        <v>1612</v>
      </c>
      <c r="I360" s="35" t="s">
        <v>1028</v>
      </c>
      <c r="J360" s="13" t="s">
        <v>22</v>
      </c>
      <c r="K360" s="35" t="s">
        <v>1613</v>
      </c>
      <c r="L360" s="26"/>
      <c r="M360" s="27" t="s">
        <v>659</v>
      </c>
      <c r="N360" s="27" t="str">
        <f t="shared" si="28"/>
        <v>NO</v>
      </c>
      <c r="O360" s="27" t="str">
        <f t="shared" si="29"/>
        <v>🟢</v>
      </c>
      <c r="P360" s="28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9"/>
      <c r="CC360" s="9"/>
      <c r="CD360" s="9"/>
      <c r="CE360" s="9"/>
      <c r="CF360" s="9"/>
      <c r="CG360" s="9"/>
    </row>
    <row r="361" spans="1:85" ht="18" customHeight="1" x14ac:dyDescent="0.3">
      <c r="A361" s="23">
        <f t="shared" si="25"/>
        <v>360</v>
      </c>
      <c r="B361" s="23">
        <f t="shared" si="26"/>
        <v>360</v>
      </c>
      <c r="C361" s="26" t="s">
        <v>1582</v>
      </c>
      <c r="D361" s="26" t="s">
        <v>1614</v>
      </c>
      <c r="E361" s="27" t="str">
        <f t="shared" si="27"/>
        <v>LATERAL VIP</v>
      </c>
      <c r="F361" s="26" t="s">
        <v>1615</v>
      </c>
      <c r="G361" s="26" t="s">
        <v>1616</v>
      </c>
      <c r="H361" s="26" t="s">
        <v>1617</v>
      </c>
      <c r="I361" s="26" t="s">
        <v>135</v>
      </c>
      <c r="J361" s="19" t="s">
        <v>57</v>
      </c>
      <c r="K361" s="26" t="s">
        <v>1618</v>
      </c>
      <c r="L361" s="26"/>
      <c r="M361" s="27" t="s">
        <v>659</v>
      </c>
      <c r="N361" s="27" t="str">
        <f t="shared" si="28"/>
        <v>NO</v>
      </c>
      <c r="O361" s="27" t="str">
        <f t="shared" si="29"/>
        <v>🟡</v>
      </c>
      <c r="P361" s="28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9"/>
      <c r="CC361" s="9"/>
      <c r="CD361" s="9"/>
      <c r="CE361" s="9"/>
      <c r="CF361" s="9"/>
      <c r="CG361" s="9"/>
    </row>
    <row r="362" spans="1:85" ht="18" customHeight="1" x14ac:dyDescent="0.3">
      <c r="A362" s="23">
        <f t="shared" si="25"/>
        <v>361</v>
      </c>
      <c r="B362" s="23">
        <f t="shared" si="26"/>
        <v>361</v>
      </c>
      <c r="C362" s="35" t="s">
        <v>1582</v>
      </c>
      <c r="D362" s="35" t="s">
        <v>1410</v>
      </c>
      <c r="E362" s="36" t="str">
        <f t="shared" si="27"/>
        <v>LATERAL VIP</v>
      </c>
      <c r="F362" s="26" t="s">
        <v>1619</v>
      </c>
      <c r="G362" s="35" t="s">
        <v>1620</v>
      </c>
      <c r="H362" s="35" t="s">
        <v>1621</v>
      </c>
      <c r="I362" s="35" t="s">
        <v>1622</v>
      </c>
      <c r="J362" s="13" t="s">
        <v>22</v>
      </c>
      <c r="K362" s="35" t="s">
        <v>1623</v>
      </c>
      <c r="L362" s="26"/>
      <c r="M362" s="27" t="s">
        <v>659</v>
      </c>
      <c r="N362" s="27" t="str">
        <f t="shared" si="28"/>
        <v>NO</v>
      </c>
      <c r="O362" s="27" t="str">
        <f t="shared" si="29"/>
        <v>🟢</v>
      </c>
      <c r="P362" s="28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9"/>
      <c r="CC362" s="9"/>
      <c r="CD362" s="9"/>
      <c r="CE362" s="9"/>
      <c r="CF362" s="9"/>
      <c r="CG362" s="9"/>
    </row>
    <row r="363" spans="1:85" ht="18" customHeight="1" x14ac:dyDescent="0.3">
      <c r="A363" s="23">
        <f t="shared" si="25"/>
        <v>362</v>
      </c>
      <c r="B363" s="23">
        <f t="shared" si="26"/>
        <v>362</v>
      </c>
      <c r="C363" s="26" t="s">
        <v>1582</v>
      </c>
      <c r="D363" s="26" t="s">
        <v>1624</v>
      </c>
      <c r="E363" s="27" t="str">
        <f t="shared" si="27"/>
        <v>LATERAL VIP</v>
      </c>
      <c r="F363" s="26" t="s">
        <v>1625</v>
      </c>
      <c r="G363" s="26" t="s">
        <v>1626</v>
      </c>
      <c r="H363" s="26" t="s">
        <v>1627</v>
      </c>
      <c r="I363" s="26" t="s">
        <v>42</v>
      </c>
      <c r="J363" s="13" t="s">
        <v>22</v>
      </c>
      <c r="K363" s="26" t="s">
        <v>1628</v>
      </c>
      <c r="L363" s="26"/>
      <c r="M363" s="27" t="s">
        <v>659</v>
      </c>
      <c r="N363" s="27" t="str">
        <f t="shared" si="28"/>
        <v>NO</v>
      </c>
      <c r="O363" s="27" t="str">
        <f t="shared" si="29"/>
        <v>🟢</v>
      </c>
      <c r="P363" s="28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9"/>
      <c r="CC363" s="9"/>
      <c r="CD363" s="9"/>
      <c r="CE363" s="9"/>
      <c r="CF363" s="9"/>
      <c r="CG363" s="9"/>
    </row>
    <row r="364" spans="1:85" ht="18" customHeight="1" x14ac:dyDescent="0.3">
      <c r="A364" s="23">
        <f t="shared" si="25"/>
        <v>363</v>
      </c>
      <c r="B364" s="23">
        <f t="shared" si="26"/>
        <v>363</v>
      </c>
      <c r="C364" s="35" t="s">
        <v>1582</v>
      </c>
      <c r="D364" s="35" t="s">
        <v>1629</v>
      </c>
      <c r="E364" s="36" t="str">
        <f t="shared" si="27"/>
        <v>LATERAL</v>
      </c>
      <c r="F364" s="26" t="s">
        <v>1630</v>
      </c>
      <c r="G364" s="35" t="s">
        <v>1631</v>
      </c>
      <c r="H364" s="35" t="s">
        <v>1632</v>
      </c>
      <c r="I364" s="35" t="s">
        <v>135</v>
      </c>
      <c r="J364" s="13" t="s">
        <v>22</v>
      </c>
      <c r="K364" s="35" t="s">
        <v>1633</v>
      </c>
      <c r="L364" s="26"/>
      <c r="M364" s="27" t="s">
        <v>1261</v>
      </c>
      <c r="N364" s="27" t="str">
        <f t="shared" si="28"/>
        <v>NO</v>
      </c>
      <c r="O364" s="27" t="str">
        <f t="shared" si="29"/>
        <v>🟢</v>
      </c>
      <c r="P364" s="28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9"/>
      <c r="CC364" s="9"/>
      <c r="CD364" s="9"/>
      <c r="CE364" s="9"/>
      <c r="CF364" s="9"/>
      <c r="CG364" s="9"/>
    </row>
    <row r="365" spans="1:85" ht="18" customHeight="1" x14ac:dyDescent="0.3">
      <c r="A365" s="23">
        <f t="shared" si="25"/>
        <v>364</v>
      </c>
      <c r="B365" s="23">
        <f t="shared" si="26"/>
        <v>364</v>
      </c>
      <c r="C365" s="26" t="s">
        <v>1582</v>
      </c>
      <c r="D365" s="26" t="s">
        <v>818</v>
      </c>
      <c r="E365" s="27" t="str">
        <f t="shared" si="27"/>
        <v>LATERAL</v>
      </c>
      <c r="F365" s="26" t="s">
        <v>1634</v>
      </c>
      <c r="G365" s="26" t="s">
        <v>68</v>
      </c>
      <c r="H365" s="26" t="s">
        <v>1635</v>
      </c>
      <c r="I365" s="26" t="s">
        <v>1636</v>
      </c>
      <c r="J365" s="19" t="s">
        <v>57</v>
      </c>
      <c r="K365" s="26" t="s">
        <v>1637</v>
      </c>
      <c r="L365" s="26"/>
      <c r="M365" s="27" t="s">
        <v>1261</v>
      </c>
      <c r="N365" s="27" t="str">
        <f t="shared" si="28"/>
        <v>NO</v>
      </c>
      <c r="O365" s="27" t="str">
        <f t="shared" si="29"/>
        <v>🟡</v>
      </c>
      <c r="P365" s="28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9"/>
      <c r="CC365" s="9"/>
      <c r="CD365" s="9"/>
      <c r="CE365" s="9"/>
      <c r="CF365" s="9"/>
      <c r="CG365" s="9"/>
    </row>
    <row r="366" spans="1:85" ht="18" customHeight="1" x14ac:dyDescent="0.3">
      <c r="A366" s="23">
        <f t="shared" si="25"/>
        <v>365</v>
      </c>
      <c r="B366" s="23">
        <f t="shared" si="26"/>
        <v>365</v>
      </c>
      <c r="C366" s="35" t="s">
        <v>1582</v>
      </c>
      <c r="D366" s="35" t="s">
        <v>818</v>
      </c>
      <c r="E366" s="36" t="str">
        <f t="shared" si="27"/>
        <v>LATERAL</v>
      </c>
      <c r="F366" s="26" t="s">
        <v>1638</v>
      </c>
      <c r="G366" s="35" t="s">
        <v>1639</v>
      </c>
      <c r="H366" s="35" t="s">
        <v>1640</v>
      </c>
      <c r="I366" s="35" t="s">
        <v>88</v>
      </c>
      <c r="J366" s="13" t="s">
        <v>22</v>
      </c>
      <c r="K366" s="35" t="s">
        <v>1641</v>
      </c>
      <c r="L366" s="26"/>
      <c r="M366" s="27" t="s">
        <v>1261</v>
      </c>
      <c r="N366" s="27" t="str">
        <f t="shared" si="28"/>
        <v>NO</v>
      </c>
      <c r="O366" s="27" t="str">
        <f t="shared" si="29"/>
        <v>🟢</v>
      </c>
      <c r="P366" s="28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</row>
    <row r="367" spans="1:85" ht="18" customHeight="1" x14ac:dyDescent="0.3">
      <c r="A367" s="23">
        <f t="shared" si="25"/>
        <v>366</v>
      </c>
      <c r="B367" s="23" t="str">
        <f t="shared" si="26"/>
        <v/>
      </c>
      <c r="C367" s="35" t="s">
        <v>1582</v>
      </c>
      <c r="D367" s="35" t="s">
        <v>1642</v>
      </c>
      <c r="E367" s="36">
        <f t="shared" si="27"/>
        <v>0</v>
      </c>
      <c r="F367" s="26"/>
      <c r="G367" s="35" t="s">
        <v>473</v>
      </c>
      <c r="H367" s="35" t="s">
        <v>1643</v>
      </c>
      <c r="I367" s="35" t="s">
        <v>1644</v>
      </c>
      <c r="J367" s="13" t="s">
        <v>22</v>
      </c>
      <c r="K367" s="35" t="s">
        <v>1645</v>
      </c>
      <c r="L367" s="26"/>
      <c r="M367" s="27"/>
      <c r="N367" s="27" t="str">
        <f t="shared" si="28"/>
        <v>NO</v>
      </c>
      <c r="O367" s="27" t="str">
        <f t="shared" si="29"/>
        <v>🟢</v>
      </c>
      <c r="P367" s="28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</row>
    <row r="368" spans="1:85" ht="18" customHeight="1" x14ac:dyDescent="0.3">
      <c r="A368" s="23">
        <f t="shared" si="25"/>
        <v>367</v>
      </c>
      <c r="B368" s="23">
        <f t="shared" si="26"/>
        <v>367</v>
      </c>
      <c r="C368" s="35" t="s">
        <v>1582</v>
      </c>
      <c r="D368" s="35" t="s">
        <v>818</v>
      </c>
      <c r="E368" s="36" t="str">
        <f t="shared" si="27"/>
        <v>LATERAL</v>
      </c>
      <c r="F368" s="26" t="s">
        <v>1646</v>
      </c>
      <c r="G368" s="35" t="s">
        <v>1647</v>
      </c>
      <c r="H368" s="35" t="s">
        <v>1648</v>
      </c>
      <c r="I368" s="35" t="s">
        <v>450</v>
      </c>
      <c r="J368" s="13" t="s">
        <v>22</v>
      </c>
      <c r="K368" s="35" t="s">
        <v>1649</v>
      </c>
      <c r="L368" s="26"/>
      <c r="M368" s="27" t="s">
        <v>1261</v>
      </c>
      <c r="N368" s="27" t="str">
        <f t="shared" si="28"/>
        <v>NO</v>
      </c>
      <c r="O368" s="27" t="str">
        <f t="shared" si="29"/>
        <v>🟢</v>
      </c>
      <c r="P368" s="28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</row>
    <row r="369" spans="1:85" ht="18" customHeight="1" x14ac:dyDescent="0.3">
      <c r="A369" s="23">
        <f t="shared" si="25"/>
        <v>368</v>
      </c>
      <c r="B369" s="23">
        <f t="shared" si="26"/>
        <v>368</v>
      </c>
      <c r="C369" s="26" t="s">
        <v>1582</v>
      </c>
      <c r="D369" s="26" t="s">
        <v>818</v>
      </c>
      <c r="E369" s="27" t="str">
        <f t="shared" si="27"/>
        <v>LATERAL</v>
      </c>
      <c r="F369" s="26" t="s">
        <v>1650</v>
      </c>
      <c r="G369" s="26" t="s">
        <v>1651</v>
      </c>
      <c r="H369" s="26" t="s">
        <v>1652</v>
      </c>
      <c r="I369" s="26" t="s">
        <v>1622</v>
      </c>
      <c r="J369" s="19" t="s">
        <v>57</v>
      </c>
      <c r="K369" s="26" t="s">
        <v>1653</v>
      </c>
      <c r="L369" s="26"/>
      <c r="M369" s="27" t="s">
        <v>1261</v>
      </c>
      <c r="N369" s="27" t="str">
        <f t="shared" si="28"/>
        <v>NO</v>
      </c>
      <c r="O369" s="27" t="str">
        <f t="shared" si="29"/>
        <v>🟡</v>
      </c>
      <c r="P369" s="28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</row>
    <row r="370" spans="1:85" ht="18" customHeight="1" x14ac:dyDescent="0.3">
      <c r="A370" s="23">
        <f t="shared" si="25"/>
        <v>369</v>
      </c>
      <c r="B370" s="23">
        <f t="shared" si="26"/>
        <v>369</v>
      </c>
      <c r="C370" s="35" t="s">
        <v>1582</v>
      </c>
      <c r="D370" s="35" t="s">
        <v>818</v>
      </c>
      <c r="E370" s="36" t="str">
        <f t="shared" si="27"/>
        <v>LATERAL</v>
      </c>
      <c r="F370" s="26" t="s">
        <v>1654</v>
      </c>
      <c r="G370" s="35" t="s">
        <v>519</v>
      </c>
      <c r="H370" s="35" t="s">
        <v>1655</v>
      </c>
      <c r="I370" s="35" t="s">
        <v>1656</v>
      </c>
      <c r="J370" s="19" t="s">
        <v>57</v>
      </c>
      <c r="K370" s="35" t="s">
        <v>1657</v>
      </c>
      <c r="L370" s="26"/>
      <c r="M370" s="27" t="s">
        <v>1261</v>
      </c>
      <c r="N370" s="27" t="str">
        <f t="shared" si="28"/>
        <v>NO</v>
      </c>
      <c r="O370" s="27" t="str">
        <f t="shared" si="29"/>
        <v>🟡</v>
      </c>
      <c r="P370" s="28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</row>
    <row r="371" spans="1:85" ht="18" customHeight="1" x14ac:dyDescent="0.3">
      <c r="A371" s="23">
        <f t="shared" si="25"/>
        <v>370</v>
      </c>
      <c r="B371" s="23">
        <f t="shared" si="26"/>
        <v>370</v>
      </c>
      <c r="C371" s="26" t="s">
        <v>1582</v>
      </c>
      <c r="D371" s="26" t="s">
        <v>818</v>
      </c>
      <c r="E371" s="27" t="str">
        <f t="shared" si="27"/>
        <v>LATERAL</v>
      </c>
      <c r="F371" s="26" t="s">
        <v>1658</v>
      </c>
      <c r="G371" s="26" t="s">
        <v>1558</v>
      </c>
      <c r="H371" s="26" t="s">
        <v>1659</v>
      </c>
      <c r="I371" s="26" t="s">
        <v>1660</v>
      </c>
      <c r="J371" s="13" t="s">
        <v>22</v>
      </c>
      <c r="K371" s="26" t="s">
        <v>1661</v>
      </c>
      <c r="L371" s="26"/>
      <c r="M371" s="27" t="s">
        <v>1261</v>
      </c>
      <c r="N371" s="27" t="str">
        <f t="shared" si="28"/>
        <v>NO</v>
      </c>
      <c r="O371" s="27" t="str">
        <f t="shared" si="29"/>
        <v>🟢</v>
      </c>
      <c r="P371" s="28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</row>
    <row r="372" spans="1:85" ht="18" customHeight="1" x14ac:dyDescent="0.3">
      <c r="A372" s="23">
        <f t="shared" si="25"/>
        <v>371</v>
      </c>
      <c r="B372" s="23">
        <f t="shared" si="26"/>
        <v>371</v>
      </c>
      <c r="C372" s="35" t="s">
        <v>1582</v>
      </c>
      <c r="D372" s="35" t="s">
        <v>1662</v>
      </c>
      <c r="E372" s="36" t="str">
        <f t="shared" si="27"/>
        <v>LATERAL</v>
      </c>
      <c r="F372" s="26" t="s">
        <v>1663</v>
      </c>
      <c r="G372" s="35" t="s">
        <v>1459</v>
      </c>
      <c r="H372" s="35" t="s">
        <v>1664</v>
      </c>
      <c r="I372" s="35" t="s">
        <v>167</v>
      </c>
      <c r="J372" s="13" t="s">
        <v>22</v>
      </c>
      <c r="K372" s="35" t="s">
        <v>1665</v>
      </c>
      <c r="L372" s="26"/>
      <c r="M372" s="27" t="s">
        <v>1261</v>
      </c>
      <c r="N372" s="27" t="str">
        <f t="shared" si="28"/>
        <v>NO</v>
      </c>
      <c r="O372" s="27" t="str">
        <f t="shared" si="29"/>
        <v>🟢</v>
      </c>
      <c r="P372" s="28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</row>
    <row r="373" spans="1:85" ht="18" customHeight="1" x14ac:dyDescent="0.3">
      <c r="A373" s="23">
        <f t="shared" si="25"/>
        <v>372</v>
      </c>
      <c r="B373" s="23">
        <f t="shared" si="26"/>
        <v>372</v>
      </c>
      <c r="C373" s="26" t="s">
        <v>1582</v>
      </c>
      <c r="D373" s="26" t="s">
        <v>1666</v>
      </c>
      <c r="E373" s="27" t="str">
        <f t="shared" si="27"/>
        <v>LATERAL</v>
      </c>
      <c r="F373" s="26" t="s">
        <v>1667</v>
      </c>
      <c r="G373" s="26" t="s">
        <v>1594</v>
      </c>
      <c r="H373" s="26" t="s">
        <v>1668</v>
      </c>
      <c r="I373" s="26" t="s">
        <v>1669</v>
      </c>
      <c r="J373" s="13" t="s">
        <v>22</v>
      </c>
      <c r="K373" s="26" t="s">
        <v>1670</v>
      </c>
      <c r="L373" s="26"/>
      <c r="M373" s="27" t="s">
        <v>1261</v>
      </c>
      <c r="N373" s="27" t="str">
        <f t="shared" si="28"/>
        <v>NO</v>
      </c>
      <c r="O373" s="27" t="str">
        <f t="shared" si="29"/>
        <v>🟢</v>
      </c>
      <c r="P373" s="28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</row>
    <row r="374" spans="1:85" ht="18" customHeight="1" x14ac:dyDescent="0.3">
      <c r="A374" s="23">
        <f t="shared" si="25"/>
        <v>373</v>
      </c>
      <c r="B374" s="23">
        <f t="shared" si="26"/>
        <v>373</v>
      </c>
      <c r="C374" s="35" t="s">
        <v>1582</v>
      </c>
      <c r="D374" s="35" t="s">
        <v>1671</v>
      </c>
      <c r="E374" s="36" t="str">
        <f t="shared" si="27"/>
        <v/>
      </c>
      <c r="F374" s="26" t="s">
        <v>1672</v>
      </c>
      <c r="G374" s="35" t="s">
        <v>1673</v>
      </c>
      <c r="H374" s="35" t="s">
        <v>1674</v>
      </c>
      <c r="I374" s="35" t="s">
        <v>125</v>
      </c>
      <c r="J374" s="19" t="s">
        <v>71</v>
      </c>
      <c r="K374" s="35" t="s">
        <v>1675</v>
      </c>
      <c r="L374" s="26"/>
      <c r="M374" s="27" t="s">
        <v>1261</v>
      </c>
      <c r="N374" s="27" t="str">
        <f t="shared" si="28"/>
        <v>NO</v>
      </c>
      <c r="O374" s="27" t="str">
        <f t="shared" si="29"/>
        <v>🔴</v>
      </c>
      <c r="P374" s="28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</row>
    <row r="375" spans="1:85" ht="18" customHeight="1" x14ac:dyDescent="0.3">
      <c r="A375" s="23">
        <f t="shared" si="25"/>
        <v>374</v>
      </c>
      <c r="B375" s="23">
        <f t="shared" si="26"/>
        <v>374</v>
      </c>
      <c r="C375" s="26" t="s">
        <v>1582</v>
      </c>
      <c r="D375" s="26" t="s">
        <v>1676</v>
      </c>
      <c r="E375" s="27" t="str">
        <f t="shared" si="27"/>
        <v>LATERAL</v>
      </c>
      <c r="F375" s="26" t="s">
        <v>1677</v>
      </c>
      <c r="G375" s="26" t="s">
        <v>1678</v>
      </c>
      <c r="H375" s="26" t="s">
        <v>1679</v>
      </c>
      <c r="I375" s="26" t="s">
        <v>1680</v>
      </c>
      <c r="J375" s="19" t="s">
        <v>57</v>
      </c>
      <c r="K375" s="26" t="s">
        <v>1681</v>
      </c>
      <c r="L375" s="26"/>
      <c r="M375" s="27" t="s">
        <v>1261</v>
      </c>
      <c r="N375" s="27" t="str">
        <f t="shared" si="28"/>
        <v>NO</v>
      </c>
      <c r="O375" s="27" t="str">
        <f t="shared" si="29"/>
        <v>🟡</v>
      </c>
      <c r="P375" s="28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</row>
    <row r="376" spans="1:85" ht="18" customHeight="1" x14ac:dyDescent="0.3">
      <c r="A376" s="23">
        <f t="shared" si="25"/>
        <v>375</v>
      </c>
      <c r="B376" s="23">
        <f t="shared" si="26"/>
        <v>375</v>
      </c>
      <c r="C376" s="35" t="s">
        <v>1582</v>
      </c>
      <c r="D376" s="35" t="s">
        <v>818</v>
      </c>
      <c r="E376" s="36" t="str">
        <f t="shared" si="27"/>
        <v>LATERAL</v>
      </c>
      <c r="F376" s="26" t="s">
        <v>1682</v>
      </c>
      <c r="G376" s="35" t="s">
        <v>1683</v>
      </c>
      <c r="H376" s="35" t="s">
        <v>1684</v>
      </c>
      <c r="I376" s="35" t="s">
        <v>1528</v>
      </c>
      <c r="J376" s="19" t="s">
        <v>57</v>
      </c>
      <c r="K376" s="35" t="s">
        <v>1685</v>
      </c>
      <c r="L376" s="26"/>
      <c r="M376" s="27" t="s">
        <v>1261</v>
      </c>
      <c r="N376" s="27" t="str">
        <f t="shared" si="28"/>
        <v>NO</v>
      </c>
      <c r="O376" s="27" t="str">
        <f t="shared" si="29"/>
        <v>🟡</v>
      </c>
      <c r="P376" s="28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9"/>
      <c r="CC376" s="9"/>
      <c r="CD376" s="9"/>
      <c r="CE376" s="9"/>
      <c r="CF376" s="9"/>
      <c r="CG376" s="9"/>
    </row>
    <row r="377" spans="1:85" ht="18" customHeight="1" x14ac:dyDescent="0.3">
      <c r="A377" s="23">
        <f t="shared" si="25"/>
        <v>376</v>
      </c>
      <c r="B377" s="23">
        <f t="shared" si="26"/>
        <v>376</v>
      </c>
      <c r="C377" s="26" t="s">
        <v>1582</v>
      </c>
      <c r="D377" s="26" t="s">
        <v>818</v>
      </c>
      <c r="E377" s="27" t="str">
        <f t="shared" si="27"/>
        <v>LATERAL</v>
      </c>
      <c r="F377" s="26" t="s">
        <v>1686</v>
      </c>
      <c r="G377" s="26" t="s">
        <v>1687</v>
      </c>
      <c r="H377" s="26" t="s">
        <v>1688</v>
      </c>
      <c r="I377" s="26" t="s">
        <v>1689</v>
      </c>
      <c r="J377" s="13" t="s">
        <v>22</v>
      </c>
      <c r="K377" s="26" t="s">
        <v>1690</v>
      </c>
      <c r="L377" s="26"/>
      <c r="M377" s="27" t="s">
        <v>1261</v>
      </c>
      <c r="N377" s="27" t="str">
        <f t="shared" si="28"/>
        <v>NO</v>
      </c>
      <c r="O377" s="27" t="str">
        <f t="shared" si="29"/>
        <v>🟢</v>
      </c>
      <c r="P377" s="28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</row>
    <row r="378" spans="1:85" ht="18" customHeight="1" x14ac:dyDescent="0.3">
      <c r="A378" s="23">
        <f t="shared" si="25"/>
        <v>377</v>
      </c>
      <c r="B378" s="23">
        <f t="shared" si="26"/>
        <v>377</v>
      </c>
      <c r="C378" s="35" t="s">
        <v>1582</v>
      </c>
      <c r="D378" s="35" t="s">
        <v>818</v>
      </c>
      <c r="E378" s="36" t="str">
        <f t="shared" si="27"/>
        <v>LATERAL</v>
      </c>
      <c r="F378" s="26" t="s">
        <v>1691</v>
      </c>
      <c r="G378" s="35" t="s">
        <v>1692</v>
      </c>
      <c r="H378" s="35" t="s">
        <v>1693</v>
      </c>
      <c r="I378" s="35" t="s">
        <v>1694</v>
      </c>
      <c r="J378" s="13" t="s">
        <v>22</v>
      </c>
      <c r="K378" s="35" t="s">
        <v>1695</v>
      </c>
      <c r="L378" s="26"/>
      <c r="M378" s="27" t="s">
        <v>1261</v>
      </c>
      <c r="N378" s="27" t="str">
        <f t="shared" si="28"/>
        <v>NO</v>
      </c>
      <c r="O378" s="27" t="str">
        <f t="shared" si="29"/>
        <v>🟢</v>
      </c>
      <c r="P378" s="28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9"/>
      <c r="CC378" s="9"/>
      <c r="CD378" s="9"/>
      <c r="CE378" s="9"/>
      <c r="CF378" s="9"/>
      <c r="CG378" s="9"/>
    </row>
    <row r="379" spans="1:85" ht="18" customHeight="1" x14ac:dyDescent="0.3">
      <c r="A379" s="23">
        <f t="shared" si="25"/>
        <v>378</v>
      </c>
      <c r="B379" s="23">
        <f t="shared" si="26"/>
        <v>378</v>
      </c>
      <c r="C379" s="26" t="s">
        <v>1582</v>
      </c>
      <c r="D379" s="26" t="s">
        <v>818</v>
      </c>
      <c r="E379" s="27" t="str">
        <f t="shared" si="27"/>
        <v/>
      </c>
      <c r="F379" s="26" t="s">
        <v>1696</v>
      </c>
      <c r="G379" s="26" t="s">
        <v>1697</v>
      </c>
      <c r="H379" s="26" t="s">
        <v>1698</v>
      </c>
      <c r="I379" s="26" t="s">
        <v>1699</v>
      </c>
      <c r="J379" s="20" t="s">
        <v>71</v>
      </c>
      <c r="K379" s="26" t="s">
        <v>1700</v>
      </c>
      <c r="L379" s="26"/>
      <c r="M379" s="27" t="s">
        <v>1261</v>
      </c>
      <c r="N379" s="27" t="str">
        <f t="shared" si="28"/>
        <v>NO</v>
      </c>
      <c r="O379" s="27" t="str">
        <f t="shared" si="29"/>
        <v>🔴</v>
      </c>
      <c r="P379" s="28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9"/>
      <c r="CC379" s="9"/>
      <c r="CD379" s="9"/>
      <c r="CE379" s="9"/>
      <c r="CF379" s="9"/>
      <c r="CG379" s="9"/>
    </row>
    <row r="380" spans="1:85" ht="18" customHeight="1" x14ac:dyDescent="0.3">
      <c r="A380" s="23">
        <f t="shared" si="25"/>
        <v>379</v>
      </c>
      <c r="B380" s="23">
        <f t="shared" si="26"/>
        <v>379</v>
      </c>
      <c r="C380" s="35" t="s">
        <v>1582</v>
      </c>
      <c r="D380" s="35" t="s">
        <v>818</v>
      </c>
      <c r="E380" s="36" t="str">
        <f t="shared" si="27"/>
        <v>LATERAL</v>
      </c>
      <c r="F380" s="26" t="s">
        <v>1701</v>
      </c>
      <c r="G380" s="35" t="s">
        <v>1702</v>
      </c>
      <c r="H380" s="35" t="s">
        <v>1703</v>
      </c>
      <c r="I380" s="35" t="s">
        <v>848</v>
      </c>
      <c r="J380" s="19" t="s">
        <v>22</v>
      </c>
      <c r="K380" s="35" t="s">
        <v>1704</v>
      </c>
      <c r="L380" s="26"/>
      <c r="M380" s="27" t="s">
        <v>1261</v>
      </c>
      <c r="N380" s="27" t="str">
        <f t="shared" si="28"/>
        <v>NO</v>
      </c>
      <c r="O380" s="27" t="str">
        <f t="shared" si="29"/>
        <v>🟢</v>
      </c>
      <c r="P380" s="28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</row>
    <row r="381" spans="1:85" ht="18" customHeight="1" x14ac:dyDescent="0.3">
      <c r="A381" s="23">
        <f t="shared" si="25"/>
        <v>380</v>
      </c>
      <c r="B381" s="23">
        <f t="shared" si="26"/>
        <v>380</v>
      </c>
      <c r="C381" s="26" t="s">
        <v>1582</v>
      </c>
      <c r="D381" s="26" t="s">
        <v>1705</v>
      </c>
      <c r="E381" s="27" t="str">
        <f t="shared" si="27"/>
        <v>LATERAL</v>
      </c>
      <c r="F381" s="26" t="s">
        <v>1706</v>
      </c>
      <c r="G381" s="26" t="s">
        <v>1707</v>
      </c>
      <c r="H381" s="26" t="s">
        <v>1708</v>
      </c>
      <c r="I381" s="26" t="s">
        <v>951</v>
      </c>
      <c r="J381" s="19" t="s">
        <v>57</v>
      </c>
      <c r="K381" s="26" t="s">
        <v>1709</v>
      </c>
      <c r="L381" s="26"/>
      <c r="M381" s="27" t="s">
        <v>1261</v>
      </c>
      <c r="N381" s="27" t="str">
        <f t="shared" si="28"/>
        <v>NO</v>
      </c>
      <c r="O381" s="27" t="str">
        <f t="shared" si="29"/>
        <v>🟡</v>
      </c>
      <c r="P381" s="28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</row>
    <row r="382" spans="1:85" ht="18" customHeight="1" x14ac:dyDescent="0.3">
      <c r="A382" s="23">
        <f t="shared" si="25"/>
        <v>381</v>
      </c>
      <c r="B382" s="23">
        <f t="shared" si="26"/>
        <v>381</v>
      </c>
      <c r="C382" s="35" t="s">
        <v>1582</v>
      </c>
      <c r="D382" s="35" t="s">
        <v>818</v>
      </c>
      <c r="E382" s="36" t="str">
        <f t="shared" si="27"/>
        <v>LATERAL</v>
      </c>
      <c r="F382" s="26" t="s">
        <v>1710</v>
      </c>
      <c r="G382" s="35" t="s">
        <v>1594</v>
      </c>
      <c r="H382" s="35" t="s">
        <v>1711</v>
      </c>
      <c r="I382" s="35" t="s">
        <v>543</v>
      </c>
      <c r="J382" s="13" t="s">
        <v>22</v>
      </c>
      <c r="K382" s="35" t="s">
        <v>1712</v>
      </c>
      <c r="L382" s="26"/>
      <c r="M382" s="27" t="s">
        <v>1261</v>
      </c>
      <c r="N382" s="27" t="str">
        <f t="shared" si="28"/>
        <v>NO</v>
      </c>
      <c r="O382" s="27" t="str">
        <f t="shared" si="29"/>
        <v>🟢</v>
      </c>
      <c r="P382" s="28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</row>
    <row r="383" spans="1:85" ht="18" customHeight="1" x14ac:dyDescent="0.3">
      <c r="A383" s="23">
        <f t="shared" si="25"/>
        <v>382</v>
      </c>
      <c r="B383" s="23">
        <f t="shared" si="26"/>
        <v>382</v>
      </c>
      <c r="C383" s="26" t="s">
        <v>1582</v>
      </c>
      <c r="D383" s="26" t="s">
        <v>1705</v>
      </c>
      <c r="E383" s="27" t="str">
        <f t="shared" si="27"/>
        <v>LATERAL</v>
      </c>
      <c r="F383" s="26" t="s">
        <v>1713</v>
      </c>
      <c r="G383" s="26" t="s">
        <v>1714</v>
      </c>
      <c r="H383" s="26" t="s">
        <v>1715</v>
      </c>
      <c r="I383" s="26" t="s">
        <v>1355</v>
      </c>
      <c r="J383" s="13" t="s">
        <v>22</v>
      </c>
      <c r="K383" s="26" t="s">
        <v>1716</v>
      </c>
      <c r="L383" s="26"/>
      <c r="M383" s="27" t="s">
        <v>1261</v>
      </c>
      <c r="N383" s="27" t="str">
        <f t="shared" si="28"/>
        <v>NO</v>
      </c>
      <c r="O383" s="27" t="str">
        <f t="shared" si="29"/>
        <v>🟢</v>
      </c>
      <c r="P383" s="28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</row>
    <row r="384" spans="1:85" ht="18" customHeight="1" x14ac:dyDescent="0.3">
      <c r="A384" s="23">
        <f t="shared" si="25"/>
        <v>383</v>
      </c>
      <c r="B384" s="23">
        <f t="shared" si="26"/>
        <v>383</v>
      </c>
      <c r="C384" s="35" t="s">
        <v>1582</v>
      </c>
      <c r="D384" s="35" t="s">
        <v>1666</v>
      </c>
      <c r="E384" s="36" t="str">
        <f t="shared" si="27"/>
        <v>LATERAL</v>
      </c>
      <c r="F384" s="26" t="s">
        <v>1717</v>
      </c>
      <c r="G384" s="35" t="s">
        <v>1033</v>
      </c>
      <c r="H384" s="35" t="s">
        <v>1718</v>
      </c>
      <c r="I384" s="35" t="s">
        <v>1719</v>
      </c>
      <c r="J384" s="13" t="s">
        <v>22</v>
      </c>
      <c r="K384" s="35" t="s">
        <v>1720</v>
      </c>
      <c r="L384" s="26"/>
      <c r="M384" s="27" t="s">
        <v>1261</v>
      </c>
      <c r="N384" s="27" t="str">
        <f t="shared" si="28"/>
        <v>NO</v>
      </c>
      <c r="O384" s="27" t="str">
        <f t="shared" si="29"/>
        <v>🟢</v>
      </c>
      <c r="P384" s="28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9"/>
      <c r="CF384" s="9"/>
      <c r="CG384" s="9"/>
    </row>
    <row r="385" spans="1:85" ht="18" customHeight="1" x14ac:dyDescent="0.3">
      <c r="A385" s="23">
        <f t="shared" si="25"/>
        <v>384</v>
      </c>
      <c r="B385" s="23">
        <f t="shared" si="26"/>
        <v>384</v>
      </c>
      <c r="C385" s="26" t="s">
        <v>1582</v>
      </c>
      <c r="D385" s="26" t="s">
        <v>818</v>
      </c>
      <c r="E385" s="27" t="str">
        <f t="shared" si="27"/>
        <v>LATERAL</v>
      </c>
      <c r="F385" s="26" t="s">
        <v>1721</v>
      </c>
      <c r="G385" s="26" t="s">
        <v>1722</v>
      </c>
      <c r="H385" s="26" t="s">
        <v>1723</v>
      </c>
      <c r="I385" s="26" t="s">
        <v>1724</v>
      </c>
      <c r="J385" s="13" t="s">
        <v>22</v>
      </c>
      <c r="K385" s="26" t="s">
        <v>1725</v>
      </c>
      <c r="L385" s="26"/>
      <c r="M385" s="27" t="s">
        <v>1261</v>
      </c>
      <c r="N385" s="27" t="str">
        <f t="shared" si="28"/>
        <v>NO</v>
      </c>
      <c r="O385" s="27" t="str">
        <f t="shared" si="29"/>
        <v>🟢</v>
      </c>
      <c r="P385" s="28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9"/>
      <c r="CC385" s="9"/>
      <c r="CD385" s="9"/>
      <c r="CE385" s="9"/>
      <c r="CF385" s="9"/>
      <c r="CG385" s="9"/>
    </row>
    <row r="386" spans="1:85" ht="18" customHeight="1" x14ac:dyDescent="0.3">
      <c r="A386" s="23">
        <f t="shared" ref="A386:A449" si="30">IF(COUNTA(C386:K386)=0,"",ROW()-1)</f>
        <v>385</v>
      </c>
      <c r="B386" s="23">
        <f t="shared" ref="B386:B449" si="31">IF($F386&lt;&gt;"",$A386,"")</f>
        <v>385</v>
      </c>
      <c r="C386" s="35" t="s">
        <v>1582</v>
      </c>
      <c r="D386" s="35" t="s">
        <v>818</v>
      </c>
      <c r="E386" s="36" t="str">
        <f t="shared" ref="E386:E449" si="32">IF(UPPER($J386)="NO","",$M386)</f>
        <v>LATERAL</v>
      </c>
      <c r="F386" s="26" t="s">
        <v>1726</v>
      </c>
      <c r="G386" s="35" t="s">
        <v>1727</v>
      </c>
      <c r="H386" s="35" t="s">
        <v>1728</v>
      </c>
      <c r="I386" s="35" t="s">
        <v>1729</v>
      </c>
      <c r="J386" s="13" t="s">
        <v>22</v>
      </c>
      <c r="K386" s="35" t="s">
        <v>1730</v>
      </c>
      <c r="L386" s="26"/>
      <c r="M386" s="27" t="s">
        <v>1261</v>
      </c>
      <c r="N386" s="27" t="str">
        <f t="shared" ref="N386:N449" si="33">IF(AND(UPPER($M386)="VIP",UPPER($J386)="SI",$F386&lt;&gt;""),"SI","NO")</f>
        <v>NO</v>
      </c>
      <c r="O386" s="27" t="str">
        <f t="shared" ref="O386:O449" si="34">IF(UPPER($J386)="SI","🟢",IF(UPPER($J386)="NO","🔴","🟡"))</f>
        <v>🟢</v>
      </c>
      <c r="P386" s="28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</row>
    <row r="387" spans="1:85" ht="18" customHeight="1" x14ac:dyDescent="0.3">
      <c r="A387" s="23">
        <f t="shared" si="30"/>
        <v>386</v>
      </c>
      <c r="B387" s="23">
        <f t="shared" si="31"/>
        <v>386</v>
      </c>
      <c r="C387" s="26" t="s">
        <v>1582</v>
      </c>
      <c r="D387" s="26" t="s">
        <v>818</v>
      </c>
      <c r="E387" s="27" t="str">
        <f t="shared" si="32"/>
        <v>LATERAL</v>
      </c>
      <c r="F387" s="26" t="s">
        <v>1731</v>
      </c>
      <c r="G387" s="26" t="s">
        <v>1732</v>
      </c>
      <c r="H387" s="26" t="s">
        <v>1733</v>
      </c>
      <c r="I387" s="26" t="s">
        <v>1734</v>
      </c>
      <c r="J387" s="13" t="s">
        <v>22</v>
      </c>
      <c r="K387" s="26" t="s">
        <v>1735</v>
      </c>
      <c r="L387" s="26"/>
      <c r="M387" s="27" t="s">
        <v>1261</v>
      </c>
      <c r="N387" s="27" t="str">
        <f t="shared" si="33"/>
        <v>NO</v>
      </c>
      <c r="O387" s="27" t="str">
        <f t="shared" si="34"/>
        <v>🟢</v>
      </c>
      <c r="P387" s="28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9"/>
      <c r="CC387" s="9"/>
      <c r="CD387" s="9"/>
      <c r="CE387" s="9"/>
      <c r="CF387" s="9"/>
      <c r="CG387" s="9"/>
    </row>
    <row r="388" spans="1:85" ht="18" customHeight="1" x14ac:dyDescent="0.3">
      <c r="A388" s="23">
        <f t="shared" si="30"/>
        <v>387</v>
      </c>
      <c r="B388" s="23">
        <f t="shared" si="31"/>
        <v>387</v>
      </c>
      <c r="C388" s="35" t="s">
        <v>1582</v>
      </c>
      <c r="D388" s="35" t="s">
        <v>818</v>
      </c>
      <c r="E388" s="36" t="str">
        <f t="shared" si="32"/>
        <v>LATERAL</v>
      </c>
      <c r="F388" s="26" t="s">
        <v>1736</v>
      </c>
      <c r="G388" s="35" t="s">
        <v>1737</v>
      </c>
      <c r="H388" s="35" t="s">
        <v>1738</v>
      </c>
      <c r="I388" s="35" t="s">
        <v>539</v>
      </c>
      <c r="J388" s="13" t="s">
        <v>22</v>
      </c>
      <c r="K388" s="35" t="s">
        <v>1739</v>
      </c>
      <c r="L388" s="26"/>
      <c r="M388" s="27" t="s">
        <v>1261</v>
      </c>
      <c r="N388" s="27" t="str">
        <f t="shared" si="33"/>
        <v>NO</v>
      </c>
      <c r="O388" s="27" t="str">
        <f t="shared" si="34"/>
        <v>🟢</v>
      </c>
      <c r="P388" s="28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9"/>
      <c r="CC388" s="9"/>
      <c r="CD388" s="9"/>
      <c r="CE388" s="9"/>
      <c r="CF388" s="9"/>
      <c r="CG388" s="9"/>
    </row>
    <row r="389" spans="1:85" ht="18" customHeight="1" x14ac:dyDescent="0.3">
      <c r="A389" s="23">
        <f t="shared" si="30"/>
        <v>388</v>
      </c>
      <c r="B389" s="23">
        <f t="shared" si="31"/>
        <v>388</v>
      </c>
      <c r="C389" s="26" t="s">
        <v>1582</v>
      </c>
      <c r="D389" s="26" t="s">
        <v>1428</v>
      </c>
      <c r="E389" s="27" t="str">
        <f t="shared" si="32"/>
        <v>LATERAL</v>
      </c>
      <c r="F389" s="26" t="s">
        <v>1740</v>
      </c>
      <c r="G389" s="26" t="s">
        <v>1741</v>
      </c>
      <c r="H389" s="26" t="s">
        <v>1742</v>
      </c>
      <c r="I389" s="26" t="s">
        <v>444</v>
      </c>
      <c r="J389" s="19" t="s">
        <v>22</v>
      </c>
      <c r="K389" s="26" t="s">
        <v>1743</v>
      </c>
      <c r="L389" s="26"/>
      <c r="M389" s="27" t="s">
        <v>1261</v>
      </c>
      <c r="N389" s="27" t="str">
        <f t="shared" si="33"/>
        <v>NO</v>
      </c>
      <c r="O389" s="27" t="str">
        <f t="shared" si="34"/>
        <v>🟢</v>
      </c>
      <c r="P389" s="28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</row>
    <row r="390" spans="1:85" ht="18" customHeight="1" x14ac:dyDescent="0.3">
      <c r="A390" s="23">
        <f t="shared" si="30"/>
        <v>389</v>
      </c>
      <c r="B390" s="23">
        <f t="shared" si="31"/>
        <v>389</v>
      </c>
      <c r="C390" s="35" t="s">
        <v>1582</v>
      </c>
      <c r="D390" s="35" t="s">
        <v>1428</v>
      </c>
      <c r="E390" s="36" t="str">
        <f t="shared" si="32"/>
        <v>LATERAL</v>
      </c>
      <c r="F390" s="26" t="s">
        <v>1744</v>
      </c>
      <c r="G390" s="35" t="s">
        <v>1745</v>
      </c>
      <c r="H390" s="35" t="s">
        <v>1746</v>
      </c>
      <c r="I390" s="35" t="s">
        <v>503</v>
      </c>
      <c r="J390" s="19" t="s">
        <v>22</v>
      </c>
      <c r="K390" s="35" t="s">
        <v>1747</v>
      </c>
      <c r="L390" s="26"/>
      <c r="M390" s="27" t="s">
        <v>1261</v>
      </c>
      <c r="N390" s="27" t="str">
        <f t="shared" si="33"/>
        <v>NO</v>
      </c>
      <c r="O390" s="27" t="str">
        <f t="shared" si="34"/>
        <v>🟢</v>
      </c>
      <c r="P390" s="28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</row>
    <row r="391" spans="1:85" ht="18" customHeight="1" x14ac:dyDescent="0.3">
      <c r="A391" s="23">
        <f t="shared" si="30"/>
        <v>390</v>
      </c>
      <c r="B391" s="23">
        <f t="shared" si="31"/>
        <v>390</v>
      </c>
      <c r="C391" s="35" t="s">
        <v>1582</v>
      </c>
      <c r="D391" s="35" t="s">
        <v>1748</v>
      </c>
      <c r="E391" s="36" t="str">
        <f t="shared" si="32"/>
        <v>LATERAL</v>
      </c>
      <c r="F391" s="26" t="s">
        <v>1749</v>
      </c>
      <c r="G391" s="35" t="s">
        <v>394</v>
      </c>
      <c r="H391" s="35" t="s">
        <v>1750</v>
      </c>
      <c r="I391" s="35" t="s">
        <v>87</v>
      </c>
      <c r="J391" s="13" t="s">
        <v>22</v>
      </c>
      <c r="K391" s="35" t="s">
        <v>1751</v>
      </c>
      <c r="L391" s="26"/>
      <c r="M391" s="27" t="s">
        <v>1261</v>
      </c>
      <c r="N391" s="27" t="str">
        <f t="shared" si="33"/>
        <v>NO</v>
      </c>
      <c r="O391" s="27" t="str">
        <f t="shared" si="34"/>
        <v>🟢</v>
      </c>
      <c r="P391" s="28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9"/>
      <c r="CC391" s="9"/>
      <c r="CD391" s="9"/>
      <c r="CE391" s="9"/>
      <c r="CF391" s="9"/>
      <c r="CG391" s="9"/>
    </row>
    <row r="392" spans="1:85" ht="18" customHeight="1" x14ac:dyDescent="0.3">
      <c r="A392" s="23">
        <f t="shared" si="30"/>
        <v>391</v>
      </c>
      <c r="B392" s="23">
        <f t="shared" si="31"/>
        <v>391</v>
      </c>
      <c r="C392" s="37" t="s">
        <v>1752</v>
      </c>
      <c r="D392" s="37"/>
      <c r="E392" s="38" t="str">
        <f t="shared" si="32"/>
        <v>LATERAL VIP</v>
      </c>
      <c r="F392" s="26" t="s">
        <v>1753</v>
      </c>
      <c r="G392" s="37" t="s">
        <v>1002</v>
      </c>
      <c r="H392" s="37" t="s">
        <v>1754</v>
      </c>
      <c r="I392" s="37" t="s">
        <v>1755</v>
      </c>
      <c r="J392" s="13" t="s">
        <v>22</v>
      </c>
      <c r="K392" s="37" t="s">
        <v>1756</v>
      </c>
      <c r="L392" s="26"/>
      <c r="M392" s="27" t="s">
        <v>659</v>
      </c>
      <c r="N392" s="27" t="str">
        <f t="shared" si="33"/>
        <v>NO</v>
      </c>
      <c r="O392" s="27" t="str">
        <f t="shared" si="34"/>
        <v>🟢</v>
      </c>
      <c r="P392" s="28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9"/>
      <c r="CC392" s="9"/>
      <c r="CD392" s="9"/>
      <c r="CE392" s="9"/>
      <c r="CF392" s="9"/>
      <c r="CG392" s="9"/>
    </row>
    <row r="393" spans="1:85" ht="18" customHeight="1" x14ac:dyDescent="0.3">
      <c r="A393" s="23">
        <f t="shared" si="30"/>
        <v>392</v>
      </c>
      <c r="B393" s="23">
        <f t="shared" si="31"/>
        <v>392</v>
      </c>
      <c r="C393" s="37" t="s">
        <v>1752</v>
      </c>
      <c r="D393" s="37"/>
      <c r="E393" s="38" t="str">
        <f t="shared" si="32"/>
        <v>LATERAL VIP</v>
      </c>
      <c r="F393" s="26" t="s">
        <v>1757</v>
      </c>
      <c r="G393" s="37" t="s">
        <v>1606</v>
      </c>
      <c r="H393" s="37" t="s">
        <v>1758</v>
      </c>
      <c r="I393" s="37" t="s">
        <v>1759</v>
      </c>
      <c r="J393" s="13" t="s">
        <v>22</v>
      </c>
      <c r="K393" s="37" t="s">
        <v>1760</v>
      </c>
      <c r="L393" s="26"/>
      <c r="M393" s="27" t="s">
        <v>659</v>
      </c>
      <c r="N393" s="27" t="str">
        <f t="shared" si="33"/>
        <v>NO</v>
      </c>
      <c r="O393" s="27" t="str">
        <f t="shared" si="34"/>
        <v>🟢</v>
      </c>
      <c r="P393" s="28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9"/>
      <c r="CC393" s="9"/>
      <c r="CD393" s="9"/>
      <c r="CE393" s="9"/>
      <c r="CF393" s="9"/>
      <c r="CG393" s="9"/>
    </row>
    <row r="394" spans="1:85" ht="18" customHeight="1" x14ac:dyDescent="0.3">
      <c r="A394" s="23">
        <f t="shared" si="30"/>
        <v>393</v>
      </c>
      <c r="B394" s="23">
        <f t="shared" si="31"/>
        <v>393</v>
      </c>
      <c r="C394" s="37" t="s">
        <v>1752</v>
      </c>
      <c r="D394" s="37"/>
      <c r="E394" s="38" t="str">
        <f t="shared" si="32"/>
        <v>LATERAL VIP</v>
      </c>
      <c r="F394" s="26" t="s">
        <v>1761</v>
      </c>
      <c r="G394" s="37" t="s">
        <v>1762</v>
      </c>
      <c r="H394" s="37" t="s">
        <v>1763</v>
      </c>
      <c r="I394" s="37" t="s">
        <v>720</v>
      </c>
      <c r="J394" s="13" t="s">
        <v>22</v>
      </c>
      <c r="K394" s="37" t="s">
        <v>1764</v>
      </c>
      <c r="L394" s="26"/>
      <c r="M394" s="27" t="s">
        <v>659</v>
      </c>
      <c r="N394" s="27" t="str">
        <f t="shared" si="33"/>
        <v>NO</v>
      </c>
      <c r="O394" s="27" t="str">
        <f t="shared" si="34"/>
        <v>🟢</v>
      </c>
      <c r="P394" s="28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9"/>
      <c r="CC394" s="9"/>
      <c r="CD394" s="9"/>
      <c r="CE394" s="9"/>
      <c r="CF394" s="9"/>
      <c r="CG394" s="9"/>
    </row>
    <row r="395" spans="1:85" ht="18" customHeight="1" x14ac:dyDescent="0.3">
      <c r="A395" s="23">
        <f t="shared" si="30"/>
        <v>394</v>
      </c>
      <c r="B395" s="23">
        <f t="shared" si="31"/>
        <v>394</v>
      </c>
      <c r="C395" s="37" t="s">
        <v>1752</v>
      </c>
      <c r="D395" s="37"/>
      <c r="E395" s="38" t="str">
        <f t="shared" si="32"/>
        <v>LATERAL VIP</v>
      </c>
      <c r="F395" s="26" t="s">
        <v>1765</v>
      </c>
      <c r="G395" s="37" t="s">
        <v>1766</v>
      </c>
      <c r="H395" s="37" t="s">
        <v>1767</v>
      </c>
      <c r="I395" s="37" t="s">
        <v>1768</v>
      </c>
      <c r="J395" s="13" t="s">
        <v>22</v>
      </c>
      <c r="K395" s="37" t="s">
        <v>1769</v>
      </c>
      <c r="L395" s="26"/>
      <c r="M395" s="27" t="s">
        <v>659</v>
      </c>
      <c r="N395" s="27" t="str">
        <f t="shared" si="33"/>
        <v>NO</v>
      </c>
      <c r="O395" s="27" t="str">
        <f t="shared" si="34"/>
        <v>🟢</v>
      </c>
      <c r="P395" s="28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9"/>
      <c r="CC395" s="9"/>
      <c r="CD395" s="9"/>
      <c r="CE395" s="9"/>
      <c r="CF395" s="9"/>
      <c r="CG395" s="9"/>
    </row>
    <row r="396" spans="1:85" ht="18" customHeight="1" x14ac:dyDescent="0.3">
      <c r="A396" s="23">
        <f t="shared" si="30"/>
        <v>395</v>
      </c>
      <c r="B396" s="23">
        <f t="shared" si="31"/>
        <v>395</v>
      </c>
      <c r="C396" s="37" t="s">
        <v>1752</v>
      </c>
      <c r="D396" s="37"/>
      <c r="E396" s="38" t="str">
        <f t="shared" si="32"/>
        <v>LATERAL VIP</v>
      </c>
      <c r="F396" s="26" t="s">
        <v>1770</v>
      </c>
      <c r="G396" s="37" t="s">
        <v>62</v>
      </c>
      <c r="H396" s="37" t="s">
        <v>1771</v>
      </c>
      <c r="I396" s="37" t="s">
        <v>1772</v>
      </c>
      <c r="J396" s="13" t="s">
        <v>22</v>
      </c>
      <c r="K396" s="37"/>
      <c r="L396" s="26"/>
      <c r="M396" s="27" t="s">
        <v>659</v>
      </c>
      <c r="N396" s="27" t="str">
        <f t="shared" si="33"/>
        <v>NO</v>
      </c>
      <c r="O396" s="27" t="str">
        <f t="shared" si="34"/>
        <v>🟢</v>
      </c>
      <c r="P396" s="28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</row>
    <row r="397" spans="1:85" ht="18" customHeight="1" x14ac:dyDescent="0.3">
      <c r="A397" s="23">
        <f t="shared" si="30"/>
        <v>396</v>
      </c>
      <c r="B397" s="23">
        <f t="shared" si="31"/>
        <v>396</v>
      </c>
      <c r="C397" s="37" t="s">
        <v>1752</v>
      </c>
      <c r="D397" s="37"/>
      <c r="E397" s="38" t="str">
        <f t="shared" si="32"/>
        <v>LATERAL VIP</v>
      </c>
      <c r="F397" s="26" t="s">
        <v>1773</v>
      </c>
      <c r="G397" s="37" t="s">
        <v>1774</v>
      </c>
      <c r="H397" s="37" t="s">
        <v>1775</v>
      </c>
      <c r="I397" s="37" t="s">
        <v>1776</v>
      </c>
      <c r="J397" s="13" t="s">
        <v>22</v>
      </c>
      <c r="K397" s="37" t="s">
        <v>1777</v>
      </c>
      <c r="L397" s="26"/>
      <c r="M397" s="27" t="s">
        <v>659</v>
      </c>
      <c r="N397" s="27" t="str">
        <f t="shared" si="33"/>
        <v>NO</v>
      </c>
      <c r="O397" s="27" t="str">
        <f t="shared" si="34"/>
        <v>🟢</v>
      </c>
      <c r="P397" s="28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9"/>
      <c r="CC397" s="9"/>
      <c r="CD397" s="9"/>
      <c r="CE397" s="9"/>
      <c r="CF397" s="9"/>
      <c r="CG397" s="9"/>
    </row>
    <row r="398" spans="1:85" ht="18" customHeight="1" x14ac:dyDescent="0.3">
      <c r="A398" s="23">
        <f t="shared" si="30"/>
        <v>397</v>
      </c>
      <c r="B398" s="23">
        <f t="shared" si="31"/>
        <v>397</v>
      </c>
      <c r="C398" s="37" t="s">
        <v>1752</v>
      </c>
      <c r="D398" s="37"/>
      <c r="E398" s="38" t="str">
        <f t="shared" si="32"/>
        <v>LATERAL VIP</v>
      </c>
      <c r="F398" s="26" t="s">
        <v>1778</v>
      </c>
      <c r="G398" s="37" t="s">
        <v>1779</v>
      </c>
      <c r="H398" s="37" t="s">
        <v>1780</v>
      </c>
      <c r="I398" s="37" t="s">
        <v>244</v>
      </c>
      <c r="J398" s="13" t="s">
        <v>22</v>
      </c>
      <c r="K398" s="37" t="s">
        <v>1777</v>
      </c>
      <c r="L398" s="26"/>
      <c r="M398" s="27" t="s">
        <v>659</v>
      </c>
      <c r="N398" s="27" t="str">
        <f t="shared" si="33"/>
        <v>NO</v>
      </c>
      <c r="O398" s="27" t="str">
        <f t="shared" si="34"/>
        <v>🟢</v>
      </c>
      <c r="P398" s="28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9"/>
      <c r="CC398" s="9"/>
      <c r="CD398" s="9"/>
      <c r="CE398" s="9"/>
      <c r="CF398" s="9"/>
      <c r="CG398" s="9"/>
    </row>
    <row r="399" spans="1:85" s="5" customFormat="1" ht="18" customHeight="1" x14ac:dyDescent="0.3">
      <c r="A399" s="23">
        <f t="shared" si="30"/>
        <v>398</v>
      </c>
      <c r="B399" s="23">
        <f t="shared" si="31"/>
        <v>398</v>
      </c>
      <c r="C399" s="37" t="s">
        <v>1752</v>
      </c>
      <c r="D399" s="37"/>
      <c r="E399" s="38" t="str">
        <f t="shared" si="32"/>
        <v>LATERAL VIP</v>
      </c>
      <c r="F399" s="26" t="s">
        <v>1781</v>
      </c>
      <c r="G399" s="37" t="s">
        <v>153</v>
      </c>
      <c r="H399" s="37" t="s">
        <v>1782</v>
      </c>
      <c r="I399" s="37" t="s">
        <v>1783</v>
      </c>
      <c r="J399" s="13" t="s">
        <v>22</v>
      </c>
      <c r="K399" s="37" t="s">
        <v>1784</v>
      </c>
      <c r="L399" s="26"/>
      <c r="M399" s="27" t="s">
        <v>659</v>
      </c>
      <c r="N399" s="27" t="str">
        <f t="shared" si="33"/>
        <v>NO</v>
      </c>
      <c r="O399" s="27" t="str">
        <f t="shared" si="34"/>
        <v>🟢</v>
      </c>
      <c r="P399" s="28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  <c r="BX399" s="22"/>
      <c r="BY399" s="22"/>
      <c r="BZ399" s="22"/>
      <c r="CA399" s="22"/>
      <c r="CB399" s="22"/>
      <c r="CC399" s="22"/>
      <c r="CD399" s="22"/>
      <c r="CE399" s="22"/>
      <c r="CF399" s="22"/>
      <c r="CG399" s="22"/>
    </row>
    <row r="400" spans="1:85" ht="18" customHeight="1" x14ac:dyDescent="0.3">
      <c r="A400" s="23">
        <f t="shared" si="30"/>
        <v>399</v>
      </c>
      <c r="B400" s="23">
        <f t="shared" si="31"/>
        <v>399</v>
      </c>
      <c r="C400" s="39" t="s">
        <v>1785</v>
      </c>
      <c r="D400" s="39" t="s">
        <v>46</v>
      </c>
      <c r="E400" s="40" t="str">
        <f t="shared" si="32"/>
        <v>VIP</v>
      </c>
      <c r="F400" s="26" t="s">
        <v>1786</v>
      </c>
      <c r="G400" s="39" t="s">
        <v>1787</v>
      </c>
      <c r="H400" s="39" t="s">
        <v>1788</v>
      </c>
      <c r="I400" s="39"/>
      <c r="J400" s="13" t="s">
        <v>22</v>
      </c>
      <c r="K400" s="39" t="s">
        <v>1789</v>
      </c>
      <c r="L400" s="26"/>
      <c r="M400" s="27" t="s">
        <v>24</v>
      </c>
      <c r="N400" s="27" t="str">
        <f t="shared" si="33"/>
        <v>SI</v>
      </c>
      <c r="O400" s="27" t="str">
        <f t="shared" si="34"/>
        <v>🟢</v>
      </c>
      <c r="P400" s="28" t="s">
        <v>205</v>
      </c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9"/>
      <c r="CC400" s="9"/>
      <c r="CD400" s="9"/>
      <c r="CE400" s="9"/>
      <c r="CF400" s="9"/>
      <c r="CG400" s="9"/>
    </row>
    <row r="401" spans="1:85" ht="18" customHeight="1" x14ac:dyDescent="0.3">
      <c r="A401" s="23">
        <f t="shared" si="30"/>
        <v>400</v>
      </c>
      <c r="B401" s="23">
        <f t="shared" si="31"/>
        <v>400</v>
      </c>
      <c r="C401" s="26" t="s">
        <v>1785</v>
      </c>
      <c r="D401" s="26" t="s">
        <v>95</v>
      </c>
      <c r="E401" s="27" t="str">
        <f t="shared" si="32"/>
        <v>VIP</v>
      </c>
      <c r="F401" s="26" t="s">
        <v>1790</v>
      </c>
      <c r="G401" s="26" t="s">
        <v>996</v>
      </c>
      <c r="H401" s="26" t="s">
        <v>1430</v>
      </c>
      <c r="I401" s="26"/>
      <c r="J401" s="19" t="s">
        <v>57</v>
      </c>
      <c r="K401" s="26" t="s">
        <v>1791</v>
      </c>
      <c r="L401" s="26"/>
      <c r="M401" s="27" t="s">
        <v>24</v>
      </c>
      <c r="N401" s="27" t="str">
        <f t="shared" si="33"/>
        <v>NO</v>
      </c>
      <c r="O401" s="27" t="str">
        <f t="shared" si="34"/>
        <v>🟡</v>
      </c>
      <c r="P401" s="28" t="s">
        <v>1156</v>
      </c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9"/>
      <c r="CC401" s="9"/>
      <c r="CD401" s="9"/>
      <c r="CE401" s="9"/>
      <c r="CF401" s="9"/>
      <c r="CG401" s="9"/>
    </row>
    <row r="402" spans="1:85" ht="18" customHeight="1" x14ac:dyDescent="0.3">
      <c r="A402" s="23">
        <f t="shared" si="30"/>
        <v>401</v>
      </c>
      <c r="B402" s="23">
        <f t="shared" si="31"/>
        <v>401</v>
      </c>
      <c r="C402" s="39" t="s">
        <v>1785</v>
      </c>
      <c r="D402" s="39"/>
      <c r="E402" s="40" t="str">
        <f t="shared" si="32"/>
        <v>VIP</v>
      </c>
      <c r="F402" s="26" t="s">
        <v>1792</v>
      </c>
      <c r="G402" s="39" t="s">
        <v>328</v>
      </c>
      <c r="H402" s="39" t="s">
        <v>1793</v>
      </c>
      <c r="I402" s="39" t="s">
        <v>1794</v>
      </c>
      <c r="J402" s="19" t="s">
        <v>22</v>
      </c>
      <c r="K402" s="39" t="s">
        <v>1795</v>
      </c>
      <c r="L402" s="26"/>
      <c r="M402" s="27" t="s">
        <v>24</v>
      </c>
      <c r="N402" s="27" t="str">
        <f t="shared" si="33"/>
        <v>SI</v>
      </c>
      <c r="O402" s="27" t="str">
        <f t="shared" si="34"/>
        <v>🟢</v>
      </c>
      <c r="P402" s="28" t="s">
        <v>223</v>
      </c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9"/>
      <c r="CC402" s="9"/>
      <c r="CD402" s="9"/>
      <c r="CE402" s="9"/>
      <c r="CF402" s="9"/>
      <c r="CG402" s="9"/>
    </row>
    <row r="403" spans="1:85" ht="18" customHeight="1" x14ac:dyDescent="0.3">
      <c r="A403" s="23">
        <f t="shared" si="30"/>
        <v>402</v>
      </c>
      <c r="B403" s="23">
        <f t="shared" si="31"/>
        <v>402</v>
      </c>
      <c r="C403" s="39" t="s">
        <v>1785</v>
      </c>
      <c r="D403" s="39" t="s">
        <v>95</v>
      </c>
      <c r="E403" s="40" t="str">
        <f t="shared" si="32"/>
        <v>VIP</v>
      </c>
      <c r="F403" s="26" t="s">
        <v>1796</v>
      </c>
      <c r="G403" s="39" t="s">
        <v>35</v>
      </c>
      <c r="H403" s="39" t="s">
        <v>371</v>
      </c>
      <c r="I403" s="39"/>
      <c r="J403" s="19" t="s">
        <v>22</v>
      </c>
      <c r="K403" s="39" t="s">
        <v>1797</v>
      </c>
      <c r="L403" s="26"/>
      <c r="M403" s="27" t="s">
        <v>24</v>
      </c>
      <c r="N403" s="27" t="str">
        <f t="shared" si="33"/>
        <v>SI</v>
      </c>
      <c r="O403" s="27" t="str">
        <f t="shared" si="34"/>
        <v>🟢</v>
      </c>
      <c r="P403" s="28" t="s">
        <v>257</v>
      </c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9"/>
      <c r="CC403" s="9"/>
      <c r="CD403" s="9"/>
      <c r="CE403" s="9"/>
      <c r="CF403" s="9"/>
      <c r="CG403" s="9"/>
    </row>
    <row r="404" spans="1:85" ht="18" customHeight="1" x14ac:dyDescent="0.3">
      <c r="A404" s="23">
        <f t="shared" si="30"/>
        <v>403</v>
      </c>
      <c r="B404" s="23">
        <f t="shared" si="31"/>
        <v>403</v>
      </c>
      <c r="C404" s="39" t="s">
        <v>1785</v>
      </c>
      <c r="D404" s="39" t="s">
        <v>95</v>
      </c>
      <c r="E404" s="40" t="str">
        <f t="shared" si="32"/>
        <v>LATERAL</v>
      </c>
      <c r="F404" s="26" t="s">
        <v>1798</v>
      </c>
      <c r="G404" s="39" t="s">
        <v>443</v>
      </c>
      <c r="H404" s="39" t="s">
        <v>1799</v>
      </c>
      <c r="I404" s="39"/>
      <c r="J404" s="19" t="s">
        <v>22</v>
      </c>
      <c r="K404" s="39" t="s">
        <v>1800</v>
      </c>
      <c r="L404" s="26"/>
      <c r="M404" s="27" t="s">
        <v>1261</v>
      </c>
      <c r="N404" s="27" t="str">
        <f t="shared" si="33"/>
        <v>NO</v>
      </c>
      <c r="O404" s="27" t="str">
        <f t="shared" si="34"/>
        <v>🟢</v>
      </c>
      <c r="P404" s="28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9"/>
      <c r="CC404" s="9"/>
      <c r="CD404" s="9"/>
      <c r="CE404" s="9"/>
      <c r="CF404" s="9"/>
      <c r="CG404" s="9"/>
    </row>
    <row r="405" spans="1:85" ht="18" customHeight="1" x14ac:dyDescent="0.3">
      <c r="A405" s="23">
        <f t="shared" si="30"/>
        <v>404</v>
      </c>
      <c r="B405" s="23">
        <f t="shared" si="31"/>
        <v>404</v>
      </c>
      <c r="C405" s="39" t="s">
        <v>1785</v>
      </c>
      <c r="D405" s="39"/>
      <c r="E405" s="40" t="str">
        <f t="shared" si="32"/>
        <v>LATERAL</v>
      </c>
      <c r="F405" s="26" t="s">
        <v>1801</v>
      </c>
      <c r="G405" s="39" t="s">
        <v>1802</v>
      </c>
      <c r="H405" s="39" t="s">
        <v>1803</v>
      </c>
      <c r="I405" s="39"/>
      <c r="J405" s="19" t="s">
        <v>22</v>
      </c>
      <c r="K405" s="39" t="s">
        <v>1804</v>
      </c>
      <c r="L405" s="26"/>
      <c r="M405" s="27" t="s">
        <v>1261</v>
      </c>
      <c r="N405" s="27" t="str">
        <f t="shared" si="33"/>
        <v>NO</v>
      </c>
      <c r="O405" s="27" t="str">
        <f t="shared" si="34"/>
        <v>🟢</v>
      </c>
      <c r="P405" s="28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9"/>
      <c r="CC405" s="9"/>
      <c r="CD405" s="9"/>
      <c r="CE405" s="9"/>
      <c r="CF405" s="9"/>
      <c r="CG405" s="9"/>
    </row>
    <row r="406" spans="1:85" ht="18" customHeight="1" x14ac:dyDescent="0.3">
      <c r="A406" s="23">
        <f t="shared" si="30"/>
        <v>405</v>
      </c>
      <c r="B406" s="23" t="str">
        <f t="shared" si="31"/>
        <v/>
      </c>
      <c r="C406" s="39" t="s">
        <v>1785</v>
      </c>
      <c r="D406" s="39"/>
      <c r="E406" s="40" t="s">
        <v>659</v>
      </c>
      <c r="F406" s="26"/>
      <c r="G406" s="39" t="s">
        <v>68</v>
      </c>
      <c r="H406" s="39" t="s">
        <v>1126</v>
      </c>
      <c r="I406" s="39" t="s">
        <v>1669</v>
      </c>
      <c r="J406" s="19" t="s">
        <v>22</v>
      </c>
      <c r="K406" s="39" t="s">
        <v>1805</v>
      </c>
      <c r="L406" s="26"/>
      <c r="M406" s="27"/>
      <c r="N406" s="27" t="str">
        <f t="shared" si="33"/>
        <v>NO</v>
      </c>
      <c r="O406" s="27" t="str">
        <f t="shared" si="34"/>
        <v>🟢</v>
      </c>
      <c r="P406" s="28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9"/>
      <c r="CC406" s="9"/>
      <c r="CD406" s="9"/>
      <c r="CE406" s="9"/>
      <c r="CF406" s="9"/>
      <c r="CG406" s="9"/>
    </row>
    <row r="407" spans="1:85" ht="18" customHeight="1" x14ac:dyDescent="0.3">
      <c r="A407" s="23">
        <f t="shared" si="30"/>
        <v>406</v>
      </c>
      <c r="B407" s="23">
        <f t="shared" si="31"/>
        <v>406</v>
      </c>
      <c r="C407" s="26" t="s">
        <v>1785</v>
      </c>
      <c r="D407" s="26" t="s">
        <v>886</v>
      </c>
      <c r="E407" s="27" t="str">
        <f t="shared" si="32"/>
        <v/>
      </c>
      <c r="F407" s="26" t="s">
        <v>1806</v>
      </c>
      <c r="G407" s="26" t="s">
        <v>519</v>
      </c>
      <c r="H407" s="26" t="s">
        <v>1807</v>
      </c>
      <c r="I407" s="26" t="s">
        <v>1808</v>
      </c>
      <c r="J407" s="20" t="s">
        <v>71</v>
      </c>
      <c r="K407" s="26" t="s">
        <v>1809</v>
      </c>
      <c r="L407" s="26"/>
      <c r="M407" s="27"/>
      <c r="N407" s="27" t="str">
        <f t="shared" si="33"/>
        <v>NO</v>
      </c>
      <c r="O407" s="27" t="str">
        <f t="shared" si="34"/>
        <v>🔴</v>
      </c>
      <c r="P407" s="28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9"/>
      <c r="CC407" s="9"/>
      <c r="CD407" s="9"/>
      <c r="CE407" s="9"/>
      <c r="CF407" s="9"/>
      <c r="CG407" s="9"/>
    </row>
    <row r="408" spans="1:85" ht="18" customHeight="1" x14ac:dyDescent="0.3">
      <c r="A408" s="23">
        <f t="shared" si="30"/>
        <v>407</v>
      </c>
      <c r="B408" s="23">
        <f t="shared" si="31"/>
        <v>407</v>
      </c>
      <c r="C408" s="26" t="s">
        <v>1785</v>
      </c>
      <c r="D408" s="26" t="s">
        <v>886</v>
      </c>
      <c r="E408" s="27" t="str">
        <f t="shared" si="32"/>
        <v>LATERAL VIP</v>
      </c>
      <c r="F408" s="26" t="s">
        <v>1810</v>
      </c>
      <c r="G408" s="26" t="s">
        <v>1811</v>
      </c>
      <c r="H408" s="26" t="s">
        <v>145</v>
      </c>
      <c r="I408" s="26" t="s">
        <v>1656</v>
      </c>
      <c r="J408" s="13" t="s">
        <v>22</v>
      </c>
      <c r="K408" s="26" t="s">
        <v>1812</v>
      </c>
      <c r="L408" s="26"/>
      <c r="M408" s="27" t="s">
        <v>659</v>
      </c>
      <c r="N408" s="27" t="str">
        <f t="shared" si="33"/>
        <v>NO</v>
      </c>
      <c r="O408" s="27" t="str">
        <f t="shared" si="34"/>
        <v>🟢</v>
      </c>
      <c r="P408" s="28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9"/>
      <c r="CC408" s="9"/>
      <c r="CD408" s="9"/>
      <c r="CE408" s="9"/>
      <c r="CF408" s="9"/>
      <c r="CG408" s="9"/>
    </row>
    <row r="409" spans="1:85" ht="18" customHeight="1" x14ac:dyDescent="0.3">
      <c r="A409" s="23">
        <f t="shared" si="30"/>
        <v>408</v>
      </c>
      <c r="B409" s="23">
        <f t="shared" si="31"/>
        <v>408</v>
      </c>
      <c r="C409" s="26" t="s">
        <v>1785</v>
      </c>
      <c r="D409" s="26" t="s">
        <v>886</v>
      </c>
      <c r="E409" s="27" t="str">
        <f t="shared" si="32"/>
        <v>LATERAL VIP</v>
      </c>
      <c r="F409" s="26" t="s">
        <v>1813</v>
      </c>
      <c r="G409" s="26" t="s">
        <v>311</v>
      </c>
      <c r="H409" s="26" t="s">
        <v>87</v>
      </c>
      <c r="I409" s="26" t="s">
        <v>1814</v>
      </c>
      <c r="J409" s="13" t="s">
        <v>22</v>
      </c>
      <c r="K409" s="26" t="s">
        <v>1815</v>
      </c>
      <c r="L409" s="26"/>
      <c r="M409" s="27" t="s">
        <v>659</v>
      </c>
      <c r="N409" s="27" t="str">
        <f t="shared" si="33"/>
        <v>NO</v>
      </c>
      <c r="O409" s="27" t="str">
        <f t="shared" si="34"/>
        <v>🟢</v>
      </c>
      <c r="P409" s="28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9"/>
      <c r="CC409" s="9"/>
      <c r="CD409" s="9"/>
      <c r="CE409" s="9"/>
      <c r="CF409" s="9"/>
      <c r="CG409" s="9"/>
    </row>
    <row r="410" spans="1:85" ht="18" customHeight="1" x14ac:dyDescent="0.3">
      <c r="A410" s="23">
        <f t="shared" si="30"/>
        <v>409</v>
      </c>
      <c r="B410" s="23">
        <f t="shared" si="31"/>
        <v>409</v>
      </c>
      <c r="C410" s="26" t="s">
        <v>1785</v>
      </c>
      <c r="D410" s="26" t="s">
        <v>886</v>
      </c>
      <c r="E410" s="27" t="str">
        <f t="shared" si="32"/>
        <v>LATERAL VIP</v>
      </c>
      <c r="F410" s="26" t="s">
        <v>1816</v>
      </c>
      <c r="G410" s="26" t="s">
        <v>1817</v>
      </c>
      <c r="H410" s="26" t="s">
        <v>1818</v>
      </c>
      <c r="I410" s="26" t="s">
        <v>611</v>
      </c>
      <c r="J410" s="13" t="s">
        <v>22</v>
      </c>
      <c r="K410" s="26" t="s">
        <v>1819</v>
      </c>
      <c r="L410" s="26"/>
      <c r="M410" s="27" t="s">
        <v>659</v>
      </c>
      <c r="N410" s="27" t="str">
        <f t="shared" si="33"/>
        <v>NO</v>
      </c>
      <c r="O410" s="27" t="str">
        <f t="shared" si="34"/>
        <v>🟢</v>
      </c>
      <c r="P410" s="28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9"/>
      <c r="CC410" s="9"/>
      <c r="CD410" s="9"/>
      <c r="CE410" s="9"/>
      <c r="CF410" s="9"/>
      <c r="CG410" s="9"/>
    </row>
    <row r="411" spans="1:85" ht="18" customHeight="1" x14ac:dyDescent="0.3">
      <c r="A411" s="23">
        <f t="shared" si="30"/>
        <v>410</v>
      </c>
      <c r="B411" s="23">
        <f t="shared" si="31"/>
        <v>410</v>
      </c>
      <c r="C411" s="39" t="s">
        <v>1785</v>
      </c>
      <c r="D411" s="39" t="s">
        <v>886</v>
      </c>
      <c r="E411" s="40" t="str">
        <f t="shared" si="32"/>
        <v/>
      </c>
      <c r="F411" s="26" t="s">
        <v>1820</v>
      </c>
      <c r="G411" s="39" t="s">
        <v>35</v>
      </c>
      <c r="H411" s="39" t="s">
        <v>1821</v>
      </c>
      <c r="I411" s="39" t="s">
        <v>1822</v>
      </c>
      <c r="J411" s="20" t="s">
        <v>71</v>
      </c>
      <c r="K411" s="39" t="s">
        <v>1823</v>
      </c>
      <c r="L411" s="26"/>
      <c r="M411" s="27" t="s">
        <v>1261</v>
      </c>
      <c r="N411" s="27" t="str">
        <f t="shared" si="33"/>
        <v>NO</v>
      </c>
      <c r="O411" s="27" t="str">
        <f t="shared" si="34"/>
        <v>🔴</v>
      </c>
      <c r="P411" s="28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9"/>
      <c r="CC411" s="9"/>
      <c r="CD411" s="9"/>
      <c r="CE411" s="9"/>
      <c r="CF411" s="9"/>
      <c r="CG411" s="9"/>
    </row>
    <row r="412" spans="1:85" ht="18" customHeight="1" x14ac:dyDescent="0.3">
      <c r="A412" s="23">
        <f t="shared" si="30"/>
        <v>411</v>
      </c>
      <c r="B412" s="23">
        <f t="shared" si="31"/>
        <v>411</v>
      </c>
      <c r="C412" s="39" t="s">
        <v>1785</v>
      </c>
      <c r="D412" s="39" t="s">
        <v>886</v>
      </c>
      <c r="E412" s="40" t="str">
        <f t="shared" si="32"/>
        <v/>
      </c>
      <c r="F412" s="26" t="s">
        <v>1824</v>
      </c>
      <c r="G412" s="39" t="s">
        <v>977</v>
      </c>
      <c r="H412" s="39" t="s">
        <v>1825</v>
      </c>
      <c r="I412" s="39" t="s">
        <v>1826</v>
      </c>
      <c r="J412" s="20" t="s">
        <v>71</v>
      </c>
      <c r="K412" s="39" t="s">
        <v>1827</v>
      </c>
      <c r="L412" s="26"/>
      <c r="M412" s="27" t="s">
        <v>1261</v>
      </c>
      <c r="N412" s="27" t="str">
        <f t="shared" si="33"/>
        <v>NO</v>
      </c>
      <c r="O412" s="27" t="str">
        <f t="shared" si="34"/>
        <v>🔴</v>
      </c>
      <c r="P412" s="28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9"/>
      <c r="CC412" s="9"/>
      <c r="CD412" s="9"/>
      <c r="CE412" s="9"/>
      <c r="CF412" s="9"/>
      <c r="CG412" s="9"/>
    </row>
    <row r="413" spans="1:85" ht="18" customHeight="1" x14ac:dyDescent="0.3">
      <c r="A413" s="23">
        <f t="shared" si="30"/>
        <v>412</v>
      </c>
      <c r="B413" s="23">
        <f t="shared" si="31"/>
        <v>412</v>
      </c>
      <c r="C413" s="26" t="s">
        <v>1785</v>
      </c>
      <c r="D413" s="26" t="s">
        <v>886</v>
      </c>
      <c r="E413" s="27" t="str">
        <f t="shared" si="32"/>
        <v>LATERAL VIP</v>
      </c>
      <c r="F413" s="26" t="s">
        <v>1828</v>
      </c>
      <c r="G413" s="26" t="s">
        <v>1829</v>
      </c>
      <c r="H413" s="26" t="s">
        <v>1830</v>
      </c>
      <c r="I413" s="26" t="s">
        <v>1831</v>
      </c>
      <c r="J413" s="13" t="s">
        <v>22</v>
      </c>
      <c r="K413" s="26" t="s">
        <v>1832</v>
      </c>
      <c r="L413" s="26"/>
      <c r="M413" s="27" t="s">
        <v>659</v>
      </c>
      <c r="N413" s="27" t="str">
        <f t="shared" si="33"/>
        <v>NO</v>
      </c>
      <c r="O413" s="27" t="str">
        <f t="shared" si="34"/>
        <v>🟢</v>
      </c>
      <c r="P413" s="28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9"/>
      <c r="CC413" s="9"/>
      <c r="CD413" s="9"/>
      <c r="CE413" s="9"/>
      <c r="CF413" s="9"/>
      <c r="CG413" s="9"/>
    </row>
    <row r="414" spans="1:85" ht="18" customHeight="1" x14ac:dyDescent="0.3">
      <c r="A414" s="23">
        <f t="shared" si="30"/>
        <v>413</v>
      </c>
      <c r="B414" s="23">
        <f t="shared" si="31"/>
        <v>413</v>
      </c>
      <c r="C414" s="26" t="s">
        <v>1785</v>
      </c>
      <c r="D414" s="26" t="s">
        <v>886</v>
      </c>
      <c r="E414" s="27" t="str">
        <f t="shared" si="32"/>
        <v>LATERAL VIP</v>
      </c>
      <c r="F414" s="26" t="s">
        <v>1833</v>
      </c>
      <c r="G414" s="26" t="s">
        <v>473</v>
      </c>
      <c r="H414" s="26" t="s">
        <v>1834</v>
      </c>
      <c r="I414" s="26" t="s">
        <v>349</v>
      </c>
      <c r="J414" s="13" t="s">
        <v>22</v>
      </c>
      <c r="K414" s="26" t="s">
        <v>1835</v>
      </c>
      <c r="L414" s="26"/>
      <c r="M414" s="27" t="s">
        <v>659</v>
      </c>
      <c r="N414" s="27" t="str">
        <f t="shared" si="33"/>
        <v>NO</v>
      </c>
      <c r="O414" s="27" t="str">
        <f t="shared" si="34"/>
        <v>🟢</v>
      </c>
      <c r="P414" s="28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9"/>
      <c r="CC414" s="9"/>
      <c r="CD414" s="9"/>
      <c r="CE414" s="9"/>
      <c r="CF414" s="9"/>
      <c r="CG414" s="9"/>
    </row>
    <row r="415" spans="1:85" ht="18" customHeight="1" x14ac:dyDescent="0.3">
      <c r="A415" s="23">
        <f t="shared" si="30"/>
        <v>414</v>
      </c>
      <c r="B415" s="23">
        <f t="shared" si="31"/>
        <v>414</v>
      </c>
      <c r="C415" s="26" t="s">
        <v>1785</v>
      </c>
      <c r="D415" s="26" t="s">
        <v>886</v>
      </c>
      <c r="E415" s="27" t="str">
        <f t="shared" si="32"/>
        <v>LATERAL VIP</v>
      </c>
      <c r="F415" s="26" t="s">
        <v>1836</v>
      </c>
      <c r="G415" s="26" t="s">
        <v>1837</v>
      </c>
      <c r="H415" s="26" t="s">
        <v>1838</v>
      </c>
      <c r="I415" s="26" t="s">
        <v>1158</v>
      </c>
      <c r="J415" s="13" t="s">
        <v>22</v>
      </c>
      <c r="K415" s="26" t="s">
        <v>1839</v>
      </c>
      <c r="L415" s="26"/>
      <c r="M415" s="27" t="s">
        <v>659</v>
      </c>
      <c r="N415" s="27" t="str">
        <f t="shared" si="33"/>
        <v>NO</v>
      </c>
      <c r="O415" s="27" t="str">
        <f t="shared" si="34"/>
        <v>🟢</v>
      </c>
      <c r="P415" s="28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9"/>
      <c r="CC415" s="9"/>
      <c r="CD415" s="9"/>
      <c r="CE415" s="9"/>
      <c r="CF415" s="9"/>
      <c r="CG415" s="9"/>
    </row>
    <row r="416" spans="1:85" ht="18" customHeight="1" x14ac:dyDescent="0.3">
      <c r="A416" s="23">
        <f t="shared" si="30"/>
        <v>415</v>
      </c>
      <c r="B416" s="23">
        <f t="shared" si="31"/>
        <v>415</v>
      </c>
      <c r="C416" s="39" t="s">
        <v>1785</v>
      </c>
      <c r="D416" s="39" t="s">
        <v>886</v>
      </c>
      <c r="E416" s="40" t="str">
        <f t="shared" si="32"/>
        <v/>
      </c>
      <c r="F416" s="26" t="s">
        <v>1840</v>
      </c>
      <c r="G416" s="39" t="s">
        <v>519</v>
      </c>
      <c r="H416" s="39" t="s">
        <v>1841</v>
      </c>
      <c r="I416" s="39" t="s">
        <v>1842</v>
      </c>
      <c r="J416" s="20" t="s">
        <v>71</v>
      </c>
      <c r="K416" s="39" t="s">
        <v>1843</v>
      </c>
      <c r="L416" s="26"/>
      <c r="M416" s="27" t="s">
        <v>1261</v>
      </c>
      <c r="N416" s="27" t="str">
        <f t="shared" si="33"/>
        <v>NO</v>
      </c>
      <c r="O416" s="27" t="str">
        <f t="shared" si="34"/>
        <v>🔴</v>
      </c>
      <c r="P416" s="28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9"/>
      <c r="CC416" s="9"/>
      <c r="CD416" s="9"/>
      <c r="CE416" s="9"/>
      <c r="CF416" s="9"/>
      <c r="CG416" s="9"/>
    </row>
    <row r="417" spans="1:85" ht="18" customHeight="1" x14ac:dyDescent="0.3">
      <c r="A417" s="23">
        <f t="shared" si="30"/>
        <v>416</v>
      </c>
      <c r="B417" s="23">
        <f t="shared" si="31"/>
        <v>416</v>
      </c>
      <c r="C417" s="39" t="s">
        <v>1785</v>
      </c>
      <c r="D417" s="39" t="s">
        <v>886</v>
      </c>
      <c r="E417" s="40" t="str">
        <f t="shared" si="32"/>
        <v/>
      </c>
      <c r="F417" s="26" t="s">
        <v>1844</v>
      </c>
      <c r="G417" s="39" t="s">
        <v>1845</v>
      </c>
      <c r="H417" s="39" t="s">
        <v>1846</v>
      </c>
      <c r="I417" s="39" t="s">
        <v>1847</v>
      </c>
      <c r="J417" s="20" t="s">
        <v>71</v>
      </c>
      <c r="K417" s="39" t="s">
        <v>1848</v>
      </c>
      <c r="L417" s="26"/>
      <c r="M417" s="27"/>
      <c r="N417" s="27" t="str">
        <f t="shared" si="33"/>
        <v>NO</v>
      </c>
      <c r="O417" s="27" t="str">
        <f t="shared" si="34"/>
        <v>🔴</v>
      </c>
      <c r="P417" s="28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9"/>
      <c r="CC417" s="9"/>
      <c r="CD417" s="9"/>
      <c r="CE417" s="9"/>
      <c r="CF417" s="9"/>
      <c r="CG417" s="9"/>
    </row>
    <row r="418" spans="1:85" ht="18" customHeight="1" x14ac:dyDescent="0.3">
      <c r="A418" s="23">
        <f t="shared" si="30"/>
        <v>417</v>
      </c>
      <c r="B418" s="23">
        <f t="shared" si="31"/>
        <v>417</v>
      </c>
      <c r="C418" s="39" t="s">
        <v>1785</v>
      </c>
      <c r="D418" s="39" t="s">
        <v>886</v>
      </c>
      <c r="E418" s="40" t="str">
        <f t="shared" si="32"/>
        <v>VIP</v>
      </c>
      <c r="F418" s="26" t="s">
        <v>1849</v>
      </c>
      <c r="G418" s="39" t="s">
        <v>1398</v>
      </c>
      <c r="H418" s="39" t="s">
        <v>1850</v>
      </c>
      <c r="I418" s="39" t="s">
        <v>361</v>
      </c>
      <c r="J418" s="19" t="s">
        <v>57</v>
      </c>
      <c r="K418" s="39" t="s">
        <v>1851</v>
      </c>
      <c r="L418" s="26"/>
      <c r="M418" s="27" t="s">
        <v>24</v>
      </c>
      <c r="N418" s="27" t="str">
        <f t="shared" si="33"/>
        <v>NO</v>
      </c>
      <c r="O418" s="27" t="str">
        <f t="shared" si="34"/>
        <v>🟡</v>
      </c>
      <c r="P418" s="28" t="s">
        <v>1156</v>
      </c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9"/>
      <c r="CC418" s="9"/>
      <c r="CD418" s="9"/>
      <c r="CE418" s="9"/>
      <c r="CF418" s="9"/>
      <c r="CG418" s="9"/>
    </row>
    <row r="419" spans="1:85" ht="18" customHeight="1" x14ac:dyDescent="0.3">
      <c r="A419" s="23">
        <f t="shared" si="30"/>
        <v>418</v>
      </c>
      <c r="B419" s="23">
        <f t="shared" si="31"/>
        <v>418</v>
      </c>
      <c r="C419" s="26" t="s">
        <v>1785</v>
      </c>
      <c r="D419" s="26" t="s">
        <v>886</v>
      </c>
      <c r="E419" s="27" t="str">
        <f t="shared" si="32"/>
        <v/>
      </c>
      <c r="F419" s="26" t="s">
        <v>1852</v>
      </c>
      <c r="G419" s="26" t="s">
        <v>328</v>
      </c>
      <c r="H419" s="26" t="s">
        <v>1853</v>
      </c>
      <c r="I419" s="26" t="s">
        <v>349</v>
      </c>
      <c r="J419" s="20" t="s">
        <v>71</v>
      </c>
      <c r="K419" s="26" t="s">
        <v>1854</v>
      </c>
      <c r="L419" s="26"/>
      <c r="M419" s="27" t="s">
        <v>1261</v>
      </c>
      <c r="N419" s="27" t="str">
        <f t="shared" si="33"/>
        <v>NO</v>
      </c>
      <c r="O419" s="27" t="str">
        <f t="shared" si="34"/>
        <v>🔴</v>
      </c>
      <c r="P419" s="28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9"/>
      <c r="CC419" s="9"/>
      <c r="CD419" s="9"/>
      <c r="CE419" s="9"/>
      <c r="CF419" s="9"/>
      <c r="CG419" s="9"/>
    </row>
    <row r="420" spans="1:85" ht="18" customHeight="1" x14ac:dyDescent="0.3">
      <c r="A420" s="23">
        <f t="shared" si="30"/>
        <v>419</v>
      </c>
      <c r="B420" s="23">
        <f t="shared" si="31"/>
        <v>419</v>
      </c>
      <c r="C420" s="26" t="s">
        <v>1785</v>
      </c>
      <c r="D420" s="26" t="s">
        <v>886</v>
      </c>
      <c r="E420" s="27" t="str">
        <f t="shared" si="32"/>
        <v/>
      </c>
      <c r="F420" s="26" t="s">
        <v>1855</v>
      </c>
      <c r="G420" s="26" t="s">
        <v>533</v>
      </c>
      <c r="H420" s="26" t="s">
        <v>1856</v>
      </c>
      <c r="I420" s="26" t="s">
        <v>1857</v>
      </c>
      <c r="J420" s="20" t="s">
        <v>71</v>
      </c>
      <c r="K420" s="26" t="s">
        <v>1858</v>
      </c>
      <c r="L420" s="26"/>
      <c r="M420" s="27"/>
      <c r="N420" s="27" t="str">
        <f t="shared" si="33"/>
        <v>NO</v>
      </c>
      <c r="O420" s="27" t="str">
        <f t="shared" si="34"/>
        <v>🔴</v>
      </c>
      <c r="P420" s="28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</row>
    <row r="421" spans="1:85" ht="18" customHeight="1" x14ac:dyDescent="0.3">
      <c r="A421" s="23">
        <f t="shared" si="30"/>
        <v>420</v>
      </c>
      <c r="B421" s="23">
        <f t="shared" si="31"/>
        <v>420</v>
      </c>
      <c r="C421" s="39" t="s">
        <v>1785</v>
      </c>
      <c r="D421" s="39" t="s">
        <v>886</v>
      </c>
      <c r="E421" s="40" t="str">
        <f t="shared" si="32"/>
        <v/>
      </c>
      <c r="F421" s="26" t="s">
        <v>1859</v>
      </c>
      <c r="G421" s="39" t="s">
        <v>783</v>
      </c>
      <c r="H421" s="39" t="s">
        <v>1860</v>
      </c>
      <c r="I421" s="39" t="s">
        <v>1227</v>
      </c>
      <c r="J421" s="20" t="s">
        <v>71</v>
      </c>
      <c r="K421" s="39" t="s">
        <v>1861</v>
      </c>
      <c r="L421" s="26"/>
      <c r="M421" s="27" t="s">
        <v>24</v>
      </c>
      <c r="N421" s="27" t="str">
        <f t="shared" si="33"/>
        <v>NO</v>
      </c>
      <c r="O421" s="27" t="str">
        <f t="shared" si="34"/>
        <v>🔴</v>
      </c>
      <c r="P421" s="28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9"/>
      <c r="CC421" s="9"/>
      <c r="CD421" s="9"/>
      <c r="CE421" s="9"/>
      <c r="CF421" s="9"/>
      <c r="CG421" s="9"/>
    </row>
    <row r="422" spans="1:85" ht="18" customHeight="1" x14ac:dyDescent="0.3">
      <c r="A422" s="23">
        <f t="shared" si="30"/>
        <v>421</v>
      </c>
      <c r="B422" s="23">
        <f t="shared" si="31"/>
        <v>421</v>
      </c>
      <c r="C422" s="39" t="s">
        <v>1785</v>
      </c>
      <c r="D422" s="39" t="s">
        <v>886</v>
      </c>
      <c r="E422" s="40" t="str">
        <f t="shared" si="32"/>
        <v/>
      </c>
      <c r="F422" s="26" t="s">
        <v>1862</v>
      </c>
      <c r="G422" s="39" t="s">
        <v>533</v>
      </c>
      <c r="H422" s="39" t="s">
        <v>524</v>
      </c>
      <c r="I422" s="39" t="s">
        <v>1863</v>
      </c>
      <c r="J422" s="20" t="s">
        <v>71</v>
      </c>
      <c r="K422" s="39" t="s">
        <v>1864</v>
      </c>
      <c r="L422" s="26"/>
      <c r="M422" s="27"/>
      <c r="N422" s="27" t="str">
        <f t="shared" si="33"/>
        <v>NO</v>
      </c>
      <c r="O422" s="27" t="str">
        <f t="shared" si="34"/>
        <v>🔴</v>
      </c>
      <c r="P422" s="28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9"/>
      <c r="CC422" s="9"/>
      <c r="CD422" s="9"/>
      <c r="CE422" s="9"/>
      <c r="CF422" s="9"/>
      <c r="CG422" s="9"/>
    </row>
    <row r="423" spans="1:85" ht="18" customHeight="1" x14ac:dyDescent="0.3">
      <c r="A423" s="23">
        <f t="shared" si="30"/>
        <v>422</v>
      </c>
      <c r="B423" s="23">
        <f t="shared" si="31"/>
        <v>422</v>
      </c>
      <c r="C423" s="26" t="s">
        <v>1785</v>
      </c>
      <c r="D423" s="26" t="s">
        <v>886</v>
      </c>
      <c r="E423" s="27" t="str">
        <f t="shared" si="32"/>
        <v>LATERAL VIP</v>
      </c>
      <c r="F423" s="26" t="s">
        <v>1865</v>
      </c>
      <c r="G423" s="26" t="s">
        <v>1372</v>
      </c>
      <c r="H423" s="26" t="s">
        <v>1866</v>
      </c>
      <c r="I423" s="26" t="s">
        <v>1866</v>
      </c>
      <c r="J423" s="13" t="s">
        <v>22</v>
      </c>
      <c r="K423" s="26" t="s">
        <v>1867</v>
      </c>
      <c r="L423" s="26"/>
      <c r="M423" s="27" t="s">
        <v>659</v>
      </c>
      <c r="N423" s="27" t="str">
        <f t="shared" si="33"/>
        <v>NO</v>
      </c>
      <c r="O423" s="27" t="str">
        <f t="shared" si="34"/>
        <v>🟢</v>
      </c>
      <c r="P423" s="28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9"/>
      <c r="CC423" s="9"/>
      <c r="CD423" s="9"/>
      <c r="CE423" s="9"/>
      <c r="CF423" s="9"/>
      <c r="CG423" s="9"/>
    </row>
    <row r="424" spans="1:85" ht="18" customHeight="1" x14ac:dyDescent="0.3">
      <c r="A424" s="23">
        <f t="shared" si="30"/>
        <v>423</v>
      </c>
      <c r="B424" s="23">
        <f t="shared" si="31"/>
        <v>423</v>
      </c>
      <c r="C424" s="26" t="s">
        <v>1785</v>
      </c>
      <c r="D424" s="26" t="s">
        <v>886</v>
      </c>
      <c r="E424" s="27" t="str">
        <f t="shared" si="32"/>
        <v/>
      </c>
      <c r="F424" s="26" t="s">
        <v>1868</v>
      </c>
      <c r="G424" s="26" t="s">
        <v>303</v>
      </c>
      <c r="H424" s="26" t="s">
        <v>1869</v>
      </c>
      <c r="I424" s="26" t="s">
        <v>1870</v>
      </c>
      <c r="J424" s="20" t="s">
        <v>71</v>
      </c>
      <c r="K424" s="26" t="s">
        <v>1871</v>
      </c>
      <c r="L424" s="26"/>
      <c r="M424" s="27" t="s">
        <v>1261</v>
      </c>
      <c r="N424" s="27" t="str">
        <f t="shared" si="33"/>
        <v>NO</v>
      </c>
      <c r="O424" s="27" t="str">
        <f t="shared" si="34"/>
        <v>🔴</v>
      </c>
      <c r="P424" s="28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9"/>
      <c r="CC424" s="9"/>
      <c r="CD424" s="9"/>
      <c r="CE424" s="9"/>
      <c r="CF424" s="9"/>
      <c r="CG424" s="9"/>
    </row>
    <row r="425" spans="1:85" ht="18" customHeight="1" x14ac:dyDescent="0.3">
      <c r="A425" s="23">
        <f t="shared" si="30"/>
        <v>424</v>
      </c>
      <c r="B425" s="23">
        <f t="shared" si="31"/>
        <v>424</v>
      </c>
      <c r="C425" s="39" t="s">
        <v>1785</v>
      </c>
      <c r="D425" s="39" t="s">
        <v>1872</v>
      </c>
      <c r="E425" s="40" t="str">
        <f t="shared" si="32"/>
        <v>LATERAL</v>
      </c>
      <c r="F425" s="26" t="s">
        <v>1873</v>
      </c>
      <c r="G425" s="39" t="s">
        <v>537</v>
      </c>
      <c r="H425" s="39" t="s">
        <v>99</v>
      </c>
      <c r="I425" s="39"/>
      <c r="J425" s="19" t="s">
        <v>57</v>
      </c>
      <c r="K425" s="39" t="s">
        <v>1874</v>
      </c>
      <c r="L425" s="26"/>
      <c r="M425" s="27" t="s">
        <v>1261</v>
      </c>
      <c r="N425" s="27" t="str">
        <f t="shared" si="33"/>
        <v>NO</v>
      </c>
      <c r="O425" s="27" t="str">
        <f t="shared" si="34"/>
        <v>🟡</v>
      </c>
      <c r="P425" s="28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9"/>
      <c r="CC425" s="9"/>
      <c r="CD425" s="9"/>
      <c r="CE425" s="9"/>
      <c r="CF425" s="9"/>
      <c r="CG425" s="9"/>
    </row>
    <row r="426" spans="1:85" ht="18" customHeight="1" x14ac:dyDescent="0.3">
      <c r="A426" s="23">
        <f t="shared" si="30"/>
        <v>425</v>
      </c>
      <c r="B426" s="23">
        <f t="shared" si="31"/>
        <v>425</v>
      </c>
      <c r="C426" s="26" t="s">
        <v>1785</v>
      </c>
      <c r="D426" s="26" t="s">
        <v>1872</v>
      </c>
      <c r="E426" s="27" t="str">
        <f t="shared" si="32"/>
        <v>LATERAL</v>
      </c>
      <c r="F426" s="26" t="s">
        <v>1875</v>
      </c>
      <c r="G426" s="26" t="s">
        <v>86</v>
      </c>
      <c r="H426" s="26" t="s">
        <v>691</v>
      </c>
      <c r="I426" s="26"/>
      <c r="J426" s="19" t="s">
        <v>57</v>
      </c>
      <c r="K426" s="26" t="s">
        <v>1876</v>
      </c>
      <c r="L426" s="26"/>
      <c r="M426" s="27" t="s">
        <v>1261</v>
      </c>
      <c r="N426" s="27" t="str">
        <f t="shared" si="33"/>
        <v>NO</v>
      </c>
      <c r="O426" s="27" t="str">
        <f t="shared" si="34"/>
        <v>🟡</v>
      </c>
      <c r="P426" s="28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9"/>
      <c r="CC426" s="9"/>
      <c r="CD426" s="9"/>
      <c r="CE426" s="9"/>
      <c r="CF426" s="9"/>
      <c r="CG426" s="9"/>
    </row>
    <row r="427" spans="1:85" ht="18" customHeight="1" x14ac:dyDescent="0.3">
      <c r="A427" s="23">
        <f t="shared" si="30"/>
        <v>426</v>
      </c>
      <c r="B427" s="23">
        <f t="shared" si="31"/>
        <v>426</v>
      </c>
      <c r="C427" s="26" t="s">
        <v>1785</v>
      </c>
      <c r="D427" s="26" t="s">
        <v>1872</v>
      </c>
      <c r="E427" s="27" t="str">
        <f t="shared" si="32"/>
        <v/>
      </c>
      <c r="F427" s="26" t="s">
        <v>1877</v>
      </c>
      <c r="G427" s="26" t="s">
        <v>459</v>
      </c>
      <c r="H427" s="26" t="s">
        <v>1878</v>
      </c>
      <c r="I427" s="26"/>
      <c r="J427" s="19" t="s">
        <v>71</v>
      </c>
      <c r="K427" s="26" t="s">
        <v>1879</v>
      </c>
      <c r="L427" s="26"/>
      <c r="M427" s="27" t="s">
        <v>1261</v>
      </c>
      <c r="N427" s="27" t="str">
        <f t="shared" si="33"/>
        <v>NO</v>
      </c>
      <c r="O427" s="27" t="str">
        <f t="shared" si="34"/>
        <v>🔴</v>
      </c>
      <c r="P427" s="28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9"/>
      <c r="CC427" s="9"/>
      <c r="CD427" s="9"/>
      <c r="CE427" s="9"/>
      <c r="CF427" s="9"/>
      <c r="CG427" s="9"/>
    </row>
    <row r="428" spans="1:85" ht="18" customHeight="1" x14ac:dyDescent="0.3">
      <c r="A428" s="23">
        <f t="shared" si="30"/>
        <v>427</v>
      </c>
      <c r="B428" s="23">
        <f t="shared" si="31"/>
        <v>427</v>
      </c>
      <c r="C428" s="39" t="s">
        <v>1785</v>
      </c>
      <c r="D428" s="39" t="s">
        <v>1880</v>
      </c>
      <c r="E428" s="40" t="str">
        <f t="shared" si="32"/>
        <v>LATERAL VIP</v>
      </c>
      <c r="F428" s="26" t="s">
        <v>1881</v>
      </c>
      <c r="G428" s="39" t="s">
        <v>120</v>
      </c>
      <c r="H428" s="39" t="s">
        <v>1882</v>
      </c>
      <c r="I428" s="39" t="s">
        <v>1883</v>
      </c>
      <c r="J428" s="13" t="s">
        <v>22</v>
      </c>
      <c r="K428" s="39" t="s">
        <v>1884</v>
      </c>
      <c r="L428" s="26"/>
      <c r="M428" s="27" t="s">
        <v>659</v>
      </c>
      <c r="N428" s="27" t="str">
        <f t="shared" si="33"/>
        <v>NO</v>
      </c>
      <c r="O428" s="27" t="str">
        <f t="shared" si="34"/>
        <v>🟢</v>
      </c>
      <c r="P428" s="28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9"/>
      <c r="CC428" s="9"/>
      <c r="CD428" s="9"/>
      <c r="CE428" s="9"/>
      <c r="CF428" s="9"/>
      <c r="CG428" s="9"/>
    </row>
    <row r="429" spans="1:85" ht="18" customHeight="1" x14ac:dyDescent="0.3">
      <c r="A429" s="23">
        <f t="shared" si="30"/>
        <v>428</v>
      </c>
      <c r="B429" s="23">
        <f t="shared" si="31"/>
        <v>428</v>
      </c>
      <c r="C429" s="39" t="s">
        <v>1785</v>
      </c>
      <c r="D429" s="39" t="s">
        <v>1880</v>
      </c>
      <c r="E429" s="40" t="str">
        <f t="shared" si="32"/>
        <v/>
      </c>
      <c r="F429" s="26" t="s">
        <v>1885</v>
      </c>
      <c r="G429" s="39" t="s">
        <v>533</v>
      </c>
      <c r="H429" s="39" t="s">
        <v>1886</v>
      </c>
      <c r="I429" s="39" t="s">
        <v>410</v>
      </c>
      <c r="J429" s="20" t="s">
        <v>71</v>
      </c>
      <c r="K429" s="39" t="s">
        <v>1887</v>
      </c>
      <c r="L429" s="26"/>
      <c r="M429" s="27" t="s">
        <v>1261</v>
      </c>
      <c r="N429" s="27" t="str">
        <f t="shared" si="33"/>
        <v>NO</v>
      </c>
      <c r="O429" s="27" t="str">
        <f t="shared" si="34"/>
        <v>🔴</v>
      </c>
      <c r="P429" s="28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9"/>
      <c r="CC429" s="9"/>
      <c r="CD429" s="9"/>
      <c r="CE429" s="9"/>
      <c r="CF429" s="9"/>
      <c r="CG429" s="9"/>
    </row>
    <row r="430" spans="1:85" ht="18" customHeight="1" x14ac:dyDescent="0.3">
      <c r="A430" s="23">
        <f t="shared" si="30"/>
        <v>429</v>
      </c>
      <c r="B430" s="23">
        <f t="shared" si="31"/>
        <v>429</v>
      </c>
      <c r="C430" s="39" t="s">
        <v>1785</v>
      </c>
      <c r="D430" s="39" t="s">
        <v>1880</v>
      </c>
      <c r="E430" s="40" t="str">
        <f t="shared" si="32"/>
        <v>LATERAL VIP</v>
      </c>
      <c r="F430" s="26" t="s">
        <v>1888</v>
      </c>
      <c r="G430" s="39" t="s">
        <v>877</v>
      </c>
      <c r="H430" s="39" t="s">
        <v>524</v>
      </c>
      <c r="I430" s="39" t="s">
        <v>1889</v>
      </c>
      <c r="J430" s="13" t="s">
        <v>22</v>
      </c>
      <c r="K430" s="39" t="s">
        <v>1887</v>
      </c>
      <c r="L430" s="26"/>
      <c r="M430" s="27" t="s">
        <v>659</v>
      </c>
      <c r="N430" s="27" t="str">
        <f t="shared" si="33"/>
        <v>NO</v>
      </c>
      <c r="O430" s="27" t="str">
        <f t="shared" si="34"/>
        <v>🟢</v>
      </c>
      <c r="P430" s="28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9"/>
      <c r="CC430" s="9"/>
      <c r="CD430" s="9"/>
      <c r="CE430" s="9"/>
      <c r="CF430" s="9"/>
      <c r="CG430" s="9"/>
    </row>
    <row r="431" spans="1:85" ht="18" customHeight="1" x14ac:dyDescent="0.3">
      <c r="A431" s="23">
        <f t="shared" si="30"/>
        <v>430</v>
      </c>
      <c r="B431" s="23">
        <f t="shared" si="31"/>
        <v>430</v>
      </c>
      <c r="C431" s="26" t="s">
        <v>1785</v>
      </c>
      <c r="D431" s="26" t="s">
        <v>1890</v>
      </c>
      <c r="E431" s="27" t="str">
        <f t="shared" si="32"/>
        <v>VIP</v>
      </c>
      <c r="F431" s="26" t="s">
        <v>1891</v>
      </c>
      <c r="G431" s="26" t="s">
        <v>275</v>
      </c>
      <c r="H431" s="26" t="s">
        <v>1892</v>
      </c>
      <c r="I431" s="26"/>
      <c r="J431" s="19" t="s">
        <v>57</v>
      </c>
      <c r="K431" s="26" t="s">
        <v>1893</v>
      </c>
      <c r="L431" s="26"/>
      <c r="M431" s="27" t="s">
        <v>24</v>
      </c>
      <c r="N431" s="27" t="str">
        <f t="shared" si="33"/>
        <v>NO</v>
      </c>
      <c r="O431" s="27" t="str">
        <f t="shared" si="34"/>
        <v>🟡</v>
      </c>
      <c r="P431" s="28" t="s">
        <v>1156</v>
      </c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9"/>
      <c r="CC431" s="9"/>
      <c r="CD431" s="9"/>
      <c r="CE431" s="9"/>
      <c r="CF431" s="9"/>
      <c r="CG431" s="9"/>
    </row>
    <row r="432" spans="1:85" ht="18" customHeight="1" x14ac:dyDescent="0.3">
      <c r="A432" s="23">
        <f t="shared" si="30"/>
        <v>431</v>
      </c>
      <c r="B432" s="23">
        <f t="shared" si="31"/>
        <v>431</v>
      </c>
      <c r="C432" s="26" t="s">
        <v>1785</v>
      </c>
      <c r="D432" s="26" t="s">
        <v>1890</v>
      </c>
      <c r="E432" s="27" t="str">
        <f t="shared" si="32"/>
        <v>LATERAL VIP</v>
      </c>
      <c r="F432" s="26" t="s">
        <v>1894</v>
      </c>
      <c r="G432" s="26" t="s">
        <v>1895</v>
      </c>
      <c r="H432" s="26" t="s">
        <v>872</v>
      </c>
      <c r="I432" s="26" t="s">
        <v>1896</v>
      </c>
      <c r="J432" s="13" t="s">
        <v>22</v>
      </c>
      <c r="K432" s="26" t="s">
        <v>1897</v>
      </c>
      <c r="L432" s="26"/>
      <c r="M432" s="27" t="s">
        <v>659</v>
      </c>
      <c r="N432" s="27" t="str">
        <f t="shared" si="33"/>
        <v>NO</v>
      </c>
      <c r="O432" s="27" t="str">
        <f t="shared" si="34"/>
        <v>🟢</v>
      </c>
      <c r="P432" s="28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9"/>
      <c r="CC432" s="9"/>
      <c r="CD432" s="9"/>
      <c r="CE432" s="9"/>
      <c r="CF432" s="9"/>
      <c r="CG432" s="9"/>
    </row>
    <row r="433" spans="1:85" ht="18" customHeight="1" x14ac:dyDescent="0.3">
      <c r="A433" s="23">
        <f t="shared" si="30"/>
        <v>432</v>
      </c>
      <c r="B433" s="23">
        <f t="shared" si="31"/>
        <v>432</v>
      </c>
      <c r="C433" s="26" t="s">
        <v>1785</v>
      </c>
      <c r="D433" s="26" t="s">
        <v>1890</v>
      </c>
      <c r="E433" s="40" t="str">
        <f t="shared" si="32"/>
        <v>VIP</v>
      </c>
      <c r="F433" s="26" t="s">
        <v>1898</v>
      </c>
      <c r="G433" s="39" t="s">
        <v>513</v>
      </c>
      <c r="H433" s="39" t="s">
        <v>524</v>
      </c>
      <c r="I433" s="39" t="s">
        <v>172</v>
      </c>
      <c r="J433" s="13" t="s">
        <v>22</v>
      </c>
      <c r="K433" s="39" t="s">
        <v>1899</v>
      </c>
      <c r="L433" s="26"/>
      <c r="M433" s="27" t="s">
        <v>24</v>
      </c>
      <c r="N433" s="27" t="str">
        <f t="shared" si="33"/>
        <v>SI</v>
      </c>
      <c r="O433" s="27" t="str">
        <f t="shared" si="34"/>
        <v>🟢</v>
      </c>
      <c r="P433" s="28" t="s">
        <v>273</v>
      </c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9"/>
      <c r="CC433" s="9"/>
      <c r="CD433" s="9"/>
      <c r="CE433" s="9"/>
      <c r="CF433" s="9"/>
      <c r="CG433" s="9"/>
    </row>
    <row r="434" spans="1:85" ht="18" customHeight="1" x14ac:dyDescent="0.3">
      <c r="A434" s="23">
        <f t="shared" si="30"/>
        <v>433</v>
      </c>
      <c r="B434" s="23">
        <f t="shared" si="31"/>
        <v>433</v>
      </c>
      <c r="C434" s="39" t="s">
        <v>1785</v>
      </c>
      <c r="D434" s="39" t="s">
        <v>1890</v>
      </c>
      <c r="E434" s="40" t="str">
        <f t="shared" si="32"/>
        <v>LATERAL VIP</v>
      </c>
      <c r="F434" s="26" t="s">
        <v>1900</v>
      </c>
      <c r="G434" s="39" t="s">
        <v>68</v>
      </c>
      <c r="H434" s="39" t="s">
        <v>931</v>
      </c>
      <c r="I434" s="39" t="s">
        <v>1901</v>
      </c>
      <c r="J434" s="13" t="s">
        <v>22</v>
      </c>
      <c r="K434" s="39" t="s">
        <v>1902</v>
      </c>
      <c r="L434" s="26"/>
      <c r="M434" s="27" t="s">
        <v>659</v>
      </c>
      <c r="N434" s="27" t="str">
        <f t="shared" si="33"/>
        <v>NO</v>
      </c>
      <c r="O434" s="27" t="str">
        <f t="shared" si="34"/>
        <v>🟢</v>
      </c>
      <c r="P434" s="28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9"/>
      <c r="CC434" s="9"/>
      <c r="CD434" s="9"/>
      <c r="CE434" s="9"/>
      <c r="CF434" s="9"/>
      <c r="CG434" s="9"/>
    </row>
    <row r="435" spans="1:85" ht="18" customHeight="1" x14ac:dyDescent="0.3">
      <c r="A435" s="23">
        <f t="shared" si="30"/>
        <v>434</v>
      </c>
      <c r="B435" s="23">
        <f t="shared" si="31"/>
        <v>434</v>
      </c>
      <c r="C435" s="26" t="s">
        <v>1785</v>
      </c>
      <c r="D435" s="26" t="s">
        <v>1903</v>
      </c>
      <c r="E435" s="27" t="str">
        <f t="shared" si="32"/>
        <v>LATERAL</v>
      </c>
      <c r="F435" s="26" t="s">
        <v>1904</v>
      </c>
      <c r="G435" s="26" t="s">
        <v>1905</v>
      </c>
      <c r="H435" s="26" t="s">
        <v>135</v>
      </c>
      <c r="I435" s="26" t="s">
        <v>720</v>
      </c>
      <c r="J435" s="19" t="s">
        <v>57</v>
      </c>
      <c r="K435" s="26" t="s">
        <v>1906</v>
      </c>
      <c r="L435" s="26"/>
      <c r="M435" s="27" t="s">
        <v>1261</v>
      </c>
      <c r="N435" s="27" t="str">
        <f t="shared" si="33"/>
        <v>NO</v>
      </c>
      <c r="O435" s="27" t="str">
        <f t="shared" si="34"/>
        <v>🟡</v>
      </c>
      <c r="P435" s="28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9"/>
      <c r="CC435" s="9"/>
      <c r="CD435" s="9"/>
      <c r="CE435" s="9"/>
      <c r="CF435" s="9"/>
      <c r="CG435" s="9"/>
    </row>
    <row r="436" spans="1:85" ht="18" customHeight="1" x14ac:dyDescent="0.3">
      <c r="A436" s="23">
        <f t="shared" si="30"/>
        <v>435</v>
      </c>
      <c r="B436" s="23">
        <f t="shared" si="31"/>
        <v>435</v>
      </c>
      <c r="C436" s="26" t="s">
        <v>1785</v>
      </c>
      <c r="D436" s="26" t="s">
        <v>1903</v>
      </c>
      <c r="E436" s="27" t="str">
        <f t="shared" si="32"/>
        <v>LATERAL</v>
      </c>
      <c r="F436" s="26" t="s">
        <v>1907</v>
      </c>
      <c r="G436" s="26" t="s">
        <v>133</v>
      </c>
      <c r="H436" s="26" t="s">
        <v>931</v>
      </c>
      <c r="I436" s="26" t="s">
        <v>213</v>
      </c>
      <c r="J436" s="19" t="s">
        <v>57</v>
      </c>
      <c r="K436" s="26" t="s">
        <v>1908</v>
      </c>
      <c r="L436" s="26"/>
      <c r="M436" s="27" t="s">
        <v>1261</v>
      </c>
      <c r="N436" s="27" t="str">
        <f t="shared" si="33"/>
        <v>NO</v>
      </c>
      <c r="O436" s="27" t="str">
        <f t="shared" si="34"/>
        <v>🟡</v>
      </c>
      <c r="P436" s="28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9"/>
      <c r="CC436" s="9"/>
      <c r="CD436" s="9"/>
      <c r="CE436" s="9"/>
      <c r="CF436" s="9"/>
      <c r="CG436" s="9"/>
    </row>
    <row r="437" spans="1:85" ht="18" customHeight="1" x14ac:dyDescent="0.3">
      <c r="A437" s="23">
        <f t="shared" si="30"/>
        <v>436</v>
      </c>
      <c r="B437" s="23">
        <f t="shared" si="31"/>
        <v>436</v>
      </c>
      <c r="C437" s="39" t="s">
        <v>1785</v>
      </c>
      <c r="D437" s="39"/>
      <c r="E437" s="40" t="str">
        <f t="shared" si="32"/>
        <v>VIP</v>
      </c>
      <c r="F437" s="26" t="s">
        <v>1909</v>
      </c>
      <c r="G437" s="39" t="s">
        <v>1297</v>
      </c>
      <c r="H437" s="39" t="s">
        <v>1910</v>
      </c>
      <c r="I437" s="39"/>
      <c r="J437" s="19" t="s">
        <v>57</v>
      </c>
      <c r="K437" s="39" t="s">
        <v>1911</v>
      </c>
      <c r="L437" s="26"/>
      <c r="M437" s="27" t="s">
        <v>24</v>
      </c>
      <c r="N437" s="27" t="str">
        <f t="shared" si="33"/>
        <v>NO</v>
      </c>
      <c r="O437" s="27" t="str">
        <f t="shared" si="34"/>
        <v>🟡</v>
      </c>
      <c r="P437" s="28" t="s">
        <v>1156</v>
      </c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9"/>
      <c r="CC437" s="9"/>
      <c r="CD437" s="9"/>
      <c r="CE437" s="9"/>
      <c r="CF437" s="9"/>
      <c r="CG437" s="9"/>
    </row>
    <row r="438" spans="1:85" ht="18" customHeight="1" x14ac:dyDescent="0.3">
      <c r="A438" s="23">
        <f t="shared" si="30"/>
        <v>437</v>
      </c>
      <c r="B438" s="23">
        <f t="shared" si="31"/>
        <v>437</v>
      </c>
      <c r="C438" s="26" t="s">
        <v>1785</v>
      </c>
      <c r="D438" s="26"/>
      <c r="E438" s="27" t="str">
        <f t="shared" si="32"/>
        <v/>
      </c>
      <c r="F438" s="26" t="s">
        <v>1912</v>
      </c>
      <c r="G438" s="26" t="s">
        <v>86</v>
      </c>
      <c r="H438" s="26" t="s">
        <v>1913</v>
      </c>
      <c r="I438" s="26" t="s">
        <v>1914</v>
      </c>
      <c r="J438" s="20" t="s">
        <v>71</v>
      </c>
      <c r="K438" s="26" t="s">
        <v>1915</v>
      </c>
      <c r="L438" s="26"/>
      <c r="M438" s="27"/>
      <c r="N438" s="27" t="str">
        <f t="shared" si="33"/>
        <v>NO</v>
      </c>
      <c r="O438" s="27" t="str">
        <f t="shared" si="34"/>
        <v>🔴</v>
      </c>
      <c r="P438" s="28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9"/>
      <c r="CC438" s="9"/>
      <c r="CD438" s="9"/>
      <c r="CE438" s="9"/>
      <c r="CF438" s="9"/>
      <c r="CG438" s="9"/>
    </row>
    <row r="439" spans="1:85" ht="18" customHeight="1" x14ac:dyDescent="0.3">
      <c r="A439" s="23">
        <f t="shared" si="30"/>
        <v>438</v>
      </c>
      <c r="B439" s="23">
        <f t="shared" si="31"/>
        <v>438</v>
      </c>
      <c r="C439" s="39" t="s">
        <v>1785</v>
      </c>
      <c r="D439" s="39" t="s">
        <v>752</v>
      </c>
      <c r="E439" s="40" t="str">
        <f t="shared" si="32"/>
        <v>LATERAL</v>
      </c>
      <c r="F439" s="26" t="s">
        <v>1916</v>
      </c>
      <c r="G439" s="39" t="s">
        <v>1917</v>
      </c>
      <c r="H439" s="39" t="s">
        <v>1918</v>
      </c>
      <c r="I439" s="39" t="s">
        <v>1919</v>
      </c>
      <c r="J439" s="19" t="s">
        <v>57</v>
      </c>
      <c r="K439" s="39" t="s">
        <v>1920</v>
      </c>
      <c r="L439" s="26"/>
      <c r="M439" s="27" t="s">
        <v>1261</v>
      </c>
      <c r="N439" s="27" t="str">
        <f t="shared" si="33"/>
        <v>NO</v>
      </c>
      <c r="O439" s="27" t="str">
        <f t="shared" si="34"/>
        <v>🟡</v>
      </c>
      <c r="P439" s="28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9"/>
      <c r="CC439" s="9"/>
      <c r="CD439" s="9"/>
      <c r="CE439" s="9"/>
      <c r="CF439" s="9"/>
      <c r="CG439" s="9"/>
    </row>
    <row r="440" spans="1:85" ht="18" customHeight="1" x14ac:dyDescent="0.3">
      <c r="A440" s="23">
        <f t="shared" si="30"/>
        <v>439</v>
      </c>
      <c r="B440" s="23">
        <f t="shared" si="31"/>
        <v>439</v>
      </c>
      <c r="C440" s="26" t="s">
        <v>1785</v>
      </c>
      <c r="D440" s="26"/>
      <c r="E440" s="27" t="str">
        <f t="shared" si="32"/>
        <v/>
      </c>
      <c r="F440" s="26" t="s">
        <v>1921</v>
      </c>
      <c r="G440" s="26" t="s">
        <v>519</v>
      </c>
      <c r="H440" s="26" t="s">
        <v>1922</v>
      </c>
      <c r="I440" s="26"/>
      <c r="J440" s="20" t="s">
        <v>71</v>
      </c>
      <c r="K440" s="26" t="s">
        <v>1923</v>
      </c>
      <c r="L440" s="26"/>
      <c r="M440" s="27"/>
      <c r="N440" s="27" t="str">
        <f t="shared" si="33"/>
        <v>NO</v>
      </c>
      <c r="O440" s="27" t="str">
        <f t="shared" si="34"/>
        <v>🔴</v>
      </c>
      <c r="P440" s="28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</row>
    <row r="441" spans="1:85" ht="18" customHeight="1" x14ac:dyDescent="0.3">
      <c r="A441" s="23">
        <f t="shared" si="30"/>
        <v>440</v>
      </c>
      <c r="B441" s="23">
        <f t="shared" si="31"/>
        <v>440</v>
      </c>
      <c r="C441" s="39" t="s">
        <v>1785</v>
      </c>
      <c r="D441" s="39" t="s">
        <v>95</v>
      </c>
      <c r="E441" s="40" t="str">
        <f t="shared" si="32"/>
        <v/>
      </c>
      <c r="F441" s="26" t="s">
        <v>1924</v>
      </c>
      <c r="G441" s="39" t="s">
        <v>513</v>
      </c>
      <c r="H441" s="39" t="s">
        <v>1925</v>
      </c>
      <c r="I441" s="39" t="s">
        <v>1926</v>
      </c>
      <c r="J441" s="20" t="s">
        <v>71</v>
      </c>
      <c r="K441" s="39" t="s">
        <v>1927</v>
      </c>
      <c r="L441" s="26"/>
      <c r="M441" s="27" t="s">
        <v>24</v>
      </c>
      <c r="N441" s="27" t="str">
        <f t="shared" si="33"/>
        <v>NO</v>
      </c>
      <c r="O441" s="27" t="str">
        <f t="shared" si="34"/>
        <v>🔴</v>
      </c>
      <c r="P441" s="28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9"/>
      <c r="CC441" s="9"/>
      <c r="CD441" s="9"/>
      <c r="CE441" s="9"/>
      <c r="CF441" s="9"/>
      <c r="CG441" s="9"/>
    </row>
    <row r="442" spans="1:85" ht="18" customHeight="1" x14ac:dyDescent="0.3">
      <c r="A442" s="23">
        <f t="shared" si="30"/>
        <v>441</v>
      </c>
      <c r="B442" s="23">
        <f t="shared" si="31"/>
        <v>441</v>
      </c>
      <c r="C442" s="39" t="s">
        <v>1785</v>
      </c>
      <c r="D442" s="39"/>
      <c r="E442" s="40" t="str">
        <f t="shared" si="32"/>
        <v/>
      </c>
      <c r="F442" s="26" t="s">
        <v>1928</v>
      </c>
      <c r="G442" s="39" t="s">
        <v>537</v>
      </c>
      <c r="H442" s="39" t="s">
        <v>1929</v>
      </c>
      <c r="I442" s="39" t="s">
        <v>1930</v>
      </c>
      <c r="J442" s="20" t="s">
        <v>71</v>
      </c>
      <c r="K442" s="39" t="s">
        <v>1931</v>
      </c>
      <c r="L442" s="26"/>
      <c r="M442" s="27" t="s">
        <v>1261</v>
      </c>
      <c r="N442" s="27" t="str">
        <f t="shared" si="33"/>
        <v>NO</v>
      </c>
      <c r="O442" s="27" t="str">
        <f t="shared" si="34"/>
        <v>🔴</v>
      </c>
      <c r="P442" s="28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9"/>
      <c r="CC442" s="9"/>
      <c r="CD442" s="9"/>
      <c r="CE442" s="9"/>
      <c r="CF442" s="9"/>
      <c r="CG442" s="9"/>
    </row>
    <row r="443" spans="1:85" ht="18" customHeight="1" x14ac:dyDescent="0.3">
      <c r="A443" s="23">
        <f t="shared" si="30"/>
        <v>442</v>
      </c>
      <c r="B443" s="23">
        <f t="shared" si="31"/>
        <v>442</v>
      </c>
      <c r="C443" s="39" t="s">
        <v>1785</v>
      </c>
      <c r="D443" s="39"/>
      <c r="E443" s="40" t="str">
        <f t="shared" si="32"/>
        <v>LATERAL VIP</v>
      </c>
      <c r="F443" s="26" t="s">
        <v>1932</v>
      </c>
      <c r="G443" s="39" t="s">
        <v>615</v>
      </c>
      <c r="H443" s="39" t="s">
        <v>1933</v>
      </c>
      <c r="I443" s="39" t="s">
        <v>1934</v>
      </c>
      <c r="J443" s="13" t="s">
        <v>22</v>
      </c>
      <c r="K443" s="39" t="s">
        <v>1935</v>
      </c>
      <c r="L443" s="26"/>
      <c r="M443" s="27" t="s">
        <v>659</v>
      </c>
      <c r="N443" s="27" t="str">
        <f t="shared" si="33"/>
        <v>NO</v>
      </c>
      <c r="O443" s="27" t="str">
        <f t="shared" si="34"/>
        <v>🟢</v>
      </c>
      <c r="P443" s="28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9"/>
      <c r="CC443" s="9"/>
      <c r="CD443" s="9"/>
      <c r="CE443" s="9"/>
      <c r="CF443" s="9"/>
      <c r="CG443" s="9"/>
    </row>
    <row r="444" spans="1:85" ht="18" customHeight="1" x14ac:dyDescent="0.3">
      <c r="A444" s="23">
        <f t="shared" si="30"/>
        <v>443</v>
      </c>
      <c r="B444" s="23">
        <f t="shared" si="31"/>
        <v>443</v>
      </c>
      <c r="C444" s="26" t="s">
        <v>1785</v>
      </c>
      <c r="D444" s="26" t="s">
        <v>752</v>
      </c>
      <c r="E444" s="27" t="str">
        <f t="shared" si="32"/>
        <v/>
      </c>
      <c r="F444" s="26" t="s">
        <v>1936</v>
      </c>
      <c r="G444" s="26" t="s">
        <v>68</v>
      </c>
      <c r="H444" s="26" t="s">
        <v>1937</v>
      </c>
      <c r="I444" s="26" t="s">
        <v>1938</v>
      </c>
      <c r="J444" s="20" t="s">
        <v>71</v>
      </c>
      <c r="K444" s="26" t="s">
        <v>1939</v>
      </c>
      <c r="L444" s="26"/>
      <c r="M444" s="27" t="s">
        <v>24</v>
      </c>
      <c r="N444" s="27" t="str">
        <f t="shared" si="33"/>
        <v>NO</v>
      </c>
      <c r="O444" s="27" t="str">
        <f t="shared" si="34"/>
        <v>🔴</v>
      </c>
      <c r="P444" s="28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9"/>
      <c r="CC444" s="9"/>
      <c r="CD444" s="9"/>
      <c r="CE444" s="9"/>
      <c r="CF444" s="9"/>
      <c r="CG444" s="9"/>
    </row>
    <row r="445" spans="1:85" ht="18" customHeight="1" x14ac:dyDescent="0.3">
      <c r="A445" s="23">
        <f t="shared" si="30"/>
        <v>444</v>
      </c>
      <c r="B445" s="23">
        <f t="shared" si="31"/>
        <v>444</v>
      </c>
      <c r="C445" s="26" t="s">
        <v>1785</v>
      </c>
      <c r="D445" s="26" t="s">
        <v>752</v>
      </c>
      <c r="E445" s="27" t="str">
        <f t="shared" si="32"/>
        <v>VIP</v>
      </c>
      <c r="F445" s="26" t="s">
        <v>1940</v>
      </c>
      <c r="G445" s="26" t="s">
        <v>68</v>
      </c>
      <c r="H445" s="26" t="s">
        <v>1941</v>
      </c>
      <c r="I445" s="26" t="s">
        <v>345</v>
      </c>
      <c r="J445" s="19" t="s">
        <v>57</v>
      </c>
      <c r="K445" s="26" t="s">
        <v>1942</v>
      </c>
      <c r="L445" s="26"/>
      <c r="M445" s="27" t="s">
        <v>24</v>
      </c>
      <c r="N445" s="27" t="str">
        <f t="shared" si="33"/>
        <v>NO</v>
      </c>
      <c r="O445" s="27" t="str">
        <f t="shared" si="34"/>
        <v>🟡</v>
      </c>
      <c r="P445" s="28" t="s">
        <v>1156</v>
      </c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9"/>
      <c r="CC445" s="9"/>
      <c r="CD445" s="9"/>
      <c r="CE445" s="9"/>
      <c r="CF445" s="9"/>
      <c r="CG445" s="9"/>
    </row>
    <row r="446" spans="1:85" ht="18" customHeight="1" x14ac:dyDescent="0.3">
      <c r="A446" s="23">
        <f t="shared" si="30"/>
        <v>445</v>
      </c>
      <c r="B446" s="23">
        <f t="shared" si="31"/>
        <v>445</v>
      </c>
      <c r="C446" s="26" t="s">
        <v>1785</v>
      </c>
      <c r="D446" s="26"/>
      <c r="E446" s="27" t="str">
        <f t="shared" si="32"/>
        <v/>
      </c>
      <c r="F446" s="26" t="s">
        <v>1943</v>
      </c>
      <c r="G446" s="26" t="s">
        <v>528</v>
      </c>
      <c r="H446" s="26" t="s">
        <v>1944</v>
      </c>
      <c r="I446" s="26" t="s">
        <v>1945</v>
      </c>
      <c r="J446" s="20" t="s">
        <v>71</v>
      </c>
      <c r="K446" s="26" t="s">
        <v>1946</v>
      </c>
      <c r="L446" s="26"/>
      <c r="M446" s="27" t="s">
        <v>1261</v>
      </c>
      <c r="N446" s="27" t="str">
        <f t="shared" si="33"/>
        <v>NO</v>
      </c>
      <c r="O446" s="27" t="str">
        <f t="shared" si="34"/>
        <v>🔴</v>
      </c>
      <c r="P446" s="28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9"/>
      <c r="CC446" s="9"/>
      <c r="CD446" s="9"/>
      <c r="CE446" s="9"/>
      <c r="CF446" s="9"/>
      <c r="CG446" s="9"/>
    </row>
    <row r="447" spans="1:85" ht="18" customHeight="1" x14ac:dyDescent="0.3">
      <c r="A447" s="23">
        <f t="shared" si="30"/>
        <v>446</v>
      </c>
      <c r="B447" s="23">
        <f t="shared" si="31"/>
        <v>446</v>
      </c>
      <c r="C447" s="26" t="s">
        <v>1785</v>
      </c>
      <c r="D447" s="26"/>
      <c r="E447" s="27" t="str">
        <f t="shared" si="32"/>
        <v>LATERAL VIP</v>
      </c>
      <c r="F447" s="26" t="s">
        <v>1947</v>
      </c>
      <c r="G447" s="26" t="s">
        <v>322</v>
      </c>
      <c r="H447" s="26" t="s">
        <v>1948</v>
      </c>
      <c r="I447" s="26"/>
      <c r="J447" s="13" t="s">
        <v>22</v>
      </c>
      <c r="K447" s="26" t="s">
        <v>1949</v>
      </c>
      <c r="L447" s="26"/>
      <c r="M447" s="27" t="s">
        <v>659</v>
      </c>
      <c r="N447" s="27" t="str">
        <f t="shared" si="33"/>
        <v>NO</v>
      </c>
      <c r="O447" s="27" t="str">
        <f t="shared" si="34"/>
        <v>🟢</v>
      </c>
      <c r="P447" s="28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</row>
    <row r="448" spans="1:85" ht="18" customHeight="1" x14ac:dyDescent="0.3">
      <c r="A448" s="23">
        <f t="shared" si="30"/>
        <v>447</v>
      </c>
      <c r="B448" s="23">
        <f t="shared" si="31"/>
        <v>447</v>
      </c>
      <c r="C448" s="39" t="s">
        <v>1785</v>
      </c>
      <c r="D448" s="39"/>
      <c r="E448" s="40" t="str">
        <f t="shared" si="32"/>
        <v>LATERAL</v>
      </c>
      <c r="F448" s="26" t="s">
        <v>1950</v>
      </c>
      <c r="G448" s="39" t="s">
        <v>627</v>
      </c>
      <c r="H448" s="39" t="s">
        <v>1158</v>
      </c>
      <c r="I448" s="39"/>
      <c r="J448" s="19" t="s">
        <v>57</v>
      </c>
      <c r="K448" s="39" t="s">
        <v>1951</v>
      </c>
      <c r="L448" s="26"/>
      <c r="M448" s="27" t="s">
        <v>1261</v>
      </c>
      <c r="N448" s="27" t="str">
        <f t="shared" si="33"/>
        <v>NO</v>
      </c>
      <c r="O448" s="27" t="str">
        <f t="shared" si="34"/>
        <v>🟡</v>
      </c>
      <c r="P448" s="28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9"/>
      <c r="CC448" s="9"/>
      <c r="CD448" s="9"/>
      <c r="CE448" s="9"/>
      <c r="CF448" s="9"/>
      <c r="CG448" s="9"/>
    </row>
    <row r="449" spans="1:85" ht="18" customHeight="1" x14ac:dyDescent="0.3">
      <c r="A449" s="23">
        <f t="shared" si="30"/>
        <v>448</v>
      </c>
      <c r="B449" s="23">
        <f t="shared" si="31"/>
        <v>448</v>
      </c>
      <c r="C449" s="39" t="s">
        <v>1785</v>
      </c>
      <c r="D449" s="39"/>
      <c r="E449" s="40" t="str">
        <f t="shared" si="32"/>
        <v>LATERAL</v>
      </c>
      <c r="F449" s="26" t="s">
        <v>1952</v>
      </c>
      <c r="G449" s="39" t="s">
        <v>1297</v>
      </c>
      <c r="H449" s="39" t="s">
        <v>1953</v>
      </c>
      <c r="I449" s="39"/>
      <c r="J449" s="19" t="s">
        <v>57</v>
      </c>
      <c r="K449" s="39" t="s">
        <v>1954</v>
      </c>
      <c r="L449" s="26"/>
      <c r="M449" s="27" t="s">
        <v>1261</v>
      </c>
      <c r="N449" s="27" t="str">
        <f t="shared" si="33"/>
        <v>NO</v>
      </c>
      <c r="O449" s="27" t="str">
        <f t="shared" si="34"/>
        <v>🟡</v>
      </c>
      <c r="P449" s="28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9"/>
      <c r="CC449" s="9"/>
      <c r="CD449" s="9"/>
      <c r="CE449" s="9"/>
      <c r="CF449" s="9"/>
      <c r="CG449" s="9"/>
    </row>
    <row r="450" spans="1:85" ht="18" customHeight="1" x14ac:dyDescent="0.3">
      <c r="A450" s="23">
        <f t="shared" ref="A450:A512" si="35">IF(COUNTA(C450:K450)=0,"",ROW()-1)</f>
        <v>449</v>
      </c>
      <c r="B450" s="23">
        <f t="shared" ref="B450:B512" si="36">IF($F450&lt;&gt;"",$A450,"")</f>
        <v>449</v>
      </c>
      <c r="C450" s="26" t="s">
        <v>1785</v>
      </c>
      <c r="D450" s="26" t="s">
        <v>46</v>
      </c>
      <c r="E450" s="27" t="str">
        <f t="shared" ref="E450:E512" si="37">IF(UPPER($J450)="NO","",$M450)</f>
        <v>VIP</v>
      </c>
      <c r="F450" s="26" t="s">
        <v>1955</v>
      </c>
      <c r="G450" s="26" t="s">
        <v>1956</v>
      </c>
      <c r="H450" s="26" t="s">
        <v>1957</v>
      </c>
      <c r="I450" s="26" t="s">
        <v>1622</v>
      </c>
      <c r="J450" s="13" t="s">
        <v>22</v>
      </c>
      <c r="K450" s="26" t="s">
        <v>1958</v>
      </c>
      <c r="L450" s="26"/>
      <c r="M450" s="27" t="s">
        <v>24</v>
      </c>
      <c r="N450" s="27" t="str">
        <f t="shared" ref="N450:N512" si="38">IF(AND(UPPER($M450)="VIP",UPPER($J450)="SI",$F450&lt;&gt;""),"SI","NO")</f>
        <v>SI</v>
      </c>
      <c r="O450" s="27" t="str">
        <f t="shared" ref="O450:O512" si="39">IF(UPPER($J450)="SI","🟢",IF(UPPER($J450)="NO","🔴","🟡"))</f>
        <v>🟢</v>
      </c>
      <c r="P450" s="28" t="s">
        <v>338</v>
      </c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9"/>
      <c r="CC450" s="9"/>
      <c r="CD450" s="9"/>
      <c r="CE450" s="9"/>
      <c r="CF450" s="9"/>
      <c r="CG450" s="9"/>
    </row>
    <row r="451" spans="1:85" ht="18" customHeight="1" x14ac:dyDescent="0.3">
      <c r="A451" s="23">
        <f t="shared" si="35"/>
        <v>450</v>
      </c>
      <c r="B451" s="23">
        <f t="shared" si="36"/>
        <v>450</v>
      </c>
      <c r="C451" s="26" t="s">
        <v>1785</v>
      </c>
      <c r="D451" s="26" t="s">
        <v>95</v>
      </c>
      <c r="E451" s="27" t="str">
        <f t="shared" si="37"/>
        <v/>
      </c>
      <c r="F451" s="26" t="s">
        <v>1959</v>
      </c>
      <c r="G451" s="26" t="s">
        <v>519</v>
      </c>
      <c r="H451" s="26" t="s">
        <v>1960</v>
      </c>
      <c r="I451" s="26" t="s">
        <v>1961</v>
      </c>
      <c r="J451" s="20" t="s">
        <v>71</v>
      </c>
      <c r="K451" s="39" t="s">
        <v>1962</v>
      </c>
      <c r="L451" s="26"/>
      <c r="M451" s="27"/>
      <c r="N451" s="27" t="str">
        <f t="shared" si="38"/>
        <v>NO</v>
      </c>
      <c r="O451" s="27" t="str">
        <f t="shared" si="39"/>
        <v>🔴</v>
      </c>
      <c r="P451" s="28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9"/>
      <c r="CC451" s="9"/>
      <c r="CD451" s="9"/>
      <c r="CE451" s="9"/>
      <c r="CF451" s="9"/>
      <c r="CG451" s="9"/>
    </row>
    <row r="452" spans="1:85" ht="18" customHeight="1" x14ac:dyDescent="0.3">
      <c r="A452" s="23">
        <f t="shared" si="35"/>
        <v>451</v>
      </c>
      <c r="B452" s="23">
        <f t="shared" si="36"/>
        <v>451</v>
      </c>
      <c r="C452" s="26" t="s">
        <v>1785</v>
      </c>
      <c r="D452" s="26"/>
      <c r="E452" s="27" t="str">
        <f t="shared" si="37"/>
        <v>LATERAL VIP</v>
      </c>
      <c r="F452" s="26" t="s">
        <v>1963</v>
      </c>
      <c r="G452" s="26" t="s">
        <v>945</v>
      </c>
      <c r="H452" s="26" t="s">
        <v>1279</v>
      </c>
      <c r="I452" s="26" t="s">
        <v>797</v>
      </c>
      <c r="J452" s="13" t="s">
        <v>22</v>
      </c>
      <c r="K452" s="26" t="s">
        <v>1964</v>
      </c>
      <c r="L452" s="26"/>
      <c r="M452" s="27" t="s">
        <v>659</v>
      </c>
      <c r="N452" s="27" t="str">
        <f t="shared" si="38"/>
        <v>NO</v>
      </c>
      <c r="O452" s="27" t="str">
        <f t="shared" si="39"/>
        <v>🟢</v>
      </c>
      <c r="P452" s="28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9"/>
      <c r="CC452" s="9"/>
      <c r="CD452" s="9"/>
      <c r="CE452" s="9"/>
      <c r="CF452" s="9"/>
      <c r="CG452" s="9"/>
    </row>
    <row r="453" spans="1:85" ht="18" customHeight="1" x14ac:dyDescent="0.3">
      <c r="A453" s="23">
        <f t="shared" si="35"/>
        <v>452</v>
      </c>
      <c r="B453" s="23">
        <f t="shared" si="36"/>
        <v>452</v>
      </c>
      <c r="C453" s="26" t="s">
        <v>1785</v>
      </c>
      <c r="D453" s="26" t="s">
        <v>1462</v>
      </c>
      <c r="E453" s="27" t="str">
        <f t="shared" si="37"/>
        <v>LATERAL VIP</v>
      </c>
      <c r="F453" s="26" t="s">
        <v>1965</v>
      </c>
      <c r="G453" s="26" t="s">
        <v>153</v>
      </c>
      <c r="H453" s="26" t="s">
        <v>1966</v>
      </c>
      <c r="I453" s="26" t="s">
        <v>827</v>
      </c>
      <c r="J453" s="13" t="s">
        <v>22</v>
      </c>
      <c r="K453" s="39" t="s">
        <v>1967</v>
      </c>
      <c r="L453" s="26"/>
      <c r="M453" s="27" t="s">
        <v>659</v>
      </c>
      <c r="N453" s="27" t="str">
        <f t="shared" si="38"/>
        <v>NO</v>
      </c>
      <c r="O453" s="27" t="str">
        <f t="shared" si="39"/>
        <v>🟢</v>
      </c>
      <c r="P453" s="28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9"/>
      <c r="CC453" s="9"/>
      <c r="CD453" s="9"/>
      <c r="CE453" s="9"/>
      <c r="CF453" s="9"/>
      <c r="CG453" s="9"/>
    </row>
    <row r="454" spans="1:85" ht="18" customHeight="1" x14ac:dyDescent="0.3">
      <c r="A454" s="23">
        <f t="shared" si="35"/>
        <v>453</v>
      </c>
      <c r="B454" s="23">
        <f t="shared" si="36"/>
        <v>453</v>
      </c>
      <c r="C454" s="39" t="s">
        <v>1785</v>
      </c>
      <c r="D454" s="39"/>
      <c r="E454" s="40" t="str">
        <f t="shared" si="37"/>
        <v/>
      </c>
      <c r="F454" s="26" t="s">
        <v>1968</v>
      </c>
      <c r="G454" s="39" t="s">
        <v>68</v>
      </c>
      <c r="H454" s="39" t="s">
        <v>189</v>
      </c>
      <c r="I454" s="39"/>
      <c r="J454" s="20" t="s">
        <v>71</v>
      </c>
      <c r="K454" s="39" t="s">
        <v>1969</v>
      </c>
      <c r="L454" s="26"/>
      <c r="M454" s="27"/>
      <c r="N454" s="27" t="str">
        <f t="shared" si="38"/>
        <v>NO</v>
      </c>
      <c r="O454" s="27" t="str">
        <f t="shared" si="39"/>
        <v>🔴</v>
      </c>
      <c r="P454" s="28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9"/>
      <c r="CC454" s="9"/>
      <c r="CD454" s="9"/>
      <c r="CE454" s="9"/>
      <c r="CF454" s="9"/>
      <c r="CG454" s="9"/>
    </row>
    <row r="455" spans="1:85" ht="18" customHeight="1" x14ac:dyDescent="0.3">
      <c r="A455" s="23">
        <f t="shared" si="35"/>
        <v>454</v>
      </c>
      <c r="B455" s="23">
        <f t="shared" si="36"/>
        <v>454</v>
      </c>
      <c r="C455" s="39" t="s">
        <v>1785</v>
      </c>
      <c r="D455" s="39"/>
      <c r="E455" s="40" t="str">
        <f t="shared" si="37"/>
        <v>LATERAL VIP</v>
      </c>
      <c r="F455" s="26" t="s">
        <v>1970</v>
      </c>
      <c r="G455" s="39" t="s">
        <v>473</v>
      </c>
      <c r="H455" s="39" t="s">
        <v>1227</v>
      </c>
      <c r="I455" s="39" t="s">
        <v>1724</v>
      </c>
      <c r="J455" s="13" t="s">
        <v>22</v>
      </c>
      <c r="K455" s="39" t="s">
        <v>1971</v>
      </c>
      <c r="L455" s="26"/>
      <c r="M455" s="27" t="s">
        <v>659</v>
      </c>
      <c r="N455" s="27" t="str">
        <f t="shared" si="38"/>
        <v>NO</v>
      </c>
      <c r="O455" s="27" t="str">
        <f t="shared" si="39"/>
        <v>🟢</v>
      </c>
      <c r="P455" s="28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9"/>
      <c r="CC455" s="9"/>
      <c r="CD455" s="9"/>
      <c r="CE455" s="9"/>
      <c r="CF455" s="9"/>
      <c r="CG455" s="9"/>
    </row>
    <row r="456" spans="1:85" ht="18" customHeight="1" x14ac:dyDescent="0.3">
      <c r="A456" s="23">
        <f t="shared" si="35"/>
        <v>455</v>
      </c>
      <c r="B456" s="23">
        <f t="shared" si="36"/>
        <v>455</v>
      </c>
      <c r="C456" s="39" t="s">
        <v>1785</v>
      </c>
      <c r="D456" s="39" t="s">
        <v>1972</v>
      </c>
      <c r="E456" s="40">
        <f t="shared" si="37"/>
        <v>0</v>
      </c>
      <c r="F456" s="26" t="s">
        <v>1973</v>
      </c>
      <c r="G456" s="39" t="s">
        <v>1974</v>
      </c>
      <c r="H456" s="39" t="s">
        <v>1975</v>
      </c>
      <c r="I456" s="39" t="s">
        <v>1976</v>
      </c>
      <c r="J456" s="13" t="s">
        <v>22</v>
      </c>
      <c r="K456" s="39" t="s">
        <v>1977</v>
      </c>
      <c r="L456" s="26"/>
      <c r="M456" s="27"/>
      <c r="N456" s="27" t="str">
        <f t="shared" si="38"/>
        <v>NO</v>
      </c>
      <c r="O456" s="27" t="str">
        <f t="shared" si="39"/>
        <v>🟢</v>
      </c>
      <c r="P456" s="28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9"/>
      <c r="CC456" s="9"/>
      <c r="CD456" s="9"/>
      <c r="CE456" s="9"/>
      <c r="CF456" s="9"/>
      <c r="CG456" s="9"/>
    </row>
    <row r="457" spans="1:85" ht="18" customHeight="1" x14ac:dyDescent="0.3">
      <c r="A457" s="23">
        <f t="shared" si="35"/>
        <v>456</v>
      </c>
      <c r="B457" s="23">
        <f t="shared" si="36"/>
        <v>456</v>
      </c>
      <c r="C457" s="26" t="s">
        <v>1785</v>
      </c>
      <c r="D457" s="26"/>
      <c r="E457" s="27" t="str">
        <f t="shared" si="37"/>
        <v>LATERAL VIP</v>
      </c>
      <c r="F457" s="26" t="s">
        <v>1978</v>
      </c>
      <c r="G457" s="26" t="s">
        <v>1979</v>
      </c>
      <c r="H457" s="26" t="s">
        <v>1980</v>
      </c>
      <c r="I457" s="26" t="s">
        <v>1448</v>
      </c>
      <c r="J457" s="13" t="s">
        <v>22</v>
      </c>
      <c r="K457" s="26" t="s">
        <v>1981</v>
      </c>
      <c r="L457" s="26"/>
      <c r="M457" s="27" t="s">
        <v>659</v>
      </c>
      <c r="N457" s="27" t="str">
        <f t="shared" si="38"/>
        <v>NO</v>
      </c>
      <c r="O457" s="27" t="str">
        <f t="shared" si="39"/>
        <v>🟢</v>
      </c>
      <c r="P457" s="28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9"/>
      <c r="CC457" s="9"/>
      <c r="CD457" s="9"/>
      <c r="CE457" s="9"/>
      <c r="CF457" s="9"/>
      <c r="CG457" s="9"/>
    </row>
    <row r="458" spans="1:85" ht="18" customHeight="1" x14ac:dyDescent="0.3">
      <c r="A458" s="23">
        <f t="shared" si="35"/>
        <v>457</v>
      </c>
      <c r="B458" s="23">
        <f t="shared" si="36"/>
        <v>457</v>
      </c>
      <c r="C458" s="26" t="s">
        <v>1785</v>
      </c>
      <c r="D458" s="26"/>
      <c r="E458" s="27" t="str">
        <f t="shared" si="37"/>
        <v>LATERAL</v>
      </c>
      <c r="F458" s="26" t="s">
        <v>1982</v>
      </c>
      <c r="G458" s="26" t="s">
        <v>1983</v>
      </c>
      <c r="H458" s="26" t="s">
        <v>1984</v>
      </c>
      <c r="I458" s="26" t="s">
        <v>1985</v>
      </c>
      <c r="J458" s="19" t="s">
        <v>57</v>
      </c>
      <c r="K458" s="26" t="s">
        <v>1986</v>
      </c>
      <c r="L458" s="26"/>
      <c r="M458" s="27" t="s">
        <v>1261</v>
      </c>
      <c r="N458" s="27" t="str">
        <f t="shared" si="38"/>
        <v>NO</v>
      </c>
      <c r="O458" s="27" t="str">
        <f t="shared" si="39"/>
        <v>🟡</v>
      </c>
      <c r="P458" s="28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9"/>
      <c r="CF458" s="9"/>
      <c r="CG458" s="9"/>
    </row>
    <row r="459" spans="1:85" ht="18" customHeight="1" x14ac:dyDescent="0.3">
      <c r="A459" s="23">
        <f t="shared" si="35"/>
        <v>458</v>
      </c>
      <c r="B459" s="23">
        <f t="shared" si="36"/>
        <v>458</v>
      </c>
      <c r="C459" s="26" t="s">
        <v>1785</v>
      </c>
      <c r="D459" s="26"/>
      <c r="E459" s="27" t="str">
        <f t="shared" si="37"/>
        <v>LATERAL</v>
      </c>
      <c r="F459" s="26" t="s">
        <v>1987</v>
      </c>
      <c r="G459" s="26" t="s">
        <v>68</v>
      </c>
      <c r="H459" s="26" t="s">
        <v>1988</v>
      </c>
      <c r="I459" s="26" t="s">
        <v>612</v>
      </c>
      <c r="J459" s="19" t="s">
        <v>22</v>
      </c>
      <c r="K459" s="26" t="s">
        <v>1989</v>
      </c>
      <c r="L459" s="26"/>
      <c r="M459" s="27" t="s">
        <v>1261</v>
      </c>
      <c r="N459" s="27" t="str">
        <f t="shared" si="38"/>
        <v>NO</v>
      </c>
      <c r="O459" s="27" t="str">
        <f t="shared" si="39"/>
        <v>🟢</v>
      </c>
      <c r="P459" s="28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9"/>
      <c r="CC459" s="9"/>
      <c r="CD459" s="9"/>
      <c r="CE459" s="9"/>
      <c r="CF459" s="9"/>
      <c r="CG459" s="9"/>
    </row>
    <row r="460" spans="1:85" ht="18" customHeight="1" x14ac:dyDescent="0.3">
      <c r="A460" s="23">
        <f t="shared" si="35"/>
        <v>459</v>
      </c>
      <c r="B460" s="23">
        <f t="shared" si="36"/>
        <v>459</v>
      </c>
      <c r="C460" s="26" t="s">
        <v>1785</v>
      </c>
      <c r="D460" s="26" t="s">
        <v>912</v>
      </c>
      <c r="E460" s="27" t="str">
        <f t="shared" si="37"/>
        <v>LATERAL VIP</v>
      </c>
      <c r="F460" s="26" t="s">
        <v>1990</v>
      </c>
      <c r="G460" s="26" t="s">
        <v>1327</v>
      </c>
      <c r="H460" s="26" t="s">
        <v>1991</v>
      </c>
      <c r="I460" s="26" t="s">
        <v>1992</v>
      </c>
      <c r="J460" s="13" t="s">
        <v>22</v>
      </c>
      <c r="K460" s="26" t="s">
        <v>1993</v>
      </c>
      <c r="L460" s="26"/>
      <c r="M460" s="27" t="s">
        <v>659</v>
      </c>
      <c r="N460" s="27" t="str">
        <f t="shared" si="38"/>
        <v>NO</v>
      </c>
      <c r="O460" s="27" t="str">
        <f t="shared" si="39"/>
        <v>🟢</v>
      </c>
      <c r="P460" s="28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9"/>
      <c r="CC460" s="9"/>
      <c r="CD460" s="9"/>
      <c r="CE460" s="9"/>
      <c r="CF460" s="9"/>
      <c r="CG460" s="9"/>
    </row>
    <row r="461" spans="1:85" ht="18" customHeight="1" x14ac:dyDescent="0.3">
      <c r="A461" s="23">
        <f t="shared" si="35"/>
        <v>460</v>
      </c>
      <c r="B461" s="23">
        <f t="shared" si="36"/>
        <v>460</v>
      </c>
      <c r="C461" s="39" t="s">
        <v>1785</v>
      </c>
      <c r="D461" s="39"/>
      <c r="E461" s="40" t="str">
        <f t="shared" si="37"/>
        <v>VIP</v>
      </c>
      <c r="F461" s="26" t="s">
        <v>1994</v>
      </c>
      <c r="G461" s="39" t="s">
        <v>615</v>
      </c>
      <c r="H461" s="39" t="s">
        <v>410</v>
      </c>
      <c r="I461" s="39"/>
      <c r="J461" s="13" t="s">
        <v>22</v>
      </c>
      <c r="K461" s="39" t="s">
        <v>1995</v>
      </c>
      <c r="L461" s="26"/>
      <c r="M461" s="27" t="s">
        <v>24</v>
      </c>
      <c r="N461" s="27" t="str">
        <f t="shared" si="38"/>
        <v>SI</v>
      </c>
      <c r="O461" s="27" t="str">
        <f t="shared" si="39"/>
        <v>🟢</v>
      </c>
      <c r="P461" s="28" t="s">
        <v>350</v>
      </c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9"/>
      <c r="CC461" s="9"/>
      <c r="CD461" s="9"/>
      <c r="CE461" s="9"/>
      <c r="CF461" s="9"/>
      <c r="CG461" s="9"/>
    </row>
    <row r="462" spans="1:85" ht="18" customHeight="1" x14ac:dyDescent="0.3">
      <c r="A462" s="23">
        <f t="shared" si="35"/>
        <v>461</v>
      </c>
      <c r="B462" s="23">
        <f t="shared" si="36"/>
        <v>461</v>
      </c>
      <c r="C462" s="39" t="s">
        <v>1785</v>
      </c>
      <c r="D462" s="39"/>
      <c r="E462" s="40" t="str">
        <f t="shared" si="37"/>
        <v>LATERAL VIP</v>
      </c>
      <c r="F462" s="26" t="s">
        <v>1996</v>
      </c>
      <c r="G462" s="39" t="s">
        <v>1997</v>
      </c>
      <c r="H462" s="39" t="s">
        <v>1447</v>
      </c>
      <c r="I462" s="39"/>
      <c r="J462" s="13" t="s">
        <v>22</v>
      </c>
      <c r="K462" s="39" t="s">
        <v>1998</v>
      </c>
      <c r="L462" s="26"/>
      <c r="M462" s="27" t="s">
        <v>659</v>
      </c>
      <c r="N462" s="27" t="str">
        <f t="shared" si="38"/>
        <v>NO</v>
      </c>
      <c r="O462" s="27" t="str">
        <f t="shared" si="39"/>
        <v>🟢</v>
      </c>
      <c r="P462" s="28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9"/>
      <c r="CC462" s="9"/>
      <c r="CD462" s="9"/>
      <c r="CE462" s="9"/>
      <c r="CF462" s="9"/>
      <c r="CG462" s="9"/>
    </row>
    <row r="463" spans="1:85" ht="18" customHeight="1" x14ac:dyDescent="0.3">
      <c r="A463" s="23">
        <f t="shared" si="35"/>
        <v>462</v>
      </c>
      <c r="B463" s="23">
        <f t="shared" si="36"/>
        <v>462</v>
      </c>
      <c r="C463" s="39" t="s">
        <v>1785</v>
      </c>
      <c r="D463" s="39"/>
      <c r="E463" s="40" t="str">
        <f t="shared" si="37"/>
        <v/>
      </c>
      <c r="F463" s="26" t="s">
        <v>1999</v>
      </c>
      <c r="G463" s="39" t="s">
        <v>1002</v>
      </c>
      <c r="H463" s="39" t="s">
        <v>1794</v>
      </c>
      <c r="I463" s="39"/>
      <c r="J463" s="20" t="s">
        <v>71</v>
      </c>
      <c r="K463" s="39" t="s">
        <v>2000</v>
      </c>
      <c r="L463" s="26"/>
      <c r="M463" s="27" t="s">
        <v>1261</v>
      </c>
      <c r="N463" s="27" t="str">
        <f t="shared" si="38"/>
        <v>NO</v>
      </c>
      <c r="O463" s="27" t="str">
        <f t="shared" si="39"/>
        <v>🔴</v>
      </c>
      <c r="P463" s="28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9"/>
      <c r="CC463" s="9"/>
      <c r="CD463" s="9"/>
      <c r="CE463" s="9"/>
      <c r="CF463" s="9"/>
      <c r="CG463" s="9"/>
    </row>
    <row r="464" spans="1:85" ht="18" customHeight="1" x14ac:dyDescent="0.3">
      <c r="A464" s="23">
        <f t="shared" si="35"/>
        <v>463</v>
      </c>
      <c r="B464" s="23">
        <f t="shared" si="36"/>
        <v>463</v>
      </c>
      <c r="C464" s="39" t="s">
        <v>1785</v>
      </c>
      <c r="D464" s="39"/>
      <c r="E464" s="40" t="str">
        <f t="shared" si="37"/>
        <v/>
      </c>
      <c r="F464" s="26" t="s">
        <v>2001</v>
      </c>
      <c r="G464" s="39" t="s">
        <v>473</v>
      </c>
      <c r="H464" s="39" t="s">
        <v>135</v>
      </c>
      <c r="I464" s="39"/>
      <c r="J464" s="20" t="s">
        <v>71</v>
      </c>
      <c r="K464" s="39" t="s">
        <v>2000</v>
      </c>
      <c r="L464" s="26"/>
      <c r="M464" s="27" t="s">
        <v>1261</v>
      </c>
      <c r="N464" s="27" t="str">
        <f t="shared" si="38"/>
        <v>NO</v>
      </c>
      <c r="O464" s="27" t="str">
        <f t="shared" si="39"/>
        <v>🔴</v>
      </c>
      <c r="P464" s="28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9"/>
      <c r="CC464" s="9"/>
      <c r="CD464" s="9"/>
      <c r="CE464" s="9"/>
      <c r="CF464" s="9"/>
      <c r="CG464" s="9"/>
    </row>
    <row r="465" spans="1:85" ht="18" customHeight="1" x14ac:dyDescent="0.3">
      <c r="A465" s="23">
        <f t="shared" si="35"/>
        <v>464</v>
      </c>
      <c r="B465" s="23">
        <f t="shared" si="36"/>
        <v>464</v>
      </c>
      <c r="C465" s="39" t="s">
        <v>1785</v>
      </c>
      <c r="D465" s="39"/>
      <c r="E465" s="40" t="str">
        <f t="shared" si="37"/>
        <v>LATERAL VIP</v>
      </c>
      <c r="F465" s="26" t="s">
        <v>2002</v>
      </c>
      <c r="G465" s="39" t="s">
        <v>877</v>
      </c>
      <c r="H465" s="39" t="s">
        <v>872</v>
      </c>
      <c r="I465" s="39" t="s">
        <v>1860</v>
      </c>
      <c r="J465" s="13" t="s">
        <v>22</v>
      </c>
      <c r="K465" s="39" t="s">
        <v>2000</v>
      </c>
      <c r="L465" s="26"/>
      <c r="M465" s="27" t="s">
        <v>659</v>
      </c>
      <c r="N465" s="27" t="str">
        <f t="shared" si="38"/>
        <v>NO</v>
      </c>
      <c r="O465" s="27" t="str">
        <f t="shared" si="39"/>
        <v>🟢</v>
      </c>
      <c r="P465" s="28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9"/>
      <c r="CC465" s="9"/>
      <c r="CD465" s="9"/>
      <c r="CE465" s="9"/>
      <c r="CF465" s="9"/>
      <c r="CG465" s="9"/>
    </row>
    <row r="466" spans="1:85" ht="18" customHeight="1" x14ac:dyDescent="0.3">
      <c r="A466" s="23">
        <f t="shared" si="35"/>
        <v>465</v>
      </c>
      <c r="B466" s="23">
        <f t="shared" si="36"/>
        <v>465</v>
      </c>
      <c r="C466" s="39" t="s">
        <v>1785</v>
      </c>
      <c r="D466" s="39"/>
      <c r="E466" s="40" t="str">
        <f t="shared" si="37"/>
        <v>LATERAL VIP</v>
      </c>
      <c r="F466" s="26" t="s">
        <v>2003</v>
      </c>
      <c r="G466" s="39" t="s">
        <v>1459</v>
      </c>
      <c r="H466" s="39" t="s">
        <v>1279</v>
      </c>
      <c r="I466" s="39" t="s">
        <v>2004</v>
      </c>
      <c r="J466" s="13" t="s">
        <v>22</v>
      </c>
      <c r="K466" s="39" t="s">
        <v>2005</v>
      </c>
      <c r="L466" s="26"/>
      <c r="M466" s="27" t="s">
        <v>659</v>
      </c>
      <c r="N466" s="27" t="str">
        <f t="shared" si="38"/>
        <v>NO</v>
      </c>
      <c r="O466" s="27" t="str">
        <f t="shared" si="39"/>
        <v>🟢</v>
      </c>
      <c r="P466" s="28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9"/>
      <c r="CC466" s="9"/>
      <c r="CD466" s="9"/>
      <c r="CE466" s="9"/>
      <c r="CF466" s="9"/>
      <c r="CG466" s="9"/>
    </row>
    <row r="467" spans="1:85" ht="18" customHeight="1" x14ac:dyDescent="0.3">
      <c r="A467" s="23">
        <f t="shared" si="35"/>
        <v>466</v>
      </c>
      <c r="B467" s="23">
        <f t="shared" si="36"/>
        <v>466</v>
      </c>
      <c r="C467" s="39" t="s">
        <v>1785</v>
      </c>
      <c r="D467" s="39"/>
      <c r="E467" s="40" t="str">
        <f t="shared" si="37"/>
        <v>LATERAL VIP</v>
      </c>
      <c r="F467" s="26" t="s">
        <v>2006</v>
      </c>
      <c r="G467" s="39" t="s">
        <v>473</v>
      </c>
      <c r="H467" s="39" t="s">
        <v>2007</v>
      </c>
      <c r="I467" s="39" t="s">
        <v>2008</v>
      </c>
      <c r="J467" s="13" t="s">
        <v>22</v>
      </c>
      <c r="K467" s="39" t="s">
        <v>2009</v>
      </c>
      <c r="L467" s="26"/>
      <c r="M467" s="27" t="s">
        <v>659</v>
      </c>
      <c r="N467" s="27" t="str">
        <f t="shared" si="38"/>
        <v>NO</v>
      </c>
      <c r="O467" s="27" t="str">
        <f t="shared" si="39"/>
        <v>🟢</v>
      </c>
      <c r="P467" s="28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9"/>
      <c r="CC467" s="9"/>
      <c r="CD467" s="9"/>
      <c r="CE467" s="9"/>
      <c r="CF467" s="9"/>
      <c r="CG467" s="9"/>
    </row>
    <row r="468" spans="1:85" ht="18" customHeight="1" x14ac:dyDescent="0.3">
      <c r="A468" s="23">
        <f t="shared" si="35"/>
        <v>467</v>
      </c>
      <c r="B468" s="23">
        <f t="shared" si="36"/>
        <v>467</v>
      </c>
      <c r="C468" s="39" t="s">
        <v>1785</v>
      </c>
      <c r="D468" s="39"/>
      <c r="E468" s="40" t="str">
        <f t="shared" si="37"/>
        <v>LATERAL VIP</v>
      </c>
      <c r="F468" s="26" t="s">
        <v>2010</v>
      </c>
      <c r="G468" s="39" t="s">
        <v>541</v>
      </c>
      <c r="H468" s="39" t="s">
        <v>140</v>
      </c>
      <c r="I468" s="39" t="s">
        <v>2011</v>
      </c>
      <c r="J468" s="13" t="s">
        <v>22</v>
      </c>
      <c r="K468" s="39" t="s">
        <v>2012</v>
      </c>
      <c r="L468" s="26"/>
      <c r="M468" s="27" t="s">
        <v>659</v>
      </c>
      <c r="N468" s="27" t="str">
        <f t="shared" si="38"/>
        <v>NO</v>
      </c>
      <c r="O468" s="27" t="str">
        <f t="shared" si="39"/>
        <v>🟢</v>
      </c>
      <c r="P468" s="28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9"/>
      <c r="CC468" s="9"/>
      <c r="CD468" s="9"/>
      <c r="CE468" s="9"/>
      <c r="CF468" s="9"/>
      <c r="CG468" s="9"/>
    </row>
    <row r="469" spans="1:85" ht="18" customHeight="1" x14ac:dyDescent="0.3">
      <c r="A469" s="23">
        <f t="shared" si="35"/>
        <v>468</v>
      </c>
      <c r="B469" s="23">
        <f t="shared" si="36"/>
        <v>468</v>
      </c>
      <c r="C469" s="26" t="s">
        <v>1785</v>
      </c>
      <c r="D469" s="26"/>
      <c r="E469" s="27" t="str">
        <f t="shared" si="37"/>
        <v>VIP</v>
      </c>
      <c r="F469" s="26" t="s">
        <v>2013</v>
      </c>
      <c r="G469" s="26" t="s">
        <v>478</v>
      </c>
      <c r="H469" s="26" t="s">
        <v>983</v>
      </c>
      <c r="I469" s="26" t="s">
        <v>667</v>
      </c>
      <c r="J469" s="19" t="s">
        <v>57</v>
      </c>
      <c r="K469" s="26" t="s">
        <v>2014</v>
      </c>
      <c r="L469" s="26"/>
      <c r="M469" s="27" t="s">
        <v>24</v>
      </c>
      <c r="N469" s="27" t="str">
        <f t="shared" si="38"/>
        <v>NO</v>
      </c>
      <c r="O469" s="27" t="str">
        <f t="shared" si="39"/>
        <v>🟡</v>
      </c>
      <c r="P469" s="28" t="s">
        <v>1156</v>
      </c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9"/>
      <c r="CC469" s="9"/>
      <c r="CD469" s="9"/>
      <c r="CE469" s="9"/>
      <c r="CF469" s="9"/>
      <c r="CG469" s="9"/>
    </row>
    <row r="470" spans="1:85" ht="18" customHeight="1" x14ac:dyDescent="0.3">
      <c r="A470" s="23">
        <f t="shared" si="35"/>
        <v>469</v>
      </c>
      <c r="B470" s="23">
        <f t="shared" si="36"/>
        <v>469</v>
      </c>
      <c r="C470" s="26" t="s">
        <v>1785</v>
      </c>
      <c r="D470" s="26"/>
      <c r="E470" s="27" t="str">
        <f t="shared" si="37"/>
        <v>LATERAL</v>
      </c>
      <c r="F470" s="26" t="s">
        <v>2015</v>
      </c>
      <c r="G470" s="26" t="s">
        <v>2016</v>
      </c>
      <c r="H470" s="26" t="s">
        <v>2017</v>
      </c>
      <c r="I470" s="26" t="s">
        <v>2018</v>
      </c>
      <c r="J470" s="19" t="s">
        <v>57</v>
      </c>
      <c r="K470" s="26" t="s">
        <v>2019</v>
      </c>
      <c r="L470" s="26"/>
      <c r="M470" s="27" t="s">
        <v>1261</v>
      </c>
      <c r="N470" s="27" t="str">
        <f t="shared" si="38"/>
        <v>NO</v>
      </c>
      <c r="O470" s="27" t="str">
        <f t="shared" si="39"/>
        <v>🟡</v>
      </c>
      <c r="P470" s="28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9"/>
      <c r="CC470" s="9"/>
      <c r="CD470" s="9"/>
      <c r="CE470" s="9"/>
      <c r="CF470" s="9"/>
      <c r="CG470" s="9"/>
    </row>
    <row r="471" spans="1:85" ht="18" customHeight="1" x14ac:dyDescent="0.3">
      <c r="A471" s="23">
        <f t="shared" si="35"/>
        <v>470</v>
      </c>
      <c r="B471" s="23">
        <f t="shared" si="36"/>
        <v>470</v>
      </c>
      <c r="C471" s="26" t="s">
        <v>1785</v>
      </c>
      <c r="D471" s="26"/>
      <c r="E471" s="27" t="str">
        <f t="shared" si="37"/>
        <v>LATERAL</v>
      </c>
      <c r="F471" s="26" t="s">
        <v>2020</v>
      </c>
      <c r="G471" s="26" t="s">
        <v>35</v>
      </c>
      <c r="H471" s="26" t="s">
        <v>2021</v>
      </c>
      <c r="I471" s="26" t="s">
        <v>2022</v>
      </c>
      <c r="J471" s="19" t="s">
        <v>57</v>
      </c>
      <c r="K471" s="26" t="s">
        <v>2023</v>
      </c>
      <c r="L471" s="26"/>
      <c r="M471" s="27" t="s">
        <v>1261</v>
      </c>
      <c r="N471" s="27" t="str">
        <f t="shared" si="38"/>
        <v>NO</v>
      </c>
      <c r="O471" s="27" t="str">
        <f t="shared" si="39"/>
        <v>🟡</v>
      </c>
      <c r="P471" s="28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</row>
    <row r="472" spans="1:85" ht="18" customHeight="1" x14ac:dyDescent="0.3">
      <c r="A472" s="23">
        <f t="shared" si="35"/>
        <v>471</v>
      </c>
      <c r="B472" s="23">
        <f t="shared" si="36"/>
        <v>471</v>
      </c>
      <c r="C472" s="26" t="s">
        <v>1785</v>
      </c>
      <c r="D472" s="26"/>
      <c r="E472" s="27" t="str">
        <f t="shared" si="37"/>
        <v>LATERAL</v>
      </c>
      <c r="F472" s="26" t="s">
        <v>2024</v>
      </c>
      <c r="G472" s="26" t="s">
        <v>120</v>
      </c>
      <c r="H472" s="26" t="s">
        <v>2025</v>
      </c>
      <c r="I472" s="26" t="s">
        <v>2026</v>
      </c>
      <c r="J472" s="19" t="s">
        <v>57</v>
      </c>
      <c r="K472" s="26" t="s">
        <v>2027</v>
      </c>
      <c r="L472" s="26"/>
      <c r="M472" s="27" t="s">
        <v>1261</v>
      </c>
      <c r="N472" s="27" t="str">
        <f t="shared" si="38"/>
        <v>NO</v>
      </c>
      <c r="O472" s="27" t="str">
        <f t="shared" si="39"/>
        <v>🟡</v>
      </c>
      <c r="P472" s="28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</row>
    <row r="473" spans="1:85" ht="18" customHeight="1" x14ac:dyDescent="0.3">
      <c r="A473" s="23">
        <f t="shared" si="35"/>
        <v>472</v>
      </c>
      <c r="B473" s="23">
        <f t="shared" si="36"/>
        <v>472</v>
      </c>
      <c r="C473" s="39" t="s">
        <v>1785</v>
      </c>
      <c r="D473" s="39" t="s">
        <v>670</v>
      </c>
      <c r="E473" s="40" t="str">
        <f t="shared" si="37"/>
        <v>VIP</v>
      </c>
      <c r="F473" s="26" t="s">
        <v>2028</v>
      </c>
      <c r="G473" s="39" t="s">
        <v>473</v>
      </c>
      <c r="H473" s="39" t="s">
        <v>2029</v>
      </c>
      <c r="I473" s="39" t="s">
        <v>784</v>
      </c>
      <c r="J473" s="13" t="s">
        <v>22</v>
      </c>
      <c r="K473" s="39" t="s">
        <v>2030</v>
      </c>
      <c r="L473" s="26"/>
      <c r="M473" s="27" t="s">
        <v>24</v>
      </c>
      <c r="N473" s="27" t="str">
        <f t="shared" si="38"/>
        <v>SI</v>
      </c>
      <c r="O473" s="27" t="str">
        <f t="shared" si="39"/>
        <v>🟢</v>
      </c>
      <c r="P473" s="28" t="s">
        <v>392</v>
      </c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</row>
    <row r="474" spans="1:85" ht="18" customHeight="1" x14ac:dyDescent="0.3">
      <c r="A474" s="23">
        <f t="shared" si="35"/>
        <v>473</v>
      </c>
      <c r="B474" s="23">
        <f t="shared" si="36"/>
        <v>473</v>
      </c>
      <c r="C474" s="39" t="s">
        <v>1785</v>
      </c>
      <c r="D474" s="39" t="s">
        <v>670</v>
      </c>
      <c r="E474" s="40" t="str">
        <f t="shared" si="37"/>
        <v>VIP</v>
      </c>
      <c r="F474" s="26" t="s">
        <v>2031</v>
      </c>
      <c r="G474" s="39" t="s">
        <v>615</v>
      </c>
      <c r="H474" s="39" t="s">
        <v>2029</v>
      </c>
      <c r="I474" s="39" t="s">
        <v>2032</v>
      </c>
      <c r="J474" s="13" t="s">
        <v>22</v>
      </c>
      <c r="K474" s="39" t="s">
        <v>2030</v>
      </c>
      <c r="L474" s="26"/>
      <c r="M474" s="27" t="s">
        <v>24</v>
      </c>
      <c r="N474" s="27" t="str">
        <f t="shared" si="38"/>
        <v>SI</v>
      </c>
      <c r="O474" s="27" t="str">
        <f t="shared" si="39"/>
        <v>🟢</v>
      </c>
      <c r="P474" s="28" t="s">
        <v>397</v>
      </c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9"/>
      <c r="CC474" s="9"/>
      <c r="CD474" s="9"/>
      <c r="CE474" s="9"/>
      <c r="CF474" s="9"/>
      <c r="CG474" s="9"/>
    </row>
    <row r="475" spans="1:85" ht="18" customHeight="1" x14ac:dyDescent="0.3">
      <c r="A475" s="23">
        <f t="shared" si="35"/>
        <v>474</v>
      </c>
      <c r="B475" s="23">
        <f t="shared" si="36"/>
        <v>474</v>
      </c>
      <c r="C475" s="39" t="s">
        <v>1785</v>
      </c>
      <c r="D475" s="39" t="s">
        <v>645</v>
      </c>
      <c r="E475" s="40" t="str">
        <f t="shared" si="37"/>
        <v>LATERAL VIP</v>
      </c>
      <c r="F475" s="26" t="s">
        <v>2033</v>
      </c>
      <c r="G475" s="39" t="s">
        <v>533</v>
      </c>
      <c r="H475" s="39" t="s">
        <v>2034</v>
      </c>
      <c r="I475" s="39" t="s">
        <v>2035</v>
      </c>
      <c r="J475" s="13" t="s">
        <v>22</v>
      </c>
      <c r="K475" s="39" t="s">
        <v>2030</v>
      </c>
      <c r="L475" s="26"/>
      <c r="M475" s="27" t="s">
        <v>659</v>
      </c>
      <c r="N475" s="27" t="str">
        <f t="shared" si="38"/>
        <v>NO</v>
      </c>
      <c r="O475" s="27" t="str">
        <f t="shared" si="39"/>
        <v>🟢</v>
      </c>
      <c r="P475" s="28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9"/>
      <c r="CC475" s="9"/>
      <c r="CD475" s="9"/>
      <c r="CE475" s="9"/>
      <c r="CF475" s="9"/>
      <c r="CG475" s="9"/>
    </row>
    <row r="476" spans="1:85" ht="18" customHeight="1" x14ac:dyDescent="0.3">
      <c r="A476" s="23">
        <f t="shared" si="35"/>
        <v>475</v>
      </c>
      <c r="B476" s="23">
        <f t="shared" si="36"/>
        <v>475</v>
      </c>
      <c r="C476" s="39" t="s">
        <v>1785</v>
      </c>
      <c r="D476" s="39" t="s">
        <v>1391</v>
      </c>
      <c r="E476" s="40" t="str">
        <f t="shared" si="37"/>
        <v>LATERAL VIP</v>
      </c>
      <c r="F476" s="26" t="s">
        <v>2036</v>
      </c>
      <c r="G476" s="39" t="s">
        <v>465</v>
      </c>
      <c r="H476" s="39" t="s">
        <v>1393</v>
      </c>
      <c r="I476" s="39" t="s">
        <v>1394</v>
      </c>
      <c r="J476" s="13" t="s">
        <v>22</v>
      </c>
      <c r="K476" s="39" t="s">
        <v>2030</v>
      </c>
      <c r="L476" s="26"/>
      <c r="M476" s="27" t="s">
        <v>659</v>
      </c>
      <c r="N476" s="27" t="str">
        <f t="shared" si="38"/>
        <v>NO</v>
      </c>
      <c r="O476" s="27" t="str">
        <f t="shared" si="39"/>
        <v>🟢</v>
      </c>
      <c r="P476" s="28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9"/>
      <c r="CC476" s="9"/>
      <c r="CD476" s="9"/>
      <c r="CE476" s="9"/>
      <c r="CF476" s="9"/>
      <c r="CG476" s="9"/>
    </row>
    <row r="477" spans="1:85" ht="18" customHeight="1" x14ac:dyDescent="0.3">
      <c r="A477" s="23">
        <f t="shared" si="35"/>
        <v>476</v>
      </c>
      <c r="B477" s="23">
        <f t="shared" si="36"/>
        <v>476</v>
      </c>
      <c r="C477" s="39" t="s">
        <v>1785</v>
      </c>
      <c r="D477" s="39" t="s">
        <v>2037</v>
      </c>
      <c r="E477" s="40" t="str">
        <f t="shared" si="37"/>
        <v>LATERAL VIP</v>
      </c>
      <c r="F477" s="26" t="s">
        <v>2038</v>
      </c>
      <c r="G477" s="39" t="s">
        <v>554</v>
      </c>
      <c r="H477" s="39" t="s">
        <v>2039</v>
      </c>
      <c r="I477" s="39" t="s">
        <v>2040</v>
      </c>
      <c r="J477" s="13" t="s">
        <v>22</v>
      </c>
      <c r="K477" s="39" t="s">
        <v>2030</v>
      </c>
      <c r="L477" s="26"/>
      <c r="M477" s="27" t="s">
        <v>659</v>
      </c>
      <c r="N477" s="27" t="str">
        <f t="shared" si="38"/>
        <v>NO</v>
      </c>
      <c r="O477" s="27" t="str">
        <f t="shared" si="39"/>
        <v>🟢</v>
      </c>
      <c r="P477" s="28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</row>
    <row r="478" spans="1:85" ht="18" customHeight="1" x14ac:dyDescent="0.3">
      <c r="A478" s="23">
        <f t="shared" si="35"/>
        <v>477</v>
      </c>
      <c r="B478" s="23">
        <f t="shared" si="36"/>
        <v>477</v>
      </c>
      <c r="C478" s="39" t="s">
        <v>1785</v>
      </c>
      <c r="D478" s="39" t="s">
        <v>645</v>
      </c>
      <c r="E478" s="40" t="str">
        <f t="shared" si="37"/>
        <v/>
      </c>
      <c r="F478" s="26" t="s">
        <v>2041</v>
      </c>
      <c r="G478" s="39" t="s">
        <v>1002</v>
      </c>
      <c r="H478" s="39" t="s">
        <v>1063</v>
      </c>
      <c r="I478" s="39" t="s">
        <v>2042</v>
      </c>
      <c r="J478" s="20" t="s">
        <v>71</v>
      </c>
      <c r="K478" s="39" t="s">
        <v>2030</v>
      </c>
      <c r="L478" s="26"/>
      <c r="M478" s="27" t="s">
        <v>24</v>
      </c>
      <c r="N478" s="27" t="str">
        <f t="shared" si="38"/>
        <v>NO</v>
      </c>
      <c r="O478" s="27" t="str">
        <f t="shared" si="39"/>
        <v>🔴</v>
      </c>
      <c r="P478" s="28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</row>
    <row r="479" spans="1:85" ht="18" customHeight="1" x14ac:dyDescent="0.3">
      <c r="A479" s="23">
        <f t="shared" si="35"/>
        <v>478</v>
      </c>
      <c r="B479" s="23">
        <f t="shared" si="36"/>
        <v>478</v>
      </c>
      <c r="C479" s="39" t="s">
        <v>1785</v>
      </c>
      <c r="D479" s="39" t="s">
        <v>645</v>
      </c>
      <c r="E479" s="40" t="str">
        <f t="shared" si="37"/>
        <v/>
      </c>
      <c r="F479" s="26" t="s">
        <v>2043</v>
      </c>
      <c r="G479" s="39" t="s">
        <v>2044</v>
      </c>
      <c r="H479" s="39" t="s">
        <v>172</v>
      </c>
      <c r="I479" s="39" t="s">
        <v>951</v>
      </c>
      <c r="J479" s="19" t="s">
        <v>71</v>
      </c>
      <c r="K479" s="39" t="s">
        <v>2030</v>
      </c>
      <c r="L479" s="26"/>
      <c r="M479" s="27" t="s">
        <v>1261</v>
      </c>
      <c r="N479" s="27" t="str">
        <f t="shared" si="38"/>
        <v>NO</v>
      </c>
      <c r="O479" s="27" t="str">
        <f t="shared" si="39"/>
        <v>🔴</v>
      </c>
      <c r="P479" s="28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9"/>
      <c r="CC479" s="9"/>
      <c r="CD479" s="9"/>
      <c r="CE479" s="9"/>
      <c r="CF479" s="9"/>
      <c r="CG479" s="9"/>
    </row>
    <row r="480" spans="1:85" ht="18" customHeight="1" x14ac:dyDescent="0.3">
      <c r="A480" s="23">
        <f t="shared" si="35"/>
        <v>479</v>
      </c>
      <c r="B480" s="23">
        <f t="shared" si="36"/>
        <v>479</v>
      </c>
      <c r="C480" s="39" t="s">
        <v>1785</v>
      </c>
      <c r="D480" s="39" t="s">
        <v>1410</v>
      </c>
      <c r="E480" s="40" t="str">
        <f t="shared" si="37"/>
        <v>LATERAL VIP</v>
      </c>
      <c r="F480" s="26" t="s">
        <v>2045</v>
      </c>
      <c r="G480" s="39" t="s">
        <v>758</v>
      </c>
      <c r="H480" s="39" t="s">
        <v>2046</v>
      </c>
      <c r="I480" s="39" t="s">
        <v>2047</v>
      </c>
      <c r="J480" s="13" t="s">
        <v>22</v>
      </c>
      <c r="K480" s="39" t="s">
        <v>2030</v>
      </c>
      <c r="L480" s="26"/>
      <c r="M480" s="27" t="s">
        <v>659</v>
      </c>
      <c r="N480" s="27" t="str">
        <f t="shared" si="38"/>
        <v>NO</v>
      </c>
      <c r="O480" s="27" t="str">
        <f t="shared" si="39"/>
        <v>🟢</v>
      </c>
      <c r="P480" s="28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9"/>
      <c r="CC480" s="9"/>
      <c r="CD480" s="9"/>
      <c r="CE480" s="9"/>
      <c r="CF480" s="9"/>
      <c r="CG480" s="9"/>
    </row>
    <row r="481" spans="1:85" ht="18" customHeight="1" x14ac:dyDescent="0.3">
      <c r="A481" s="23">
        <f t="shared" si="35"/>
        <v>480</v>
      </c>
      <c r="B481" s="23">
        <f t="shared" si="36"/>
        <v>480</v>
      </c>
      <c r="C481" s="39" t="s">
        <v>1785</v>
      </c>
      <c r="D481" s="39" t="s">
        <v>1410</v>
      </c>
      <c r="E481" s="40" t="str">
        <f t="shared" si="37"/>
        <v>LATERAL VIP</v>
      </c>
      <c r="F481" s="26" t="s">
        <v>2048</v>
      </c>
      <c r="G481" s="39" t="s">
        <v>399</v>
      </c>
      <c r="H481" s="39" t="s">
        <v>1870</v>
      </c>
      <c r="I481" s="39" t="s">
        <v>1021</v>
      </c>
      <c r="J481" s="13" t="s">
        <v>22</v>
      </c>
      <c r="K481" s="39" t="s">
        <v>2030</v>
      </c>
      <c r="L481" s="26"/>
      <c r="M481" s="27" t="s">
        <v>659</v>
      </c>
      <c r="N481" s="27" t="str">
        <f t="shared" si="38"/>
        <v>NO</v>
      </c>
      <c r="O481" s="27" t="str">
        <f t="shared" si="39"/>
        <v>🟢</v>
      </c>
      <c r="P481" s="28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</row>
    <row r="482" spans="1:85" ht="18" customHeight="1" x14ac:dyDescent="0.3">
      <c r="A482" s="23">
        <f t="shared" si="35"/>
        <v>481</v>
      </c>
      <c r="B482" s="23">
        <f t="shared" si="36"/>
        <v>481</v>
      </c>
      <c r="C482" s="39" t="s">
        <v>1785</v>
      </c>
      <c r="D482" s="39" t="s">
        <v>912</v>
      </c>
      <c r="E482" s="40" t="str">
        <f t="shared" si="37"/>
        <v>LATERAL VIP</v>
      </c>
      <c r="F482" s="26" t="s">
        <v>2049</v>
      </c>
      <c r="G482" s="39" t="s">
        <v>68</v>
      </c>
      <c r="H482" s="39" t="s">
        <v>2050</v>
      </c>
      <c r="I482" s="39" t="s">
        <v>2051</v>
      </c>
      <c r="J482" s="13" t="s">
        <v>22</v>
      </c>
      <c r="K482" s="39" t="s">
        <v>2030</v>
      </c>
      <c r="L482" s="26"/>
      <c r="M482" s="27" t="s">
        <v>659</v>
      </c>
      <c r="N482" s="27" t="str">
        <f t="shared" si="38"/>
        <v>NO</v>
      </c>
      <c r="O482" s="27" t="str">
        <f t="shared" si="39"/>
        <v>🟢</v>
      </c>
      <c r="P482" s="28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9"/>
      <c r="CC482" s="9"/>
      <c r="CD482" s="9"/>
      <c r="CE482" s="9"/>
      <c r="CF482" s="9"/>
      <c r="CG482" s="9"/>
    </row>
    <row r="483" spans="1:85" ht="18" customHeight="1" x14ac:dyDescent="0.3">
      <c r="A483" s="23">
        <f t="shared" si="35"/>
        <v>482</v>
      </c>
      <c r="B483" s="23">
        <f t="shared" si="36"/>
        <v>482</v>
      </c>
      <c r="C483" s="39" t="s">
        <v>1785</v>
      </c>
      <c r="D483" s="39" t="s">
        <v>2052</v>
      </c>
      <c r="E483" s="40" t="str">
        <f t="shared" si="37"/>
        <v/>
      </c>
      <c r="F483" s="26" t="s">
        <v>2053</v>
      </c>
      <c r="G483" s="39" t="s">
        <v>2054</v>
      </c>
      <c r="H483" s="39" t="s">
        <v>1493</v>
      </c>
      <c r="I483" s="39" t="s">
        <v>2055</v>
      </c>
      <c r="J483" s="20" t="s">
        <v>71</v>
      </c>
      <c r="K483" s="39" t="s">
        <v>2030</v>
      </c>
      <c r="L483" s="26"/>
      <c r="M483" s="27" t="s">
        <v>1261</v>
      </c>
      <c r="N483" s="27" t="str">
        <f t="shared" si="38"/>
        <v>NO</v>
      </c>
      <c r="O483" s="27" t="str">
        <f t="shared" si="39"/>
        <v>🔴</v>
      </c>
      <c r="P483" s="28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</row>
    <row r="484" spans="1:85" ht="18" customHeight="1" x14ac:dyDescent="0.3">
      <c r="A484" s="23">
        <f t="shared" si="35"/>
        <v>483</v>
      </c>
      <c r="B484" s="23">
        <f t="shared" si="36"/>
        <v>483</v>
      </c>
      <c r="C484" s="39" t="s">
        <v>1785</v>
      </c>
      <c r="D484" s="39" t="s">
        <v>752</v>
      </c>
      <c r="E484" s="40" t="str">
        <f t="shared" si="37"/>
        <v>LATERAL</v>
      </c>
      <c r="F484" s="26" t="s">
        <v>2056</v>
      </c>
      <c r="G484" s="39" t="s">
        <v>35</v>
      </c>
      <c r="H484" s="39" t="s">
        <v>2057</v>
      </c>
      <c r="I484" s="39" t="s">
        <v>2058</v>
      </c>
      <c r="J484" s="19" t="s">
        <v>57</v>
      </c>
      <c r="K484" s="39" t="s">
        <v>2030</v>
      </c>
      <c r="L484" s="26"/>
      <c r="M484" s="27" t="s">
        <v>1261</v>
      </c>
      <c r="N484" s="27" t="str">
        <f t="shared" si="38"/>
        <v>NO</v>
      </c>
      <c r="O484" s="27" t="str">
        <f t="shared" si="39"/>
        <v>🟡</v>
      </c>
      <c r="P484" s="28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</row>
    <row r="485" spans="1:85" ht="18" customHeight="1" x14ac:dyDescent="0.3">
      <c r="A485" s="23">
        <f t="shared" si="35"/>
        <v>484</v>
      </c>
      <c r="B485" s="23">
        <f t="shared" si="36"/>
        <v>484</v>
      </c>
      <c r="C485" s="39" t="s">
        <v>1785</v>
      </c>
      <c r="D485" s="39" t="s">
        <v>752</v>
      </c>
      <c r="E485" s="40" t="str">
        <f t="shared" si="37"/>
        <v/>
      </c>
      <c r="F485" s="26" t="s">
        <v>2059</v>
      </c>
      <c r="G485" s="39" t="s">
        <v>221</v>
      </c>
      <c r="H485" s="39" t="s">
        <v>2060</v>
      </c>
      <c r="I485" s="39" t="s">
        <v>2061</v>
      </c>
      <c r="J485" s="20" t="s">
        <v>71</v>
      </c>
      <c r="K485" s="39" t="s">
        <v>2030</v>
      </c>
      <c r="L485" s="26"/>
      <c r="M485" s="27" t="s">
        <v>659</v>
      </c>
      <c r="N485" s="27" t="str">
        <f t="shared" si="38"/>
        <v>NO</v>
      </c>
      <c r="O485" s="27" t="str">
        <f t="shared" si="39"/>
        <v>🔴</v>
      </c>
      <c r="P485" s="28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</row>
    <row r="486" spans="1:85" ht="18" customHeight="1" x14ac:dyDescent="0.3">
      <c r="A486" s="23">
        <f t="shared" si="35"/>
        <v>485</v>
      </c>
      <c r="B486" s="23">
        <f t="shared" si="36"/>
        <v>485</v>
      </c>
      <c r="C486" s="39" t="s">
        <v>1785</v>
      </c>
      <c r="D486" s="39"/>
      <c r="E486" s="40" t="str">
        <f t="shared" si="37"/>
        <v>LATERAL VIP</v>
      </c>
      <c r="F486" s="26" t="s">
        <v>2062</v>
      </c>
      <c r="G486" s="39" t="s">
        <v>120</v>
      </c>
      <c r="H486" s="39" t="s">
        <v>1075</v>
      </c>
      <c r="I486" s="39" t="s">
        <v>145</v>
      </c>
      <c r="J486" s="13" t="s">
        <v>22</v>
      </c>
      <c r="K486" s="39" t="s">
        <v>2030</v>
      </c>
      <c r="L486" s="26"/>
      <c r="M486" s="27" t="s">
        <v>659</v>
      </c>
      <c r="N486" s="27" t="str">
        <f t="shared" si="38"/>
        <v>NO</v>
      </c>
      <c r="O486" s="27" t="str">
        <f t="shared" si="39"/>
        <v>🟢</v>
      </c>
      <c r="P486" s="28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9"/>
      <c r="CC486" s="9"/>
      <c r="CD486" s="9"/>
      <c r="CE486" s="9"/>
      <c r="CF486" s="9"/>
      <c r="CG486" s="9"/>
    </row>
    <row r="487" spans="1:85" ht="18" customHeight="1" x14ac:dyDescent="0.3">
      <c r="A487" s="23">
        <f t="shared" si="35"/>
        <v>486</v>
      </c>
      <c r="B487" s="23">
        <f t="shared" si="36"/>
        <v>486</v>
      </c>
      <c r="C487" s="39" t="s">
        <v>1785</v>
      </c>
      <c r="D487" s="39"/>
      <c r="E487" s="40" t="str">
        <f t="shared" si="37"/>
        <v>LATERAL</v>
      </c>
      <c r="F487" s="26" t="s">
        <v>2063</v>
      </c>
      <c r="G487" s="39" t="s">
        <v>1012</v>
      </c>
      <c r="H487" s="39" t="s">
        <v>2064</v>
      </c>
      <c r="I487" s="39" t="s">
        <v>2065</v>
      </c>
      <c r="J487" s="19" t="s">
        <v>57</v>
      </c>
      <c r="K487" s="39" t="s">
        <v>2030</v>
      </c>
      <c r="L487" s="26"/>
      <c r="M487" s="27" t="s">
        <v>1261</v>
      </c>
      <c r="N487" s="27" t="str">
        <f t="shared" si="38"/>
        <v>NO</v>
      </c>
      <c r="O487" s="27" t="str">
        <f t="shared" si="39"/>
        <v>🟡</v>
      </c>
      <c r="P487" s="28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9"/>
      <c r="CC487" s="9"/>
      <c r="CD487" s="9"/>
      <c r="CE487" s="9"/>
      <c r="CF487" s="9"/>
      <c r="CG487" s="9"/>
    </row>
    <row r="488" spans="1:85" ht="18" customHeight="1" x14ac:dyDescent="0.3">
      <c r="A488" s="23">
        <f t="shared" si="35"/>
        <v>487</v>
      </c>
      <c r="B488" s="23">
        <f t="shared" si="36"/>
        <v>487</v>
      </c>
      <c r="C488" s="26" t="s">
        <v>1785</v>
      </c>
      <c r="D488" s="26"/>
      <c r="E488" s="27" t="str">
        <f t="shared" si="37"/>
        <v>VIP</v>
      </c>
      <c r="F488" s="26" t="s">
        <v>2066</v>
      </c>
      <c r="G488" s="26" t="s">
        <v>1140</v>
      </c>
      <c r="H488" s="26" t="s">
        <v>70</v>
      </c>
      <c r="I488" s="26"/>
      <c r="J488" s="13" t="s">
        <v>22</v>
      </c>
      <c r="K488" s="26" t="s">
        <v>2067</v>
      </c>
      <c r="L488" s="26"/>
      <c r="M488" s="27" t="s">
        <v>24</v>
      </c>
      <c r="N488" s="27" t="str">
        <f t="shared" si="38"/>
        <v>SI</v>
      </c>
      <c r="O488" s="27" t="str">
        <f t="shared" si="39"/>
        <v>🟢</v>
      </c>
      <c r="P488" s="28" t="s">
        <v>431</v>
      </c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9"/>
      <c r="CC488" s="9"/>
      <c r="CD488" s="9"/>
      <c r="CE488" s="9"/>
      <c r="CF488" s="9"/>
      <c r="CG488" s="9"/>
    </row>
    <row r="489" spans="1:85" ht="18" customHeight="1" x14ac:dyDescent="0.3">
      <c r="A489" s="23">
        <f t="shared" si="35"/>
        <v>488</v>
      </c>
      <c r="B489" s="23">
        <f t="shared" si="36"/>
        <v>488</v>
      </c>
      <c r="C489" s="26" t="s">
        <v>1785</v>
      </c>
      <c r="D489" s="26"/>
      <c r="E489" s="27" t="str">
        <f t="shared" si="37"/>
        <v>VIP</v>
      </c>
      <c r="F489" s="26" t="s">
        <v>2068</v>
      </c>
      <c r="G489" s="26" t="s">
        <v>2069</v>
      </c>
      <c r="H489" s="26" t="s">
        <v>2070</v>
      </c>
      <c r="I489" s="26"/>
      <c r="J489" s="19" t="s">
        <v>57</v>
      </c>
      <c r="K489" s="26" t="s">
        <v>2071</v>
      </c>
      <c r="L489" s="26"/>
      <c r="M489" s="27" t="s">
        <v>24</v>
      </c>
      <c r="N489" s="27" t="str">
        <f t="shared" si="38"/>
        <v>NO</v>
      </c>
      <c r="O489" s="27" t="str">
        <f t="shared" si="39"/>
        <v>🟡</v>
      </c>
      <c r="P489" s="28" t="s">
        <v>1156</v>
      </c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9"/>
      <c r="CC489" s="9"/>
      <c r="CD489" s="9"/>
      <c r="CE489" s="9"/>
      <c r="CF489" s="9"/>
      <c r="CG489" s="9"/>
    </row>
    <row r="490" spans="1:85" ht="18" customHeight="1" x14ac:dyDescent="0.3">
      <c r="A490" s="23">
        <f t="shared" si="35"/>
        <v>489</v>
      </c>
      <c r="B490" s="23">
        <f t="shared" si="36"/>
        <v>489</v>
      </c>
      <c r="C490" s="39" t="s">
        <v>1785</v>
      </c>
      <c r="D490" s="39"/>
      <c r="E490" s="40" t="str">
        <f t="shared" si="37"/>
        <v>VIP</v>
      </c>
      <c r="F490" s="26" t="s">
        <v>2072</v>
      </c>
      <c r="G490" s="39" t="s">
        <v>2073</v>
      </c>
      <c r="H490" s="39" t="s">
        <v>172</v>
      </c>
      <c r="I490" s="39"/>
      <c r="J490" s="19" t="s">
        <v>22</v>
      </c>
      <c r="K490" s="39" t="s">
        <v>2074</v>
      </c>
      <c r="L490" s="26"/>
      <c r="M490" s="27" t="s">
        <v>24</v>
      </c>
      <c r="N490" s="27" t="str">
        <f t="shared" si="38"/>
        <v>SI</v>
      </c>
      <c r="O490" s="27" t="str">
        <f t="shared" si="39"/>
        <v>🟢</v>
      </c>
      <c r="P490" s="28" t="s">
        <v>1156</v>
      </c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9"/>
      <c r="CC490" s="9"/>
      <c r="CD490" s="9"/>
      <c r="CE490" s="9"/>
      <c r="CF490" s="9"/>
      <c r="CG490" s="9"/>
    </row>
    <row r="491" spans="1:85" ht="18" customHeight="1" x14ac:dyDescent="0.3">
      <c r="A491" s="23">
        <f t="shared" si="35"/>
        <v>490</v>
      </c>
      <c r="B491" s="23">
        <f t="shared" si="36"/>
        <v>490</v>
      </c>
      <c r="C491" s="39" t="s">
        <v>1785</v>
      </c>
      <c r="D491" s="26" t="s">
        <v>670</v>
      </c>
      <c r="E491" s="27" t="str">
        <f t="shared" si="37"/>
        <v>VIP</v>
      </c>
      <c r="F491" s="26" t="s">
        <v>2075</v>
      </c>
      <c r="G491" s="26" t="s">
        <v>2076</v>
      </c>
      <c r="H491" s="26" t="s">
        <v>145</v>
      </c>
      <c r="I491" s="26"/>
      <c r="J491" s="13" t="s">
        <v>22</v>
      </c>
      <c r="K491" s="26" t="s">
        <v>2077</v>
      </c>
      <c r="L491" s="26"/>
      <c r="M491" s="27" t="s">
        <v>24</v>
      </c>
      <c r="N491" s="27" t="str">
        <f t="shared" si="38"/>
        <v>SI</v>
      </c>
      <c r="O491" s="27" t="str">
        <f t="shared" si="39"/>
        <v>🟢</v>
      </c>
      <c r="P491" s="28" t="s">
        <v>447</v>
      </c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9"/>
      <c r="CC491" s="9"/>
      <c r="CD491" s="9"/>
      <c r="CE491" s="9"/>
      <c r="CF491" s="9"/>
      <c r="CG491" s="9"/>
    </row>
    <row r="492" spans="1:85" ht="18" customHeight="1" x14ac:dyDescent="0.3">
      <c r="A492" s="23">
        <f t="shared" si="35"/>
        <v>491</v>
      </c>
      <c r="B492" s="23">
        <f t="shared" si="36"/>
        <v>491</v>
      </c>
      <c r="C492" s="39" t="s">
        <v>1785</v>
      </c>
      <c r="D492" s="26" t="s">
        <v>46</v>
      </c>
      <c r="E492" s="27" t="str">
        <f t="shared" si="37"/>
        <v>VIP</v>
      </c>
      <c r="F492" s="26" t="s">
        <v>2078</v>
      </c>
      <c r="G492" s="26" t="s">
        <v>2079</v>
      </c>
      <c r="H492" s="26" t="s">
        <v>1794</v>
      </c>
      <c r="I492" s="26" t="s">
        <v>2080</v>
      </c>
      <c r="J492" s="13" t="s">
        <v>22</v>
      </c>
      <c r="K492" s="26" t="s">
        <v>2081</v>
      </c>
      <c r="L492" s="26"/>
      <c r="M492" s="27" t="s">
        <v>24</v>
      </c>
      <c r="N492" s="27" t="str">
        <f t="shared" si="38"/>
        <v>SI</v>
      </c>
      <c r="O492" s="27" t="str">
        <f t="shared" si="39"/>
        <v>🟢</v>
      </c>
      <c r="P492" s="28" t="s">
        <v>463</v>
      </c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9"/>
      <c r="CC492" s="9"/>
      <c r="CD492" s="9"/>
      <c r="CE492" s="9"/>
      <c r="CF492" s="9"/>
      <c r="CG492" s="9"/>
    </row>
    <row r="493" spans="1:85" ht="18" customHeight="1" x14ac:dyDescent="0.3">
      <c r="A493" s="23">
        <f t="shared" si="35"/>
        <v>492</v>
      </c>
      <c r="B493" s="23">
        <f t="shared" si="36"/>
        <v>492</v>
      </c>
      <c r="C493" s="39" t="s">
        <v>1785</v>
      </c>
      <c r="D493" s="39"/>
      <c r="E493" s="40" t="str">
        <f t="shared" si="37"/>
        <v>LATERAL VIP</v>
      </c>
      <c r="F493" s="26" t="s">
        <v>2082</v>
      </c>
      <c r="G493" s="39" t="s">
        <v>2083</v>
      </c>
      <c r="H493" s="39" t="s">
        <v>2084</v>
      </c>
      <c r="I493" s="39"/>
      <c r="J493" s="13" t="s">
        <v>22</v>
      </c>
      <c r="K493" s="39" t="s">
        <v>2085</v>
      </c>
      <c r="L493" s="26"/>
      <c r="M493" s="27" t="s">
        <v>659</v>
      </c>
      <c r="N493" s="27" t="str">
        <f t="shared" si="38"/>
        <v>NO</v>
      </c>
      <c r="O493" s="27" t="str">
        <f t="shared" si="39"/>
        <v>🟢</v>
      </c>
      <c r="P493" s="28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9"/>
      <c r="CC493" s="9"/>
      <c r="CD493" s="9"/>
      <c r="CE493" s="9"/>
      <c r="CF493" s="9"/>
      <c r="CG493" s="9"/>
    </row>
    <row r="494" spans="1:85" ht="18" customHeight="1" x14ac:dyDescent="0.3">
      <c r="A494" s="23">
        <f t="shared" si="35"/>
        <v>493</v>
      </c>
      <c r="B494" s="23">
        <f t="shared" si="36"/>
        <v>493</v>
      </c>
      <c r="C494" s="39" t="s">
        <v>1785</v>
      </c>
      <c r="D494" s="39"/>
      <c r="E494" s="40" t="str">
        <f t="shared" si="37"/>
        <v>LATERAL</v>
      </c>
      <c r="F494" s="26" t="s">
        <v>2086</v>
      </c>
      <c r="G494" s="39" t="s">
        <v>1558</v>
      </c>
      <c r="H494" s="39" t="s">
        <v>2087</v>
      </c>
      <c r="I494" s="39"/>
      <c r="J494" s="19" t="s">
        <v>22</v>
      </c>
      <c r="K494" s="39" t="s">
        <v>2088</v>
      </c>
      <c r="L494" s="26"/>
      <c r="M494" s="27" t="s">
        <v>1261</v>
      </c>
      <c r="N494" s="27" t="str">
        <f t="shared" si="38"/>
        <v>NO</v>
      </c>
      <c r="O494" s="27" t="str">
        <f t="shared" si="39"/>
        <v>🟢</v>
      </c>
      <c r="P494" s="28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9"/>
      <c r="CC494" s="9"/>
      <c r="CD494" s="9"/>
      <c r="CE494" s="9"/>
      <c r="CF494" s="9"/>
      <c r="CG494" s="9"/>
    </row>
    <row r="495" spans="1:85" ht="18" customHeight="1" x14ac:dyDescent="0.3">
      <c r="A495" s="23">
        <f t="shared" si="35"/>
        <v>494</v>
      </c>
      <c r="B495" s="23">
        <f t="shared" si="36"/>
        <v>494</v>
      </c>
      <c r="C495" s="39" t="s">
        <v>1785</v>
      </c>
      <c r="D495" s="39"/>
      <c r="E495" s="40" t="str">
        <f t="shared" si="37"/>
        <v>LATERAL</v>
      </c>
      <c r="F495" s="26" t="s">
        <v>2089</v>
      </c>
      <c r="G495" s="39" t="s">
        <v>1147</v>
      </c>
      <c r="H495" s="39" t="s">
        <v>2090</v>
      </c>
      <c r="I495" s="39" t="s">
        <v>2091</v>
      </c>
      <c r="J495" s="19" t="s">
        <v>22</v>
      </c>
      <c r="K495" s="39" t="s">
        <v>2092</v>
      </c>
      <c r="L495" s="26"/>
      <c r="M495" s="27" t="s">
        <v>1261</v>
      </c>
      <c r="N495" s="27" t="str">
        <f t="shared" si="38"/>
        <v>NO</v>
      </c>
      <c r="O495" s="27" t="str">
        <f t="shared" si="39"/>
        <v>🟢</v>
      </c>
      <c r="P495" s="28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</row>
    <row r="496" spans="1:85" ht="18" customHeight="1" x14ac:dyDescent="0.3">
      <c r="A496" s="23">
        <f t="shared" si="35"/>
        <v>495</v>
      </c>
      <c r="B496" s="23">
        <f t="shared" si="36"/>
        <v>495</v>
      </c>
      <c r="C496" s="39" t="s">
        <v>1785</v>
      </c>
      <c r="D496" s="39"/>
      <c r="E496" s="40" t="str">
        <f t="shared" si="37"/>
        <v>LATERAL</v>
      </c>
      <c r="F496" s="26" t="s">
        <v>2093</v>
      </c>
      <c r="G496" s="39" t="s">
        <v>473</v>
      </c>
      <c r="H496" s="39" t="s">
        <v>2094</v>
      </c>
      <c r="I496" s="39"/>
      <c r="J496" s="19" t="s">
        <v>22</v>
      </c>
      <c r="K496" s="39" t="s">
        <v>2095</v>
      </c>
      <c r="L496" s="26"/>
      <c r="M496" s="27" t="s">
        <v>1261</v>
      </c>
      <c r="N496" s="27" t="str">
        <f t="shared" si="38"/>
        <v>NO</v>
      </c>
      <c r="O496" s="27" t="str">
        <f t="shared" si="39"/>
        <v>🟢</v>
      </c>
      <c r="P496" s="28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</row>
    <row r="497" spans="1:85" ht="18" customHeight="1" x14ac:dyDescent="0.3">
      <c r="A497" s="23">
        <f t="shared" si="35"/>
        <v>496</v>
      </c>
      <c r="B497" s="23">
        <f t="shared" si="36"/>
        <v>496</v>
      </c>
      <c r="C497" s="39" t="s">
        <v>1785</v>
      </c>
      <c r="D497" s="26"/>
      <c r="E497" s="27" t="s">
        <v>659</v>
      </c>
      <c r="F497" s="26" t="s">
        <v>2097</v>
      </c>
      <c r="G497" s="26" t="s">
        <v>2098</v>
      </c>
      <c r="H497" s="26" t="s">
        <v>2099</v>
      </c>
      <c r="I497" s="26"/>
      <c r="J497" s="19" t="s">
        <v>22</v>
      </c>
      <c r="K497" s="26" t="s">
        <v>2096</v>
      </c>
      <c r="L497" s="26"/>
      <c r="M497" s="27"/>
      <c r="N497" s="27" t="str">
        <f t="shared" si="38"/>
        <v>NO</v>
      </c>
      <c r="O497" s="27" t="str">
        <f t="shared" si="39"/>
        <v>🟢</v>
      </c>
      <c r="P497" s="28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</row>
    <row r="498" spans="1:85" ht="18" customHeight="1" x14ac:dyDescent="0.3">
      <c r="A498" s="23">
        <f t="shared" si="35"/>
        <v>497</v>
      </c>
      <c r="B498" s="23">
        <f t="shared" si="36"/>
        <v>497</v>
      </c>
      <c r="C498" s="39" t="s">
        <v>1785</v>
      </c>
      <c r="D498" s="39"/>
      <c r="E498" s="40" t="str">
        <f t="shared" si="37"/>
        <v>LATERAL</v>
      </c>
      <c r="F498" s="26" t="s">
        <v>2100</v>
      </c>
      <c r="G498" s="39" t="s">
        <v>528</v>
      </c>
      <c r="H498" s="39" t="s">
        <v>2101</v>
      </c>
      <c r="I498" s="39" t="s">
        <v>2102</v>
      </c>
      <c r="J498" s="19" t="s">
        <v>22</v>
      </c>
      <c r="K498" s="39" t="s">
        <v>2103</v>
      </c>
      <c r="L498" s="26"/>
      <c r="M498" s="27" t="s">
        <v>1261</v>
      </c>
      <c r="N498" s="27" t="str">
        <f t="shared" si="38"/>
        <v>NO</v>
      </c>
      <c r="O498" s="27" t="str">
        <f t="shared" si="39"/>
        <v>🟢</v>
      </c>
      <c r="P498" s="28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</row>
    <row r="499" spans="1:85" ht="18" customHeight="1" x14ac:dyDescent="0.3">
      <c r="A499" s="23">
        <f t="shared" si="35"/>
        <v>498</v>
      </c>
      <c r="B499" s="23">
        <f t="shared" si="36"/>
        <v>498</v>
      </c>
      <c r="C499" s="39" t="s">
        <v>1785</v>
      </c>
      <c r="D499" s="26"/>
      <c r="E499" s="27" t="str">
        <f t="shared" si="37"/>
        <v>LATERAL VIP</v>
      </c>
      <c r="F499" s="26" t="s">
        <v>2104</v>
      </c>
      <c r="G499" s="26" t="s">
        <v>758</v>
      </c>
      <c r="H499" s="26" t="s">
        <v>2105</v>
      </c>
      <c r="I499" s="26" t="s">
        <v>2106</v>
      </c>
      <c r="J499" s="13" t="s">
        <v>22</v>
      </c>
      <c r="K499" s="16" t="s">
        <v>2107</v>
      </c>
      <c r="L499" s="26"/>
      <c r="M499" s="27" t="s">
        <v>659</v>
      </c>
      <c r="N499" s="27" t="str">
        <f t="shared" si="38"/>
        <v>NO</v>
      </c>
      <c r="O499" s="27" t="str">
        <f t="shared" si="39"/>
        <v>🟢</v>
      </c>
      <c r="P499" s="28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</row>
    <row r="500" spans="1:85" ht="18" customHeight="1" x14ac:dyDescent="0.3">
      <c r="A500" s="23">
        <f t="shared" si="35"/>
        <v>499</v>
      </c>
      <c r="B500" s="23">
        <f t="shared" si="36"/>
        <v>499</v>
      </c>
      <c r="C500" s="39" t="s">
        <v>1785</v>
      </c>
      <c r="D500" s="39"/>
      <c r="E500" s="40" t="str">
        <f t="shared" si="37"/>
        <v>LATERAL</v>
      </c>
      <c r="F500" s="26" t="s">
        <v>2108</v>
      </c>
      <c r="G500" s="39" t="s">
        <v>1103</v>
      </c>
      <c r="H500" s="39" t="s">
        <v>2109</v>
      </c>
      <c r="I500" s="39" t="s">
        <v>99</v>
      </c>
      <c r="J500" s="19" t="s">
        <v>57</v>
      </c>
      <c r="K500" s="39" t="s">
        <v>2110</v>
      </c>
      <c r="L500" s="26"/>
      <c r="M500" s="27" t="s">
        <v>1261</v>
      </c>
      <c r="N500" s="27" t="str">
        <f t="shared" si="38"/>
        <v>NO</v>
      </c>
      <c r="O500" s="27" t="str">
        <f t="shared" si="39"/>
        <v>🟡</v>
      </c>
      <c r="P500" s="28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</row>
    <row r="501" spans="1:85" ht="18" customHeight="1" x14ac:dyDescent="0.3">
      <c r="A501" s="23">
        <f t="shared" si="35"/>
        <v>500</v>
      </c>
      <c r="B501" s="23">
        <f t="shared" si="36"/>
        <v>500</v>
      </c>
      <c r="C501" s="39" t="s">
        <v>1785</v>
      </c>
      <c r="D501" s="26"/>
      <c r="E501" s="27" t="str">
        <f t="shared" si="37"/>
        <v>LATERAL</v>
      </c>
      <c r="F501" s="26" t="s">
        <v>2111</v>
      </c>
      <c r="G501" s="26" t="s">
        <v>2112</v>
      </c>
      <c r="H501" s="26" t="s">
        <v>43</v>
      </c>
      <c r="I501" s="26" t="s">
        <v>2113</v>
      </c>
      <c r="J501" s="19" t="s">
        <v>57</v>
      </c>
      <c r="K501" s="16" t="s">
        <v>2114</v>
      </c>
      <c r="L501" s="26"/>
      <c r="M501" s="27" t="s">
        <v>1261</v>
      </c>
      <c r="N501" s="27" t="str">
        <f t="shared" si="38"/>
        <v>NO</v>
      </c>
      <c r="O501" s="27" t="str">
        <f t="shared" si="39"/>
        <v>🟡</v>
      </c>
      <c r="P501" s="28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</row>
    <row r="502" spans="1:85" ht="18" customHeight="1" x14ac:dyDescent="0.3">
      <c r="A502" s="23">
        <f t="shared" si="35"/>
        <v>501</v>
      </c>
      <c r="B502" s="23">
        <f t="shared" si="36"/>
        <v>501</v>
      </c>
      <c r="C502" s="39" t="s">
        <v>1785</v>
      </c>
      <c r="D502" s="39"/>
      <c r="E502" s="40" t="str">
        <f t="shared" si="37"/>
        <v>LATERAL VIP</v>
      </c>
      <c r="F502" s="26" t="s">
        <v>2115</v>
      </c>
      <c r="G502" s="39" t="s">
        <v>519</v>
      </c>
      <c r="H502" s="39" t="s">
        <v>2116</v>
      </c>
      <c r="I502" s="39" t="s">
        <v>2117</v>
      </c>
      <c r="J502" s="13" t="s">
        <v>22</v>
      </c>
      <c r="K502" s="39" t="s">
        <v>2118</v>
      </c>
      <c r="L502" s="26"/>
      <c r="M502" s="27" t="s">
        <v>659</v>
      </c>
      <c r="N502" s="27" t="str">
        <f t="shared" si="38"/>
        <v>NO</v>
      </c>
      <c r="O502" s="27" t="str">
        <f t="shared" si="39"/>
        <v>🟢</v>
      </c>
      <c r="P502" s="28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</row>
    <row r="503" spans="1:85" ht="18" customHeight="1" x14ac:dyDescent="0.3">
      <c r="A503" s="23">
        <f t="shared" si="35"/>
        <v>502</v>
      </c>
      <c r="B503" s="23">
        <f t="shared" si="36"/>
        <v>502</v>
      </c>
      <c r="C503" s="39" t="s">
        <v>1785</v>
      </c>
      <c r="D503" s="26"/>
      <c r="E503" s="27" t="str">
        <f t="shared" si="37"/>
        <v>LATERAL</v>
      </c>
      <c r="F503" s="26" t="s">
        <v>2119</v>
      </c>
      <c r="G503" s="26" t="s">
        <v>2120</v>
      </c>
      <c r="H503" s="26" t="s">
        <v>2121</v>
      </c>
      <c r="I503" s="26" t="s">
        <v>2122</v>
      </c>
      <c r="J503" s="19" t="s">
        <v>57</v>
      </c>
      <c r="K503" s="16" t="s">
        <v>2123</v>
      </c>
      <c r="L503" s="26"/>
      <c r="M503" s="27" t="s">
        <v>1261</v>
      </c>
      <c r="N503" s="27" t="str">
        <f t="shared" si="38"/>
        <v>NO</v>
      </c>
      <c r="O503" s="27" t="str">
        <f t="shared" si="39"/>
        <v>🟡</v>
      </c>
      <c r="P503" s="28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9"/>
      <c r="CC503" s="9"/>
      <c r="CD503" s="9"/>
      <c r="CE503" s="9"/>
      <c r="CF503" s="9"/>
      <c r="CG503" s="9"/>
    </row>
    <row r="504" spans="1:85" ht="18" customHeight="1" x14ac:dyDescent="0.3">
      <c r="A504" s="23">
        <f t="shared" si="35"/>
        <v>503</v>
      </c>
      <c r="B504" s="23">
        <f t="shared" si="36"/>
        <v>503</v>
      </c>
      <c r="C504" s="39" t="s">
        <v>1785</v>
      </c>
      <c r="D504" s="39"/>
      <c r="E504" s="40" t="str">
        <f t="shared" si="37"/>
        <v>LATERAL</v>
      </c>
      <c r="F504" s="26" t="s">
        <v>2124</v>
      </c>
      <c r="G504" s="39" t="s">
        <v>2120</v>
      </c>
      <c r="H504" s="39" t="s">
        <v>410</v>
      </c>
      <c r="I504" s="39" t="s">
        <v>951</v>
      </c>
      <c r="J504" s="19" t="s">
        <v>57</v>
      </c>
      <c r="K504" s="39" t="s">
        <v>2125</v>
      </c>
      <c r="L504" s="26"/>
      <c r="M504" s="27" t="s">
        <v>1261</v>
      </c>
      <c r="N504" s="27" t="str">
        <f t="shared" si="38"/>
        <v>NO</v>
      </c>
      <c r="O504" s="27" t="str">
        <f t="shared" si="39"/>
        <v>🟡</v>
      </c>
      <c r="P504" s="28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</row>
    <row r="505" spans="1:85" ht="18" customHeight="1" x14ac:dyDescent="0.3">
      <c r="A505" s="23">
        <f t="shared" si="35"/>
        <v>504</v>
      </c>
      <c r="B505" s="23">
        <f t="shared" si="36"/>
        <v>504</v>
      </c>
      <c r="C505" s="39" t="s">
        <v>1785</v>
      </c>
      <c r="D505" s="26"/>
      <c r="E505" s="27" t="str">
        <f t="shared" si="37"/>
        <v>LATERAL</v>
      </c>
      <c r="F505" s="26" t="s">
        <v>2126</v>
      </c>
      <c r="G505" s="26" t="s">
        <v>2127</v>
      </c>
      <c r="H505" s="26" t="s">
        <v>2128</v>
      </c>
      <c r="I505" s="26" t="s">
        <v>969</v>
      </c>
      <c r="J505" s="19" t="s">
        <v>57</v>
      </c>
      <c r="K505" s="16" t="s">
        <v>2129</v>
      </c>
      <c r="L505" s="26"/>
      <c r="M505" s="27" t="s">
        <v>1261</v>
      </c>
      <c r="N505" s="27" t="str">
        <f t="shared" si="38"/>
        <v>NO</v>
      </c>
      <c r="O505" s="27" t="str">
        <f t="shared" si="39"/>
        <v>🟡</v>
      </c>
      <c r="P505" s="28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</row>
    <row r="506" spans="1:85" ht="18" customHeight="1" x14ac:dyDescent="0.3">
      <c r="A506" s="23">
        <f t="shared" si="35"/>
        <v>505</v>
      </c>
      <c r="B506" s="23">
        <f t="shared" si="36"/>
        <v>505</v>
      </c>
      <c r="C506" s="39" t="s">
        <v>1785</v>
      </c>
      <c r="D506" s="39"/>
      <c r="E506" s="40" t="str">
        <f t="shared" si="37"/>
        <v/>
      </c>
      <c r="F506" s="26" t="s">
        <v>2130</v>
      </c>
      <c r="G506" s="39" t="s">
        <v>2131</v>
      </c>
      <c r="H506" s="39" t="s">
        <v>2132</v>
      </c>
      <c r="I506" s="39"/>
      <c r="J506" s="20" t="s">
        <v>71</v>
      </c>
      <c r="K506" s="39" t="s">
        <v>2133</v>
      </c>
      <c r="L506" s="26"/>
      <c r="M506" s="27" t="s">
        <v>1261</v>
      </c>
      <c r="N506" s="27" t="str">
        <f t="shared" si="38"/>
        <v>NO</v>
      </c>
      <c r="O506" s="27" t="str">
        <f t="shared" si="39"/>
        <v>🔴</v>
      </c>
      <c r="P506" s="28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</row>
    <row r="507" spans="1:85" ht="18" customHeight="1" x14ac:dyDescent="0.3">
      <c r="A507" s="23">
        <f t="shared" si="35"/>
        <v>506</v>
      </c>
      <c r="B507" s="23">
        <f t="shared" si="36"/>
        <v>506</v>
      </c>
      <c r="C507" s="26" t="s">
        <v>1785</v>
      </c>
      <c r="D507" s="26"/>
      <c r="E507" s="27" t="str">
        <f t="shared" si="37"/>
        <v/>
      </c>
      <c r="F507" s="26" t="s">
        <v>2134</v>
      </c>
      <c r="G507" s="26" t="s">
        <v>562</v>
      </c>
      <c r="H507" s="26" t="s">
        <v>490</v>
      </c>
      <c r="I507" s="26" t="s">
        <v>2135</v>
      </c>
      <c r="J507" s="20" t="s">
        <v>71</v>
      </c>
      <c r="K507" s="26" t="s">
        <v>2136</v>
      </c>
      <c r="L507" s="26"/>
      <c r="M507" s="27"/>
      <c r="N507" s="27" t="str">
        <f t="shared" si="38"/>
        <v>NO</v>
      </c>
      <c r="O507" s="27" t="str">
        <f t="shared" si="39"/>
        <v>🔴</v>
      </c>
      <c r="P507" s="28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</row>
    <row r="508" spans="1:85" ht="18" customHeight="1" x14ac:dyDescent="0.3">
      <c r="A508" s="23">
        <f t="shared" si="35"/>
        <v>507</v>
      </c>
      <c r="B508" s="23">
        <f t="shared" si="36"/>
        <v>507</v>
      </c>
      <c r="C508" s="39" t="s">
        <v>1785</v>
      </c>
      <c r="D508" s="39"/>
      <c r="E508" s="40" t="str">
        <f t="shared" si="37"/>
        <v/>
      </c>
      <c r="F508" s="26" t="s">
        <v>2137</v>
      </c>
      <c r="G508" s="39" t="s">
        <v>2138</v>
      </c>
      <c r="H508" s="39" t="s">
        <v>2139</v>
      </c>
      <c r="I508" s="39" t="s">
        <v>2140</v>
      </c>
      <c r="J508" s="20" t="s">
        <v>71</v>
      </c>
      <c r="K508" s="39" t="s">
        <v>2141</v>
      </c>
      <c r="L508" s="26"/>
      <c r="M508" s="27"/>
      <c r="N508" s="27" t="str">
        <f t="shared" si="38"/>
        <v>NO</v>
      </c>
      <c r="O508" s="27" t="str">
        <f t="shared" si="39"/>
        <v>🔴</v>
      </c>
      <c r="P508" s="28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</row>
    <row r="509" spans="1:85" ht="18" customHeight="1" x14ac:dyDescent="0.3">
      <c r="A509" s="23">
        <f t="shared" si="35"/>
        <v>508</v>
      </c>
      <c r="B509" s="23">
        <f t="shared" si="36"/>
        <v>508</v>
      </c>
      <c r="C509" s="39" t="s">
        <v>1785</v>
      </c>
      <c r="D509" s="39" t="s">
        <v>670</v>
      </c>
      <c r="E509" s="40" t="str">
        <f t="shared" si="37"/>
        <v>VIP</v>
      </c>
      <c r="F509" s="26" t="s">
        <v>2142</v>
      </c>
      <c r="G509" s="39" t="s">
        <v>120</v>
      </c>
      <c r="H509" s="39" t="s">
        <v>2143</v>
      </c>
      <c r="I509" s="39"/>
      <c r="J509" s="13" t="s">
        <v>22</v>
      </c>
      <c r="K509" s="39" t="s">
        <v>2144</v>
      </c>
      <c r="L509" s="26"/>
      <c r="M509" s="27" t="s">
        <v>24</v>
      </c>
      <c r="N509" s="27" t="str">
        <f t="shared" si="38"/>
        <v>SI</v>
      </c>
      <c r="O509" s="27" t="str">
        <f t="shared" si="39"/>
        <v>🟢</v>
      </c>
      <c r="P509" s="28" t="s">
        <v>471</v>
      </c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9"/>
      <c r="CC509" s="9"/>
      <c r="CD509" s="9"/>
      <c r="CE509" s="9"/>
      <c r="CF509" s="9"/>
      <c r="CG509" s="9"/>
    </row>
    <row r="510" spans="1:85" ht="18" customHeight="1" x14ac:dyDescent="0.3">
      <c r="A510" s="23">
        <f t="shared" si="35"/>
        <v>509</v>
      </c>
      <c r="B510" s="23">
        <f t="shared" si="36"/>
        <v>509</v>
      </c>
      <c r="C510" s="39" t="s">
        <v>1785</v>
      </c>
      <c r="D510" s="39" t="s">
        <v>2145</v>
      </c>
      <c r="E510" s="40" t="str">
        <f t="shared" si="37"/>
        <v>LATERAL VIP</v>
      </c>
      <c r="F510" s="26" t="s">
        <v>2146</v>
      </c>
      <c r="G510" s="39" t="s">
        <v>615</v>
      </c>
      <c r="H510" s="39" t="s">
        <v>2147</v>
      </c>
      <c r="I510" s="39"/>
      <c r="J510" s="13" t="s">
        <v>22</v>
      </c>
      <c r="K510" s="39" t="s">
        <v>2148</v>
      </c>
      <c r="L510" s="26"/>
      <c r="M510" s="27" t="s">
        <v>659</v>
      </c>
      <c r="N510" s="27" t="str">
        <f t="shared" si="38"/>
        <v>NO</v>
      </c>
      <c r="O510" s="27" t="str">
        <f t="shared" si="39"/>
        <v>🟢</v>
      </c>
      <c r="P510" s="28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9"/>
      <c r="CC510" s="9"/>
      <c r="CD510" s="9"/>
      <c r="CE510" s="9"/>
      <c r="CF510" s="9"/>
      <c r="CG510" s="9"/>
    </row>
    <row r="511" spans="1:85" ht="18" customHeight="1" x14ac:dyDescent="0.3">
      <c r="A511" s="23">
        <f t="shared" si="35"/>
        <v>510</v>
      </c>
      <c r="B511" s="23">
        <f t="shared" si="36"/>
        <v>510</v>
      </c>
      <c r="C511" s="39" t="s">
        <v>1785</v>
      </c>
      <c r="D511" s="39"/>
      <c r="E511" s="40" t="str">
        <f t="shared" si="37"/>
        <v>LATERAL VIP</v>
      </c>
      <c r="F511" s="26" t="s">
        <v>2149</v>
      </c>
      <c r="G511" s="39" t="s">
        <v>2150</v>
      </c>
      <c r="H511" s="39" t="s">
        <v>678</v>
      </c>
      <c r="I511" s="39" t="s">
        <v>2151</v>
      </c>
      <c r="J511" s="13" t="s">
        <v>22</v>
      </c>
      <c r="K511" s="39" t="s">
        <v>2152</v>
      </c>
      <c r="L511" s="26"/>
      <c r="M511" s="27" t="s">
        <v>659</v>
      </c>
      <c r="N511" s="27" t="str">
        <f t="shared" si="38"/>
        <v>NO</v>
      </c>
      <c r="O511" s="27" t="str">
        <f t="shared" si="39"/>
        <v>🟢</v>
      </c>
      <c r="P511" s="28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</row>
    <row r="512" spans="1:85" ht="18" customHeight="1" x14ac:dyDescent="0.3">
      <c r="A512" s="23">
        <f t="shared" si="35"/>
        <v>511</v>
      </c>
      <c r="B512" s="23">
        <f t="shared" si="36"/>
        <v>511</v>
      </c>
      <c r="C512" s="26" t="s">
        <v>1785</v>
      </c>
      <c r="D512" s="26" t="s">
        <v>752</v>
      </c>
      <c r="E512" s="27" t="str">
        <f t="shared" si="37"/>
        <v>LATERAL</v>
      </c>
      <c r="F512" s="26" t="s">
        <v>2153</v>
      </c>
      <c r="G512" s="26" t="s">
        <v>621</v>
      </c>
      <c r="H512" s="26" t="s">
        <v>2154</v>
      </c>
      <c r="I512" s="26" t="s">
        <v>2155</v>
      </c>
      <c r="J512" s="19" t="s">
        <v>57</v>
      </c>
      <c r="K512" s="26" t="s">
        <v>2156</v>
      </c>
      <c r="L512" s="26"/>
      <c r="M512" s="27" t="s">
        <v>1261</v>
      </c>
      <c r="N512" s="27" t="str">
        <f t="shared" si="38"/>
        <v>NO</v>
      </c>
      <c r="O512" s="27" t="str">
        <f t="shared" si="39"/>
        <v>🟡</v>
      </c>
      <c r="P512" s="28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</row>
    <row r="513" spans="1:85" ht="18" customHeight="1" x14ac:dyDescent="0.3">
      <c r="A513" s="23">
        <f t="shared" ref="A513:A576" si="40">IF(COUNTA(C513:K513)=0,"",ROW()-1)</f>
        <v>512</v>
      </c>
      <c r="B513" s="23">
        <f t="shared" ref="B513:B576" si="41">IF($F513&lt;&gt;"",$A513,"")</f>
        <v>512</v>
      </c>
      <c r="C513" s="39" t="s">
        <v>1785</v>
      </c>
      <c r="D513" s="39"/>
      <c r="E513" s="40" t="str">
        <f t="shared" ref="E513:E576" si="42">IF(UPPER($J513)="NO","",$M513)</f>
        <v>LATERAL VIP</v>
      </c>
      <c r="F513" s="26" t="s">
        <v>2157</v>
      </c>
      <c r="G513" s="39" t="s">
        <v>1762</v>
      </c>
      <c r="H513" s="39" t="s">
        <v>2158</v>
      </c>
      <c r="I513" s="39" t="s">
        <v>2159</v>
      </c>
      <c r="J513" s="13" t="s">
        <v>22</v>
      </c>
      <c r="K513" s="39" t="s">
        <v>2160</v>
      </c>
      <c r="L513" s="26"/>
      <c r="M513" s="27" t="s">
        <v>659</v>
      </c>
      <c r="N513" s="27" t="str">
        <f t="shared" ref="N513:N576" si="43">IF(AND(UPPER($M513)="VIP",UPPER($J513)="SI",$F513&lt;&gt;""),"SI","NO")</f>
        <v>NO</v>
      </c>
      <c r="O513" s="27" t="str">
        <f t="shared" ref="O513:O576" si="44">IF(UPPER($J513)="SI","🟢",IF(UPPER($J513)="NO","🔴","🟡"))</f>
        <v>🟢</v>
      </c>
      <c r="P513" s="28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</row>
    <row r="514" spans="1:85" ht="18" customHeight="1" x14ac:dyDescent="0.3">
      <c r="A514" s="23">
        <f t="shared" si="40"/>
        <v>513</v>
      </c>
      <c r="B514" s="23">
        <f t="shared" si="41"/>
        <v>513</v>
      </c>
      <c r="C514" s="26" t="s">
        <v>1785</v>
      </c>
      <c r="D514" s="26"/>
      <c r="E514" s="27" t="str">
        <f t="shared" si="42"/>
        <v>LATERAL VIP</v>
      </c>
      <c r="F514" s="26" t="s">
        <v>2161</v>
      </c>
      <c r="G514" s="16" t="s">
        <v>2162</v>
      </c>
      <c r="H514" s="16" t="s">
        <v>2163</v>
      </c>
      <c r="I514" s="16" t="s">
        <v>104</v>
      </c>
      <c r="J514" s="13" t="s">
        <v>22</v>
      </c>
      <c r="K514" s="26" t="s">
        <v>2164</v>
      </c>
      <c r="L514" s="26"/>
      <c r="M514" s="27" t="s">
        <v>659</v>
      </c>
      <c r="N514" s="27" t="str">
        <f t="shared" si="43"/>
        <v>NO</v>
      </c>
      <c r="O514" s="27" t="str">
        <f t="shared" si="44"/>
        <v>🟢</v>
      </c>
      <c r="P514" s="28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</row>
    <row r="515" spans="1:85" ht="18" customHeight="1" x14ac:dyDescent="0.3">
      <c r="A515" s="23">
        <f t="shared" si="40"/>
        <v>514</v>
      </c>
      <c r="B515" s="23">
        <f t="shared" si="41"/>
        <v>514</v>
      </c>
      <c r="C515" s="39" t="s">
        <v>1785</v>
      </c>
      <c r="D515" s="39"/>
      <c r="E515" s="40" t="str">
        <f t="shared" si="42"/>
        <v>LATERAL VIP</v>
      </c>
      <c r="F515" s="26" t="s">
        <v>2165</v>
      </c>
      <c r="G515" s="39" t="s">
        <v>2166</v>
      </c>
      <c r="H515" s="39" t="s">
        <v>578</v>
      </c>
      <c r="I515" s="39" t="s">
        <v>135</v>
      </c>
      <c r="J515" s="13" t="s">
        <v>22</v>
      </c>
      <c r="K515" s="39" t="s">
        <v>2167</v>
      </c>
      <c r="L515" s="26"/>
      <c r="M515" s="27" t="s">
        <v>659</v>
      </c>
      <c r="N515" s="27" t="str">
        <f t="shared" si="43"/>
        <v>NO</v>
      </c>
      <c r="O515" s="27" t="str">
        <f t="shared" si="44"/>
        <v>🟢</v>
      </c>
      <c r="P515" s="28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</row>
    <row r="516" spans="1:85" ht="18" customHeight="1" x14ac:dyDescent="0.3">
      <c r="A516" s="23">
        <f t="shared" si="40"/>
        <v>515</v>
      </c>
      <c r="B516" s="23">
        <f t="shared" si="41"/>
        <v>515</v>
      </c>
      <c r="C516" s="26" t="s">
        <v>1785</v>
      </c>
      <c r="D516" s="26"/>
      <c r="E516" s="27" t="str">
        <f t="shared" si="42"/>
        <v>LATERAL</v>
      </c>
      <c r="F516" s="26" t="s">
        <v>2168</v>
      </c>
      <c r="G516" s="16" t="s">
        <v>74</v>
      </c>
      <c r="H516" s="16" t="s">
        <v>2169</v>
      </c>
      <c r="I516" s="16" t="s">
        <v>2170</v>
      </c>
      <c r="J516" s="19" t="s">
        <v>57</v>
      </c>
      <c r="K516" s="26" t="s">
        <v>2171</v>
      </c>
      <c r="L516" s="26"/>
      <c r="M516" s="27" t="s">
        <v>1261</v>
      </c>
      <c r="N516" s="27" t="str">
        <f t="shared" si="43"/>
        <v>NO</v>
      </c>
      <c r="O516" s="27" t="str">
        <f t="shared" si="44"/>
        <v>🟡</v>
      </c>
      <c r="P516" s="28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9"/>
      <c r="CC516" s="9"/>
      <c r="CD516" s="9"/>
      <c r="CE516" s="9"/>
      <c r="CF516" s="9"/>
      <c r="CG516" s="9"/>
    </row>
    <row r="517" spans="1:85" ht="18" customHeight="1" x14ac:dyDescent="0.3">
      <c r="A517" s="23">
        <f t="shared" si="40"/>
        <v>516</v>
      </c>
      <c r="B517" s="23">
        <f t="shared" si="41"/>
        <v>516</v>
      </c>
      <c r="C517" s="26" t="s">
        <v>1785</v>
      </c>
      <c r="D517" s="26"/>
      <c r="E517" s="27" t="str">
        <f t="shared" si="42"/>
        <v>LATERAL VIP</v>
      </c>
      <c r="F517" s="26" t="s">
        <v>2172</v>
      </c>
      <c r="G517" s="16" t="s">
        <v>91</v>
      </c>
      <c r="H517" s="16" t="s">
        <v>2173</v>
      </c>
      <c r="I517" s="16" t="s">
        <v>2174</v>
      </c>
      <c r="J517" s="13" t="s">
        <v>22</v>
      </c>
      <c r="K517" s="26" t="s">
        <v>2175</v>
      </c>
      <c r="L517" s="26"/>
      <c r="M517" s="27" t="s">
        <v>659</v>
      </c>
      <c r="N517" s="27" t="str">
        <f t="shared" si="43"/>
        <v>NO</v>
      </c>
      <c r="O517" s="27" t="str">
        <f t="shared" si="44"/>
        <v>🟢</v>
      </c>
      <c r="P517" s="28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</row>
    <row r="518" spans="1:85" ht="18" customHeight="1" x14ac:dyDescent="0.3">
      <c r="A518" s="23">
        <f t="shared" si="40"/>
        <v>517</v>
      </c>
      <c r="B518" s="23">
        <f t="shared" si="41"/>
        <v>517</v>
      </c>
      <c r="C518" s="39" t="s">
        <v>1785</v>
      </c>
      <c r="D518" s="39"/>
      <c r="E518" s="40" t="str">
        <f t="shared" si="42"/>
        <v>LATERAL VIP</v>
      </c>
      <c r="F518" s="26" t="s">
        <v>2176</v>
      </c>
      <c r="G518" s="39" t="s">
        <v>2177</v>
      </c>
      <c r="H518" s="39" t="s">
        <v>1219</v>
      </c>
      <c r="I518" s="39" t="s">
        <v>1014</v>
      </c>
      <c r="J518" s="13" t="s">
        <v>22</v>
      </c>
      <c r="K518" s="39" t="s">
        <v>2178</v>
      </c>
      <c r="L518" s="26"/>
      <c r="M518" s="27" t="s">
        <v>659</v>
      </c>
      <c r="N518" s="27" t="str">
        <f t="shared" si="43"/>
        <v>NO</v>
      </c>
      <c r="O518" s="27" t="str">
        <f t="shared" si="44"/>
        <v>🟢</v>
      </c>
      <c r="P518" s="28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</row>
    <row r="519" spans="1:85" ht="18" customHeight="1" x14ac:dyDescent="0.3">
      <c r="A519" s="23">
        <f t="shared" si="40"/>
        <v>518</v>
      </c>
      <c r="B519" s="23">
        <f t="shared" si="41"/>
        <v>518</v>
      </c>
      <c r="C519" s="39" t="s">
        <v>1785</v>
      </c>
      <c r="D519" s="39"/>
      <c r="E519" s="40" t="str">
        <f t="shared" si="42"/>
        <v>LATERAL VIP</v>
      </c>
      <c r="F519" s="26" t="s">
        <v>2179</v>
      </c>
      <c r="G519" s="39" t="s">
        <v>2180</v>
      </c>
      <c r="H519" s="39" t="s">
        <v>56</v>
      </c>
      <c r="I519" s="39" t="s">
        <v>539</v>
      </c>
      <c r="J519" s="13" t="s">
        <v>22</v>
      </c>
      <c r="K519" s="39" t="s">
        <v>2181</v>
      </c>
      <c r="L519" s="26"/>
      <c r="M519" s="27" t="s">
        <v>659</v>
      </c>
      <c r="N519" s="27" t="str">
        <f t="shared" si="43"/>
        <v>NO</v>
      </c>
      <c r="O519" s="27" t="str">
        <f t="shared" si="44"/>
        <v>🟢</v>
      </c>
      <c r="P519" s="28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</row>
    <row r="520" spans="1:85" s="5" customFormat="1" ht="18" customHeight="1" x14ac:dyDescent="0.3">
      <c r="A520" s="23">
        <f t="shared" si="40"/>
        <v>519</v>
      </c>
      <c r="B520" s="23">
        <f t="shared" si="41"/>
        <v>519</v>
      </c>
      <c r="C520" s="26" t="s">
        <v>1785</v>
      </c>
      <c r="D520" s="26"/>
      <c r="E520" s="27" t="str">
        <f t="shared" si="42"/>
        <v>LATERAL</v>
      </c>
      <c r="F520" s="26" t="s">
        <v>2182</v>
      </c>
      <c r="G520" s="26" t="s">
        <v>322</v>
      </c>
      <c r="H520" s="26" t="s">
        <v>2183</v>
      </c>
      <c r="I520" s="26" t="s">
        <v>2184</v>
      </c>
      <c r="J520" s="19" t="s">
        <v>57</v>
      </c>
      <c r="K520" s="26" t="s">
        <v>2185</v>
      </c>
      <c r="L520" s="26"/>
      <c r="M520" s="27" t="s">
        <v>1261</v>
      </c>
      <c r="N520" s="27" t="str">
        <f t="shared" si="43"/>
        <v>NO</v>
      </c>
      <c r="O520" s="27" t="str">
        <f t="shared" si="44"/>
        <v>🟡</v>
      </c>
      <c r="P520" s="28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  <c r="BX520" s="22"/>
      <c r="BY520" s="22"/>
      <c r="BZ520" s="22"/>
      <c r="CA520" s="22"/>
      <c r="CB520" s="22"/>
      <c r="CC520" s="22"/>
      <c r="CD520" s="22"/>
      <c r="CE520" s="22"/>
      <c r="CF520" s="22"/>
      <c r="CG520" s="22"/>
    </row>
    <row r="521" spans="1:85" ht="18" customHeight="1" x14ac:dyDescent="0.3">
      <c r="A521" s="23">
        <f t="shared" si="40"/>
        <v>520</v>
      </c>
      <c r="B521" s="23">
        <f t="shared" si="41"/>
        <v>520</v>
      </c>
      <c r="C521" s="26" t="s">
        <v>2186</v>
      </c>
      <c r="D521" s="26" t="s">
        <v>752</v>
      </c>
      <c r="E521" s="27" t="str">
        <f t="shared" si="42"/>
        <v>VIP</v>
      </c>
      <c r="F521" s="26" t="s">
        <v>2187</v>
      </c>
      <c r="G521" s="26" t="s">
        <v>483</v>
      </c>
      <c r="H521" s="26" t="s">
        <v>2188</v>
      </c>
      <c r="I521" s="26"/>
      <c r="J521" s="19" t="s">
        <v>57</v>
      </c>
      <c r="K521" s="26" t="s">
        <v>2189</v>
      </c>
      <c r="L521" s="26"/>
      <c r="M521" s="27" t="s">
        <v>24</v>
      </c>
      <c r="N521" s="27" t="str">
        <f t="shared" si="43"/>
        <v>NO</v>
      </c>
      <c r="O521" s="27" t="str">
        <f t="shared" si="44"/>
        <v>🟡</v>
      </c>
      <c r="P521" s="28" t="s">
        <v>1156</v>
      </c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</row>
    <row r="522" spans="1:85" ht="18" customHeight="1" x14ac:dyDescent="0.3">
      <c r="A522" s="23">
        <f t="shared" si="40"/>
        <v>521</v>
      </c>
      <c r="B522" s="23">
        <f t="shared" si="41"/>
        <v>521</v>
      </c>
      <c r="C522" s="26" t="s">
        <v>2186</v>
      </c>
      <c r="D522" s="26"/>
      <c r="E522" s="27" t="str">
        <f t="shared" si="42"/>
        <v>VIP</v>
      </c>
      <c r="F522" s="26" t="s">
        <v>2190</v>
      </c>
      <c r="G522" s="26" t="s">
        <v>35</v>
      </c>
      <c r="H522" s="26" t="s">
        <v>261</v>
      </c>
      <c r="I522" s="26"/>
      <c r="J522" s="13" t="s">
        <v>22</v>
      </c>
      <c r="K522" s="16" t="s">
        <v>2191</v>
      </c>
      <c r="L522" s="26"/>
      <c r="M522" s="27" t="s">
        <v>24</v>
      </c>
      <c r="N522" s="27" t="str">
        <f t="shared" si="43"/>
        <v>SI</v>
      </c>
      <c r="O522" s="27" t="str">
        <f t="shared" si="44"/>
        <v>🟢</v>
      </c>
      <c r="P522" s="28" t="s">
        <v>476</v>
      </c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</row>
    <row r="523" spans="1:85" ht="18" customHeight="1" x14ac:dyDescent="0.3">
      <c r="A523" s="23">
        <f t="shared" si="40"/>
        <v>522</v>
      </c>
      <c r="B523" s="23">
        <f t="shared" si="41"/>
        <v>522</v>
      </c>
      <c r="C523" s="26" t="s">
        <v>2186</v>
      </c>
      <c r="D523" s="26"/>
      <c r="E523" s="27" t="str">
        <f t="shared" si="42"/>
        <v>LATERAL VIP</v>
      </c>
      <c r="F523" s="26" t="s">
        <v>2192</v>
      </c>
      <c r="G523" s="26" t="s">
        <v>86</v>
      </c>
      <c r="H523" s="26" t="s">
        <v>1014</v>
      </c>
      <c r="I523" s="26"/>
      <c r="J523" s="13" t="s">
        <v>22</v>
      </c>
      <c r="K523" s="16" t="s">
        <v>2193</v>
      </c>
      <c r="L523" s="26"/>
      <c r="M523" s="27" t="s">
        <v>659</v>
      </c>
      <c r="N523" s="27" t="str">
        <f t="shared" si="43"/>
        <v>NO</v>
      </c>
      <c r="O523" s="27" t="str">
        <f t="shared" si="44"/>
        <v>🟢</v>
      </c>
      <c r="P523" s="28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9"/>
      <c r="CC523" s="9"/>
      <c r="CD523" s="9"/>
      <c r="CE523" s="9"/>
      <c r="CF523" s="9"/>
      <c r="CG523" s="9"/>
    </row>
    <row r="524" spans="1:85" ht="18" customHeight="1" x14ac:dyDescent="0.3">
      <c r="A524" s="23">
        <f t="shared" si="40"/>
        <v>523</v>
      </c>
      <c r="B524" s="23">
        <f t="shared" si="41"/>
        <v>523</v>
      </c>
      <c r="C524" s="26" t="s">
        <v>2186</v>
      </c>
      <c r="D524" s="26"/>
      <c r="E524" s="27" t="str">
        <f t="shared" si="42"/>
        <v>LATERAL VIP</v>
      </c>
      <c r="F524" s="26" t="s">
        <v>2194</v>
      </c>
      <c r="G524" s="26" t="s">
        <v>2195</v>
      </c>
      <c r="H524" s="26" t="s">
        <v>2196</v>
      </c>
      <c r="I524" s="26"/>
      <c r="J524" s="13" t="s">
        <v>22</v>
      </c>
      <c r="K524" s="16" t="s">
        <v>2197</v>
      </c>
      <c r="L524" s="26"/>
      <c r="M524" s="27" t="s">
        <v>659</v>
      </c>
      <c r="N524" s="27" t="str">
        <f t="shared" si="43"/>
        <v>NO</v>
      </c>
      <c r="O524" s="27" t="str">
        <f t="shared" si="44"/>
        <v>🟢</v>
      </c>
      <c r="P524" s="28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</row>
    <row r="525" spans="1:85" ht="18" customHeight="1" x14ac:dyDescent="0.3">
      <c r="A525" s="23">
        <f t="shared" si="40"/>
        <v>524</v>
      </c>
      <c r="B525" s="23">
        <f t="shared" si="41"/>
        <v>524</v>
      </c>
      <c r="C525" s="26" t="s">
        <v>2186</v>
      </c>
      <c r="D525" s="26"/>
      <c r="E525" s="27" t="str">
        <f t="shared" si="42"/>
        <v/>
      </c>
      <c r="F525" s="26" t="s">
        <v>2198</v>
      </c>
      <c r="G525" s="26" t="s">
        <v>2199</v>
      </c>
      <c r="H525" s="26" t="s">
        <v>2200</v>
      </c>
      <c r="I525" s="26"/>
      <c r="J525" s="20" t="s">
        <v>71</v>
      </c>
      <c r="K525" s="16" t="s">
        <v>2201</v>
      </c>
      <c r="L525" s="26"/>
      <c r="M525" s="27"/>
      <c r="N525" s="27" t="str">
        <f t="shared" si="43"/>
        <v>NO</v>
      </c>
      <c r="O525" s="27" t="str">
        <f t="shared" si="44"/>
        <v>🔴</v>
      </c>
      <c r="P525" s="28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</row>
    <row r="526" spans="1:85" ht="18" customHeight="1" x14ac:dyDescent="0.3">
      <c r="A526" s="23">
        <f t="shared" si="40"/>
        <v>525</v>
      </c>
      <c r="B526" s="23">
        <f t="shared" si="41"/>
        <v>525</v>
      </c>
      <c r="C526" s="41" t="s">
        <v>2186</v>
      </c>
      <c r="D526" s="41" t="s">
        <v>1391</v>
      </c>
      <c r="E526" s="42" t="str">
        <f t="shared" si="42"/>
        <v>VIP</v>
      </c>
      <c r="F526" s="26" t="s">
        <v>2202</v>
      </c>
      <c r="G526" s="41" t="s">
        <v>120</v>
      </c>
      <c r="H526" s="41" t="s">
        <v>2203</v>
      </c>
      <c r="I526" s="41" t="s">
        <v>2204</v>
      </c>
      <c r="J526" s="13" t="s">
        <v>22</v>
      </c>
      <c r="K526" s="41" t="s">
        <v>2205</v>
      </c>
      <c r="L526" s="26"/>
      <c r="M526" s="27" t="s">
        <v>24</v>
      </c>
      <c r="N526" s="27" t="str">
        <f t="shared" si="43"/>
        <v>SI</v>
      </c>
      <c r="O526" s="27" t="str">
        <f t="shared" si="44"/>
        <v>🟢</v>
      </c>
      <c r="P526" s="28" t="s">
        <v>486</v>
      </c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9"/>
      <c r="CC526" s="9"/>
      <c r="CD526" s="9"/>
      <c r="CE526" s="9"/>
      <c r="CF526" s="9"/>
      <c r="CG526" s="9"/>
    </row>
    <row r="527" spans="1:85" ht="18" customHeight="1" x14ac:dyDescent="0.3">
      <c r="A527" s="23">
        <f t="shared" si="40"/>
        <v>526</v>
      </c>
      <c r="B527" s="23">
        <f t="shared" si="41"/>
        <v>526</v>
      </c>
      <c r="C527" s="41" t="s">
        <v>2186</v>
      </c>
      <c r="D527" s="41"/>
      <c r="E527" s="42" t="str">
        <f t="shared" si="42"/>
        <v>LATERAL VIP</v>
      </c>
      <c r="F527" s="26" t="s">
        <v>2206</v>
      </c>
      <c r="G527" s="41" t="s">
        <v>120</v>
      </c>
      <c r="H527" s="41" t="s">
        <v>2207</v>
      </c>
      <c r="I527" s="41"/>
      <c r="J527" s="13" t="s">
        <v>22</v>
      </c>
      <c r="K527" s="41" t="s">
        <v>2208</v>
      </c>
      <c r="L527" s="26"/>
      <c r="M527" s="27" t="s">
        <v>659</v>
      </c>
      <c r="N527" s="27" t="str">
        <f t="shared" si="43"/>
        <v>NO</v>
      </c>
      <c r="O527" s="27" t="str">
        <f t="shared" si="44"/>
        <v>🟢</v>
      </c>
      <c r="P527" s="28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9"/>
      <c r="CC527" s="9"/>
      <c r="CD527" s="9"/>
      <c r="CE527" s="9"/>
      <c r="CF527" s="9"/>
      <c r="CG527" s="9"/>
    </row>
    <row r="528" spans="1:85" ht="18" customHeight="1" x14ac:dyDescent="0.3">
      <c r="A528" s="23">
        <f t="shared" si="40"/>
        <v>527</v>
      </c>
      <c r="B528" s="23">
        <f t="shared" si="41"/>
        <v>527</v>
      </c>
      <c r="C528" s="41" t="s">
        <v>2186</v>
      </c>
      <c r="D528" s="41"/>
      <c r="E528" s="42" t="str">
        <f t="shared" si="42"/>
        <v>LATERAL VIP</v>
      </c>
      <c r="F528" s="26" t="s">
        <v>2209</v>
      </c>
      <c r="G528" s="41" t="s">
        <v>554</v>
      </c>
      <c r="H528" s="41" t="s">
        <v>2210</v>
      </c>
      <c r="I528" s="41"/>
      <c r="J528" s="13" t="s">
        <v>22</v>
      </c>
      <c r="K528" s="41" t="s">
        <v>2211</v>
      </c>
      <c r="L528" s="26"/>
      <c r="M528" s="27" t="s">
        <v>659</v>
      </c>
      <c r="N528" s="27" t="str">
        <f t="shared" si="43"/>
        <v>NO</v>
      </c>
      <c r="O528" s="27" t="str">
        <f t="shared" si="44"/>
        <v>🟢</v>
      </c>
      <c r="P528" s="28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</row>
    <row r="529" spans="1:85" ht="18" customHeight="1" x14ac:dyDescent="0.3">
      <c r="A529" s="23">
        <f t="shared" si="40"/>
        <v>528</v>
      </c>
      <c r="B529" s="23">
        <f t="shared" si="41"/>
        <v>528</v>
      </c>
      <c r="C529" s="41" t="s">
        <v>2186</v>
      </c>
      <c r="D529" s="41"/>
      <c r="E529" s="42" t="str">
        <f t="shared" si="42"/>
        <v/>
      </c>
      <c r="F529" s="26" t="s">
        <v>2212</v>
      </c>
      <c r="G529" s="41" t="s">
        <v>1058</v>
      </c>
      <c r="H529" s="41" t="s">
        <v>2213</v>
      </c>
      <c r="I529" s="41" t="s">
        <v>2213</v>
      </c>
      <c r="J529" s="20" t="s">
        <v>71</v>
      </c>
      <c r="K529" s="41" t="s">
        <v>2211</v>
      </c>
      <c r="L529" s="26"/>
      <c r="M529" s="27" t="s">
        <v>1261</v>
      </c>
      <c r="N529" s="27" t="str">
        <f t="shared" si="43"/>
        <v>NO</v>
      </c>
      <c r="O529" s="27" t="str">
        <f t="shared" si="44"/>
        <v>🔴</v>
      </c>
      <c r="P529" s="28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</row>
    <row r="530" spans="1:85" ht="18" customHeight="1" x14ac:dyDescent="0.3">
      <c r="A530" s="23">
        <f t="shared" si="40"/>
        <v>529</v>
      </c>
      <c r="B530" s="23">
        <f t="shared" si="41"/>
        <v>529</v>
      </c>
      <c r="C530" s="41" t="s">
        <v>2186</v>
      </c>
      <c r="D530" s="41"/>
      <c r="E530" s="42" t="str">
        <f t="shared" si="42"/>
        <v>LATERAL VIP</v>
      </c>
      <c r="F530" s="26" t="s">
        <v>2214</v>
      </c>
      <c r="G530" s="41" t="s">
        <v>473</v>
      </c>
      <c r="H530" s="41" t="s">
        <v>607</v>
      </c>
      <c r="I530" s="41"/>
      <c r="J530" s="13" t="s">
        <v>22</v>
      </c>
      <c r="K530" s="41" t="s">
        <v>2215</v>
      </c>
      <c r="L530" s="26"/>
      <c r="M530" s="27" t="s">
        <v>659</v>
      </c>
      <c r="N530" s="27" t="str">
        <f t="shared" si="43"/>
        <v>NO</v>
      </c>
      <c r="O530" s="27" t="str">
        <f t="shared" si="44"/>
        <v>🟢</v>
      </c>
      <c r="P530" s="28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9"/>
      <c r="CC530" s="9"/>
      <c r="CD530" s="9"/>
      <c r="CE530" s="9"/>
      <c r="CF530" s="9"/>
      <c r="CG530" s="9"/>
    </row>
    <row r="531" spans="1:85" ht="18" customHeight="1" x14ac:dyDescent="0.3">
      <c r="A531" s="23">
        <f t="shared" si="40"/>
        <v>530</v>
      </c>
      <c r="B531" s="23">
        <f t="shared" si="41"/>
        <v>530</v>
      </c>
      <c r="C531" s="41" t="s">
        <v>2186</v>
      </c>
      <c r="D531" s="41"/>
      <c r="E531" s="42" t="str">
        <f t="shared" si="42"/>
        <v>LATERAL VIP</v>
      </c>
      <c r="F531" s="26" t="s">
        <v>2216</v>
      </c>
      <c r="G531" s="41" t="s">
        <v>2217</v>
      </c>
      <c r="H531" s="41" t="s">
        <v>111</v>
      </c>
      <c r="I531" s="41"/>
      <c r="J531" s="13" t="s">
        <v>22</v>
      </c>
      <c r="K531" s="41" t="s">
        <v>2218</v>
      </c>
      <c r="L531" s="26"/>
      <c r="M531" s="27" t="s">
        <v>659</v>
      </c>
      <c r="N531" s="27" t="str">
        <f t="shared" si="43"/>
        <v>NO</v>
      </c>
      <c r="O531" s="27" t="str">
        <f t="shared" si="44"/>
        <v>🟢</v>
      </c>
      <c r="P531" s="28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</row>
    <row r="532" spans="1:85" ht="18" customHeight="1" x14ac:dyDescent="0.3">
      <c r="A532" s="23">
        <f t="shared" si="40"/>
        <v>531</v>
      </c>
      <c r="B532" s="23">
        <f t="shared" si="41"/>
        <v>531</v>
      </c>
      <c r="C532" s="41" t="s">
        <v>2186</v>
      </c>
      <c r="D532" s="41"/>
      <c r="E532" s="42" t="str">
        <f t="shared" si="42"/>
        <v>LATERAL VIP</v>
      </c>
      <c r="F532" s="26" t="s">
        <v>2219</v>
      </c>
      <c r="G532" s="41" t="s">
        <v>2220</v>
      </c>
      <c r="H532" s="41" t="s">
        <v>395</v>
      </c>
      <c r="I532" s="41"/>
      <c r="J532" s="13" t="s">
        <v>22</v>
      </c>
      <c r="K532" s="41" t="s">
        <v>2221</v>
      </c>
      <c r="L532" s="26"/>
      <c r="M532" s="27" t="s">
        <v>659</v>
      </c>
      <c r="N532" s="27" t="str">
        <f t="shared" si="43"/>
        <v>NO</v>
      </c>
      <c r="O532" s="27" t="str">
        <f t="shared" si="44"/>
        <v>🟢</v>
      </c>
      <c r="P532" s="28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</row>
    <row r="533" spans="1:85" ht="18" customHeight="1" x14ac:dyDescent="0.3">
      <c r="A533" s="23">
        <f t="shared" si="40"/>
        <v>532</v>
      </c>
      <c r="B533" s="23">
        <f t="shared" si="41"/>
        <v>532</v>
      </c>
      <c r="C533" s="41" t="s">
        <v>2186</v>
      </c>
      <c r="D533" s="41"/>
      <c r="E533" s="42" t="str">
        <f t="shared" si="42"/>
        <v/>
      </c>
      <c r="F533" s="26" t="s">
        <v>2222</v>
      </c>
      <c r="G533" s="41" t="s">
        <v>1258</v>
      </c>
      <c r="H533" s="41" t="s">
        <v>2223</v>
      </c>
      <c r="I533" s="41" t="s">
        <v>2224</v>
      </c>
      <c r="J533" s="20" t="s">
        <v>71</v>
      </c>
      <c r="K533" s="41" t="s">
        <v>2225</v>
      </c>
      <c r="L533" s="26"/>
      <c r="M533" s="27" t="s">
        <v>1261</v>
      </c>
      <c r="N533" s="27" t="str">
        <f t="shared" si="43"/>
        <v>NO</v>
      </c>
      <c r="O533" s="27" t="str">
        <f t="shared" si="44"/>
        <v>🔴</v>
      </c>
      <c r="P533" s="28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9"/>
      <c r="CC533" s="9"/>
      <c r="CD533" s="9"/>
      <c r="CE533" s="9"/>
      <c r="CF533" s="9"/>
      <c r="CG533" s="9"/>
    </row>
    <row r="534" spans="1:85" ht="18" customHeight="1" x14ac:dyDescent="0.3">
      <c r="A534" s="23">
        <f t="shared" si="40"/>
        <v>533</v>
      </c>
      <c r="B534" s="23">
        <f t="shared" si="41"/>
        <v>533</v>
      </c>
      <c r="C534" s="26" t="s">
        <v>2186</v>
      </c>
      <c r="D534" s="26" t="s">
        <v>670</v>
      </c>
      <c r="E534" s="27" t="str">
        <f t="shared" si="42"/>
        <v>VIP</v>
      </c>
      <c r="F534" s="26" t="s">
        <v>2226</v>
      </c>
      <c r="G534" s="26" t="s">
        <v>68</v>
      </c>
      <c r="H534" s="26" t="s">
        <v>2227</v>
      </c>
      <c r="I534" s="26" t="s">
        <v>2228</v>
      </c>
      <c r="J534" s="13" t="s">
        <v>22</v>
      </c>
      <c r="K534" s="16" t="s">
        <v>2229</v>
      </c>
      <c r="L534" s="26"/>
      <c r="M534" s="27" t="s">
        <v>24</v>
      </c>
      <c r="N534" s="27" t="str">
        <f t="shared" si="43"/>
        <v>SI</v>
      </c>
      <c r="O534" s="27" t="str">
        <f t="shared" si="44"/>
        <v>🟢</v>
      </c>
      <c r="P534" s="28" t="s">
        <v>491</v>
      </c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9"/>
      <c r="CC534" s="9"/>
      <c r="CD534" s="9"/>
      <c r="CE534" s="9"/>
      <c r="CF534" s="9"/>
      <c r="CG534" s="9"/>
    </row>
    <row r="535" spans="1:85" ht="18" customHeight="1" x14ac:dyDescent="0.3">
      <c r="A535" s="23">
        <f t="shared" si="40"/>
        <v>534</v>
      </c>
      <c r="B535" s="23">
        <f t="shared" si="41"/>
        <v>534</v>
      </c>
      <c r="C535" s="26" t="s">
        <v>2186</v>
      </c>
      <c r="D535" s="26"/>
      <c r="E535" s="27" t="str">
        <f t="shared" si="42"/>
        <v>VIP</v>
      </c>
      <c r="F535" s="26" t="s">
        <v>2230</v>
      </c>
      <c r="G535" s="26" t="s">
        <v>2231</v>
      </c>
      <c r="H535" s="26" t="s">
        <v>2227</v>
      </c>
      <c r="I535" s="26"/>
      <c r="J535" s="13" t="s">
        <v>22</v>
      </c>
      <c r="K535" s="16" t="s">
        <v>2232</v>
      </c>
      <c r="L535" s="26"/>
      <c r="M535" s="27" t="s">
        <v>24</v>
      </c>
      <c r="N535" s="27" t="str">
        <f t="shared" si="43"/>
        <v>SI</v>
      </c>
      <c r="O535" s="27" t="str">
        <f t="shared" si="44"/>
        <v>🟢</v>
      </c>
      <c r="P535" s="28" t="s">
        <v>496</v>
      </c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9"/>
      <c r="CC535" s="9"/>
      <c r="CD535" s="9"/>
      <c r="CE535" s="9"/>
      <c r="CF535" s="9"/>
      <c r="CG535" s="9"/>
    </row>
    <row r="536" spans="1:85" ht="18" customHeight="1" x14ac:dyDescent="0.3">
      <c r="A536" s="23">
        <f t="shared" si="40"/>
        <v>535</v>
      </c>
      <c r="B536" s="23">
        <f t="shared" si="41"/>
        <v>535</v>
      </c>
      <c r="C536" s="26" t="s">
        <v>2186</v>
      </c>
      <c r="D536" s="26"/>
      <c r="E536" s="27" t="str">
        <f t="shared" si="42"/>
        <v>LATERAL VIP</v>
      </c>
      <c r="F536" s="26" t="s">
        <v>2233</v>
      </c>
      <c r="G536" s="26" t="s">
        <v>68</v>
      </c>
      <c r="H536" s="26" t="s">
        <v>2234</v>
      </c>
      <c r="I536" s="26" t="s">
        <v>1416</v>
      </c>
      <c r="J536" s="13" t="s">
        <v>22</v>
      </c>
      <c r="K536" s="16" t="s">
        <v>2235</v>
      </c>
      <c r="L536" s="26"/>
      <c r="M536" s="27" t="s">
        <v>659</v>
      </c>
      <c r="N536" s="27" t="str">
        <f t="shared" si="43"/>
        <v>NO</v>
      </c>
      <c r="O536" s="27" t="str">
        <f t="shared" si="44"/>
        <v>🟢</v>
      </c>
      <c r="P536" s="28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9"/>
      <c r="CC536" s="9"/>
      <c r="CD536" s="9"/>
      <c r="CE536" s="9"/>
      <c r="CF536" s="9"/>
      <c r="CG536" s="9"/>
    </row>
    <row r="537" spans="1:85" ht="18" customHeight="1" x14ac:dyDescent="0.3">
      <c r="A537" s="23">
        <f t="shared" si="40"/>
        <v>536</v>
      </c>
      <c r="B537" s="23">
        <f t="shared" si="41"/>
        <v>536</v>
      </c>
      <c r="C537" s="41" t="s">
        <v>2186</v>
      </c>
      <c r="D537" s="41"/>
      <c r="E537" s="42" t="str">
        <f t="shared" si="42"/>
        <v>VIP</v>
      </c>
      <c r="F537" s="26" t="s">
        <v>2236</v>
      </c>
      <c r="G537" s="41" t="s">
        <v>2044</v>
      </c>
      <c r="H537" s="41" t="s">
        <v>2237</v>
      </c>
      <c r="I537" s="41" t="s">
        <v>2238</v>
      </c>
      <c r="J537" s="13" t="s">
        <v>22</v>
      </c>
      <c r="K537" s="41" t="s">
        <v>2239</v>
      </c>
      <c r="L537" s="26"/>
      <c r="M537" s="27" t="s">
        <v>24</v>
      </c>
      <c r="N537" s="27" t="str">
        <f t="shared" si="43"/>
        <v>SI</v>
      </c>
      <c r="O537" s="27" t="str">
        <f t="shared" si="44"/>
        <v>🟢</v>
      </c>
      <c r="P537" s="28" t="s">
        <v>511</v>
      </c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</row>
    <row r="538" spans="1:85" ht="18" customHeight="1" x14ac:dyDescent="0.3">
      <c r="A538" s="23">
        <f t="shared" si="40"/>
        <v>537</v>
      </c>
      <c r="B538" s="23">
        <f t="shared" si="41"/>
        <v>537</v>
      </c>
      <c r="C538" s="26" t="s">
        <v>2186</v>
      </c>
      <c r="D538" s="26"/>
      <c r="E538" s="27" t="str">
        <f t="shared" si="42"/>
        <v>VIP</v>
      </c>
      <c r="F538" s="26" t="s">
        <v>2240</v>
      </c>
      <c r="G538" s="26" t="s">
        <v>317</v>
      </c>
      <c r="H538" s="26" t="s">
        <v>2241</v>
      </c>
      <c r="I538" s="26" t="s">
        <v>135</v>
      </c>
      <c r="J538" s="13" t="s">
        <v>22</v>
      </c>
      <c r="K538" s="16" t="s">
        <v>2242</v>
      </c>
      <c r="L538" s="26"/>
      <c r="M538" s="27" t="s">
        <v>24</v>
      </c>
      <c r="N538" s="27" t="str">
        <f t="shared" si="43"/>
        <v>SI</v>
      </c>
      <c r="O538" s="27" t="str">
        <f t="shared" si="44"/>
        <v>🟢</v>
      </c>
      <c r="P538" s="28" t="s">
        <v>526</v>
      </c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</row>
    <row r="539" spans="1:85" ht="18" customHeight="1" x14ac:dyDescent="0.3">
      <c r="A539" s="23">
        <f t="shared" si="40"/>
        <v>538</v>
      </c>
      <c r="B539" s="23">
        <f t="shared" si="41"/>
        <v>538</v>
      </c>
      <c r="C539" s="26" t="s">
        <v>2186</v>
      </c>
      <c r="D539" s="26"/>
      <c r="E539" s="27" t="str">
        <f t="shared" si="42"/>
        <v/>
      </c>
      <c r="F539" s="26" t="s">
        <v>2243</v>
      </c>
      <c r="G539" s="26" t="s">
        <v>519</v>
      </c>
      <c r="H539" s="26" t="s">
        <v>2241</v>
      </c>
      <c r="I539" s="26" t="s">
        <v>2244</v>
      </c>
      <c r="J539" s="20" t="s">
        <v>71</v>
      </c>
      <c r="K539" s="26" t="s">
        <v>2245</v>
      </c>
      <c r="L539" s="26"/>
      <c r="M539" s="27" t="s">
        <v>1261</v>
      </c>
      <c r="N539" s="27" t="str">
        <f t="shared" si="43"/>
        <v>NO</v>
      </c>
      <c r="O539" s="27" t="str">
        <f t="shared" si="44"/>
        <v>🔴</v>
      </c>
      <c r="P539" s="28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</row>
    <row r="540" spans="1:85" ht="18" customHeight="1" x14ac:dyDescent="0.3">
      <c r="A540" s="23">
        <f t="shared" si="40"/>
        <v>539</v>
      </c>
      <c r="B540" s="23">
        <f t="shared" si="41"/>
        <v>539</v>
      </c>
      <c r="C540" s="41" t="s">
        <v>2186</v>
      </c>
      <c r="D540" s="41" t="s">
        <v>752</v>
      </c>
      <c r="E540" s="42" t="str">
        <f t="shared" si="42"/>
        <v>VIP</v>
      </c>
      <c r="F540" s="26" t="s">
        <v>2246</v>
      </c>
      <c r="G540" s="41" t="s">
        <v>562</v>
      </c>
      <c r="H540" s="41" t="s">
        <v>213</v>
      </c>
      <c r="I540" s="41"/>
      <c r="J540" s="13" t="s">
        <v>22</v>
      </c>
      <c r="K540" s="41" t="s">
        <v>2247</v>
      </c>
      <c r="L540" s="26"/>
      <c r="M540" s="27" t="s">
        <v>24</v>
      </c>
      <c r="N540" s="27" t="str">
        <f t="shared" si="43"/>
        <v>SI</v>
      </c>
      <c r="O540" s="27" t="str">
        <f t="shared" si="44"/>
        <v>🟢</v>
      </c>
      <c r="P540" s="28" t="s">
        <v>531</v>
      </c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</row>
    <row r="541" spans="1:85" ht="18" customHeight="1" x14ac:dyDescent="0.3">
      <c r="A541" s="23">
        <f t="shared" si="40"/>
        <v>540</v>
      </c>
      <c r="B541" s="23">
        <f t="shared" si="41"/>
        <v>540</v>
      </c>
      <c r="C541" s="41" t="s">
        <v>2186</v>
      </c>
      <c r="D541" s="41"/>
      <c r="E541" s="42" t="str">
        <f t="shared" si="42"/>
        <v>LATERAL VIP</v>
      </c>
      <c r="F541" s="26" t="s">
        <v>2248</v>
      </c>
      <c r="G541" s="41" t="s">
        <v>2249</v>
      </c>
      <c r="H541" s="41" t="s">
        <v>623</v>
      </c>
      <c r="I541" s="41" t="s">
        <v>1772</v>
      </c>
      <c r="J541" s="13" t="s">
        <v>22</v>
      </c>
      <c r="K541" s="41" t="s">
        <v>2250</v>
      </c>
      <c r="L541" s="26"/>
      <c r="M541" s="27" t="s">
        <v>659</v>
      </c>
      <c r="N541" s="27" t="str">
        <f t="shared" si="43"/>
        <v>NO</v>
      </c>
      <c r="O541" s="27" t="str">
        <f t="shared" si="44"/>
        <v>🟢</v>
      </c>
      <c r="P541" s="28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9"/>
      <c r="CC541" s="9"/>
      <c r="CD541" s="9"/>
      <c r="CE541" s="9"/>
      <c r="CF541" s="9"/>
      <c r="CG541" s="9"/>
    </row>
    <row r="542" spans="1:85" ht="18" customHeight="1" x14ac:dyDescent="0.3">
      <c r="A542" s="23">
        <f t="shared" si="40"/>
        <v>541</v>
      </c>
      <c r="B542" s="23">
        <f t="shared" si="41"/>
        <v>541</v>
      </c>
      <c r="C542" s="26" t="s">
        <v>2186</v>
      </c>
      <c r="D542" s="26" t="s">
        <v>1391</v>
      </c>
      <c r="E542" s="27" t="str">
        <f t="shared" si="42"/>
        <v>VIP</v>
      </c>
      <c r="F542" s="26" t="s">
        <v>2251</v>
      </c>
      <c r="G542" s="26" t="s">
        <v>2252</v>
      </c>
      <c r="H542" s="26" t="s">
        <v>2253</v>
      </c>
      <c r="I542" s="26" t="s">
        <v>2254</v>
      </c>
      <c r="J542" s="13" t="s">
        <v>22</v>
      </c>
      <c r="K542" s="16" t="s">
        <v>2255</v>
      </c>
      <c r="L542" s="26"/>
      <c r="M542" s="27" t="s">
        <v>24</v>
      </c>
      <c r="N542" s="27" t="str">
        <f t="shared" si="43"/>
        <v>SI</v>
      </c>
      <c r="O542" s="27" t="str">
        <f t="shared" si="44"/>
        <v>🟢</v>
      </c>
      <c r="P542" s="28" t="s">
        <v>535</v>
      </c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9"/>
      <c r="CC542" s="9"/>
      <c r="CD542" s="9"/>
      <c r="CE542" s="9"/>
      <c r="CF542" s="9"/>
      <c r="CG542" s="9"/>
    </row>
    <row r="543" spans="1:85" ht="18" customHeight="1" x14ac:dyDescent="0.3">
      <c r="A543" s="23">
        <f t="shared" si="40"/>
        <v>542</v>
      </c>
      <c r="B543" s="23">
        <f t="shared" si="41"/>
        <v>542</v>
      </c>
      <c r="C543" s="26" t="s">
        <v>2186</v>
      </c>
      <c r="D543" s="26"/>
      <c r="E543" s="27" t="str">
        <f t="shared" si="42"/>
        <v>LATERAL VIP</v>
      </c>
      <c r="F543" s="26" t="s">
        <v>2256</v>
      </c>
      <c r="G543" s="26" t="s">
        <v>877</v>
      </c>
      <c r="H543" s="26" t="s">
        <v>2257</v>
      </c>
      <c r="I543" s="26" t="s">
        <v>2258</v>
      </c>
      <c r="J543" s="13" t="s">
        <v>22</v>
      </c>
      <c r="K543" s="16" t="s">
        <v>2259</v>
      </c>
      <c r="L543" s="26"/>
      <c r="M543" s="27" t="s">
        <v>659</v>
      </c>
      <c r="N543" s="27" t="str">
        <f t="shared" si="43"/>
        <v>NO</v>
      </c>
      <c r="O543" s="27" t="str">
        <f t="shared" si="44"/>
        <v>🟢</v>
      </c>
      <c r="P543" s="28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9"/>
      <c r="CC543" s="9"/>
      <c r="CD543" s="9"/>
      <c r="CE543" s="9"/>
      <c r="CF543" s="9"/>
      <c r="CG543" s="9"/>
    </row>
    <row r="544" spans="1:85" ht="18" customHeight="1" x14ac:dyDescent="0.3">
      <c r="A544" s="23">
        <f t="shared" si="40"/>
        <v>543</v>
      </c>
      <c r="B544" s="23">
        <f t="shared" si="41"/>
        <v>543</v>
      </c>
      <c r="C544" s="41" t="s">
        <v>2186</v>
      </c>
      <c r="D544" s="41"/>
      <c r="E544" s="42" t="str">
        <f t="shared" si="42"/>
        <v/>
      </c>
      <c r="F544" s="26" t="s">
        <v>2260</v>
      </c>
      <c r="G544" s="41" t="s">
        <v>1119</v>
      </c>
      <c r="H544" s="41" t="s">
        <v>2261</v>
      </c>
      <c r="I544" s="41"/>
      <c r="J544" s="20" t="s">
        <v>71</v>
      </c>
      <c r="K544" s="41" t="s">
        <v>2262</v>
      </c>
      <c r="L544" s="26"/>
      <c r="M544" s="27" t="s">
        <v>24</v>
      </c>
      <c r="N544" s="27" t="str">
        <f t="shared" si="43"/>
        <v>NO</v>
      </c>
      <c r="O544" s="27" t="str">
        <f t="shared" si="44"/>
        <v>🔴</v>
      </c>
      <c r="P544" s="28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</row>
    <row r="545" spans="1:85" ht="18" customHeight="1" x14ac:dyDescent="0.3">
      <c r="A545" s="23">
        <f t="shared" si="40"/>
        <v>544</v>
      </c>
      <c r="B545" s="23">
        <f t="shared" si="41"/>
        <v>544</v>
      </c>
      <c r="C545" s="41" t="s">
        <v>2186</v>
      </c>
      <c r="D545" s="41"/>
      <c r="E545" s="42" t="str">
        <f t="shared" si="42"/>
        <v>VIP</v>
      </c>
      <c r="F545" s="26" t="s">
        <v>2263</v>
      </c>
      <c r="G545" s="41" t="s">
        <v>2264</v>
      </c>
      <c r="H545" s="41" t="s">
        <v>2265</v>
      </c>
      <c r="I545" s="41"/>
      <c r="J545" s="13" t="s">
        <v>22</v>
      </c>
      <c r="K545" s="41" t="s">
        <v>2266</v>
      </c>
      <c r="L545" s="26"/>
      <c r="M545" s="27" t="s">
        <v>24</v>
      </c>
      <c r="N545" s="27" t="str">
        <f t="shared" si="43"/>
        <v>SI</v>
      </c>
      <c r="O545" s="27" t="str">
        <f t="shared" si="44"/>
        <v>🟢</v>
      </c>
      <c r="P545" s="28" t="s">
        <v>544</v>
      </c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</row>
    <row r="546" spans="1:85" ht="18" customHeight="1" x14ac:dyDescent="0.3">
      <c r="A546" s="23">
        <f t="shared" si="40"/>
        <v>545</v>
      </c>
      <c r="B546" s="23">
        <f t="shared" si="41"/>
        <v>545</v>
      </c>
      <c r="C546" s="41" t="s">
        <v>2186</v>
      </c>
      <c r="D546" s="41"/>
      <c r="E546" s="42" t="str">
        <f t="shared" si="42"/>
        <v>LATERAL VIP</v>
      </c>
      <c r="F546" s="26" t="s">
        <v>2267</v>
      </c>
      <c r="G546" s="41" t="s">
        <v>2268</v>
      </c>
      <c r="H546" s="41" t="s">
        <v>827</v>
      </c>
      <c r="I546" s="41" t="s">
        <v>145</v>
      </c>
      <c r="J546" s="13" t="s">
        <v>22</v>
      </c>
      <c r="K546" s="41" t="s">
        <v>2266</v>
      </c>
      <c r="L546" s="26"/>
      <c r="M546" s="27" t="s">
        <v>659</v>
      </c>
      <c r="N546" s="27" t="str">
        <f t="shared" si="43"/>
        <v>NO</v>
      </c>
      <c r="O546" s="27" t="str">
        <f t="shared" si="44"/>
        <v>🟢</v>
      </c>
      <c r="P546" s="28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</row>
    <row r="547" spans="1:85" ht="18" customHeight="1" x14ac:dyDescent="0.3">
      <c r="A547" s="23">
        <f t="shared" si="40"/>
        <v>546</v>
      </c>
      <c r="B547" s="23">
        <f t="shared" si="41"/>
        <v>546</v>
      </c>
      <c r="C547" s="41" t="s">
        <v>2186</v>
      </c>
      <c r="D547" s="41"/>
      <c r="E547" s="42" t="str">
        <f t="shared" si="42"/>
        <v>LATERAL</v>
      </c>
      <c r="F547" s="26" t="s">
        <v>2269</v>
      </c>
      <c r="G547" s="41" t="s">
        <v>473</v>
      </c>
      <c r="H547" s="41" t="s">
        <v>1086</v>
      </c>
      <c r="I547" s="41" t="s">
        <v>1622</v>
      </c>
      <c r="J547" s="19" t="s">
        <v>22</v>
      </c>
      <c r="K547" s="41" t="s">
        <v>2270</v>
      </c>
      <c r="L547" s="26"/>
      <c r="M547" s="27" t="s">
        <v>1261</v>
      </c>
      <c r="N547" s="27" t="str">
        <f t="shared" si="43"/>
        <v>NO</v>
      </c>
      <c r="O547" s="27" t="str">
        <f t="shared" si="44"/>
        <v>🟢</v>
      </c>
      <c r="P547" s="28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</row>
    <row r="548" spans="1:85" ht="18" customHeight="1" x14ac:dyDescent="0.3">
      <c r="A548" s="23">
        <f t="shared" si="40"/>
        <v>547</v>
      </c>
      <c r="B548" s="23">
        <f t="shared" si="41"/>
        <v>547</v>
      </c>
      <c r="C548" s="41" t="s">
        <v>2186</v>
      </c>
      <c r="D548" s="41"/>
      <c r="E548" s="42" t="str">
        <f t="shared" si="42"/>
        <v>LATERAL</v>
      </c>
      <c r="F548" s="26" t="s">
        <v>2271</v>
      </c>
      <c r="G548" s="41" t="s">
        <v>1039</v>
      </c>
      <c r="H548" s="41" t="s">
        <v>2272</v>
      </c>
      <c r="I548" s="41" t="s">
        <v>2273</v>
      </c>
      <c r="J548" s="19" t="s">
        <v>22</v>
      </c>
      <c r="K548" s="41" t="s">
        <v>2274</v>
      </c>
      <c r="L548" s="26"/>
      <c r="M548" s="27" t="s">
        <v>1261</v>
      </c>
      <c r="N548" s="27" t="str">
        <f t="shared" si="43"/>
        <v>NO</v>
      </c>
      <c r="O548" s="27" t="str">
        <f t="shared" si="44"/>
        <v>🟢</v>
      </c>
      <c r="P548" s="28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9"/>
      <c r="CC548" s="9"/>
      <c r="CD548" s="9"/>
      <c r="CE548" s="9"/>
      <c r="CF548" s="9"/>
      <c r="CG548" s="9"/>
    </row>
    <row r="549" spans="1:85" ht="18" customHeight="1" x14ac:dyDescent="0.3">
      <c r="A549" s="23">
        <f t="shared" si="40"/>
        <v>548</v>
      </c>
      <c r="B549" s="23">
        <f t="shared" si="41"/>
        <v>548</v>
      </c>
      <c r="C549" s="26" t="s">
        <v>2186</v>
      </c>
      <c r="D549" s="26"/>
      <c r="E549" s="27" t="str">
        <f t="shared" si="42"/>
        <v>LATERAL VIP</v>
      </c>
      <c r="F549" s="26" t="s">
        <v>2275</v>
      </c>
      <c r="G549" s="26" t="s">
        <v>554</v>
      </c>
      <c r="H549" s="26" t="s">
        <v>467</v>
      </c>
      <c r="I549" s="26"/>
      <c r="J549" s="13" t="s">
        <v>22</v>
      </c>
      <c r="K549" s="26" t="s">
        <v>2276</v>
      </c>
      <c r="L549" s="26"/>
      <c r="M549" s="27" t="s">
        <v>659</v>
      </c>
      <c r="N549" s="27" t="str">
        <f t="shared" si="43"/>
        <v>NO</v>
      </c>
      <c r="O549" s="27" t="str">
        <f t="shared" si="44"/>
        <v>🟢</v>
      </c>
      <c r="P549" s="28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9"/>
      <c r="CC549" s="9"/>
      <c r="CD549" s="9"/>
      <c r="CE549" s="9"/>
      <c r="CF549" s="9"/>
      <c r="CG549" s="9"/>
    </row>
    <row r="550" spans="1:85" ht="18" customHeight="1" x14ac:dyDescent="0.3">
      <c r="A550" s="23">
        <f t="shared" si="40"/>
        <v>549</v>
      </c>
      <c r="B550" s="23">
        <f t="shared" si="41"/>
        <v>549</v>
      </c>
      <c r="C550" s="41" t="s">
        <v>2186</v>
      </c>
      <c r="D550" s="41"/>
      <c r="E550" s="42" t="str">
        <f t="shared" si="42"/>
        <v>VIP</v>
      </c>
      <c r="F550" s="26" t="s">
        <v>2277</v>
      </c>
      <c r="G550" s="41" t="s">
        <v>2180</v>
      </c>
      <c r="H550" s="41" t="s">
        <v>2278</v>
      </c>
      <c r="I550" s="41"/>
      <c r="J550" s="19" t="s">
        <v>57</v>
      </c>
      <c r="K550" s="41" t="s">
        <v>2279</v>
      </c>
      <c r="L550" s="26"/>
      <c r="M550" s="27" t="s">
        <v>24</v>
      </c>
      <c r="N550" s="27" t="str">
        <f t="shared" si="43"/>
        <v>NO</v>
      </c>
      <c r="O550" s="27" t="str">
        <f t="shared" si="44"/>
        <v>🟡</v>
      </c>
      <c r="P550" s="28" t="s">
        <v>1156</v>
      </c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9"/>
      <c r="CC550" s="9"/>
      <c r="CD550" s="9"/>
      <c r="CE550" s="9"/>
      <c r="CF550" s="9"/>
      <c r="CG550" s="9"/>
    </row>
    <row r="551" spans="1:85" ht="18" customHeight="1" x14ac:dyDescent="0.3">
      <c r="A551" s="23">
        <f t="shared" si="40"/>
        <v>550</v>
      </c>
      <c r="B551" s="23">
        <f t="shared" si="41"/>
        <v>550</v>
      </c>
      <c r="C551" s="26" t="s">
        <v>2186</v>
      </c>
      <c r="D551" s="26" t="s">
        <v>95</v>
      </c>
      <c r="E551" s="27" t="str">
        <f t="shared" si="42"/>
        <v>VIP</v>
      </c>
      <c r="F551" s="26" t="s">
        <v>2280</v>
      </c>
      <c r="G551" s="26" t="s">
        <v>488</v>
      </c>
      <c r="H551" s="26" t="s">
        <v>2281</v>
      </c>
      <c r="I551" s="26" t="s">
        <v>172</v>
      </c>
      <c r="J551" s="19" t="s">
        <v>57</v>
      </c>
      <c r="K551" s="26" t="s">
        <v>2282</v>
      </c>
      <c r="L551" s="26"/>
      <c r="M551" s="27" t="s">
        <v>24</v>
      </c>
      <c r="N551" s="27" t="str">
        <f t="shared" si="43"/>
        <v>NO</v>
      </c>
      <c r="O551" s="27" t="str">
        <f t="shared" si="44"/>
        <v>🟡</v>
      </c>
      <c r="P551" s="28" t="s">
        <v>1156</v>
      </c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9"/>
      <c r="CC551" s="9"/>
      <c r="CD551" s="9"/>
      <c r="CE551" s="9"/>
      <c r="CF551" s="9"/>
      <c r="CG551" s="9"/>
    </row>
    <row r="552" spans="1:85" ht="18" customHeight="1" x14ac:dyDescent="0.3">
      <c r="A552" s="23">
        <f t="shared" si="40"/>
        <v>551</v>
      </c>
      <c r="B552" s="23">
        <f t="shared" si="41"/>
        <v>551</v>
      </c>
      <c r="C552" s="26" t="s">
        <v>2186</v>
      </c>
      <c r="D552" s="26"/>
      <c r="E552" s="27" t="str">
        <f t="shared" si="42"/>
        <v>VIP</v>
      </c>
      <c r="F552" s="26" t="s">
        <v>2001</v>
      </c>
      <c r="G552" s="26" t="s">
        <v>473</v>
      </c>
      <c r="H552" s="26" t="s">
        <v>135</v>
      </c>
      <c r="I552" s="26"/>
      <c r="J552" s="13" t="s">
        <v>22</v>
      </c>
      <c r="K552" s="26" t="s">
        <v>2283</v>
      </c>
      <c r="L552" s="26"/>
      <c r="M552" s="27" t="s">
        <v>24</v>
      </c>
      <c r="N552" s="27" t="str">
        <f t="shared" si="43"/>
        <v>SI</v>
      </c>
      <c r="O552" s="27" t="str">
        <f t="shared" si="44"/>
        <v>🟢</v>
      </c>
      <c r="P552" s="28" t="s">
        <v>547</v>
      </c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9"/>
      <c r="CC552" s="9"/>
      <c r="CD552" s="9"/>
      <c r="CE552" s="9"/>
      <c r="CF552" s="9"/>
      <c r="CG552" s="9"/>
    </row>
    <row r="553" spans="1:85" ht="18" customHeight="1" x14ac:dyDescent="0.3">
      <c r="A553" s="23">
        <f t="shared" si="40"/>
        <v>552</v>
      </c>
      <c r="B553" s="23">
        <f t="shared" si="41"/>
        <v>552</v>
      </c>
      <c r="C553" s="41" t="s">
        <v>2186</v>
      </c>
      <c r="D553" s="41" t="s">
        <v>95</v>
      </c>
      <c r="E553" s="42" t="str">
        <f t="shared" si="42"/>
        <v>VIP</v>
      </c>
      <c r="F553" s="26" t="s">
        <v>2284</v>
      </c>
      <c r="G553" s="41" t="s">
        <v>513</v>
      </c>
      <c r="H553" s="41" t="s">
        <v>172</v>
      </c>
      <c r="I553" s="41" t="s">
        <v>2285</v>
      </c>
      <c r="J553" s="13" t="s">
        <v>22</v>
      </c>
      <c r="K553" s="41" t="s">
        <v>2286</v>
      </c>
      <c r="L553" s="26"/>
      <c r="M553" s="27" t="s">
        <v>24</v>
      </c>
      <c r="N553" s="27" t="str">
        <f t="shared" si="43"/>
        <v>SI</v>
      </c>
      <c r="O553" s="27" t="str">
        <f t="shared" si="44"/>
        <v>🟢</v>
      </c>
      <c r="P553" s="28" t="s">
        <v>552</v>
      </c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</row>
    <row r="554" spans="1:85" ht="18" customHeight="1" x14ac:dyDescent="0.3">
      <c r="A554" s="23">
        <f t="shared" si="40"/>
        <v>553</v>
      </c>
      <c r="B554" s="23">
        <f t="shared" si="41"/>
        <v>553</v>
      </c>
      <c r="C554" s="41" t="s">
        <v>2186</v>
      </c>
      <c r="D554" s="41"/>
      <c r="E554" s="42" t="str">
        <f t="shared" si="42"/>
        <v/>
      </c>
      <c r="F554" s="26" t="s">
        <v>2287</v>
      </c>
      <c r="G554" s="41" t="s">
        <v>2288</v>
      </c>
      <c r="H554" s="41" t="s">
        <v>172</v>
      </c>
      <c r="I554" s="41" t="s">
        <v>2289</v>
      </c>
      <c r="J554" s="19" t="s">
        <v>71</v>
      </c>
      <c r="K554" s="41" t="s">
        <v>2290</v>
      </c>
      <c r="L554" s="26"/>
      <c r="M554" s="27" t="s">
        <v>24</v>
      </c>
      <c r="N554" s="27" t="str">
        <f t="shared" si="43"/>
        <v>NO</v>
      </c>
      <c r="O554" s="27" t="str">
        <f t="shared" si="44"/>
        <v>🔴</v>
      </c>
      <c r="P554" s="28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</row>
    <row r="555" spans="1:85" ht="18" customHeight="1" x14ac:dyDescent="0.3">
      <c r="A555" s="23">
        <f t="shared" si="40"/>
        <v>554</v>
      </c>
      <c r="B555" s="23">
        <f t="shared" si="41"/>
        <v>554</v>
      </c>
      <c r="C555" s="26" t="s">
        <v>2186</v>
      </c>
      <c r="D555" s="26"/>
      <c r="E555" s="27" t="str">
        <f t="shared" si="42"/>
        <v>LATERAL VIP</v>
      </c>
      <c r="F555" s="26" t="s">
        <v>2291</v>
      </c>
      <c r="G555" s="26" t="s">
        <v>317</v>
      </c>
      <c r="H555" s="26" t="s">
        <v>2292</v>
      </c>
      <c r="I555" s="26" t="s">
        <v>1158</v>
      </c>
      <c r="J555" s="13" t="s">
        <v>22</v>
      </c>
      <c r="K555" s="26" t="s">
        <v>2293</v>
      </c>
      <c r="L555" s="26"/>
      <c r="M555" s="27" t="s">
        <v>659</v>
      </c>
      <c r="N555" s="27" t="str">
        <f t="shared" si="43"/>
        <v>NO</v>
      </c>
      <c r="O555" s="27" t="str">
        <f t="shared" si="44"/>
        <v>🟢</v>
      </c>
      <c r="P555" s="28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</row>
    <row r="556" spans="1:85" ht="18" customHeight="1" x14ac:dyDescent="0.3">
      <c r="A556" s="23">
        <f t="shared" si="40"/>
        <v>555</v>
      </c>
      <c r="B556" s="23">
        <f t="shared" si="41"/>
        <v>555</v>
      </c>
      <c r="C556" s="41" t="s">
        <v>2186</v>
      </c>
      <c r="D556" s="41" t="s">
        <v>95</v>
      </c>
      <c r="E556" s="42" t="str">
        <f t="shared" si="42"/>
        <v/>
      </c>
      <c r="F556" s="26" t="s">
        <v>2294</v>
      </c>
      <c r="G556" s="41" t="s">
        <v>86</v>
      </c>
      <c r="H556" s="41" t="s">
        <v>2295</v>
      </c>
      <c r="I556" s="41"/>
      <c r="J556" s="20" t="s">
        <v>71</v>
      </c>
      <c r="K556" s="41" t="s">
        <v>2296</v>
      </c>
      <c r="L556" s="26"/>
      <c r="M556" s="27" t="s">
        <v>24</v>
      </c>
      <c r="N556" s="27" t="str">
        <f t="shared" si="43"/>
        <v>NO</v>
      </c>
      <c r="O556" s="27" t="str">
        <f t="shared" si="44"/>
        <v>🔴</v>
      </c>
      <c r="P556" s="28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9"/>
      <c r="CC556" s="9"/>
      <c r="CD556" s="9"/>
      <c r="CE556" s="9"/>
      <c r="CF556" s="9"/>
      <c r="CG556" s="9"/>
    </row>
    <row r="557" spans="1:85" ht="18" customHeight="1" x14ac:dyDescent="0.3">
      <c r="A557" s="23">
        <f t="shared" si="40"/>
        <v>556</v>
      </c>
      <c r="B557" s="23">
        <f t="shared" si="41"/>
        <v>556</v>
      </c>
      <c r="C557" s="41" t="s">
        <v>2186</v>
      </c>
      <c r="D557" s="41"/>
      <c r="E557" s="42" t="str">
        <f t="shared" si="42"/>
        <v>VIP</v>
      </c>
      <c r="F557" s="26" t="s">
        <v>2297</v>
      </c>
      <c r="G557" s="41" t="s">
        <v>128</v>
      </c>
      <c r="H557" s="41" t="s">
        <v>2295</v>
      </c>
      <c r="I557" s="41"/>
      <c r="J557" s="19" t="s">
        <v>57</v>
      </c>
      <c r="K557" s="41" t="s">
        <v>2298</v>
      </c>
      <c r="L557" s="26"/>
      <c r="M557" s="27" t="s">
        <v>24</v>
      </c>
      <c r="N557" s="27" t="str">
        <f t="shared" si="43"/>
        <v>NO</v>
      </c>
      <c r="O557" s="27" t="str">
        <f t="shared" si="44"/>
        <v>🟡</v>
      </c>
      <c r="P557" s="28" t="s">
        <v>1156</v>
      </c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</row>
    <row r="558" spans="1:85" ht="18" customHeight="1" x14ac:dyDescent="0.3">
      <c r="A558" s="23">
        <f t="shared" si="40"/>
        <v>557</v>
      </c>
      <c r="B558" s="23">
        <f t="shared" si="41"/>
        <v>557</v>
      </c>
      <c r="C558" s="26" t="s">
        <v>2186</v>
      </c>
      <c r="D558" s="26"/>
      <c r="E558" s="27" t="str">
        <f t="shared" si="42"/>
        <v>VIP</v>
      </c>
      <c r="F558" s="26" t="s">
        <v>2299</v>
      </c>
      <c r="G558" s="26" t="s">
        <v>2300</v>
      </c>
      <c r="H558" s="26" t="s">
        <v>2301</v>
      </c>
      <c r="I558" s="26" t="s">
        <v>2302</v>
      </c>
      <c r="J558" s="19" t="s">
        <v>57</v>
      </c>
      <c r="K558" s="26" t="s">
        <v>2303</v>
      </c>
      <c r="L558" s="26"/>
      <c r="M558" s="27" t="s">
        <v>24</v>
      </c>
      <c r="N558" s="27" t="str">
        <f t="shared" si="43"/>
        <v>NO</v>
      </c>
      <c r="O558" s="27" t="str">
        <f t="shared" si="44"/>
        <v>🟡</v>
      </c>
      <c r="P558" s="28" t="s">
        <v>1156</v>
      </c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9"/>
      <c r="CC558" s="9"/>
      <c r="CD558" s="9"/>
      <c r="CE558" s="9"/>
      <c r="CF558" s="9"/>
      <c r="CG558" s="9"/>
    </row>
    <row r="559" spans="1:85" ht="18" customHeight="1" x14ac:dyDescent="0.3">
      <c r="A559" s="23">
        <f t="shared" si="40"/>
        <v>558</v>
      </c>
      <c r="B559" s="23">
        <f t="shared" si="41"/>
        <v>558</v>
      </c>
      <c r="C559" s="26" t="s">
        <v>2186</v>
      </c>
      <c r="D559" s="26"/>
      <c r="E559" s="27" t="str">
        <f t="shared" si="42"/>
        <v>VIP</v>
      </c>
      <c r="F559" s="26" t="s">
        <v>2304</v>
      </c>
      <c r="G559" s="26" t="s">
        <v>725</v>
      </c>
      <c r="H559" s="26" t="s">
        <v>390</v>
      </c>
      <c r="I559" s="26" t="s">
        <v>2305</v>
      </c>
      <c r="J559" s="13" t="s">
        <v>22</v>
      </c>
      <c r="K559" s="26" t="s">
        <v>2306</v>
      </c>
      <c r="L559" s="26"/>
      <c r="M559" s="27" t="s">
        <v>24</v>
      </c>
      <c r="N559" s="27" t="str">
        <f t="shared" si="43"/>
        <v>SI</v>
      </c>
      <c r="O559" s="27" t="str">
        <f t="shared" si="44"/>
        <v>🟢</v>
      </c>
      <c r="P559" s="28" t="s">
        <v>560</v>
      </c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9"/>
      <c r="CC559" s="9"/>
      <c r="CD559" s="9"/>
      <c r="CE559" s="9"/>
      <c r="CF559" s="9"/>
      <c r="CG559" s="9"/>
    </row>
    <row r="560" spans="1:85" ht="18" customHeight="1" x14ac:dyDescent="0.3">
      <c r="A560" s="23">
        <f t="shared" si="40"/>
        <v>559</v>
      </c>
      <c r="B560" s="23">
        <f t="shared" si="41"/>
        <v>559</v>
      </c>
      <c r="C560" s="41" t="s">
        <v>2186</v>
      </c>
      <c r="D560" s="41"/>
      <c r="E560" s="42" t="str">
        <f t="shared" si="42"/>
        <v>VIP</v>
      </c>
      <c r="F560" s="26" t="s">
        <v>2307</v>
      </c>
      <c r="G560" s="43" t="s">
        <v>2308</v>
      </c>
      <c r="H560" s="43" t="s">
        <v>303</v>
      </c>
      <c r="I560" s="43" t="s">
        <v>2309</v>
      </c>
      <c r="J560" s="19" t="s">
        <v>57</v>
      </c>
      <c r="K560" s="41" t="s">
        <v>2310</v>
      </c>
      <c r="L560" s="26"/>
      <c r="M560" s="27" t="s">
        <v>24</v>
      </c>
      <c r="N560" s="27" t="str">
        <f t="shared" si="43"/>
        <v>NO</v>
      </c>
      <c r="O560" s="27" t="str">
        <f t="shared" si="44"/>
        <v>🟡</v>
      </c>
      <c r="P560" s="28" t="s">
        <v>1156</v>
      </c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9"/>
      <c r="CC560" s="9"/>
      <c r="CD560" s="9"/>
      <c r="CE560" s="9"/>
      <c r="CF560" s="9"/>
      <c r="CG560" s="9"/>
    </row>
    <row r="561" spans="1:85" ht="18" customHeight="1" x14ac:dyDescent="0.3">
      <c r="A561" s="23">
        <f t="shared" si="40"/>
        <v>560</v>
      </c>
      <c r="B561" s="23">
        <f t="shared" si="41"/>
        <v>560</v>
      </c>
      <c r="C561" s="41" t="s">
        <v>2186</v>
      </c>
      <c r="D561" s="41"/>
      <c r="E561" s="42" t="str">
        <f t="shared" si="42"/>
        <v>VIP</v>
      </c>
      <c r="F561" s="26" t="s">
        <v>2311</v>
      </c>
      <c r="G561" s="41" t="s">
        <v>1895</v>
      </c>
      <c r="H561" s="41" t="s">
        <v>2312</v>
      </c>
      <c r="I561" s="41" t="s">
        <v>2313</v>
      </c>
      <c r="J561" s="19" t="s">
        <v>57</v>
      </c>
      <c r="K561" s="41" t="s">
        <v>2314</v>
      </c>
      <c r="L561" s="26"/>
      <c r="M561" s="27" t="s">
        <v>24</v>
      </c>
      <c r="N561" s="27" t="str">
        <f t="shared" si="43"/>
        <v>NO</v>
      </c>
      <c r="O561" s="27" t="str">
        <f t="shared" si="44"/>
        <v>🟡</v>
      </c>
      <c r="P561" s="28" t="s">
        <v>1156</v>
      </c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9"/>
      <c r="CC561" s="9"/>
      <c r="CD561" s="9"/>
      <c r="CE561" s="9"/>
      <c r="CF561" s="9"/>
      <c r="CG561" s="9"/>
    </row>
    <row r="562" spans="1:85" ht="18" customHeight="1" x14ac:dyDescent="0.3">
      <c r="A562" s="23">
        <f t="shared" si="40"/>
        <v>561</v>
      </c>
      <c r="B562" s="23">
        <f t="shared" si="41"/>
        <v>561</v>
      </c>
      <c r="C562" s="26" t="s">
        <v>2186</v>
      </c>
      <c r="D562" s="26"/>
      <c r="E562" s="27" t="str">
        <f t="shared" si="42"/>
        <v>VIP</v>
      </c>
      <c r="F562" s="26" t="s">
        <v>2315</v>
      </c>
      <c r="G562" s="26" t="s">
        <v>2316</v>
      </c>
      <c r="H562" s="26" t="s">
        <v>2317</v>
      </c>
      <c r="I562" s="26"/>
      <c r="J562" s="19" t="s">
        <v>57</v>
      </c>
      <c r="K562" s="26" t="s">
        <v>2318</v>
      </c>
      <c r="L562" s="26"/>
      <c r="M562" s="27" t="s">
        <v>24</v>
      </c>
      <c r="N562" s="27" t="str">
        <f t="shared" si="43"/>
        <v>NO</v>
      </c>
      <c r="O562" s="27" t="str">
        <f t="shared" si="44"/>
        <v>🟡</v>
      </c>
      <c r="P562" s="28" t="s">
        <v>1156</v>
      </c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9"/>
      <c r="CC562" s="9"/>
      <c r="CD562" s="9"/>
      <c r="CE562" s="9"/>
      <c r="CF562" s="9"/>
      <c r="CG562" s="9"/>
    </row>
    <row r="563" spans="1:85" ht="18" customHeight="1" x14ac:dyDescent="0.3">
      <c r="A563" s="23">
        <f t="shared" si="40"/>
        <v>562</v>
      </c>
      <c r="B563" s="23">
        <f t="shared" si="41"/>
        <v>562</v>
      </c>
      <c r="C563" s="26" t="s">
        <v>2186</v>
      </c>
      <c r="D563" s="26"/>
      <c r="E563" s="27" t="str">
        <f t="shared" si="42"/>
        <v>VIP</v>
      </c>
      <c r="F563" s="26" t="s">
        <v>2319</v>
      </c>
      <c r="G563" s="26" t="s">
        <v>2320</v>
      </c>
      <c r="H563" s="26" t="s">
        <v>2321</v>
      </c>
      <c r="I563" s="26"/>
      <c r="J563" s="19" t="s">
        <v>57</v>
      </c>
      <c r="K563" s="26" t="s">
        <v>2322</v>
      </c>
      <c r="L563" s="26"/>
      <c r="M563" s="27" t="s">
        <v>24</v>
      </c>
      <c r="N563" s="27" t="str">
        <f t="shared" si="43"/>
        <v>NO</v>
      </c>
      <c r="O563" s="27" t="str">
        <f t="shared" si="44"/>
        <v>🟡</v>
      </c>
      <c r="P563" s="28" t="s">
        <v>1156</v>
      </c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</row>
    <row r="564" spans="1:85" ht="18" customHeight="1" x14ac:dyDescent="0.3">
      <c r="A564" s="23">
        <f t="shared" si="40"/>
        <v>563</v>
      </c>
      <c r="B564" s="23">
        <f t="shared" si="41"/>
        <v>563</v>
      </c>
      <c r="C564" s="41" t="s">
        <v>2186</v>
      </c>
      <c r="D564" s="41"/>
      <c r="E564" s="42" t="str">
        <f t="shared" si="42"/>
        <v>VIP</v>
      </c>
      <c r="F564" s="26" t="s">
        <v>2323</v>
      </c>
      <c r="G564" s="41" t="s">
        <v>2324</v>
      </c>
      <c r="H564" s="41" t="s">
        <v>2325</v>
      </c>
      <c r="I564" s="41"/>
      <c r="J564" s="19" t="s">
        <v>57</v>
      </c>
      <c r="K564" s="41" t="s">
        <v>2326</v>
      </c>
      <c r="L564" s="26"/>
      <c r="M564" s="27" t="s">
        <v>24</v>
      </c>
      <c r="N564" s="27" t="str">
        <f t="shared" si="43"/>
        <v>NO</v>
      </c>
      <c r="O564" s="27" t="str">
        <f t="shared" si="44"/>
        <v>🟡</v>
      </c>
      <c r="P564" s="28" t="s">
        <v>1156</v>
      </c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9"/>
      <c r="CC564" s="9"/>
      <c r="CD564" s="9"/>
      <c r="CE564" s="9"/>
      <c r="CF564" s="9"/>
      <c r="CG564" s="9"/>
    </row>
    <row r="565" spans="1:85" ht="18" customHeight="1" x14ac:dyDescent="0.3">
      <c r="A565" s="23">
        <f t="shared" si="40"/>
        <v>564</v>
      </c>
      <c r="B565" s="23">
        <f t="shared" si="41"/>
        <v>564</v>
      </c>
      <c r="C565" s="41" t="s">
        <v>2186</v>
      </c>
      <c r="D565" s="41"/>
      <c r="E565" s="42" t="str">
        <f t="shared" si="42"/>
        <v>VIP</v>
      </c>
      <c r="F565" s="26" t="s">
        <v>2327</v>
      </c>
      <c r="G565" s="41" t="s">
        <v>2328</v>
      </c>
      <c r="H565" s="41" t="s">
        <v>1509</v>
      </c>
      <c r="I565" s="41"/>
      <c r="J565" s="19" t="s">
        <v>57</v>
      </c>
      <c r="K565" s="41" t="s">
        <v>2329</v>
      </c>
      <c r="L565" s="26"/>
      <c r="M565" s="27" t="s">
        <v>24</v>
      </c>
      <c r="N565" s="27" t="str">
        <f t="shared" si="43"/>
        <v>NO</v>
      </c>
      <c r="O565" s="27" t="str">
        <f t="shared" si="44"/>
        <v>🟡</v>
      </c>
      <c r="P565" s="28" t="s">
        <v>1156</v>
      </c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</row>
    <row r="566" spans="1:85" ht="18" customHeight="1" x14ac:dyDescent="0.3">
      <c r="A566" s="23">
        <f t="shared" si="40"/>
        <v>565</v>
      </c>
      <c r="B566" s="23">
        <f t="shared" si="41"/>
        <v>565</v>
      </c>
      <c r="C566" s="26" t="s">
        <v>2186</v>
      </c>
      <c r="D566" s="26"/>
      <c r="E566" s="27" t="str">
        <f t="shared" si="42"/>
        <v>VIP</v>
      </c>
      <c r="F566" s="26" t="s">
        <v>2330</v>
      </c>
      <c r="G566" s="26" t="s">
        <v>2331</v>
      </c>
      <c r="H566" s="26" t="s">
        <v>2332</v>
      </c>
      <c r="I566" s="26"/>
      <c r="J566" s="19" t="s">
        <v>57</v>
      </c>
      <c r="K566" s="26" t="s">
        <v>2333</v>
      </c>
      <c r="L566" s="26"/>
      <c r="M566" s="27" t="s">
        <v>24</v>
      </c>
      <c r="N566" s="27" t="str">
        <f t="shared" si="43"/>
        <v>NO</v>
      </c>
      <c r="O566" s="27" t="str">
        <f t="shared" si="44"/>
        <v>🟡</v>
      </c>
      <c r="P566" s="28" t="s">
        <v>1156</v>
      </c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9"/>
      <c r="CC566" s="9"/>
      <c r="CD566" s="9"/>
      <c r="CE566" s="9"/>
      <c r="CF566" s="9"/>
      <c r="CG566" s="9"/>
    </row>
    <row r="567" spans="1:85" ht="18" customHeight="1" x14ac:dyDescent="0.3">
      <c r="A567" s="23">
        <f t="shared" si="40"/>
        <v>566</v>
      </c>
      <c r="B567" s="23">
        <f t="shared" si="41"/>
        <v>566</v>
      </c>
      <c r="C567" s="41" t="s">
        <v>2186</v>
      </c>
      <c r="D567" s="41"/>
      <c r="E567" s="42" t="str">
        <f t="shared" si="42"/>
        <v/>
      </c>
      <c r="F567" s="26" t="s">
        <v>2334</v>
      </c>
      <c r="G567" s="41" t="s">
        <v>1419</v>
      </c>
      <c r="H567" s="41" t="s">
        <v>2335</v>
      </c>
      <c r="I567" s="41" t="s">
        <v>2336</v>
      </c>
      <c r="J567" s="20" t="s">
        <v>71</v>
      </c>
      <c r="K567" s="41" t="s">
        <v>2337</v>
      </c>
      <c r="L567" s="26"/>
      <c r="M567" s="27"/>
      <c r="N567" s="27" t="str">
        <f t="shared" si="43"/>
        <v>NO</v>
      </c>
      <c r="O567" s="27" t="str">
        <f t="shared" si="44"/>
        <v>🔴</v>
      </c>
      <c r="P567" s="28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9"/>
      <c r="CC567" s="9"/>
      <c r="CD567" s="9"/>
      <c r="CE567" s="9"/>
      <c r="CF567" s="9"/>
      <c r="CG567" s="9"/>
    </row>
    <row r="568" spans="1:85" ht="18" customHeight="1" x14ac:dyDescent="0.3">
      <c r="A568" s="23">
        <f t="shared" si="40"/>
        <v>567</v>
      </c>
      <c r="B568" s="23">
        <f t="shared" si="41"/>
        <v>567</v>
      </c>
      <c r="C568" s="41" t="s">
        <v>2186</v>
      </c>
      <c r="D568" s="41"/>
      <c r="E568" s="42" t="str">
        <f t="shared" si="42"/>
        <v>VIP</v>
      </c>
      <c r="F568" s="26" t="s">
        <v>2338</v>
      </c>
      <c r="G568" s="41" t="s">
        <v>2339</v>
      </c>
      <c r="H568" s="41" t="s">
        <v>2340</v>
      </c>
      <c r="I568" s="41"/>
      <c r="J568" s="19" t="s">
        <v>57</v>
      </c>
      <c r="K568" s="41" t="s">
        <v>2341</v>
      </c>
      <c r="L568" s="26"/>
      <c r="M568" s="27" t="s">
        <v>24</v>
      </c>
      <c r="N568" s="27" t="str">
        <f t="shared" si="43"/>
        <v>NO</v>
      </c>
      <c r="O568" s="27" t="str">
        <f t="shared" si="44"/>
        <v>🟡</v>
      </c>
      <c r="P568" s="28" t="s">
        <v>1156</v>
      </c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</row>
    <row r="569" spans="1:85" ht="18" customHeight="1" x14ac:dyDescent="0.3">
      <c r="A569" s="23">
        <f t="shared" si="40"/>
        <v>568</v>
      </c>
      <c r="B569" s="23">
        <f t="shared" si="41"/>
        <v>568</v>
      </c>
      <c r="C569" s="41" t="s">
        <v>2186</v>
      </c>
      <c r="D569" s="41" t="s">
        <v>752</v>
      </c>
      <c r="E569" s="42" t="str">
        <f t="shared" si="42"/>
        <v/>
      </c>
      <c r="F569" s="26" t="s">
        <v>2342</v>
      </c>
      <c r="G569" s="41" t="s">
        <v>2343</v>
      </c>
      <c r="H569" s="41" t="s">
        <v>2344</v>
      </c>
      <c r="I569" s="41" t="s">
        <v>2344</v>
      </c>
      <c r="J569" s="20" t="s">
        <v>71</v>
      </c>
      <c r="K569" s="41" t="s">
        <v>2345</v>
      </c>
      <c r="L569" s="26"/>
      <c r="M569" s="27"/>
      <c r="N569" s="27" t="str">
        <f t="shared" si="43"/>
        <v>NO</v>
      </c>
      <c r="O569" s="27" t="str">
        <f t="shared" si="44"/>
        <v>🔴</v>
      </c>
      <c r="P569" s="28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</row>
    <row r="570" spans="1:85" ht="18" customHeight="1" x14ac:dyDescent="0.3">
      <c r="A570" s="23">
        <f t="shared" si="40"/>
        <v>569</v>
      </c>
      <c r="B570" s="23">
        <f t="shared" si="41"/>
        <v>569</v>
      </c>
      <c r="C570" s="26" t="s">
        <v>2186</v>
      </c>
      <c r="D570" s="26"/>
      <c r="E570" s="27" t="str">
        <f t="shared" si="42"/>
        <v>LATERAL VIP</v>
      </c>
      <c r="F570" s="26" t="s">
        <v>2346</v>
      </c>
      <c r="G570" s="26" t="s">
        <v>2347</v>
      </c>
      <c r="H570" s="26" t="s">
        <v>99</v>
      </c>
      <c r="I570" s="26" t="s">
        <v>42</v>
      </c>
      <c r="J570" s="13" t="s">
        <v>22</v>
      </c>
      <c r="K570" s="26" t="s">
        <v>2348</v>
      </c>
      <c r="L570" s="26"/>
      <c r="M570" s="27" t="s">
        <v>659</v>
      </c>
      <c r="N570" s="27" t="str">
        <f t="shared" si="43"/>
        <v>NO</v>
      </c>
      <c r="O570" s="27" t="str">
        <f t="shared" si="44"/>
        <v>🟢</v>
      </c>
      <c r="P570" s="28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</row>
    <row r="571" spans="1:85" ht="18" customHeight="1" x14ac:dyDescent="0.3">
      <c r="A571" s="23">
        <f t="shared" si="40"/>
        <v>570</v>
      </c>
      <c r="B571" s="23">
        <f t="shared" si="41"/>
        <v>570</v>
      </c>
      <c r="C571" s="41" t="s">
        <v>2186</v>
      </c>
      <c r="D571" s="41"/>
      <c r="E571" s="42" t="str">
        <f t="shared" si="42"/>
        <v/>
      </c>
      <c r="F571" s="26" t="s">
        <v>2349</v>
      </c>
      <c r="G571" s="41" t="s">
        <v>2350</v>
      </c>
      <c r="H571" s="41" t="s">
        <v>2351</v>
      </c>
      <c r="I571" s="41"/>
      <c r="J571" s="20" t="s">
        <v>71</v>
      </c>
      <c r="K571" s="41" t="s">
        <v>2352</v>
      </c>
      <c r="L571" s="26"/>
      <c r="M571" s="27"/>
      <c r="N571" s="27" t="str">
        <f t="shared" si="43"/>
        <v>NO</v>
      </c>
      <c r="O571" s="27" t="str">
        <f t="shared" si="44"/>
        <v>🔴</v>
      </c>
      <c r="P571" s="28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</row>
    <row r="572" spans="1:85" ht="18" customHeight="1" x14ac:dyDescent="0.3">
      <c r="A572" s="23">
        <f t="shared" si="40"/>
        <v>571</v>
      </c>
      <c r="B572" s="23">
        <f t="shared" si="41"/>
        <v>571</v>
      </c>
      <c r="C572" s="41" t="s">
        <v>2186</v>
      </c>
      <c r="D572" s="41"/>
      <c r="E572" s="42" t="str">
        <f t="shared" si="42"/>
        <v/>
      </c>
      <c r="F572" s="26" t="s">
        <v>2353</v>
      </c>
      <c r="G572" s="41" t="s">
        <v>2354</v>
      </c>
      <c r="H572" s="41" t="s">
        <v>2355</v>
      </c>
      <c r="I572" s="41"/>
      <c r="J572" s="20" t="s">
        <v>71</v>
      </c>
      <c r="K572" s="41" t="s">
        <v>2356</v>
      </c>
      <c r="L572" s="26"/>
      <c r="M572" s="27"/>
      <c r="N572" s="27" t="str">
        <f t="shared" si="43"/>
        <v>NO</v>
      </c>
      <c r="O572" s="27" t="str">
        <f t="shared" si="44"/>
        <v>🔴</v>
      </c>
      <c r="P572" s="28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</row>
    <row r="573" spans="1:85" ht="18" customHeight="1" x14ac:dyDescent="0.3">
      <c r="A573" s="23">
        <f t="shared" si="40"/>
        <v>572</v>
      </c>
      <c r="B573" s="23">
        <f t="shared" si="41"/>
        <v>572</v>
      </c>
      <c r="C573" s="41" t="s">
        <v>2186</v>
      </c>
      <c r="D573" s="41"/>
      <c r="E573" s="42" t="str">
        <f t="shared" si="42"/>
        <v>LATERAL VIP</v>
      </c>
      <c r="F573" s="26" t="s">
        <v>2357</v>
      </c>
      <c r="G573" s="41" t="s">
        <v>483</v>
      </c>
      <c r="H573" s="41" t="s">
        <v>2358</v>
      </c>
      <c r="I573" s="41"/>
      <c r="J573" s="13" t="s">
        <v>22</v>
      </c>
      <c r="K573" s="41" t="s">
        <v>2359</v>
      </c>
      <c r="L573" s="26"/>
      <c r="M573" s="27" t="s">
        <v>659</v>
      </c>
      <c r="N573" s="27" t="str">
        <f t="shared" si="43"/>
        <v>NO</v>
      </c>
      <c r="O573" s="27" t="str">
        <f t="shared" si="44"/>
        <v>🟢</v>
      </c>
      <c r="P573" s="28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</row>
    <row r="574" spans="1:85" ht="18" customHeight="1" x14ac:dyDescent="0.3">
      <c r="A574" s="23">
        <f t="shared" si="40"/>
        <v>573</v>
      </c>
      <c r="B574" s="23">
        <f t="shared" si="41"/>
        <v>573</v>
      </c>
      <c r="C574" s="41" t="s">
        <v>2186</v>
      </c>
      <c r="D574" s="41"/>
      <c r="E574" s="42" t="str">
        <f t="shared" si="42"/>
        <v>LATERAL VIP</v>
      </c>
      <c r="F574" s="26" t="s">
        <v>2360</v>
      </c>
      <c r="G574" s="41" t="s">
        <v>2361</v>
      </c>
      <c r="H574" s="41" t="s">
        <v>2362</v>
      </c>
      <c r="I574" s="41"/>
      <c r="J574" s="13" t="s">
        <v>22</v>
      </c>
      <c r="K574" s="41" t="s">
        <v>2363</v>
      </c>
      <c r="L574" s="26"/>
      <c r="M574" s="27" t="s">
        <v>659</v>
      </c>
      <c r="N574" s="27" t="str">
        <f t="shared" si="43"/>
        <v>NO</v>
      </c>
      <c r="O574" s="27" t="str">
        <f t="shared" si="44"/>
        <v>🟢</v>
      </c>
      <c r="P574" s="28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</row>
    <row r="575" spans="1:85" ht="18" customHeight="1" x14ac:dyDescent="0.3">
      <c r="A575" s="23">
        <f t="shared" si="40"/>
        <v>574</v>
      </c>
      <c r="B575" s="23">
        <f t="shared" si="41"/>
        <v>574</v>
      </c>
      <c r="C575" s="26" t="s">
        <v>2186</v>
      </c>
      <c r="D575" s="26"/>
      <c r="E575" s="27" t="str">
        <f t="shared" si="42"/>
        <v/>
      </c>
      <c r="F575" s="26" t="s">
        <v>2364</v>
      </c>
      <c r="G575" s="26" t="s">
        <v>2365</v>
      </c>
      <c r="H575" s="26" t="s">
        <v>2366</v>
      </c>
      <c r="I575" s="26"/>
      <c r="J575" s="20" t="s">
        <v>71</v>
      </c>
      <c r="K575" s="26" t="s">
        <v>2367</v>
      </c>
      <c r="L575" s="26"/>
      <c r="M575" s="27"/>
      <c r="N575" s="27" t="str">
        <f t="shared" si="43"/>
        <v>NO</v>
      </c>
      <c r="O575" s="27" t="str">
        <f t="shared" si="44"/>
        <v>🔴</v>
      </c>
      <c r="P575" s="28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</row>
    <row r="576" spans="1:85" ht="18" customHeight="1" x14ac:dyDescent="0.3">
      <c r="A576" s="23">
        <f t="shared" si="40"/>
        <v>575</v>
      </c>
      <c r="B576" s="23">
        <f t="shared" si="41"/>
        <v>575</v>
      </c>
      <c r="C576" s="26" t="s">
        <v>2186</v>
      </c>
      <c r="D576" s="26"/>
      <c r="E576" s="27" t="str">
        <f t="shared" si="42"/>
        <v>VIP</v>
      </c>
      <c r="F576" s="26" t="s">
        <v>2368</v>
      </c>
      <c r="G576" s="26" t="s">
        <v>2369</v>
      </c>
      <c r="H576" s="26" t="s">
        <v>2370</v>
      </c>
      <c r="I576" s="26"/>
      <c r="J576" s="19" t="s">
        <v>57</v>
      </c>
      <c r="K576" s="26" t="s">
        <v>2371</v>
      </c>
      <c r="L576" s="26"/>
      <c r="M576" s="27" t="s">
        <v>24</v>
      </c>
      <c r="N576" s="27" t="str">
        <f t="shared" si="43"/>
        <v>NO</v>
      </c>
      <c r="O576" s="27" t="str">
        <f t="shared" si="44"/>
        <v>🟡</v>
      </c>
      <c r="P576" s="28" t="s">
        <v>1156</v>
      </c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</row>
    <row r="577" spans="1:85" ht="18" customHeight="1" x14ac:dyDescent="0.3">
      <c r="A577" s="23">
        <f t="shared" ref="A577:A640" si="45">IF(COUNTA(C577:K577)=0,"",ROW()-1)</f>
        <v>576</v>
      </c>
      <c r="B577" s="23">
        <f t="shared" ref="B577:B640" si="46">IF($F577&lt;&gt;"",$A577,"")</f>
        <v>576</v>
      </c>
      <c r="C577" s="26" t="s">
        <v>2186</v>
      </c>
      <c r="D577" s="26"/>
      <c r="E577" s="27">
        <f t="shared" ref="E577:E640" si="47">IF(UPPER($J577)="NO","",$M577)</f>
        <v>0</v>
      </c>
      <c r="F577" s="26" t="s">
        <v>2372</v>
      </c>
      <c r="G577" s="26" t="s">
        <v>91</v>
      </c>
      <c r="H577" s="26" t="s">
        <v>129</v>
      </c>
      <c r="I577" s="26" t="s">
        <v>2373</v>
      </c>
      <c r="J577" s="19" t="s">
        <v>57</v>
      </c>
      <c r="K577" s="26" t="s">
        <v>2374</v>
      </c>
      <c r="L577" s="26"/>
      <c r="M577" s="27"/>
      <c r="N577" s="27" t="str">
        <f t="shared" ref="N577:N640" si="48">IF(AND(UPPER($M577)="VIP",UPPER($J577)="SI",$F577&lt;&gt;""),"SI","NO")</f>
        <v>NO</v>
      </c>
      <c r="O577" s="27" t="str">
        <f t="shared" ref="O577:O640" si="49">IF(UPPER($J577)="SI","🟢",IF(UPPER($J577)="NO","🔴","🟡"))</f>
        <v>🟡</v>
      </c>
      <c r="P577" s="28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</row>
    <row r="578" spans="1:85" ht="18" customHeight="1" x14ac:dyDescent="0.3">
      <c r="A578" s="23">
        <f t="shared" si="45"/>
        <v>577</v>
      </c>
      <c r="B578" s="23">
        <f t="shared" si="46"/>
        <v>577</v>
      </c>
      <c r="C578" s="41" t="s">
        <v>2186</v>
      </c>
      <c r="D578" s="41"/>
      <c r="E578" s="42" t="str">
        <f t="shared" si="47"/>
        <v>LATERAL VIP</v>
      </c>
      <c r="F578" s="26" t="s">
        <v>2375</v>
      </c>
      <c r="G578" s="41" t="s">
        <v>86</v>
      </c>
      <c r="H578" s="41" t="s">
        <v>2376</v>
      </c>
      <c r="I578" s="41"/>
      <c r="J578" s="13" t="s">
        <v>22</v>
      </c>
      <c r="K578" s="41" t="s">
        <v>2377</v>
      </c>
      <c r="L578" s="26"/>
      <c r="M578" s="27" t="s">
        <v>659</v>
      </c>
      <c r="N578" s="27" t="str">
        <f t="shared" si="48"/>
        <v>NO</v>
      </c>
      <c r="O578" s="27" t="str">
        <f t="shared" si="49"/>
        <v>🟢</v>
      </c>
      <c r="P578" s="28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</row>
    <row r="579" spans="1:85" ht="18" customHeight="1" x14ac:dyDescent="0.3">
      <c r="A579" s="23">
        <f t="shared" si="45"/>
        <v>578</v>
      </c>
      <c r="B579" s="23">
        <f t="shared" si="46"/>
        <v>578</v>
      </c>
      <c r="C579" s="26" t="s">
        <v>2186</v>
      </c>
      <c r="D579" s="26"/>
      <c r="E579" s="27" t="str">
        <f t="shared" si="47"/>
        <v>LATERAL</v>
      </c>
      <c r="F579" s="26" t="s">
        <v>2378</v>
      </c>
      <c r="G579" s="26" t="s">
        <v>68</v>
      </c>
      <c r="H579" s="26" t="s">
        <v>2258</v>
      </c>
      <c r="I579" s="26"/>
      <c r="J579" s="19" t="s">
        <v>57</v>
      </c>
      <c r="K579" s="26" t="s">
        <v>2379</v>
      </c>
      <c r="L579" s="26"/>
      <c r="M579" s="27" t="s">
        <v>1261</v>
      </c>
      <c r="N579" s="27" t="str">
        <f t="shared" si="48"/>
        <v>NO</v>
      </c>
      <c r="O579" s="27" t="str">
        <f t="shared" si="49"/>
        <v>🟡</v>
      </c>
      <c r="P579" s="28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</row>
    <row r="580" spans="1:85" ht="18" customHeight="1" x14ac:dyDescent="0.3">
      <c r="A580" s="23">
        <f t="shared" si="45"/>
        <v>579</v>
      </c>
      <c r="B580" s="23">
        <f t="shared" si="46"/>
        <v>579</v>
      </c>
      <c r="C580" s="41" t="s">
        <v>2186</v>
      </c>
      <c r="D580" s="41"/>
      <c r="E580" s="42" t="str">
        <f t="shared" si="47"/>
        <v>VIP</v>
      </c>
      <c r="F580" s="26" t="s">
        <v>2380</v>
      </c>
      <c r="G580" s="41" t="s">
        <v>2381</v>
      </c>
      <c r="H580" s="41" t="s">
        <v>797</v>
      </c>
      <c r="I580" s="41" t="s">
        <v>2382</v>
      </c>
      <c r="J580" s="13" t="s">
        <v>22</v>
      </c>
      <c r="K580" s="41" t="s">
        <v>2383</v>
      </c>
      <c r="L580" s="26"/>
      <c r="M580" s="27" t="s">
        <v>24</v>
      </c>
      <c r="N580" s="27" t="str">
        <f t="shared" si="48"/>
        <v>SI</v>
      </c>
      <c r="O580" s="27" t="str">
        <f t="shared" si="49"/>
        <v>🟢</v>
      </c>
      <c r="P580" s="28" t="s">
        <v>572</v>
      </c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</row>
    <row r="581" spans="1:85" ht="18" customHeight="1" x14ac:dyDescent="0.3">
      <c r="A581" s="23">
        <f t="shared" si="45"/>
        <v>580</v>
      </c>
      <c r="B581" s="23">
        <f t="shared" si="46"/>
        <v>580</v>
      </c>
      <c r="C581" s="41" t="s">
        <v>2186</v>
      </c>
      <c r="D581" s="41" t="s">
        <v>912</v>
      </c>
      <c r="E581" s="42" t="str">
        <f t="shared" si="47"/>
        <v>LATERAL VIP</v>
      </c>
      <c r="F581" s="26" t="s">
        <v>2384</v>
      </c>
      <c r="G581" s="41" t="s">
        <v>1837</v>
      </c>
      <c r="H581" s="41" t="s">
        <v>1380</v>
      </c>
      <c r="I581" s="41" t="s">
        <v>2385</v>
      </c>
      <c r="J581" s="13" t="s">
        <v>22</v>
      </c>
      <c r="K581" s="41" t="s">
        <v>2386</v>
      </c>
      <c r="L581" s="26"/>
      <c r="M581" s="27" t="s">
        <v>659</v>
      </c>
      <c r="N581" s="27" t="str">
        <f t="shared" si="48"/>
        <v>NO</v>
      </c>
      <c r="O581" s="27" t="str">
        <f t="shared" si="49"/>
        <v>🟢</v>
      </c>
      <c r="P581" s="28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</row>
    <row r="582" spans="1:85" ht="18" customHeight="1" x14ac:dyDescent="0.3">
      <c r="A582" s="23">
        <f t="shared" si="45"/>
        <v>581</v>
      </c>
      <c r="B582" s="23">
        <f t="shared" si="46"/>
        <v>581</v>
      </c>
      <c r="C582" s="41" t="s">
        <v>2186</v>
      </c>
      <c r="D582" s="41"/>
      <c r="E582" s="42" t="str">
        <f t="shared" si="47"/>
        <v>LATERAL VIP</v>
      </c>
      <c r="F582" s="26" t="s">
        <v>2387</v>
      </c>
      <c r="G582" s="41" t="s">
        <v>2388</v>
      </c>
      <c r="H582" s="41" t="s">
        <v>2389</v>
      </c>
      <c r="I582" s="41"/>
      <c r="J582" s="13" t="s">
        <v>22</v>
      </c>
      <c r="K582" s="41" t="s">
        <v>2390</v>
      </c>
      <c r="L582" s="26"/>
      <c r="M582" s="27" t="s">
        <v>659</v>
      </c>
      <c r="N582" s="27" t="str">
        <f t="shared" si="48"/>
        <v>NO</v>
      </c>
      <c r="O582" s="27" t="str">
        <f t="shared" si="49"/>
        <v>🟢</v>
      </c>
      <c r="P582" s="28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</row>
    <row r="583" spans="1:85" ht="18" customHeight="1" x14ac:dyDescent="0.3">
      <c r="A583" s="23">
        <f t="shared" si="45"/>
        <v>582</v>
      </c>
      <c r="B583" s="23">
        <f t="shared" si="46"/>
        <v>582</v>
      </c>
      <c r="C583" s="26" t="s">
        <v>2186</v>
      </c>
      <c r="D583" s="26"/>
      <c r="E583" s="27" t="str">
        <f t="shared" si="47"/>
        <v/>
      </c>
      <c r="F583" s="26" t="s">
        <v>2391</v>
      </c>
      <c r="G583" s="26" t="s">
        <v>537</v>
      </c>
      <c r="H583" s="26" t="s">
        <v>2392</v>
      </c>
      <c r="I583" s="26"/>
      <c r="J583" s="13" t="s">
        <v>71</v>
      </c>
      <c r="K583" s="26" t="s">
        <v>2393</v>
      </c>
      <c r="L583" s="26"/>
      <c r="M583" s="27" t="s">
        <v>659</v>
      </c>
      <c r="N583" s="27" t="str">
        <f t="shared" si="48"/>
        <v>NO</v>
      </c>
      <c r="O583" s="27" t="str">
        <f t="shared" si="49"/>
        <v>🔴</v>
      </c>
      <c r="P583" s="28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</row>
    <row r="584" spans="1:85" ht="18" customHeight="1" x14ac:dyDescent="0.3">
      <c r="A584" s="23">
        <f t="shared" si="45"/>
        <v>583</v>
      </c>
      <c r="B584" s="23">
        <f t="shared" si="46"/>
        <v>583</v>
      </c>
      <c r="C584" s="41" t="s">
        <v>2186</v>
      </c>
      <c r="D584" s="41"/>
      <c r="E584" s="42" t="str">
        <f t="shared" si="47"/>
        <v>LATERAL VIP</v>
      </c>
      <c r="F584" s="26" t="s">
        <v>2394</v>
      </c>
      <c r="G584" s="41" t="s">
        <v>704</v>
      </c>
      <c r="H584" s="41" t="s">
        <v>116</v>
      </c>
      <c r="I584" s="41" t="s">
        <v>2395</v>
      </c>
      <c r="J584" s="13" t="s">
        <v>22</v>
      </c>
      <c r="K584" s="41" t="s">
        <v>2396</v>
      </c>
      <c r="L584" s="26"/>
      <c r="M584" s="27" t="s">
        <v>659</v>
      </c>
      <c r="N584" s="27" t="str">
        <f t="shared" si="48"/>
        <v>NO</v>
      </c>
      <c r="O584" s="27" t="str">
        <f t="shared" si="49"/>
        <v>🟢</v>
      </c>
      <c r="P584" s="28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</row>
    <row r="585" spans="1:85" ht="18" customHeight="1" x14ac:dyDescent="0.3">
      <c r="A585" s="23">
        <f t="shared" si="45"/>
        <v>584</v>
      </c>
      <c r="B585" s="23">
        <f t="shared" si="46"/>
        <v>584</v>
      </c>
      <c r="C585" s="26" t="s">
        <v>2186</v>
      </c>
      <c r="D585" s="26"/>
      <c r="E585" s="27" t="str">
        <f t="shared" si="47"/>
        <v/>
      </c>
      <c r="F585" s="26" t="s">
        <v>2397</v>
      </c>
      <c r="G585" s="26" t="s">
        <v>533</v>
      </c>
      <c r="H585" s="26" t="s">
        <v>1279</v>
      </c>
      <c r="I585" s="26" t="s">
        <v>2398</v>
      </c>
      <c r="J585" s="20" t="s">
        <v>71</v>
      </c>
      <c r="K585" s="26" t="s">
        <v>2399</v>
      </c>
      <c r="L585" s="26"/>
      <c r="M585" s="27"/>
      <c r="N585" s="27" t="str">
        <f t="shared" si="48"/>
        <v>NO</v>
      </c>
      <c r="O585" s="27" t="str">
        <f t="shared" si="49"/>
        <v>🔴</v>
      </c>
      <c r="P585" s="28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</row>
    <row r="586" spans="1:85" ht="18" customHeight="1" x14ac:dyDescent="0.3">
      <c r="A586" s="23">
        <f t="shared" si="45"/>
        <v>585</v>
      </c>
      <c r="B586" s="23">
        <f t="shared" si="46"/>
        <v>585</v>
      </c>
      <c r="C586" s="26" t="s">
        <v>2186</v>
      </c>
      <c r="D586" s="26" t="s">
        <v>2400</v>
      </c>
      <c r="E586" s="27" t="str">
        <f t="shared" si="47"/>
        <v>LATERAL VIP</v>
      </c>
      <c r="F586" s="26" t="s">
        <v>2401</v>
      </c>
      <c r="G586" s="26" t="s">
        <v>91</v>
      </c>
      <c r="H586" s="26" t="s">
        <v>2402</v>
      </c>
      <c r="I586" s="26" t="s">
        <v>2403</v>
      </c>
      <c r="J586" s="13" t="s">
        <v>22</v>
      </c>
      <c r="K586" s="26" t="s">
        <v>2404</v>
      </c>
      <c r="L586" s="26"/>
      <c r="M586" s="27" t="s">
        <v>659</v>
      </c>
      <c r="N586" s="27" t="str">
        <f t="shared" si="48"/>
        <v>NO</v>
      </c>
      <c r="O586" s="27" t="str">
        <f t="shared" si="49"/>
        <v>🟢</v>
      </c>
      <c r="P586" s="28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</row>
    <row r="587" spans="1:85" ht="18" customHeight="1" x14ac:dyDescent="0.3">
      <c r="A587" s="23">
        <f t="shared" si="45"/>
        <v>586</v>
      </c>
      <c r="B587" s="23">
        <f t="shared" si="46"/>
        <v>586</v>
      </c>
      <c r="C587" s="41" t="s">
        <v>2186</v>
      </c>
      <c r="D587" s="41"/>
      <c r="E587" s="42" t="str">
        <f t="shared" si="47"/>
        <v>VIP</v>
      </c>
      <c r="F587" s="26" t="s">
        <v>2405</v>
      </c>
      <c r="G587" s="41" t="s">
        <v>537</v>
      </c>
      <c r="H587" s="41" t="s">
        <v>2406</v>
      </c>
      <c r="I587" s="41"/>
      <c r="J587" s="13" t="s">
        <v>22</v>
      </c>
      <c r="K587" s="41" t="s">
        <v>2407</v>
      </c>
      <c r="L587" s="26"/>
      <c r="M587" s="27" t="s">
        <v>24</v>
      </c>
      <c r="N587" s="27" t="str">
        <f t="shared" si="48"/>
        <v>SI</v>
      </c>
      <c r="O587" s="27" t="str">
        <f t="shared" si="49"/>
        <v>🟢</v>
      </c>
      <c r="P587" s="28" t="s">
        <v>579</v>
      </c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</row>
    <row r="588" spans="1:85" ht="18" customHeight="1" x14ac:dyDescent="0.3">
      <c r="A588" s="23">
        <f t="shared" si="45"/>
        <v>587</v>
      </c>
      <c r="B588" s="23">
        <f t="shared" si="46"/>
        <v>587</v>
      </c>
      <c r="C588" s="26" t="s">
        <v>2186</v>
      </c>
      <c r="D588" s="26"/>
      <c r="E588" s="27" t="str">
        <f t="shared" si="47"/>
        <v>LATERAL VIP</v>
      </c>
      <c r="F588" s="26" t="s">
        <v>2408</v>
      </c>
      <c r="G588" s="26" t="s">
        <v>996</v>
      </c>
      <c r="H588" s="26" t="s">
        <v>172</v>
      </c>
      <c r="I588" s="26" t="s">
        <v>2409</v>
      </c>
      <c r="J588" s="13" t="s">
        <v>22</v>
      </c>
      <c r="K588" s="26" t="s">
        <v>2410</v>
      </c>
      <c r="L588" s="26"/>
      <c r="M588" s="27" t="s">
        <v>659</v>
      </c>
      <c r="N588" s="27" t="str">
        <f t="shared" si="48"/>
        <v>NO</v>
      </c>
      <c r="O588" s="27" t="str">
        <f t="shared" si="49"/>
        <v>🟢</v>
      </c>
      <c r="P588" s="28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</row>
    <row r="589" spans="1:85" ht="18" customHeight="1" x14ac:dyDescent="0.3">
      <c r="A589" s="23">
        <f t="shared" si="45"/>
        <v>588</v>
      </c>
      <c r="B589" s="23">
        <f t="shared" si="46"/>
        <v>588</v>
      </c>
      <c r="C589" s="41" t="s">
        <v>2186</v>
      </c>
      <c r="D589" s="41" t="s">
        <v>752</v>
      </c>
      <c r="E589" s="42" t="str">
        <f t="shared" si="47"/>
        <v>VIP</v>
      </c>
      <c r="F589" s="26" t="s">
        <v>2411</v>
      </c>
      <c r="G589" s="41" t="s">
        <v>2412</v>
      </c>
      <c r="H589" s="41" t="s">
        <v>2413</v>
      </c>
      <c r="I589" s="41"/>
      <c r="J589" s="19" t="s">
        <v>57</v>
      </c>
      <c r="K589" s="41" t="s">
        <v>2414</v>
      </c>
      <c r="L589" s="26"/>
      <c r="M589" s="27" t="s">
        <v>24</v>
      </c>
      <c r="N589" s="27" t="str">
        <f t="shared" si="48"/>
        <v>NO</v>
      </c>
      <c r="O589" s="27" t="str">
        <f t="shared" si="49"/>
        <v>🟡</v>
      </c>
      <c r="P589" s="28" t="s">
        <v>1156</v>
      </c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</row>
    <row r="590" spans="1:85" ht="18" customHeight="1" x14ac:dyDescent="0.3">
      <c r="A590" s="23">
        <f t="shared" si="45"/>
        <v>589</v>
      </c>
      <c r="B590" s="23">
        <f t="shared" si="46"/>
        <v>589</v>
      </c>
      <c r="C590" s="41" t="s">
        <v>2186</v>
      </c>
      <c r="D590" s="41" t="s">
        <v>2415</v>
      </c>
      <c r="E590" s="42" t="str">
        <f t="shared" si="47"/>
        <v>VIP</v>
      </c>
      <c r="F590" s="26" t="s">
        <v>2416</v>
      </c>
      <c r="G590" s="41" t="s">
        <v>488</v>
      </c>
      <c r="H590" s="41" t="s">
        <v>623</v>
      </c>
      <c r="I590" s="41" t="s">
        <v>2417</v>
      </c>
      <c r="J590" s="13" t="s">
        <v>22</v>
      </c>
      <c r="K590" s="41" t="s">
        <v>2418</v>
      </c>
      <c r="L590" s="26"/>
      <c r="M590" s="27" t="s">
        <v>24</v>
      </c>
      <c r="N590" s="27" t="str">
        <f t="shared" si="48"/>
        <v>SI</v>
      </c>
      <c r="O590" s="27" t="str">
        <f t="shared" si="49"/>
        <v>🟢</v>
      </c>
      <c r="P590" s="28" t="s">
        <v>592</v>
      </c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</row>
    <row r="591" spans="1:85" ht="18" customHeight="1" x14ac:dyDescent="0.3">
      <c r="A591" s="23">
        <f t="shared" si="45"/>
        <v>590</v>
      </c>
      <c r="B591" s="23">
        <f t="shared" si="46"/>
        <v>590</v>
      </c>
      <c r="C591" s="41" t="s">
        <v>2186</v>
      </c>
      <c r="D591" s="41"/>
      <c r="E591" s="42" t="str">
        <f t="shared" si="47"/>
        <v>VIP</v>
      </c>
      <c r="F591" s="26" t="s">
        <v>2419</v>
      </c>
      <c r="G591" s="41" t="s">
        <v>2420</v>
      </c>
      <c r="H591" s="41" t="s">
        <v>720</v>
      </c>
      <c r="I591" s="41"/>
      <c r="J591" s="19" t="s">
        <v>57</v>
      </c>
      <c r="K591" s="41" t="s">
        <v>2421</v>
      </c>
      <c r="L591" s="26"/>
      <c r="M591" s="27" t="s">
        <v>24</v>
      </c>
      <c r="N591" s="27" t="str">
        <f t="shared" si="48"/>
        <v>NO</v>
      </c>
      <c r="O591" s="27" t="str">
        <f t="shared" si="49"/>
        <v>🟡</v>
      </c>
      <c r="P591" s="28" t="s">
        <v>1156</v>
      </c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</row>
    <row r="592" spans="1:85" ht="18" customHeight="1" x14ac:dyDescent="0.3">
      <c r="A592" s="23">
        <f t="shared" si="45"/>
        <v>591</v>
      </c>
      <c r="B592" s="23">
        <f t="shared" si="46"/>
        <v>591</v>
      </c>
      <c r="C592" s="41" t="s">
        <v>2186</v>
      </c>
      <c r="D592" s="41" t="s">
        <v>95</v>
      </c>
      <c r="E592" s="42" t="str">
        <f t="shared" si="47"/>
        <v>VIP</v>
      </c>
      <c r="F592" s="26" t="s">
        <v>2422</v>
      </c>
      <c r="G592" s="41" t="s">
        <v>86</v>
      </c>
      <c r="H592" s="41" t="s">
        <v>1660</v>
      </c>
      <c r="I592" s="41"/>
      <c r="J592" s="19" t="s">
        <v>57</v>
      </c>
      <c r="K592" s="41" t="s">
        <v>2423</v>
      </c>
      <c r="L592" s="26"/>
      <c r="M592" s="27" t="s">
        <v>24</v>
      </c>
      <c r="N592" s="27" t="str">
        <f t="shared" si="48"/>
        <v>NO</v>
      </c>
      <c r="O592" s="27" t="str">
        <f t="shared" si="49"/>
        <v>🟡</v>
      </c>
      <c r="P592" s="28" t="s">
        <v>1156</v>
      </c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</row>
    <row r="593" spans="1:85" ht="18" customHeight="1" x14ac:dyDescent="0.3">
      <c r="A593" s="23">
        <f t="shared" si="45"/>
        <v>592</v>
      </c>
      <c r="B593" s="23">
        <f t="shared" si="46"/>
        <v>592</v>
      </c>
      <c r="C593" s="41" t="s">
        <v>2186</v>
      </c>
      <c r="D593" s="41" t="s">
        <v>95</v>
      </c>
      <c r="E593" s="42" t="str">
        <f t="shared" si="47"/>
        <v>VIP</v>
      </c>
      <c r="F593" s="26" t="s">
        <v>2424</v>
      </c>
      <c r="G593" s="41" t="s">
        <v>91</v>
      </c>
      <c r="H593" s="41" t="s">
        <v>2425</v>
      </c>
      <c r="I593" s="41" t="s">
        <v>2426</v>
      </c>
      <c r="J593" s="13" t="s">
        <v>22</v>
      </c>
      <c r="K593" s="41" t="s">
        <v>2427</v>
      </c>
      <c r="L593" s="26"/>
      <c r="M593" s="27" t="s">
        <v>24</v>
      </c>
      <c r="N593" s="27" t="str">
        <f t="shared" si="48"/>
        <v>SI</v>
      </c>
      <c r="O593" s="27" t="str">
        <f t="shared" si="49"/>
        <v>🟢</v>
      </c>
      <c r="P593" s="28" t="s">
        <v>596</v>
      </c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</row>
    <row r="594" spans="1:85" ht="18" customHeight="1" x14ac:dyDescent="0.3">
      <c r="A594" s="23">
        <f t="shared" si="45"/>
        <v>593</v>
      </c>
      <c r="B594" s="23">
        <f t="shared" si="46"/>
        <v>593</v>
      </c>
      <c r="C594" s="41" t="s">
        <v>2186</v>
      </c>
      <c r="D594" s="41" t="s">
        <v>752</v>
      </c>
      <c r="E594" s="42" t="str">
        <f t="shared" si="47"/>
        <v>VIP</v>
      </c>
      <c r="F594" s="26" t="s">
        <v>2428</v>
      </c>
      <c r="G594" s="41" t="s">
        <v>725</v>
      </c>
      <c r="H594" s="41" t="s">
        <v>2429</v>
      </c>
      <c r="I594" s="41" t="s">
        <v>461</v>
      </c>
      <c r="J594" s="13" t="s">
        <v>22</v>
      </c>
      <c r="K594" s="41" t="s">
        <v>2430</v>
      </c>
      <c r="L594" s="26"/>
      <c r="M594" s="27" t="s">
        <v>24</v>
      </c>
      <c r="N594" s="27" t="str">
        <f t="shared" si="48"/>
        <v>SI</v>
      </c>
      <c r="O594" s="27" t="str">
        <f t="shared" si="49"/>
        <v>🟢</v>
      </c>
      <c r="P594" s="28" t="s">
        <v>603</v>
      </c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</row>
    <row r="595" spans="1:85" ht="18" customHeight="1" x14ac:dyDescent="0.3">
      <c r="A595" s="23">
        <f t="shared" si="45"/>
        <v>594</v>
      </c>
      <c r="B595" s="23">
        <f t="shared" si="46"/>
        <v>594</v>
      </c>
      <c r="C595" s="41" t="s">
        <v>2186</v>
      </c>
      <c r="D595" s="41" t="s">
        <v>752</v>
      </c>
      <c r="E595" s="42" t="str">
        <f t="shared" si="47"/>
        <v>VIP</v>
      </c>
      <c r="F595" s="26" t="s">
        <v>2431</v>
      </c>
      <c r="G595" s="41" t="s">
        <v>554</v>
      </c>
      <c r="H595" s="41" t="s">
        <v>2432</v>
      </c>
      <c r="I595" s="41"/>
      <c r="J595" s="19" t="s">
        <v>57</v>
      </c>
      <c r="K595" s="41" t="s">
        <v>2433</v>
      </c>
      <c r="L595" s="26"/>
      <c r="M595" s="27" t="s">
        <v>24</v>
      </c>
      <c r="N595" s="27" t="str">
        <f t="shared" si="48"/>
        <v>NO</v>
      </c>
      <c r="O595" s="27" t="str">
        <f t="shared" si="49"/>
        <v>🟡</v>
      </c>
      <c r="P595" s="28" t="s">
        <v>1156</v>
      </c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</row>
    <row r="596" spans="1:85" ht="18" customHeight="1" x14ac:dyDescent="0.3">
      <c r="A596" s="23">
        <f t="shared" si="45"/>
        <v>595</v>
      </c>
      <c r="B596" s="23">
        <f t="shared" si="46"/>
        <v>595</v>
      </c>
      <c r="C596" s="26" t="s">
        <v>2186</v>
      </c>
      <c r="D596" s="26" t="s">
        <v>1391</v>
      </c>
      <c r="E596" s="27" t="str">
        <f t="shared" si="47"/>
        <v>LATERAL VIP</v>
      </c>
      <c r="F596" s="26" t="s">
        <v>2434</v>
      </c>
      <c r="G596" s="26" t="s">
        <v>533</v>
      </c>
      <c r="H596" s="26" t="s">
        <v>2435</v>
      </c>
      <c r="I596" s="26" t="s">
        <v>2436</v>
      </c>
      <c r="J596" s="13" t="s">
        <v>22</v>
      </c>
      <c r="K596" s="26" t="s">
        <v>2437</v>
      </c>
      <c r="L596" s="26"/>
      <c r="M596" s="27" t="s">
        <v>659</v>
      </c>
      <c r="N596" s="27" t="str">
        <f t="shared" si="48"/>
        <v>NO</v>
      </c>
      <c r="O596" s="27" t="str">
        <f t="shared" si="49"/>
        <v>🟢</v>
      </c>
      <c r="P596" s="28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</row>
    <row r="597" spans="1:85" ht="18" customHeight="1" x14ac:dyDescent="0.3">
      <c r="A597" s="23">
        <f t="shared" si="45"/>
        <v>596</v>
      </c>
      <c r="B597" s="23">
        <f t="shared" si="46"/>
        <v>596</v>
      </c>
      <c r="C597" s="41" t="s">
        <v>2186</v>
      </c>
      <c r="D597" s="41" t="s">
        <v>752</v>
      </c>
      <c r="E597" s="42" t="str">
        <f t="shared" si="47"/>
        <v>VIP</v>
      </c>
      <c r="F597" s="26" t="s">
        <v>2438</v>
      </c>
      <c r="G597" s="41" t="s">
        <v>725</v>
      </c>
      <c r="H597" s="41" t="s">
        <v>172</v>
      </c>
      <c r="I597" s="41"/>
      <c r="J597" s="13" t="s">
        <v>22</v>
      </c>
      <c r="K597" s="41" t="s">
        <v>2439</v>
      </c>
      <c r="L597" s="26"/>
      <c r="M597" s="27" t="s">
        <v>24</v>
      </c>
      <c r="N597" s="27" t="str">
        <f t="shared" si="48"/>
        <v>SI</v>
      </c>
      <c r="O597" s="27" t="str">
        <f t="shared" si="49"/>
        <v>🟢</v>
      </c>
      <c r="P597" s="28" t="s">
        <v>608</v>
      </c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</row>
    <row r="598" spans="1:85" ht="18" customHeight="1" x14ac:dyDescent="0.3">
      <c r="A598" s="23">
        <f t="shared" si="45"/>
        <v>597</v>
      </c>
      <c r="B598" s="23">
        <f t="shared" si="46"/>
        <v>597</v>
      </c>
      <c r="C598" s="41" t="s">
        <v>2186</v>
      </c>
      <c r="D598" s="41" t="s">
        <v>752</v>
      </c>
      <c r="E598" s="42" t="str">
        <f t="shared" si="47"/>
        <v>LATERAL VIP</v>
      </c>
      <c r="F598" s="26" t="s">
        <v>2440</v>
      </c>
      <c r="G598" s="41" t="s">
        <v>498</v>
      </c>
      <c r="H598" s="41" t="s">
        <v>1426</v>
      </c>
      <c r="I598" s="41"/>
      <c r="J598" s="13" t="s">
        <v>22</v>
      </c>
      <c r="K598" s="41" t="s">
        <v>2441</v>
      </c>
      <c r="L598" s="26"/>
      <c r="M598" s="27" t="s">
        <v>659</v>
      </c>
      <c r="N598" s="27" t="str">
        <f t="shared" si="48"/>
        <v>NO</v>
      </c>
      <c r="O598" s="27" t="str">
        <f t="shared" si="49"/>
        <v>🟢</v>
      </c>
      <c r="P598" s="28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</row>
    <row r="599" spans="1:85" ht="18" customHeight="1" x14ac:dyDescent="0.3">
      <c r="A599" s="23">
        <f t="shared" si="45"/>
        <v>598</v>
      </c>
      <c r="B599" s="23">
        <f t="shared" si="46"/>
        <v>598</v>
      </c>
      <c r="C599" s="26" t="s">
        <v>2186</v>
      </c>
      <c r="D599" s="26"/>
      <c r="E599" s="27" t="str">
        <f t="shared" si="47"/>
        <v>VIP</v>
      </c>
      <c r="F599" s="26" t="s">
        <v>2442</v>
      </c>
      <c r="G599" s="26" t="s">
        <v>1079</v>
      </c>
      <c r="H599" s="26" t="s">
        <v>616</v>
      </c>
      <c r="I599" s="26" t="s">
        <v>2443</v>
      </c>
      <c r="J599" s="19" t="s">
        <v>57</v>
      </c>
      <c r="K599" s="26" t="s">
        <v>2444</v>
      </c>
      <c r="L599" s="26"/>
      <c r="M599" s="27" t="s">
        <v>24</v>
      </c>
      <c r="N599" s="27" t="str">
        <f t="shared" si="48"/>
        <v>NO</v>
      </c>
      <c r="O599" s="27" t="str">
        <f t="shared" si="49"/>
        <v>🟡</v>
      </c>
      <c r="P599" s="28" t="s">
        <v>1156</v>
      </c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</row>
    <row r="600" spans="1:85" ht="18" customHeight="1" x14ac:dyDescent="0.3">
      <c r="A600" s="23">
        <f t="shared" si="45"/>
        <v>599</v>
      </c>
      <c r="B600" s="23">
        <f t="shared" si="46"/>
        <v>599</v>
      </c>
      <c r="C600" s="41" t="s">
        <v>2186</v>
      </c>
      <c r="D600" s="41" t="s">
        <v>752</v>
      </c>
      <c r="E600" s="42" t="str">
        <f t="shared" si="47"/>
        <v/>
      </c>
      <c r="F600" s="26" t="s">
        <v>2445</v>
      </c>
      <c r="G600" s="41" t="s">
        <v>473</v>
      </c>
      <c r="H600" s="41" t="s">
        <v>2446</v>
      </c>
      <c r="I600" s="41" t="s">
        <v>2447</v>
      </c>
      <c r="J600" s="20" t="s">
        <v>71</v>
      </c>
      <c r="K600" s="41" t="s">
        <v>2448</v>
      </c>
      <c r="L600" s="26"/>
      <c r="M600" s="27"/>
      <c r="N600" s="27" t="str">
        <f t="shared" si="48"/>
        <v>NO</v>
      </c>
      <c r="O600" s="27" t="str">
        <f t="shared" si="49"/>
        <v>🔴</v>
      </c>
      <c r="P600" s="28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</row>
    <row r="601" spans="1:85" ht="18" customHeight="1" x14ac:dyDescent="0.3">
      <c r="A601" s="23">
        <f t="shared" si="45"/>
        <v>600</v>
      </c>
      <c r="B601" s="23">
        <f t="shared" si="46"/>
        <v>600</v>
      </c>
      <c r="C601" s="26" t="s">
        <v>2186</v>
      </c>
      <c r="D601" s="26"/>
      <c r="E601" s="27" t="str">
        <f t="shared" si="47"/>
        <v>LATERAL</v>
      </c>
      <c r="F601" s="26" t="s">
        <v>2449</v>
      </c>
      <c r="G601" s="26" t="s">
        <v>2450</v>
      </c>
      <c r="H601" s="26" t="s">
        <v>2451</v>
      </c>
      <c r="I601" s="26"/>
      <c r="J601" s="19" t="s">
        <v>57</v>
      </c>
      <c r="K601" s="26" t="s">
        <v>2452</v>
      </c>
      <c r="L601" s="26"/>
      <c r="M601" s="27" t="s">
        <v>1261</v>
      </c>
      <c r="N601" s="27" t="str">
        <f t="shared" si="48"/>
        <v>NO</v>
      </c>
      <c r="O601" s="27" t="str">
        <f t="shared" si="49"/>
        <v>🟡</v>
      </c>
      <c r="P601" s="28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</row>
    <row r="602" spans="1:85" s="5" customFormat="1" ht="18" customHeight="1" x14ac:dyDescent="0.3">
      <c r="A602" s="23">
        <f t="shared" si="45"/>
        <v>601</v>
      </c>
      <c r="B602" s="23">
        <f t="shared" si="46"/>
        <v>601</v>
      </c>
      <c r="C602" s="26" t="s">
        <v>2186</v>
      </c>
      <c r="D602" s="26"/>
      <c r="E602" s="27" t="str">
        <f t="shared" si="47"/>
        <v>VIP</v>
      </c>
      <c r="F602" s="26" t="s">
        <v>2453</v>
      </c>
      <c r="G602" s="26" t="s">
        <v>945</v>
      </c>
      <c r="H602" s="26" t="s">
        <v>2454</v>
      </c>
      <c r="I602" s="26" t="s">
        <v>2455</v>
      </c>
      <c r="J602" s="19" t="s">
        <v>57</v>
      </c>
      <c r="K602" s="26" t="s">
        <v>2456</v>
      </c>
      <c r="L602" s="26"/>
      <c r="M602" s="27" t="s">
        <v>24</v>
      </c>
      <c r="N602" s="27" t="str">
        <f t="shared" si="48"/>
        <v>NO</v>
      </c>
      <c r="O602" s="27" t="str">
        <f t="shared" si="49"/>
        <v>🟡</v>
      </c>
      <c r="P602" s="28" t="s">
        <v>1156</v>
      </c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2"/>
      <c r="BV602" s="22"/>
      <c r="BW602" s="22"/>
      <c r="BX602" s="22"/>
      <c r="BY602" s="22"/>
      <c r="BZ602" s="22"/>
      <c r="CA602" s="22"/>
      <c r="CB602" s="22"/>
      <c r="CC602" s="22"/>
      <c r="CD602" s="22"/>
      <c r="CE602" s="22"/>
      <c r="CF602" s="22"/>
      <c r="CG602" s="22"/>
    </row>
    <row r="603" spans="1:85" ht="18" customHeight="1" x14ac:dyDescent="0.3">
      <c r="A603" s="23">
        <f t="shared" si="45"/>
        <v>602</v>
      </c>
      <c r="B603" s="23">
        <f t="shared" si="46"/>
        <v>602</v>
      </c>
      <c r="C603" s="44" t="s">
        <v>2457</v>
      </c>
      <c r="D603" s="44" t="s">
        <v>1410</v>
      </c>
      <c r="E603" s="45" t="str">
        <f t="shared" si="47"/>
        <v>LATERAL VIP</v>
      </c>
      <c r="F603" s="26" t="s">
        <v>2458</v>
      </c>
      <c r="G603" s="44" t="s">
        <v>2412</v>
      </c>
      <c r="H603" s="44" t="s">
        <v>2459</v>
      </c>
      <c r="I603" s="44" t="s">
        <v>2460</v>
      </c>
      <c r="J603" s="13" t="s">
        <v>22</v>
      </c>
      <c r="K603" s="44" t="s">
        <v>2461</v>
      </c>
      <c r="L603" s="26"/>
      <c r="M603" s="27" t="s">
        <v>659</v>
      </c>
      <c r="N603" s="27" t="str">
        <f t="shared" si="48"/>
        <v>NO</v>
      </c>
      <c r="O603" s="27" t="str">
        <f t="shared" si="49"/>
        <v>🟢</v>
      </c>
      <c r="P603" s="28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</row>
    <row r="604" spans="1:85" ht="18" customHeight="1" x14ac:dyDescent="0.3">
      <c r="A604" s="23">
        <f t="shared" si="45"/>
        <v>603</v>
      </c>
      <c r="B604" s="23">
        <f t="shared" si="46"/>
        <v>603</v>
      </c>
      <c r="C604" s="26" t="s">
        <v>2457</v>
      </c>
      <c r="D604" s="26" t="s">
        <v>1410</v>
      </c>
      <c r="E604" s="17" t="str">
        <f t="shared" si="47"/>
        <v>LATERAL VIP</v>
      </c>
      <c r="F604" s="26" t="s">
        <v>2462</v>
      </c>
      <c r="G604" s="26" t="s">
        <v>242</v>
      </c>
      <c r="H604" s="26" t="s">
        <v>2463</v>
      </c>
      <c r="I604" s="26" t="s">
        <v>2464</v>
      </c>
      <c r="J604" s="13" t="s">
        <v>22</v>
      </c>
      <c r="K604" s="26" t="s">
        <v>2465</v>
      </c>
      <c r="L604" s="26"/>
      <c r="M604" s="27" t="s">
        <v>659</v>
      </c>
      <c r="N604" s="27" t="str">
        <f t="shared" si="48"/>
        <v>NO</v>
      </c>
      <c r="O604" s="27" t="str">
        <f t="shared" si="49"/>
        <v>🟢</v>
      </c>
      <c r="P604" s="28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</row>
    <row r="605" spans="1:85" ht="18" customHeight="1" x14ac:dyDescent="0.3">
      <c r="A605" s="23">
        <f t="shared" si="45"/>
        <v>604</v>
      </c>
      <c r="B605" s="23">
        <f t="shared" si="46"/>
        <v>604</v>
      </c>
      <c r="C605" s="44" t="s">
        <v>2457</v>
      </c>
      <c r="D605" s="44" t="s">
        <v>1410</v>
      </c>
      <c r="E605" s="45" t="str">
        <f t="shared" si="47"/>
        <v>VIP</v>
      </c>
      <c r="F605" s="26" t="s">
        <v>2466</v>
      </c>
      <c r="G605" s="44" t="s">
        <v>640</v>
      </c>
      <c r="H605" s="44" t="s">
        <v>2228</v>
      </c>
      <c r="I605" s="44" t="s">
        <v>1680</v>
      </c>
      <c r="J605" s="13" t="s">
        <v>22</v>
      </c>
      <c r="K605" s="44" t="s">
        <v>2467</v>
      </c>
      <c r="L605" s="26"/>
      <c r="M605" s="27" t="s">
        <v>24</v>
      </c>
      <c r="N605" s="27" t="str">
        <f t="shared" si="48"/>
        <v>SI</v>
      </c>
      <c r="O605" s="27" t="str">
        <f t="shared" si="49"/>
        <v>🟢</v>
      </c>
      <c r="P605" s="28" t="s">
        <v>664</v>
      </c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</row>
    <row r="606" spans="1:85" ht="18" customHeight="1" x14ac:dyDescent="0.3">
      <c r="A606" s="23">
        <f t="shared" si="45"/>
        <v>605</v>
      </c>
      <c r="B606" s="23">
        <f t="shared" si="46"/>
        <v>605</v>
      </c>
      <c r="C606" s="44" t="s">
        <v>2468</v>
      </c>
      <c r="D606" s="44" t="s">
        <v>1410</v>
      </c>
      <c r="E606" s="45" t="str">
        <f t="shared" si="47"/>
        <v>LATERAL VIP</v>
      </c>
      <c r="F606" s="26" t="s">
        <v>2469</v>
      </c>
      <c r="G606" s="44" t="s">
        <v>498</v>
      </c>
      <c r="H606" s="44" t="s">
        <v>2470</v>
      </c>
      <c r="I606" s="44" t="s">
        <v>2471</v>
      </c>
      <c r="J606" s="13" t="s">
        <v>22</v>
      </c>
      <c r="K606" s="44" t="s">
        <v>2472</v>
      </c>
      <c r="L606" s="26"/>
      <c r="M606" s="27" t="s">
        <v>659</v>
      </c>
      <c r="N606" s="27" t="str">
        <f t="shared" si="48"/>
        <v>NO</v>
      </c>
      <c r="O606" s="27" t="str">
        <f t="shared" si="49"/>
        <v>🟢</v>
      </c>
      <c r="P606" s="28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</row>
    <row r="607" spans="1:85" ht="18" customHeight="1" x14ac:dyDescent="0.3">
      <c r="A607" s="23">
        <f t="shared" si="45"/>
        <v>606</v>
      </c>
      <c r="B607" s="23">
        <f t="shared" si="46"/>
        <v>606</v>
      </c>
      <c r="C607" s="16" t="s">
        <v>2468</v>
      </c>
      <c r="D607" s="16" t="s">
        <v>1391</v>
      </c>
      <c r="E607" s="17" t="str">
        <f t="shared" si="47"/>
        <v>LATERAL VIP</v>
      </c>
      <c r="F607" s="26" t="s">
        <v>2473</v>
      </c>
      <c r="G607" s="16" t="s">
        <v>68</v>
      </c>
      <c r="H607" s="16" t="s">
        <v>1933</v>
      </c>
      <c r="I607" s="16" t="s">
        <v>1934</v>
      </c>
      <c r="J607" s="13" t="s">
        <v>22</v>
      </c>
      <c r="K607" s="16" t="s">
        <v>2474</v>
      </c>
      <c r="L607" s="26"/>
      <c r="M607" s="27" t="s">
        <v>659</v>
      </c>
      <c r="N607" s="27" t="str">
        <f t="shared" si="48"/>
        <v>NO</v>
      </c>
      <c r="O607" s="27" t="str">
        <f t="shared" si="49"/>
        <v>🟢</v>
      </c>
      <c r="P607" s="28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</row>
    <row r="608" spans="1:85" ht="18" customHeight="1" x14ac:dyDescent="0.3">
      <c r="A608" s="23">
        <f t="shared" si="45"/>
        <v>607</v>
      </c>
      <c r="B608" s="23">
        <f t="shared" si="46"/>
        <v>607</v>
      </c>
      <c r="C608" s="44" t="s">
        <v>2468</v>
      </c>
      <c r="D608" s="44" t="s">
        <v>645</v>
      </c>
      <c r="E608" s="45" t="str">
        <f t="shared" si="47"/>
        <v>LATERAL VIP</v>
      </c>
      <c r="F608" s="26" t="s">
        <v>2475</v>
      </c>
      <c r="G608" s="44" t="s">
        <v>725</v>
      </c>
      <c r="H608" s="44" t="s">
        <v>2476</v>
      </c>
      <c r="I608" s="44" t="s">
        <v>2477</v>
      </c>
      <c r="J608" s="13" t="s">
        <v>22</v>
      </c>
      <c r="K608" s="44" t="s">
        <v>2478</v>
      </c>
      <c r="L608" s="26"/>
      <c r="M608" s="27" t="s">
        <v>659</v>
      </c>
      <c r="N608" s="27" t="str">
        <f t="shared" si="48"/>
        <v>NO</v>
      </c>
      <c r="O608" s="27" t="str">
        <f t="shared" si="49"/>
        <v>🟢</v>
      </c>
      <c r="P608" s="28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</row>
    <row r="609" spans="1:85" ht="18" customHeight="1" x14ac:dyDescent="0.3">
      <c r="A609" s="23">
        <f t="shared" si="45"/>
        <v>608</v>
      </c>
      <c r="B609" s="23">
        <f t="shared" si="46"/>
        <v>608</v>
      </c>
      <c r="C609" s="16" t="s">
        <v>2468</v>
      </c>
      <c r="D609" s="16" t="s">
        <v>912</v>
      </c>
      <c r="E609" s="17" t="str">
        <f t="shared" si="47"/>
        <v>LATERAL VIP</v>
      </c>
      <c r="F609" s="26" t="s">
        <v>2479</v>
      </c>
      <c r="G609" s="16" t="s">
        <v>465</v>
      </c>
      <c r="H609" s="16" t="s">
        <v>2143</v>
      </c>
      <c r="I609" s="16" t="s">
        <v>1304</v>
      </c>
      <c r="J609" s="13" t="s">
        <v>22</v>
      </c>
      <c r="K609" s="16" t="s">
        <v>2480</v>
      </c>
      <c r="L609" s="26"/>
      <c r="M609" s="27" t="s">
        <v>659</v>
      </c>
      <c r="N609" s="27" t="str">
        <f t="shared" si="48"/>
        <v>NO</v>
      </c>
      <c r="O609" s="27" t="str">
        <f t="shared" si="49"/>
        <v>🟢</v>
      </c>
      <c r="P609" s="28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</row>
    <row r="610" spans="1:85" ht="18" customHeight="1" x14ac:dyDescent="0.3">
      <c r="A610" s="23">
        <f t="shared" si="45"/>
        <v>609</v>
      </c>
      <c r="B610" s="23">
        <f t="shared" si="46"/>
        <v>609</v>
      </c>
      <c r="C610" s="44" t="s">
        <v>2468</v>
      </c>
      <c r="D610" s="44" t="s">
        <v>912</v>
      </c>
      <c r="E610" s="45" t="str">
        <f t="shared" si="47"/>
        <v>LATERAL VIP</v>
      </c>
      <c r="F610" s="26" t="s">
        <v>2481</v>
      </c>
      <c r="G610" s="44" t="s">
        <v>2482</v>
      </c>
      <c r="H610" s="44" t="s">
        <v>42</v>
      </c>
      <c r="I610" s="44" t="s">
        <v>2483</v>
      </c>
      <c r="J610" s="13" t="s">
        <v>22</v>
      </c>
      <c r="K610" s="44" t="s">
        <v>2484</v>
      </c>
      <c r="L610" s="26"/>
      <c r="M610" s="27" t="s">
        <v>659</v>
      </c>
      <c r="N610" s="27" t="str">
        <f t="shared" si="48"/>
        <v>NO</v>
      </c>
      <c r="O610" s="27" t="str">
        <f t="shared" si="49"/>
        <v>🟢</v>
      </c>
      <c r="P610" s="28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</row>
    <row r="611" spans="1:85" ht="18" customHeight="1" x14ac:dyDescent="0.3">
      <c r="A611" s="23">
        <f t="shared" si="45"/>
        <v>610</v>
      </c>
      <c r="B611" s="23">
        <f t="shared" si="46"/>
        <v>610</v>
      </c>
      <c r="C611" s="16" t="s">
        <v>2468</v>
      </c>
      <c r="D611" s="26" t="s">
        <v>912</v>
      </c>
      <c r="E611" s="17" t="str">
        <f t="shared" si="47"/>
        <v>LATERAL VIP</v>
      </c>
      <c r="F611" s="26" t="s">
        <v>2485</v>
      </c>
      <c r="G611" s="26" t="s">
        <v>114</v>
      </c>
      <c r="H611" s="26" t="s">
        <v>1337</v>
      </c>
      <c r="I611" s="26" t="s">
        <v>503</v>
      </c>
      <c r="J611" s="13" t="s">
        <v>22</v>
      </c>
      <c r="K611" s="26" t="s">
        <v>107</v>
      </c>
      <c r="L611" s="26"/>
      <c r="M611" s="27" t="s">
        <v>659</v>
      </c>
      <c r="N611" s="27" t="str">
        <f t="shared" si="48"/>
        <v>NO</v>
      </c>
      <c r="O611" s="27" t="str">
        <f t="shared" si="49"/>
        <v>🟢</v>
      </c>
      <c r="P611" s="28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</row>
    <row r="612" spans="1:85" ht="18" customHeight="1" x14ac:dyDescent="0.3">
      <c r="A612" s="23">
        <f t="shared" si="45"/>
        <v>611</v>
      </c>
      <c r="B612" s="23">
        <f t="shared" si="46"/>
        <v>611</v>
      </c>
      <c r="C612" s="44" t="s">
        <v>2468</v>
      </c>
      <c r="D612" s="44" t="s">
        <v>912</v>
      </c>
      <c r="E612" s="45" t="str">
        <f t="shared" si="47"/>
        <v>LATERAL VIP</v>
      </c>
      <c r="F612" s="26" t="s">
        <v>2486</v>
      </c>
      <c r="G612" s="44" t="s">
        <v>498</v>
      </c>
      <c r="H612" s="44" t="s">
        <v>2487</v>
      </c>
      <c r="I612" s="44" t="s">
        <v>2488</v>
      </c>
      <c r="J612" s="13" t="s">
        <v>22</v>
      </c>
      <c r="K612" s="44" t="s">
        <v>2489</v>
      </c>
      <c r="L612" s="26"/>
      <c r="M612" s="27" t="s">
        <v>659</v>
      </c>
      <c r="N612" s="27" t="str">
        <f t="shared" si="48"/>
        <v>NO</v>
      </c>
      <c r="O612" s="27" t="str">
        <f t="shared" si="49"/>
        <v>🟢</v>
      </c>
      <c r="P612" s="28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</row>
    <row r="613" spans="1:85" ht="18" customHeight="1" x14ac:dyDescent="0.3">
      <c r="A613" s="23">
        <f t="shared" si="45"/>
        <v>612</v>
      </c>
      <c r="B613" s="23">
        <f t="shared" si="46"/>
        <v>612</v>
      </c>
      <c r="C613" s="26" t="s">
        <v>2468</v>
      </c>
      <c r="D613" s="26" t="s">
        <v>645</v>
      </c>
      <c r="E613" s="17" t="str">
        <f t="shared" si="47"/>
        <v>LATERAL VIP</v>
      </c>
      <c r="F613" s="26" t="s">
        <v>2490</v>
      </c>
      <c r="G613" s="26" t="s">
        <v>533</v>
      </c>
      <c r="H613" s="26" t="s">
        <v>988</v>
      </c>
      <c r="I613" s="26" t="s">
        <v>2491</v>
      </c>
      <c r="J613" s="13" t="s">
        <v>22</v>
      </c>
      <c r="K613" s="26" t="s">
        <v>2492</v>
      </c>
      <c r="L613" s="26"/>
      <c r="M613" s="27" t="s">
        <v>659</v>
      </c>
      <c r="N613" s="27" t="str">
        <f t="shared" si="48"/>
        <v>NO</v>
      </c>
      <c r="O613" s="27" t="str">
        <f t="shared" si="49"/>
        <v>🟢</v>
      </c>
      <c r="P613" s="28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</row>
    <row r="614" spans="1:85" ht="18" customHeight="1" x14ac:dyDescent="0.3">
      <c r="A614" s="23">
        <f t="shared" si="45"/>
        <v>613</v>
      </c>
      <c r="B614" s="23">
        <f t="shared" si="46"/>
        <v>613</v>
      </c>
      <c r="C614" s="44" t="s">
        <v>2468</v>
      </c>
      <c r="D614" s="44" t="s">
        <v>670</v>
      </c>
      <c r="E614" s="45" t="str">
        <f t="shared" si="47"/>
        <v>LATERAL VIP</v>
      </c>
      <c r="F614" s="26" t="s">
        <v>2493</v>
      </c>
      <c r="G614" s="44" t="s">
        <v>120</v>
      </c>
      <c r="H614" s="44" t="s">
        <v>461</v>
      </c>
      <c r="I614" s="44" t="s">
        <v>371</v>
      </c>
      <c r="J614" s="13" t="s">
        <v>22</v>
      </c>
      <c r="K614" s="44" t="s">
        <v>2494</v>
      </c>
      <c r="L614" s="26"/>
      <c r="M614" s="27" t="s">
        <v>659</v>
      </c>
      <c r="N614" s="27" t="str">
        <f t="shared" si="48"/>
        <v>NO</v>
      </c>
      <c r="O614" s="27" t="str">
        <f t="shared" si="49"/>
        <v>🟢</v>
      </c>
      <c r="P614" s="28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</row>
    <row r="615" spans="1:85" ht="18" customHeight="1" x14ac:dyDescent="0.3">
      <c r="A615" s="23">
        <f t="shared" si="45"/>
        <v>614</v>
      </c>
      <c r="B615" s="23">
        <f t="shared" si="46"/>
        <v>614</v>
      </c>
      <c r="C615" s="26" t="s">
        <v>2468</v>
      </c>
      <c r="D615" s="26" t="s">
        <v>645</v>
      </c>
      <c r="E615" s="17" t="str">
        <f t="shared" si="47"/>
        <v>LATERAL VIP</v>
      </c>
      <c r="F615" s="26" t="s">
        <v>2495</v>
      </c>
      <c r="G615" s="26" t="s">
        <v>2496</v>
      </c>
      <c r="H615" s="26" t="s">
        <v>2497</v>
      </c>
      <c r="I615" s="26" t="s">
        <v>2498</v>
      </c>
      <c r="J615" s="13" t="s">
        <v>22</v>
      </c>
      <c r="K615" s="26" t="s">
        <v>2499</v>
      </c>
      <c r="L615" s="26"/>
      <c r="M615" s="27" t="s">
        <v>659</v>
      </c>
      <c r="N615" s="27" t="str">
        <f t="shared" si="48"/>
        <v>NO</v>
      </c>
      <c r="O615" s="27" t="str">
        <f t="shared" si="49"/>
        <v>🟢</v>
      </c>
      <c r="P615" s="28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</row>
    <row r="616" spans="1:85" ht="18" customHeight="1" x14ac:dyDescent="0.3">
      <c r="A616" s="23">
        <f t="shared" si="45"/>
        <v>615</v>
      </c>
      <c r="B616" s="23">
        <f t="shared" si="46"/>
        <v>615</v>
      </c>
      <c r="C616" s="44" t="s">
        <v>2468</v>
      </c>
      <c r="D616" s="44" t="s">
        <v>46</v>
      </c>
      <c r="E616" s="45" t="str">
        <f t="shared" si="47"/>
        <v>LATERAL</v>
      </c>
      <c r="F616" s="26" t="s">
        <v>2500</v>
      </c>
      <c r="G616" s="44" t="s">
        <v>2501</v>
      </c>
      <c r="H616" s="44" t="s">
        <v>1369</v>
      </c>
      <c r="I616" s="44" t="s">
        <v>683</v>
      </c>
      <c r="J616" s="13" t="s">
        <v>22</v>
      </c>
      <c r="K616" s="44" t="s">
        <v>2502</v>
      </c>
      <c r="L616" s="26"/>
      <c r="M616" s="27" t="s">
        <v>1261</v>
      </c>
      <c r="N616" s="27" t="str">
        <f t="shared" si="48"/>
        <v>NO</v>
      </c>
      <c r="O616" s="27" t="str">
        <f t="shared" si="49"/>
        <v>🟢</v>
      </c>
      <c r="P616" s="28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</row>
    <row r="617" spans="1:85" ht="18" customHeight="1" x14ac:dyDescent="0.3">
      <c r="A617" s="23">
        <f t="shared" si="45"/>
        <v>616</v>
      </c>
      <c r="B617" s="23">
        <f t="shared" si="46"/>
        <v>616</v>
      </c>
      <c r="C617" s="26" t="s">
        <v>2468</v>
      </c>
      <c r="D617" s="16" t="s">
        <v>645</v>
      </c>
      <c r="E617" s="17" t="str">
        <f t="shared" si="47"/>
        <v>VIP</v>
      </c>
      <c r="F617" s="26" t="s">
        <v>2503</v>
      </c>
      <c r="G617" s="16" t="s">
        <v>1478</v>
      </c>
      <c r="H617" s="16" t="s">
        <v>2504</v>
      </c>
      <c r="I617" s="16" t="s">
        <v>2505</v>
      </c>
      <c r="J617" s="13" t="s">
        <v>22</v>
      </c>
      <c r="K617" s="16" t="s">
        <v>2506</v>
      </c>
      <c r="L617" s="26"/>
      <c r="M617" s="27" t="s">
        <v>24</v>
      </c>
      <c r="N617" s="27" t="str">
        <f t="shared" si="48"/>
        <v>SI</v>
      </c>
      <c r="O617" s="27" t="str">
        <f t="shared" si="49"/>
        <v>🟢</v>
      </c>
      <c r="P617" s="28" t="s">
        <v>693</v>
      </c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</row>
    <row r="618" spans="1:85" ht="18" customHeight="1" x14ac:dyDescent="0.3">
      <c r="A618" s="23">
        <f t="shared" si="45"/>
        <v>617</v>
      </c>
      <c r="B618" s="23">
        <f t="shared" si="46"/>
        <v>617</v>
      </c>
      <c r="C618" s="44" t="s">
        <v>2468</v>
      </c>
      <c r="D618" s="44" t="s">
        <v>1391</v>
      </c>
      <c r="E618" s="45" t="str">
        <f t="shared" si="47"/>
        <v>LATERAL VIP</v>
      </c>
      <c r="F618" s="26" t="s">
        <v>2507</v>
      </c>
      <c r="G618" s="44" t="s">
        <v>2508</v>
      </c>
      <c r="H618" s="44" t="s">
        <v>784</v>
      </c>
      <c r="I618" s="44" t="s">
        <v>543</v>
      </c>
      <c r="J618" s="13" t="s">
        <v>22</v>
      </c>
      <c r="K618" s="44" t="s">
        <v>2509</v>
      </c>
      <c r="L618" s="26"/>
      <c r="M618" s="27" t="s">
        <v>659</v>
      </c>
      <c r="N618" s="27" t="str">
        <f t="shared" si="48"/>
        <v>NO</v>
      </c>
      <c r="O618" s="27" t="str">
        <f t="shared" si="49"/>
        <v>🟢</v>
      </c>
      <c r="P618" s="28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</row>
    <row r="619" spans="1:85" ht="18" customHeight="1" x14ac:dyDescent="0.3">
      <c r="A619" s="23">
        <f t="shared" si="45"/>
        <v>618</v>
      </c>
      <c r="B619" s="23">
        <f t="shared" si="46"/>
        <v>618</v>
      </c>
      <c r="C619" s="26" t="s">
        <v>2468</v>
      </c>
      <c r="D619" s="16"/>
      <c r="E619" s="17" t="str">
        <f t="shared" si="47"/>
        <v>LATERAL</v>
      </c>
      <c r="F619" s="26" t="s">
        <v>2510</v>
      </c>
      <c r="G619" s="16" t="s">
        <v>2511</v>
      </c>
      <c r="H619" s="16" t="s">
        <v>2512</v>
      </c>
      <c r="I619" s="16" t="s">
        <v>2513</v>
      </c>
      <c r="J619" s="13" t="s">
        <v>22</v>
      </c>
      <c r="K619" s="16" t="s">
        <v>2514</v>
      </c>
      <c r="L619" s="26"/>
      <c r="M619" s="27" t="s">
        <v>1261</v>
      </c>
      <c r="N619" s="27" t="str">
        <f t="shared" si="48"/>
        <v>NO</v>
      </c>
      <c r="O619" s="27" t="str">
        <f t="shared" si="49"/>
        <v>🟢</v>
      </c>
      <c r="P619" s="28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</row>
    <row r="620" spans="1:85" ht="18" customHeight="1" x14ac:dyDescent="0.3">
      <c r="A620" s="23">
        <f t="shared" si="45"/>
        <v>619</v>
      </c>
      <c r="B620" s="23">
        <f t="shared" si="46"/>
        <v>619</v>
      </c>
      <c r="C620" s="44" t="s">
        <v>2468</v>
      </c>
      <c r="D620" s="44"/>
      <c r="E620" s="45" t="str">
        <f t="shared" si="47"/>
        <v>LATERAL</v>
      </c>
      <c r="F620" s="26" t="s">
        <v>2515</v>
      </c>
      <c r="G620" s="44" t="s">
        <v>2516</v>
      </c>
      <c r="H620" s="44" t="s">
        <v>2517</v>
      </c>
      <c r="I620" s="44" t="s">
        <v>371</v>
      </c>
      <c r="J620" s="13" t="s">
        <v>22</v>
      </c>
      <c r="K620" s="44" t="s">
        <v>2518</v>
      </c>
      <c r="L620" s="26"/>
      <c r="M620" s="27" t="s">
        <v>1261</v>
      </c>
      <c r="N620" s="27" t="str">
        <f t="shared" si="48"/>
        <v>NO</v>
      </c>
      <c r="O620" s="27" t="str">
        <f t="shared" si="49"/>
        <v>🟢</v>
      </c>
      <c r="P620" s="28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</row>
    <row r="621" spans="1:85" ht="18" customHeight="1" x14ac:dyDescent="0.3">
      <c r="A621" s="23">
        <f t="shared" si="45"/>
        <v>620</v>
      </c>
      <c r="B621" s="23">
        <f t="shared" si="46"/>
        <v>620</v>
      </c>
      <c r="C621" s="26" t="s">
        <v>2468</v>
      </c>
      <c r="D621" s="16"/>
      <c r="E621" s="17" t="str">
        <f t="shared" si="47"/>
        <v>LATERAL</v>
      </c>
      <c r="F621" s="26" t="s">
        <v>2519</v>
      </c>
      <c r="G621" s="16" t="s">
        <v>1235</v>
      </c>
      <c r="H621" s="16" t="s">
        <v>1393</v>
      </c>
      <c r="I621" s="16" t="s">
        <v>2520</v>
      </c>
      <c r="J621" s="13" t="s">
        <v>22</v>
      </c>
      <c r="K621" s="16" t="s">
        <v>2521</v>
      </c>
      <c r="L621" s="26"/>
      <c r="M621" s="27" t="s">
        <v>1261</v>
      </c>
      <c r="N621" s="27" t="str">
        <f t="shared" si="48"/>
        <v>NO</v>
      </c>
      <c r="O621" s="27" t="str">
        <f t="shared" si="49"/>
        <v>🟢</v>
      </c>
      <c r="P621" s="28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</row>
    <row r="622" spans="1:85" ht="18" customHeight="1" x14ac:dyDescent="0.3">
      <c r="A622" s="23">
        <f t="shared" si="45"/>
        <v>621</v>
      </c>
      <c r="B622" s="23">
        <f t="shared" si="46"/>
        <v>621</v>
      </c>
      <c r="C622" s="44" t="s">
        <v>2468</v>
      </c>
      <c r="D622" s="44"/>
      <c r="E622" s="45" t="str">
        <f t="shared" si="47"/>
        <v>LATERAL</v>
      </c>
      <c r="F622" s="26" t="s">
        <v>2522</v>
      </c>
      <c r="G622" s="44" t="s">
        <v>2523</v>
      </c>
      <c r="H622" s="44" t="s">
        <v>2524</v>
      </c>
      <c r="I622" s="44" t="s">
        <v>2525</v>
      </c>
      <c r="J622" s="13" t="s">
        <v>22</v>
      </c>
      <c r="K622" s="44" t="s">
        <v>2526</v>
      </c>
      <c r="L622" s="26"/>
      <c r="M622" s="27" t="s">
        <v>1261</v>
      </c>
      <c r="N622" s="27" t="str">
        <f t="shared" si="48"/>
        <v>NO</v>
      </c>
      <c r="O622" s="27" t="str">
        <f t="shared" si="49"/>
        <v>🟢</v>
      </c>
      <c r="P622" s="28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</row>
    <row r="623" spans="1:85" ht="18" customHeight="1" x14ac:dyDescent="0.3">
      <c r="A623" s="23">
        <f t="shared" si="45"/>
        <v>622</v>
      </c>
      <c r="B623" s="23">
        <f t="shared" si="46"/>
        <v>622</v>
      </c>
      <c r="C623" s="26" t="s">
        <v>2468</v>
      </c>
      <c r="D623" s="16"/>
      <c r="E623" s="17" t="str">
        <f t="shared" si="47"/>
        <v>LATERAL</v>
      </c>
      <c r="F623" s="26" t="s">
        <v>2527</v>
      </c>
      <c r="G623" s="16" t="s">
        <v>2528</v>
      </c>
      <c r="H623" s="16" t="s">
        <v>2529</v>
      </c>
      <c r="I623" s="16" t="s">
        <v>2530</v>
      </c>
      <c r="J623" s="13" t="s">
        <v>22</v>
      </c>
      <c r="K623" s="16" t="s">
        <v>2531</v>
      </c>
      <c r="L623" s="26"/>
      <c r="M623" s="27" t="s">
        <v>1261</v>
      </c>
      <c r="N623" s="27" t="str">
        <f t="shared" si="48"/>
        <v>NO</v>
      </c>
      <c r="O623" s="27" t="str">
        <f t="shared" si="49"/>
        <v>🟢</v>
      </c>
      <c r="P623" s="28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</row>
    <row r="624" spans="1:85" ht="18" customHeight="1" x14ac:dyDescent="0.3">
      <c r="A624" s="23">
        <f t="shared" si="45"/>
        <v>623</v>
      </c>
      <c r="B624" s="23">
        <f t="shared" si="46"/>
        <v>623</v>
      </c>
      <c r="C624" s="44" t="s">
        <v>2468</v>
      </c>
      <c r="D624" s="44"/>
      <c r="E624" s="45" t="str">
        <f t="shared" si="47"/>
        <v>LATERAL</v>
      </c>
      <c r="F624" s="26" t="s">
        <v>2532</v>
      </c>
      <c r="G624" s="44" t="s">
        <v>2533</v>
      </c>
      <c r="H624" s="44" t="s">
        <v>2534</v>
      </c>
      <c r="I624" s="44" t="s">
        <v>2535</v>
      </c>
      <c r="J624" s="13" t="s">
        <v>22</v>
      </c>
      <c r="K624" s="44" t="s">
        <v>2536</v>
      </c>
      <c r="L624" s="26"/>
      <c r="M624" s="27" t="s">
        <v>1261</v>
      </c>
      <c r="N624" s="27" t="str">
        <f t="shared" si="48"/>
        <v>NO</v>
      </c>
      <c r="O624" s="27" t="str">
        <f t="shared" si="49"/>
        <v>🟢</v>
      </c>
      <c r="P624" s="28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</row>
    <row r="625" spans="1:85" ht="18" customHeight="1" x14ac:dyDescent="0.3">
      <c r="A625" s="23">
        <f t="shared" si="45"/>
        <v>624</v>
      </c>
      <c r="B625" s="23">
        <f t="shared" si="46"/>
        <v>624</v>
      </c>
      <c r="C625" s="26" t="s">
        <v>2468</v>
      </c>
      <c r="D625" s="16"/>
      <c r="E625" s="17" t="str">
        <f t="shared" si="47"/>
        <v>LATERAL</v>
      </c>
      <c r="F625" s="26" t="s">
        <v>2537</v>
      </c>
      <c r="G625" s="16" t="s">
        <v>2538</v>
      </c>
      <c r="H625" s="16" t="s">
        <v>2539</v>
      </c>
      <c r="I625" s="16" t="s">
        <v>2540</v>
      </c>
      <c r="J625" s="13" t="s">
        <v>22</v>
      </c>
      <c r="K625" s="16" t="s">
        <v>2541</v>
      </c>
      <c r="L625" s="26"/>
      <c r="M625" s="27" t="s">
        <v>1261</v>
      </c>
      <c r="N625" s="27" t="str">
        <f t="shared" si="48"/>
        <v>NO</v>
      </c>
      <c r="O625" s="27" t="str">
        <f t="shared" si="49"/>
        <v>🟢</v>
      </c>
      <c r="P625" s="28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</row>
    <row r="626" spans="1:85" ht="18" customHeight="1" x14ac:dyDescent="0.3">
      <c r="A626" s="23">
        <f t="shared" si="45"/>
        <v>625</v>
      </c>
      <c r="B626" s="23">
        <f t="shared" si="46"/>
        <v>625</v>
      </c>
      <c r="C626" s="44" t="s">
        <v>2468</v>
      </c>
      <c r="D626" s="44"/>
      <c r="E626" s="45" t="str">
        <f t="shared" si="47"/>
        <v>LATERAL</v>
      </c>
      <c r="F626" s="26" t="s">
        <v>2542</v>
      </c>
      <c r="G626" s="44" t="s">
        <v>91</v>
      </c>
      <c r="H626" s="44" t="s">
        <v>506</v>
      </c>
      <c r="I626" s="44"/>
      <c r="J626" s="13" t="s">
        <v>22</v>
      </c>
      <c r="K626" s="44" t="s">
        <v>2543</v>
      </c>
      <c r="L626" s="26"/>
      <c r="M626" s="27" t="s">
        <v>1261</v>
      </c>
      <c r="N626" s="27" t="str">
        <f t="shared" si="48"/>
        <v>NO</v>
      </c>
      <c r="O626" s="27" t="str">
        <f t="shared" si="49"/>
        <v>🟢</v>
      </c>
      <c r="P626" s="28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</row>
    <row r="627" spans="1:85" ht="18" customHeight="1" x14ac:dyDescent="0.3">
      <c r="A627" s="23">
        <f t="shared" si="45"/>
        <v>626</v>
      </c>
      <c r="B627" s="23">
        <f t="shared" si="46"/>
        <v>626</v>
      </c>
      <c r="C627" s="26" t="s">
        <v>2468</v>
      </c>
      <c r="D627" s="16"/>
      <c r="E627" s="17" t="str">
        <f t="shared" si="47"/>
        <v>LATERAL</v>
      </c>
      <c r="F627" s="26" t="s">
        <v>2544</v>
      </c>
      <c r="G627" s="16" t="s">
        <v>2545</v>
      </c>
      <c r="H627" s="16" t="s">
        <v>2546</v>
      </c>
      <c r="I627" s="16" t="s">
        <v>135</v>
      </c>
      <c r="J627" s="13" t="s">
        <v>22</v>
      </c>
      <c r="K627" s="16" t="s">
        <v>2547</v>
      </c>
      <c r="L627" s="26"/>
      <c r="M627" s="27" t="s">
        <v>1261</v>
      </c>
      <c r="N627" s="27" t="str">
        <f t="shared" si="48"/>
        <v>NO</v>
      </c>
      <c r="O627" s="27" t="str">
        <f t="shared" si="49"/>
        <v>🟢</v>
      </c>
      <c r="P627" s="28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</row>
    <row r="628" spans="1:85" ht="18" customHeight="1" x14ac:dyDescent="0.3">
      <c r="A628" s="23">
        <f t="shared" si="45"/>
        <v>627</v>
      </c>
      <c r="B628" s="23">
        <f t="shared" si="46"/>
        <v>627</v>
      </c>
      <c r="C628" s="44" t="s">
        <v>2468</v>
      </c>
      <c r="D628" s="44"/>
      <c r="E628" s="45" t="str">
        <f t="shared" si="47"/>
        <v>LATERAL</v>
      </c>
      <c r="F628" s="26" t="s">
        <v>2548</v>
      </c>
      <c r="G628" s="44" t="s">
        <v>86</v>
      </c>
      <c r="H628" s="44" t="s">
        <v>2549</v>
      </c>
      <c r="I628" s="44" t="s">
        <v>2550</v>
      </c>
      <c r="J628" s="13" t="s">
        <v>22</v>
      </c>
      <c r="K628" s="44" t="s">
        <v>2551</v>
      </c>
      <c r="L628" s="26"/>
      <c r="M628" s="27" t="s">
        <v>1261</v>
      </c>
      <c r="N628" s="27" t="str">
        <f t="shared" si="48"/>
        <v>NO</v>
      </c>
      <c r="O628" s="27" t="str">
        <f t="shared" si="49"/>
        <v>🟢</v>
      </c>
      <c r="P628" s="28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</row>
    <row r="629" spans="1:85" ht="18" customHeight="1" x14ac:dyDescent="0.3">
      <c r="A629" s="23">
        <f t="shared" si="45"/>
        <v>628</v>
      </c>
      <c r="B629" s="23">
        <f t="shared" si="46"/>
        <v>628</v>
      </c>
      <c r="C629" s="26" t="s">
        <v>2468</v>
      </c>
      <c r="D629" s="16"/>
      <c r="E629" s="17" t="str">
        <f t="shared" si="47"/>
        <v>LATERAL</v>
      </c>
      <c r="F629" s="26" t="s">
        <v>2552</v>
      </c>
      <c r="G629" s="16" t="s">
        <v>1905</v>
      </c>
      <c r="H629" s="16" t="s">
        <v>2553</v>
      </c>
      <c r="I629" s="16" t="s">
        <v>2554</v>
      </c>
      <c r="J629" s="13" t="s">
        <v>22</v>
      </c>
      <c r="K629" s="16" t="s">
        <v>2555</v>
      </c>
      <c r="L629" s="26"/>
      <c r="M629" s="27" t="s">
        <v>1261</v>
      </c>
      <c r="N629" s="27" t="str">
        <f t="shared" si="48"/>
        <v>NO</v>
      </c>
      <c r="O629" s="27" t="str">
        <f t="shared" si="49"/>
        <v>🟢</v>
      </c>
      <c r="P629" s="28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</row>
    <row r="630" spans="1:85" s="5" customFormat="1" ht="18" customHeight="1" x14ac:dyDescent="0.3">
      <c r="A630" s="23">
        <f t="shared" si="45"/>
        <v>629</v>
      </c>
      <c r="B630" s="23">
        <f t="shared" si="46"/>
        <v>629</v>
      </c>
      <c r="C630" s="44" t="s">
        <v>2468</v>
      </c>
      <c r="D630" s="44"/>
      <c r="E630" s="45" t="str">
        <f t="shared" si="47"/>
        <v>LATERAL</v>
      </c>
      <c r="F630" s="26" t="s">
        <v>2556</v>
      </c>
      <c r="G630" s="44" t="s">
        <v>1762</v>
      </c>
      <c r="H630" s="44" t="s">
        <v>395</v>
      </c>
      <c r="I630" s="44" t="s">
        <v>2557</v>
      </c>
      <c r="J630" s="13" t="s">
        <v>22</v>
      </c>
      <c r="K630" s="44" t="s">
        <v>2558</v>
      </c>
      <c r="L630" s="26"/>
      <c r="M630" s="27" t="s">
        <v>1261</v>
      </c>
      <c r="N630" s="27" t="str">
        <f t="shared" si="48"/>
        <v>NO</v>
      </c>
      <c r="O630" s="27" t="str">
        <f t="shared" si="49"/>
        <v>🟢</v>
      </c>
      <c r="P630" s="28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2"/>
      <c r="BV630" s="22"/>
      <c r="BW630" s="22"/>
      <c r="BX630" s="22"/>
      <c r="BY630" s="22"/>
      <c r="BZ630" s="22"/>
      <c r="CA630" s="22"/>
      <c r="CB630" s="22"/>
      <c r="CC630" s="22"/>
      <c r="CD630" s="22"/>
      <c r="CE630" s="22"/>
      <c r="CF630" s="22"/>
      <c r="CG630" s="22"/>
    </row>
    <row r="631" spans="1:85" ht="18" customHeight="1" x14ac:dyDescent="0.3">
      <c r="A631" s="23">
        <f t="shared" si="45"/>
        <v>630</v>
      </c>
      <c r="B631" s="23">
        <f t="shared" si="46"/>
        <v>630</v>
      </c>
      <c r="C631" s="26" t="s">
        <v>2559</v>
      </c>
      <c r="D631" s="26" t="s">
        <v>829</v>
      </c>
      <c r="E631" s="27" t="str">
        <f t="shared" si="47"/>
        <v>LATERAL VIP</v>
      </c>
      <c r="F631" s="26" t="s">
        <v>2560</v>
      </c>
      <c r="G631" s="26" t="s">
        <v>2561</v>
      </c>
      <c r="H631" s="26" t="s">
        <v>2562</v>
      </c>
      <c r="I631" s="26" t="s">
        <v>2563</v>
      </c>
      <c r="J631" s="13" t="s">
        <v>22</v>
      </c>
      <c r="K631" s="26" t="s">
        <v>2564</v>
      </c>
      <c r="L631" s="26"/>
      <c r="M631" s="27" t="s">
        <v>659</v>
      </c>
      <c r="N631" s="27" t="str">
        <f t="shared" si="48"/>
        <v>NO</v>
      </c>
      <c r="O631" s="27" t="str">
        <f t="shared" si="49"/>
        <v>🟢</v>
      </c>
      <c r="P631" s="28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</row>
    <row r="632" spans="1:85" ht="18" customHeight="1" x14ac:dyDescent="0.3">
      <c r="A632" s="23">
        <f t="shared" si="45"/>
        <v>631</v>
      </c>
      <c r="B632" s="23">
        <f t="shared" si="46"/>
        <v>631</v>
      </c>
      <c r="C632" s="44" t="s">
        <v>2559</v>
      </c>
      <c r="D632" s="44"/>
      <c r="E632" s="45" t="str">
        <f t="shared" si="47"/>
        <v>LATERAL</v>
      </c>
      <c r="F632" s="26" t="s">
        <v>2565</v>
      </c>
      <c r="G632" s="44" t="s">
        <v>311</v>
      </c>
      <c r="H632" s="44" t="s">
        <v>400</v>
      </c>
      <c r="I632" s="44" t="s">
        <v>2566</v>
      </c>
      <c r="J632" s="13" t="s">
        <v>22</v>
      </c>
      <c r="K632" s="44" t="s">
        <v>2567</v>
      </c>
      <c r="L632" s="26"/>
      <c r="M632" s="27" t="s">
        <v>1261</v>
      </c>
      <c r="N632" s="27" t="str">
        <f t="shared" si="48"/>
        <v>NO</v>
      </c>
      <c r="O632" s="27" t="str">
        <f t="shared" si="49"/>
        <v>🟢</v>
      </c>
      <c r="P632" s="28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</row>
    <row r="633" spans="1:85" ht="18" customHeight="1" x14ac:dyDescent="0.3">
      <c r="A633" s="23">
        <f t="shared" si="45"/>
        <v>632</v>
      </c>
      <c r="B633" s="23">
        <f t="shared" si="46"/>
        <v>632</v>
      </c>
      <c r="C633" s="16" t="s">
        <v>2559</v>
      </c>
      <c r="D633" s="16"/>
      <c r="E633" s="17" t="str">
        <f t="shared" si="47"/>
        <v>LATERAL</v>
      </c>
      <c r="F633" s="26" t="s">
        <v>2568</v>
      </c>
      <c r="G633" s="16" t="s">
        <v>242</v>
      </c>
      <c r="H633" s="16" t="s">
        <v>1393</v>
      </c>
      <c r="I633" s="16" t="s">
        <v>2569</v>
      </c>
      <c r="J633" s="13" t="s">
        <v>22</v>
      </c>
      <c r="K633" s="16" t="s">
        <v>2567</v>
      </c>
      <c r="L633" s="26"/>
      <c r="M633" s="27" t="s">
        <v>1261</v>
      </c>
      <c r="N633" s="27" t="str">
        <f t="shared" si="48"/>
        <v>NO</v>
      </c>
      <c r="O633" s="27" t="str">
        <f t="shared" si="49"/>
        <v>🟢</v>
      </c>
      <c r="P633" s="28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</row>
    <row r="634" spans="1:85" ht="18" customHeight="1" x14ac:dyDescent="0.3">
      <c r="A634" s="23">
        <f t="shared" si="45"/>
        <v>633</v>
      </c>
      <c r="B634" s="23">
        <f t="shared" si="46"/>
        <v>633</v>
      </c>
      <c r="C634" s="44" t="s">
        <v>2559</v>
      </c>
      <c r="D634" s="44"/>
      <c r="E634" s="45" t="str">
        <f t="shared" si="47"/>
        <v>LATERAL</v>
      </c>
      <c r="F634" s="26" t="s">
        <v>2570</v>
      </c>
      <c r="G634" s="44" t="s">
        <v>2138</v>
      </c>
      <c r="H634" s="44" t="s">
        <v>2571</v>
      </c>
      <c r="I634" s="44" t="s">
        <v>503</v>
      </c>
      <c r="J634" s="13" t="s">
        <v>22</v>
      </c>
      <c r="K634" s="44" t="s">
        <v>2572</v>
      </c>
      <c r="L634" s="26"/>
      <c r="M634" s="27" t="s">
        <v>1261</v>
      </c>
      <c r="N634" s="27" t="str">
        <f t="shared" si="48"/>
        <v>NO</v>
      </c>
      <c r="O634" s="27" t="str">
        <f t="shared" si="49"/>
        <v>🟢</v>
      </c>
      <c r="P634" s="28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</row>
    <row r="635" spans="1:85" ht="18" customHeight="1" x14ac:dyDescent="0.3">
      <c r="A635" s="23">
        <f t="shared" si="45"/>
        <v>634</v>
      </c>
      <c r="B635" s="23">
        <f t="shared" si="46"/>
        <v>634</v>
      </c>
      <c r="C635" s="16" t="s">
        <v>2559</v>
      </c>
      <c r="D635" s="16"/>
      <c r="E635" s="17" t="str">
        <f t="shared" si="47"/>
        <v>LATERAL</v>
      </c>
      <c r="F635" s="26" t="s">
        <v>2573</v>
      </c>
      <c r="G635" s="16" t="s">
        <v>528</v>
      </c>
      <c r="H635" s="16" t="s">
        <v>827</v>
      </c>
      <c r="I635" s="16" t="s">
        <v>623</v>
      </c>
      <c r="J635" s="13" t="s">
        <v>22</v>
      </c>
      <c r="K635" s="16" t="s">
        <v>2574</v>
      </c>
      <c r="L635" s="26"/>
      <c r="M635" s="27" t="s">
        <v>1261</v>
      </c>
      <c r="N635" s="27" t="str">
        <f t="shared" si="48"/>
        <v>NO</v>
      </c>
      <c r="O635" s="27" t="str">
        <f t="shared" si="49"/>
        <v>🟢</v>
      </c>
      <c r="P635" s="28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9"/>
      <c r="CC635" s="9"/>
      <c r="CD635" s="9"/>
      <c r="CE635" s="9"/>
      <c r="CF635" s="9"/>
      <c r="CG635" s="9"/>
    </row>
    <row r="636" spans="1:85" ht="18" customHeight="1" x14ac:dyDescent="0.3">
      <c r="A636" s="23">
        <f t="shared" si="45"/>
        <v>635</v>
      </c>
      <c r="B636" s="23">
        <f t="shared" si="46"/>
        <v>635</v>
      </c>
      <c r="C636" s="44" t="s">
        <v>2559</v>
      </c>
      <c r="D636" s="44"/>
      <c r="E636" s="45" t="str">
        <f t="shared" si="47"/>
        <v>LATERAL</v>
      </c>
      <c r="F636" s="26" t="s">
        <v>2575</v>
      </c>
      <c r="G636" s="44" t="s">
        <v>473</v>
      </c>
      <c r="H636" s="44" t="s">
        <v>104</v>
      </c>
      <c r="I636" s="44" t="s">
        <v>244</v>
      </c>
      <c r="J636" s="13" t="s">
        <v>22</v>
      </c>
      <c r="K636" s="44" t="s">
        <v>2576</v>
      </c>
      <c r="L636" s="26"/>
      <c r="M636" s="27" t="s">
        <v>1261</v>
      </c>
      <c r="N636" s="27" t="str">
        <f t="shared" si="48"/>
        <v>NO</v>
      </c>
      <c r="O636" s="27" t="str">
        <f t="shared" si="49"/>
        <v>🟢</v>
      </c>
      <c r="P636" s="28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</row>
    <row r="637" spans="1:85" ht="18" customHeight="1" x14ac:dyDescent="0.3">
      <c r="A637" s="23">
        <f t="shared" si="45"/>
        <v>636</v>
      </c>
      <c r="B637" s="23">
        <f t="shared" si="46"/>
        <v>636</v>
      </c>
      <c r="C637" s="16" t="s">
        <v>2559</v>
      </c>
      <c r="D637" s="16"/>
      <c r="E637" s="17" t="str">
        <f t="shared" si="47"/>
        <v>LATERAL</v>
      </c>
      <c r="F637" s="26" t="s">
        <v>2577</v>
      </c>
      <c r="G637" s="16" t="s">
        <v>2578</v>
      </c>
      <c r="H637" s="16" t="s">
        <v>2579</v>
      </c>
      <c r="I637" s="16" t="s">
        <v>2580</v>
      </c>
      <c r="J637" s="13" t="s">
        <v>22</v>
      </c>
      <c r="K637" s="16" t="s">
        <v>2581</v>
      </c>
      <c r="L637" s="26"/>
      <c r="M637" s="27" t="s">
        <v>1261</v>
      </c>
      <c r="N637" s="27" t="str">
        <f t="shared" si="48"/>
        <v>NO</v>
      </c>
      <c r="O637" s="27" t="str">
        <f t="shared" si="49"/>
        <v>🟢</v>
      </c>
      <c r="P637" s="28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9"/>
      <c r="CC637" s="9"/>
      <c r="CD637" s="9"/>
      <c r="CE637" s="9"/>
      <c r="CF637" s="9"/>
      <c r="CG637" s="9"/>
    </row>
    <row r="638" spans="1:85" ht="18" customHeight="1" x14ac:dyDescent="0.3">
      <c r="A638" s="23">
        <f t="shared" si="45"/>
        <v>637</v>
      </c>
      <c r="B638" s="23">
        <f t="shared" si="46"/>
        <v>637</v>
      </c>
      <c r="C638" s="44" t="s">
        <v>2559</v>
      </c>
      <c r="D638" s="44"/>
      <c r="E638" s="45" t="str">
        <f t="shared" si="47"/>
        <v>LATERAL</v>
      </c>
      <c r="F638" s="26" t="s">
        <v>2582</v>
      </c>
      <c r="G638" s="44" t="s">
        <v>2583</v>
      </c>
      <c r="H638" s="44" t="s">
        <v>2584</v>
      </c>
      <c r="I638" s="44" t="s">
        <v>1369</v>
      </c>
      <c r="J638" s="13" t="s">
        <v>22</v>
      </c>
      <c r="K638" s="44" t="s">
        <v>2585</v>
      </c>
      <c r="L638" s="26"/>
      <c r="M638" s="27" t="s">
        <v>1261</v>
      </c>
      <c r="N638" s="27" t="str">
        <f t="shared" si="48"/>
        <v>NO</v>
      </c>
      <c r="O638" s="27" t="str">
        <f t="shared" si="49"/>
        <v>🟢</v>
      </c>
      <c r="P638" s="28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9"/>
      <c r="CC638" s="9"/>
      <c r="CD638" s="9"/>
      <c r="CE638" s="9"/>
      <c r="CF638" s="9"/>
      <c r="CG638" s="9"/>
    </row>
    <row r="639" spans="1:85" ht="18" customHeight="1" x14ac:dyDescent="0.3">
      <c r="A639" s="23">
        <f t="shared" si="45"/>
        <v>638</v>
      </c>
      <c r="B639" s="23">
        <f t="shared" si="46"/>
        <v>638</v>
      </c>
      <c r="C639" s="16" t="s">
        <v>2559</v>
      </c>
      <c r="D639" s="16"/>
      <c r="E639" s="17" t="str">
        <f t="shared" si="47"/>
        <v>LATERAL</v>
      </c>
      <c r="F639" s="26" t="s">
        <v>2586</v>
      </c>
      <c r="G639" s="16" t="s">
        <v>2587</v>
      </c>
      <c r="H639" s="16" t="s">
        <v>2588</v>
      </c>
      <c r="I639" s="16" t="s">
        <v>2589</v>
      </c>
      <c r="J639" s="13" t="s">
        <v>22</v>
      </c>
      <c r="K639" s="16"/>
      <c r="L639" s="26"/>
      <c r="M639" s="27" t="s">
        <v>1261</v>
      </c>
      <c r="N639" s="27" t="str">
        <f t="shared" si="48"/>
        <v>NO</v>
      </c>
      <c r="O639" s="27" t="str">
        <f t="shared" si="49"/>
        <v>🟢</v>
      </c>
      <c r="P639" s="28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9"/>
      <c r="CC639" s="9"/>
      <c r="CD639" s="9"/>
      <c r="CE639" s="9"/>
      <c r="CF639" s="9"/>
      <c r="CG639" s="9"/>
    </row>
    <row r="640" spans="1:85" ht="18" customHeight="1" x14ac:dyDescent="0.3">
      <c r="A640" s="23">
        <f t="shared" si="45"/>
        <v>639</v>
      </c>
      <c r="B640" s="23">
        <f t="shared" si="46"/>
        <v>639</v>
      </c>
      <c r="C640" s="44" t="s">
        <v>2559</v>
      </c>
      <c r="D640" s="44"/>
      <c r="E640" s="45" t="str">
        <f t="shared" si="47"/>
        <v>LATERAL</v>
      </c>
      <c r="F640" s="26" t="s">
        <v>2590</v>
      </c>
      <c r="G640" s="44" t="s">
        <v>2591</v>
      </c>
      <c r="H640" s="44" t="s">
        <v>349</v>
      </c>
      <c r="I640" s="44" t="s">
        <v>2592</v>
      </c>
      <c r="J640" s="13" t="s">
        <v>22</v>
      </c>
      <c r="K640" s="44" t="s">
        <v>2593</v>
      </c>
      <c r="L640" s="26"/>
      <c r="M640" s="27" t="s">
        <v>1261</v>
      </c>
      <c r="N640" s="27" t="str">
        <f t="shared" si="48"/>
        <v>NO</v>
      </c>
      <c r="O640" s="27" t="str">
        <f t="shared" si="49"/>
        <v>🟢</v>
      </c>
      <c r="P640" s="28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9"/>
      <c r="CC640" s="9"/>
      <c r="CD640" s="9"/>
      <c r="CE640" s="9"/>
      <c r="CF640" s="9"/>
      <c r="CG640" s="9"/>
    </row>
    <row r="641" spans="1:85" ht="18" customHeight="1" x14ac:dyDescent="0.3">
      <c r="A641" s="23">
        <f t="shared" ref="A641:A704" si="50">IF(COUNTA(C641:K641)=0,"",ROW()-1)</f>
        <v>640</v>
      </c>
      <c r="B641" s="23">
        <f t="shared" ref="B641:B704" si="51">IF($F641&lt;&gt;"",$A641,"")</f>
        <v>640</v>
      </c>
      <c r="C641" s="44" t="s">
        <v>2559</v>
      </c>
      <c r="D641" s="44"/>
      <c r="E641" s="45" t="str">
        <f t="shared" ref="E641:E704" si="52">IF(UPPER($J641)="NO","",$M641)</f>
        <v>LATERAL</v>
      </c>
      <c r="F641" s="26" t="s">
        <v>2594</v>
      </c>
      <c r="G641" s="44" t="s">
        <v>1905</v>
      </c>
      <c r="H641" s="44" t="s">
        <v>349</v>
      </c>
      <c r="I641" s="44" t="s">
        <v>1883</v>
      </c>
      <c r="J641" s="13" t="s">
        <v>22</v>
      </c>
      <c r="K641" s="44" t="s">
        <v>2595</v>
      </c>
      <c r="L641" s="26"/>
      <c r="M641" s="27" t="s">
        <v>1261</v>
      </c>
      <c r="N641" s="27" t="str">
        <f t="shared" ref="N641:N704" si="53">IF(AND(UPPER($M641)="VIP",UPPER($J641)="SI",$F641&lt;&gt;""),"SI","NO")</f>
        <v>NO</v>
      </c>
      <c r="O641" s="27" t="str">
        <f t="shared" ref="O641:O704" si="54">IF(UPPER($J641)="SI","🟢",IF(UPPER($J641)="NO","🔴","🟡"))</f>
        <v>🟢</v>
      </c>
      <c r="P641" s="28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9"/>
      <c r="CC641" s="9"/>
      <c r="CD641" s="9"/>
      <c r="CE641" s="9"/>
      <c r="CF641" s="9"/>
      <c r="CG641" s="9"/>
    </row>
    <row r="642" spans="1:85" ht="18" customHeight="1" x14ac:dyDescent="0.3">
      <c r="A642" s="23">
        <f t="shared" si="50"/>
        <v>641</v>
      </c>
      <c r="B642" s="23">
        <f t="shared" si="51"/>
        <v>641</v>
      </c>
      <c r="C642" s="16" t="s">
        <v>2596</v>
      </c>
      <c r="D642" s="16"/>
      <c r="E642" s="17" t="str">
        <f t="shared" si="52"/>
        <v>LATERAL</v>
      </c>
      <c r="F642" s="26" t="s">
        <v>2597</v>
      </c>
      <c r="G642" s="16" t="s">
        <v>2598</v>
      </c>
      <c r="H642" s="16" t="s">
        <v>2599</v>
      </c>
      <c r="I642" s="16" t="s">
        <v>2600</v>
      </c>
      <c r="J642" s="13" t="s">
        <v>22</v>
      </c>
      <c r="K642" s="16" t="s">
        <v>2601</v>
      </c>
      <c r="L642" s="26"/>
      <c r="M642" s="27" t="s">
        <v>1261</v>
      </c>
      <c r="N642" s="27" t="str">
        <f t="shared" si="53"/>
        <v>NO</v>
      </c>
      <c r="O642" s="27" t="str">
        <f t="shared" si="54"/>
        <v>🟢</v>
      </c>
      <c r="P642" s="28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9"/>
      <c r="CC642" s="9"/>
      <c r="CD642" s="9"/>
      <c r="CE642" s="9"/>
      <c r="CF642" s="9"/>
      <c r="CG642" s="9"/>
    </row>
    <row r="643" spans="1:85" ht="18" customHeight="1" x14ac:dyDescent="0.3">
      <c r="A643" s="23">
        <f t="shared" si="50"/>
        <v>642</v>
      </c>
      <c r="B643" s="23">
        <f t="shared" si="51"/>
        <v>642</v>
      </c>
      <c r="C643" s="44" t="s">
        <v>2596</v>
      </c>
      <c r="D643" s="44" t="s">
        <v>818</v>
      </c>
      <c r="E643" s="45" t="str">
        <f t="shared" si="52"/>
        <v>LATERAL</v>
      </c>
      <c r="F643" s="26" t="s">
        <v>2602</v>
      </c>
      <c r="G643" s="44" t="s">
        <v>541</v>
      </c>
      <c r="H643" s="44" t="s">
        <v>168</v>
      </c>
      <c r="I643" s="44" t="s">
        <v>705</v>
      </c>
      <c r="J643" s="13" t="s">
        <v>22</v>
      </c>
      <c r="K643" s="44" t="s">
        <v>2603</v>
      </c>
      <c r="L643" s="26"/>
      <c r="M643" s="27" t="s">
        <v>1261</v>
      </c>
      <c r="N643" s="27" t="str">
        <f t="shared" si="53"/>
        <v>NO</v>
      </c>
      <c r="O643" s="27" t="str">
        <f t="shared" si="54"/>
        <v>🟢</v>
      </c>
      <c r="P643" s="28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9"/>
      <c r="CC643" s="9"/>
      <c r="CD643" s="9"/>
      <c r="CE643" s="9"/>
      <c r="CF643" s="9"/>
      <c r="CG643" s="9"/>
    </row>
    <row r="644" spans="1:85" ht="18" customHeight="1" x14ac:dyDescent="0.3">
      <c r="A644" s="23">
        <f t="shared" si="50"/>
        <v>643</v>
      </c>
      <c r="B644" s="23">
        <f t="shared" si="51"/>
        <v>643</v>
      </c>
      <c r="C644" s="16" t="s">
        <v>2596</v>
      </c>
      <c r="D644" s="16"/>
      <c r="E644" s="17" t="str">
        <f t="shared" si="52"/>
        <v>LATERAL</v>
      </c>
      <c r="F644" s="26" t="s">
        <v>2604</v>
      </c>
      <c r="G644" s="16" t="s">
        <v>754</v>
      </c>
      <c r="H644" s="16" t="s">
        <v>2605</v>
      </c>
      <c r="I644" s="16" t="s">
        <v>2606</v>
      </c>
      <c r="J644" s="13" t="s">
        <v>22</v>
      </c>
      <c r="K644" s="16" t="s">
        <v>2607</v>
      </c>
      <c r="L644" s="26"/>
      <c r="M644" s="27" t="s">
        <v>1261</v>
      </c>
      <c r="N644" s="27" t="str">
        <f t="shared" si="53"/>
        <v>NO</v>
      </c>
      <c r="O644" s="27" t="str">
        <f t="shared" si="54"/>
        <v>🟢</v>
      </c>
      <c r="P644" s="28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9"/>
      <c r="CC644" s="9"/>
      <c r="CD644" s="9"/>
      <c r="CE644" s="9"/>
      <c r="CF644" s="9"/>
      <c r="CG644" s="9"/>
    </row>
    <row r="645" spans="1:85" ht="18" customHeight="1" x14ac:dyDescent="0.3">
      <c r="A645" s="23">
        <f t="shared" si="50"/>
        <v>644</v>
      </c>
      <c r="B645" s="23">
        <f t="shared" si="51"/>
        <v>644</v>
      </c>
      <c r="C645" s="44" t="s">
        <v>2596</v>
      </c>
      <c r="D645" s="44" t="s">
        <v>818</v>
      </c>
      <c r="E645" s="45" t="str">
        <f t="shared" si="52"/>
        <v>LATERAL</v>
      </c>
      <c r="F645" s="26" t="s">
        <v>2608</v>
      </c>
      <c r="G645" s="44" t="s">
        <v>2609</v>
      </c>
      <c r="H645" s="44" t="s">
        <v>2610</v>
      </c>
      <c r="I645" s="44" t="s">
        <v>2611</v>
      </c>
      <c r="J645" s="13" t="s">
        <v>22</v>
      </c>
      <c r="K645" s="44" t="s">
        <v>2612</v>
      </c>
      <c r="L645" s="26"/>
      <c r="M645" s="27" t="s">
        <v>1261</v>
      </c>
      <c r="N645" s="27" t="str">
        <f t="shared" si="53"/>
        <v>NO</v>
      </c>
      <c r="O645" s="27" t="str">
        <f t="shared" si="54"/>
        <v>🟢</v>
      </c>
      <c r="P645" s="28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9"/>
      <c r="CC645" s="9"/>
      <c r="CD645" s="9"/>
      <c r="CE645" s="9"/>
      <c r="CF645" s="9"/>
      <c r="CG645" s="9"/>
    </row>
    <row r="646" spans="1:85" ht="18" customHeight="1" x14ac:dyDescent="0.3">
      <c r="A646" s="23">
        <f t="shared" si="50"/>
        <v>645</v>
      </c>
      <c r="B646" s="23">
        <f t="shared" si="51"/>
        <v>645</v>
      </c>
      <c r="C646" s="16" t="s">
        <v>2596</v>
      </c>
      <c r="D646" s="16"/>
      <c r="E646" s="17" t="str">
        <f t="shared" si="52"/>
        <v/>
      </c>
      <c r="F646" s="26" t="s">
        <v>2613</v>
      </c>
      <c r="G646" s="16" t="s">
        <v>1620</v>
      </c>
      <c r="H646" s="16" t="s">
        <v>2614</v>
      </c>
      <c r="I646" s="16" t="s">
        <v>2615</v>
      </c>
      <c r="J646" s="20" t="s">
        <v>71</v>
      </c>
      <c r="K646" s="16" t="s">
        <v>2616</v>
      </c>
      <c r="L646" s="26"/>
      <c r="M646" s="27" t="s">
        <v>1261</v>
      </c>
      <c r="N646" s="27" t="str">
        <f t="shared" si="53"/>
        <v>NO</v>
      </c>
      <c r="O646" s="27" t="str">
        <f t="shared" si="54"/>
        <v>🔴</v>
      </c>
      <c r="P646" s="28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9"/>
      <c r="CC646" s="9"/>
      <c r="CD646" s="9"/>
      <c r="CE646" s="9"/>
      <c r="CF646" s="9"/>
      <c r="CG646" s="9"/>
    </row>
    <row r="647" spans="1:85" ht="18" customHeight="1" x14ac:dyDescent="0.3">
      <c r="A647" s="23">
        <f t="shared" si="50"/>
        <v>646</v>
      </c>
      <c r="B647" s="23">
        <f t="shared" si="51"/>
        <v>646</v>
      </c>
      <c r="C647" s="44" t="s">
        <v>2596</v>
      </c>
      <c r="D647" s="44"/>
      <c r="E647" s="45" t="str">
        <f t="shared" si="52"/>
        <v>LATERAL</v>
      </c>
      <c r="F647" s="26" t="s">
        <v>2617</v>
      </c>
      <c r="G647" s="44" t="s">
        <v>2618</v>
      </c>
      <c r="H647" s="44" t="s">
        <v>506</v>
      </c>
      <c r="I647" s="44" t="s">
        <v>2619</v>
      </c>
      <c r="J647" s="13" t="s">
        <v>22</v>
      </c>
      <c r="K647" s="44" t="s">
        <v>2620</v>
      </c>
      <c r="L647" s="26"/>
      <c r="M647" s="27" t="s">
        <v>1261</v>
      </c>
      <c r="N647" s="27" t="str">
        <f t="shared" si="53"/>
        <v>NO</v>
      </c>
      <c r="O647" s="27" t="str">
        <f t="shared" si="54"/>
        <v>🟢</v>
      </c>
      <c r="P647" s="28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9"/>
      <c r="CC647" s="9"/>
      <c r="CD647" s="9"/>
      <c r="CE647" s="9"/>
      <c r="CF647" s="9"/>
      <c r="CG647" s="9"/>
    </row>
    <row r="648" spans="1:85" ht="18" customHeight="1" x14ac:dyDescent="0.3">
      <c r="A648" s="23">
        <f t="shared" si="50"/>
        <v>647</v>
      </c>
      <c r="B648" s="23">
        <f t="shared" si="51"/>
        <v>647</v>
      </c>
      <c r="C648" s="16" t="s">
        <v>2596</v>
      </c>
      <c r="D648" s="16" t="s">
        <v>818</v>
      </c>
      <c r="E648" s="17" t="str">
        <f t="shared" si="52"/>
        <v>LATERAL</v>
      </c>
      <c r="F648" s="26" t="s">
        <v>2621</v>
      </c>
      <c r="G648" s="16" t="s">
        <v>1620</v>
      </c>
      <c r="H648" s="16" t="s">
        <v>2622</v>
      </c>
      <c r="I648" s="16" t="s">
        <v>667</v>
      </c>
      <c r="J648" s="13" t="s">
        <v>22</v>
      </c>
      <c r="K648" s="16" t="s">
        <v>2623</v>
      </c>
      <c r="L648" s="26"/>
      <c r="M648" s="27" t="s">
        <v>1261</v>
      </c>
      <c r="N648" s="27" t="str">
        <f t="shared" si="53"/>
        <v>NO</v>
      </c>
      <c r="O648" s="27" t="str">
        <f t="shared" si="54"/>
        <v>🟢</v>
      </c>
      <c r="P648" s="28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9"/>
      <c r="CC648" s="9"/>
      <c r="CD648" s="9"/>
      <c r="CE648" s="9"/>
      <c r="CF648" s="9"/>
      <c r="CG648" s="9"/>
    </row>
    <row r="649" spans="1:85" ht="18" customHeight="1" x14ac:dyDescent="0.3">
      <c r="A649" s="23">
        <f t="shared" si="50"/>
        <v>648</v>
      </c>
      <c r="B649" s="23">
        <f t="shared" si="51"/>
        <v>648</v>
      </c>
      <c r="C649" s="44" t="s">
        <v>2596</v>
      </c>
      <c r="D649" s="44" t="s">
        <v>1410</v>
      </c>
      <c r="E649" s="45" t="str">
        <f t="shared" si="52"/>
        <v>LATERAL VIP</v>
      </c>
      <c r="F649" s="26" t="s">
        <v>2624</v>
      </c>
      <c r="G649" s="44" t="s">
        <v>528</v>
      </c>
      <c r="H649" s="44" t="s">
        <v>2625</v>
      </c>
      <c r="I649" s="44" t="s">
        <v>2626</v>
      </c>
      <c r="J649" s="13" t="s">
        <v>22</v>
      </c>
      <c r="K649" s="44" t="s">
        <v>2627</v>
      </c>
      <c r="L649" s="26"/>
      <c r="M649" s="27" t="s">
        <v>659</v>
      </c>
      <c r="N649" s="27" t="str">
        <f t="shared" si="53"/>
        <v>NO</v>
      </c>
      <c r="O649" s="27" t="str">
        <f t="shared" si="54"/>
        <v>🟢</v>
      </c>
      <c r="P649" s="28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9"/>
      <c r="CC649" s="9"/>
      <c r="CD649" s="9"/>
      <c r="CE649" s="9"/>
      <c r="CF649" s="9"/>
      <c r="CG649" s="9"/>
    </row>
    <row r="650" spans="1:85" ht="18" customHeight="1" x14ac:dyDescent="0.3">
      <c r="A650" s="23">
        <f t="shared" si="50"/>
        <v>649</v>
      </c>
      <c r="B650" s="23">
        <f t="shared" si="51"/>
        <v>649</v>
      </c>
      <c r="C650" s="16" t="s">
        <v>2596</v>
      </c>
      <c r="D650" s="16" t="s">
        <v>818</v>
      </c>
      <c r="E650" s="17" t="str">
        <f t="shared" si="52"/>
        <v>LATERAL</v>
      </c>
      <c r="F650" s="26" t="s">
        <v>2628</v>
      </c>
      <c r="G650" s="16" t="s">
        <v>311</v>
      </c>
      <c r="H650" s="16" t="s">
        <v>797</v>
      </c>
      <c r="I650" s="16" t="s">
        <v>2629</v>
      </c>
      <c r="J650" s="13" t="s">
        <v>22</v>
      </c>
      <c r="K650" s="16" t="s">
        <v>2630</v>
      </c>
      <c r="L650" s="26"/>
      <c r="M650" s="27" t="s">
        <v>1261</v>
      </c>
      <c r="N650" s="27" t="str">
        <f t="shared" si="53"/>
        <v>NO</v>
      </c>
      <c r="O650" s="27" t="str">
        <f t="shared" si="54"/>
        <v>🟢</v>
      </c>
      <c r="P650" s="28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9"/>
      <c r="CC650" s="9"/>
      <c r="CD650" s="9"/>
      <c r="CE650" s="9"/>
      <c r="CF650" s="9"/>
      <c r="CG650" s="9"/>
    </row>
    <row r="651" spans="1:85" ht="18" customHeight="1" x14ac:dyDescent="0.3">
      <c r="A651" s="23">
        <f t="shared" si="50"/>
        <v>650</v>
      </c>
      <c r="B651" s="23">
        <f t="shared" si="51"/>
        <v>650</v>
      </c>
      <c r="C651" s="44" t="s">
        <v>2596</v>
      </c>
      <c r="D651" s="44"/>
      <c r="E651" s="45" t="str">
        <f t="shared" si="52"/>
        <v>LATERAL</v>
      </c>
      <c r="F651" s="26" t="s">
        <v>2631</v>
      </c>
      <c r="G651" s="44" t="s">
        <v>2632</v>
      </c>
      <c r="H651" s="44" t="s">
        <v>978</v>
      </c>
      <c r="I651" s="44" t="s">
        <v>2633</v>
      </c>
      <c r="J651" s="13" t="s">
        <v>22</v>
      </c>
      <c r="K651" s="44" t="s">
        <v>2634</v>
      </c>
      <c r="L651" s="26"/>
      <c r="M651" s="27" t="s">
        <v>1261</v>
      </c>
      <c r="N651" s="27" t="str">
        <f t="shared" si="53"/>
        <v>NO</v>
      </c>
      <c r="O651" s="27" t="str">
        <f t="shared" si="54"/>
        <v>🟢</v>
      </c>
      <c r="P651" s="28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</row>
    <row r="652" spans="1:85" ht="18" customHeight="1" x14ac:dyDescent="0.3">
      <c r="A652" s="23">
        <f t="shared" si="50"/>
        <v>651</v>
      </c>
      <c r="B652" s="23">
        <f t="shared" si="51"/>
        <v>651</v>
      </c>
      <c r="C652" s="16" t="s">
        <v>2596</v>
      </c>
      <c r="D652" s="16"/>
      <c r="E652" s="17" t="str">
        <f t="shared" si="52"/>
        <v>LATERAL</v>
      </c>
      <c r="F652" s="26" t="s">
        <v>2635</v>
      </c>
      <c r="G652" s="16" t="s">
        <v>2636</v>
      </c>
      <c r="H652" s="16" t="s">
        <v>2637</v>
      </c>
      <c r="I652" s="16" t="s">
        <v>503</v>
      </c>
      <c r="J652" s="13" t="s">
        <v>22</v>
      </c>
      <c r="K652" s="16" t="s">
        <v>2638</v>
      </c>
      <c r="L652" s="26"/>
      <c r="M652" s="27" t="s">
        <v>1261</v>
      </c>
      <c r="N652" s="27" t="str">
        <f t="shared" si="53"/>
        <v>NO</v>
      </c>
      <c r="O652" s="27" t="str">
        <f t="shared" si="54"/>
        <v>🟢</v>
      </c>
      <c r="P652" s="28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9"/>
      <c r="CC652" s="9"/>
      <c r="CD652" s="9"/>
      <c r="CE652" s="9"/>
      <c r="CF652" s="9"/>
      <c r="CG652" s="9"/>
    </row>
    <row r="653" spans="1:85" ht="18" customHeight="1" x14ac:dyDescent="0.3">
      <c r="A653" s="23">
        <f t="shared" si="50"/>
        <v>652</v>
      </c>
      <c r="B653" s="23">
        <f t="shared" si="51"/>
        <v>652</v>
      </c>
      <c r="C653" s="44" t="s">
        <v>2596</v>
      </c>
      <c r="D653" s="44"/>
      <c r="E653" s="45" t="str">
        <f t="shared" si="52"/>
        <v>LATERAL</v>
      </c>
      <c r="F653" s="26" t="s">
        <v>2639</v>
      </c>
      <c r="G653" s="44" t="s">
        <v>2640</v>
      </c>
      <c r="H653" s="44" t="s">
        <v>2641</v>
      </c>
      <c r="I653" s="44" t="s">
        <v>2642</v>
      </c>
      <c r="J653" s="13" t="s">
        <v>22</v>
      </c>
      <c r="K653" s="44" t="s">
        <v>2643</v>
      </c>
      <c r="L653" s="26"/>
      <c r="M653" s="27" t="s">
        <v>1261</v>
      </c>
      <c r="N653" s="27" t="str">
        <f t="shared" si="53"/>
        <v>NO</v>
      </c>
      <c r="O653" s="27" t="str">
        <f t="shared" si="54"/>
        <v>🟢</v>
      </c>
      <c r="P653" s="28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9"/>
      <c r="CC653" s="9"/>
      <c r="CD653" s="9"/>
      <c r="CE653" s="9"/>
      <c r="CF653" s="9"/>
      <c r="CG653" s="9"/>
    </row>
    <row r="654" spans="1:85" ht="18" customHeight="1" x14ac:dyDescent="0.3">
      <c r="A654" s="23">
        <f t="shared" si="50"/>
        <v>653</v>
      </c>
      <c r="B654" s="23">
        <f t="shared" si="51"/>
        <v>653</v>
      </c>
      <c r="C654" s="16" t="s">
        <v>2596</v>
      </c>
      <c r="D654" s="16"/>
      <c r="E654" s="17" t="str">
        <f t="shared" si="52"/>
        <v>LATERAL</v>
      </c>
      <c r="F654" s="26" t="s">
        <v>2644</v>
      </c>
      <c r="G654" s="16" t="s">
        <v>2645</v>
      </c>
      <c r="H654" s="16" t="s">
        <v>2646</v>
      </c>
      <c r="I654" s="16" t="s">
        <v>2647</v>
      </c>
      <c r="J654" s="19" t="s">
        <v>57</v>
      </c>
      <c r="K654" s="16" t="s">
        <v>2648</v>
      </c>
      <c r="L654" s="26"/>
      <c r="M654" s="27" t="s">
        <v>1261</v>
      </c>
      <c r="N654" s="27" t="str">
        <f t="shared" si="53"/>
        <v>NO</v>
      </c>
      <c r="O654" s="27" t="str">
        <f t="shared" si="54"/>
        <v>🟡</v>
      </c>
      <c r="P654" s="28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9"/>
      <c r="CC654" s="9"/>
      <c r="CD654" s="9"/>
      <c r="CE654" s="9"/>
      <c r="CF654" s="9"/>
      <c r="CG654" s="9"/>
    </row>
    <row r="655" spans="1:85" ht="18" customHeight="1" x14ac:dyDescent="0.3">
      <c r="A655" s="23">
        <f t="shared" si="50"/>
        <v>654</v>
      </c>
      <c r="B655" s="23">
        <f t="shared" si="51"/>
        <v>654</v>
      </c>
      <c r="C655" s="44" t="s">
        <v>2596</v>
      </c>
      <c r="D655" s="44"/>
      <c r="E655" s="45" t="str">
        <f t="shared" si="52"/>
        <v>LATERAL</v>
      </c>
      <c r="F655" s="26" t="s">
        <v>2649</v>
      </c>
      <c r="G655" s="44" t="s">
        <v>754</v>
      </c>
      <c r="H655" s="44" t="s">
        <v>2650</v>
      </c>
      <c r="I655" s="44" t="s">
        <v>503</v>
      </c>
      <c r="J655" s="13" t="s">
        <v>22</v>
      </c>
      <c r="K655" s="44" t="s">
        <v>2651</v>
      </c>
      <c r="L655" s="26"/>
      <c r="M655" s="27" t="s">
        <v>1261</v>
      </c>
      <c r="N655" s="27" t="str">
        <f t="shared" si="53"/>
        <v>NO</v>
      </c>
      <c r="O655" s="27" t="str">
        <f t="shared" si="54"/>
        <v>🟢</v>
      </c>
      <c r="P655" s="28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</row>
    <row r="656" spans="1:85" ht="18" customHeight="1" x14ac:dyDescent="0.3">
      <c r="A656" s="23">
        <f t="shared" si="50"/>
        <v>655</v>
      </c>
      <c r="B656" s="23">
        <f t="shared" si="51"/>
        <v>655</v>
      </c>
      <c r="C656" s="16" t="s">
        <v>2596</v>
      </c>
      <c r="D656" s="16"/>
      <c r="E656" s="17" t="str">
        <f t="shared" si="52"/>
        <v>LATERAL</v>
      </c>
      <c r="F656" s="26" t="s">
        <v>2652</v>
      </c>
      <c r="G656" s="16" t="s">
        <v>513</v>
      </c>
      <c r="H656" s="16" t="s">
        <v>1456</v>
      </c>
      <c r="I656" s="16" t="s">
        <v>2653</v>
      </c>
      <c r="J656" s="13" t="s">
        <v>22</v>
      </c>
      <c r="K656" s="16" t="s">
        <v>2654</v>
      </c>
      <c r="L656" s="26"/>
      <c r="M656" s="27" t="s">
        <v>1261</v>
      </c>
      <c r="N656" s="27" t="str">
        <f t="shared" si="53"/>
        <v>NO</v>
      </c>
      <c r="O656" s="27" t="str">
        <f t="shared" si="54"/>
        <v>🟢</v>
      </c>
      <c r="P656" s="28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9"/>
      <c r="CC656" s="9"/>
      <c r="CD656" s="9"/>
      <c r="CE656" s="9"/>
      <c r="CF656" s="9"/>
      <c r="CG656" s="9"/>
    </row>
    <row r="657" spans="1:85" ht="18" customHeight="1" x14ac:dyDescent="0.3">
      <c r="A657" s="23">
        <f t="shared" si="50"/>
        <v>656</v>
      </c>
      <c r="B657" s="23">
        <f t="shared" si="51"/>
        <v>656</v>
      </c>
      <c r="C657" s="44" t="s">
        <v>2596</v>
      </c>
      <c r="D657" s="44" t="s">
        <v>1476</v>
      </c>
      <c r="E657" s="45" t="str">
        <f t="shared" si="52"/>
        <v>LATERAL</v>
      </c>
      <c r="F657" s="26" t="s">
        <v>2655</v>
      </c>
      <c r="G657" s="44" t="s">
        <v>1297</v>
      </c>
      <c r="H657" s="44" t="s">
        <v>2550</v>
      </c>
      <c r="I657" s="44" t="s">
        <v>2656</v>
      </c>
      <c r="J657" s="13" t="s">
        <v>22</v>
      </c>
      <c r="K657" s="44" t="s">
        <v>2657</v>
      </c>
      <c r="L657" s="26"/>
      <c r="M657" s="27" t="s">
        <v>1261</v>
      </c>
      <c r="N657" s="27" t="str">
        <f t="shared" si="53"/>
        <v>NO</v>
      </c>
      <c r="O657" s="27" t="str">
        <f t="shared" si="54"/>
        <v>🟢</v>
      </c>
      <c r="P657" s="28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9"/>
      <c r="CC657" s="9"/>
      <c r="CD657" s="9"/>
      <c r="CE657" s="9"/>
      <c r="CF657" s="9"/>
      <c r="CG657" s="9"/>
    </row>
    <row r="658" spans="1:85" ht="18" customHeight="1" x14ac:dyDescent="0.3">
      <c r="A658" s="23">
        <f t="shared" si="50"/>
        <v>657</v>
      </c>
      <c r="B658" s="23">
        <f t="shared" si="51"/>
        <v>657</v>
      </c>
      <c r="C658" s="16" t="s">
        <v>2596</v>
      </c>
      <c r="D658" s="16"/>
      <c r="E658" s="17" t="str">
        <f t="shared" si="52"/>
        <v>LATERAL</v>
      </c>
      <c r="F658" s="26" t="s">
        <v>2658</v>
      </c>
      <c r="G658" s="16" t="s">
        <v>2659</v>
      </c>
      <c r="H658" s="16" t="s">
        <v>2660</v>
      </c>
      <c r="I658" s="16" t="s">
        <v>1929</v>
      </c>
      <c r="J658" s="13" t="s">
        <v>22</v>
      </c>
      <c r="K658" s="16" t="s">
        <v>2661</v>
      </c>
      <c r="L658" s="26"/>
      <c r="M658" s="27" t="s">
        <v>1261</v>
      </c>
      <c r="N658" s="27" t="str">
        <f t="shared" si="53"/>
        <v>NO</v>
      </c>
      <c r="O658" s="27" t="str">
        <f t="shared" si="54"/>
        <v>🟢</v>
      </c>
      <c r="P658" s="28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9"/>
      <c r="CC658" s="9"/>
      <c r="CD658" s="9"/>
      <c r="CE658" s="9"/>
      <c r="CF658" s="9"/>
      <c r="CG658" s="9"/>
    </row>
    <row r="659" spans="1:85" ht="18" customHeight="1" x14ac:dyDescent="0.3">
      <c r="A659" s="23">
        <f t="shared" si="50"/>
        <v>658</v>
      </c>
      <c r="B659" s="23">
        <f t="shared" si="51"/>
        <v>658</v>
      </c>
      <c r="C659" s="44" t="s">
        <v>2596</v>
      </c>
      <c r="D659" s="44" t="s">
        <v>1428</v>
      </c>
      <c r="E659" s="45" t="str">
        <f t="shared" si="52"/>
        <v>LATERAL</v>
      </c>
      <c r="F659" s="26" t="s">
        <v>2662</v>
      </c>
      <c r="G659" s="44" t="s">
        <v>2663</v>
      </c>
      <c r="H659" s="44" t="s">
        <v>2664</v>
      </c>
      <c r="I659" s="44" t="s">
        <v>450</v>
      </c>
      <c r="J659" s="13" t="s">
        <v>22</v>
      </c>
      <c r="K659" s="44" t="s">
        <v>2665</v>
      </c>
      <c r="L659" s="26"/>
      <c r="M659" s="27" t="s">
        <v>1261</v>
      </c>
      <c r="N659" s="27" t="str">
        <f t="shared" si="53"/>
        <v>NO</v>
      </c>
      <c r="O659" s="27" t="str">
        <f t="shared" si="54"/>
        <v>🟢</v>
      </c>
      <c r="P659" s="28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9"/>
      <c r="CC659" s="9"/>
      <c r="CD659" s="9"/>
      <c r="CE659" s="9"/>
      <c r="CF659" s="9"/>
      <c r="CG659" s="9"/>
    </row>
    <row r="660" spans="1:85" ht="18" customHeight="1" x14ac:dyDescent="0.3">
      <c r="A660" s="23">
        <f t="shared" si="50"/>
        <v>659</v>
      </c>
      <c r="B660" s="23">
        <f t="shared" si="51"/>
        <v>659</v>
      </c>
      <c r="C660" s="16" t="s">
        <v>2596</v>
      </c>
      <c r="D660" s="16" t="s">
        <v>1428</v>
      </c>
      <c r="E660" s="17" t="str">
        <f t="shared" si="52"/>
        <v>LATERAL</v>
      </c>
      <c r="F660" s="26" t="s">
        <v>2666</v>
      </c>
      <c r="G660" s="16" t="s">
        <v>86</v>
      </c>
      <c r="H660" s="16" t="s">
        <v>2667</v>
      </c>
      <c r="I660" s="16" t="s">
        <v>2660</v>
      </c>
      <c r="J660" s="13" t="s">
        <v>22</v>
      </c>
      <c r="K660" s="16" t="s">
        <v>2668</v>
      </c>
      <c r="L660" s="26"/>
      <c r="M660" s="27" t="s">
        <v>1261</v>
      </c>
      <c r="N660" s="27" t="str">
        <f t="shared" si="53"/>
        <v>NO</v>
      </c>
      <c r="O660" s="27" t="str">
        <f t="shared" si="54"/>
        <v>🟢</v>
      </c>
      <c r="P660" s="28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9"/>
      <c r="CC660" s="9"/>
      <c r="CD660" s="9"/>
      <c r="CE660" s="9"/>
      <c r="CF660" s="9"/>
      <c r="CG660" s="9"/>
    </row>
    <row r="661" spans="1:85" ht="18" customHeight="1" x14ac:dyDescent="0.3">
      <c r="A661" s="23">
        <f t="shared" si="50"/>
        <v>660</v>
      </c>
      <c r="B661" s="23">
        <f t="shared" si="51"/>
        <v>660</v>
      </c>
      <c r="C661" s="44" t="s">
        <v>2596</v>
      </c>
      <c r="D661" s="44" t="s">
        <v>818</v>
      </c>
      <c r="E661" s="45" t="str">
        <f t="shared" si="52"/>
        <v>LATERAL</v>
      </c>
      <c r="F661" s="26" t="s">
        <v>2669</v>
      </c>
      <c r="G661" s="44" t="s">
        <v>627</v>
      </c>
      <c r="H661" s="44" t="s">
        <v>2670</v>
      </c>
      <c r="I661" s="44" t="s">
        <v>2650</v>
      </c>
      <c r="J661" s="13" t="s">
        <v>22</v>
      </c>
      <c r="K661" s="44" t="s">
        <v>2671</v>
      </c>
      <c r="L661" s="26"/>
      <c r="M661" s="27" t="s">
        <v>1261</v>
      </c>
      <c r="N661" s="27" t="str">
        <f t="shared" si="53"/>
        <v>NO</v>
      </c>
      <c r="O661" s="27" t="str">
        <f t="shared" si="54"/>
        <v>🟢</v>
      </c>
      <c r="P661" s="28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9"/>
      <c r="CC661" s="9"/>
      <c r="CD661" s="9"/>
      <c r="CE661" s="9"/>
      <c r="CF661" s="9"/>
      <c r="CG661" s="9"/>
    </row>
    <row r="662" spans="1:85" ht="18" customHeight="1" x14ac:dyDescent="0.3">
      <c r="A662" s="23">
        <f t="shared" si="50"/>
        <v>661</v>
      </c>
      <c r="B662" s="23">
        <f t="shared" si="51"/>
        <v>661</v>
      </c>
      <c r="C662" s="16" t="s">
        <v>2596</v>
      </c>
      <c r="D662" s="16"/>
      <c r="E662" s="17" t="str">
        <f t="shared" si="52"/>
        <v>LATERAL</v>
      </c>
      <c r="F662" s="26" t="s">
        <v>2672</v>
      </c>
      <c r="G662" s="16" t="s">
        <v>68</v>
      </c>
      <c r="H662" s="16" t="s">
        <v>330</v>
      </c>
      <c r="I662" s="16" t="s">
        <v>2673</v>
      </c>
      <c r="J662" s="13" t="s">
        <v>22</v>
      </c>
      <c r="K662" s="16" t="s">
        <v>2674</v>
      </c>
      <c r="L662" s="26"/>
      <c r="M662" s="27" t="s">
        <v>1261</v>
      </c>
      <c r="N662" s="27" t="str">
        <f t="shared" si="53"/>
        <v>NO</v>
      </c>
      <c r="O662" s="27" t="str">
        <f t="shared" si="54"/>
        <v>🟢</v>
      </c>
      <c r="P662" s="28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</row>
    <row r="663" spans="1:85" ht="18" customHeight="1" x14ac:dyDescent="0.3">
      <c r="A663" s="23">
        <f t="shared" si="50"/>
        <v>662</v>
      </c>
      <c r="B663" s="23">
        <f t="shared" si="51"/>
        <v>662</v>
      </c>
      <c r="C663" s="44" t="s">
        <v>2596</v>
      </c>
      <c r="D663" s="44" t="s">
        <v>1462</v>
      </c>
      <c r="E663" s="45" t="str">
        <f t="shared" si="52"/>
        <v>LATERAL</v>
      </c>
      <c r="F663" s="26" t="s">
        <v>2675</v>
      </c>
      <c r="G663" s="44" t="s">
        <v>519</v>
      </c>
      <c r="H663" s="44" t="s">
        <v>2676</v>
      </c>
      <c r="I663" s="44" t="s">
        <v>2677</v>
      </c>
      <c r="J663" s="13" t="s">
        <v>22</v>
      </c>
      <c r="K663" s="44" t="s">
        <v>2678</v>
      </c>
      <c r="L663" s="26"/>
      <c r="M663" s="27" t="s">
        <v>1261</v>
      </c>
      <c r="N663" s="27" t="str">
        <f t="shared" si="53"/>
        <v>NO</v>
      </c>
      <c r="O663" s="27" t="str">
        <f t="shared" si="54"/>
        <v>🟢</v>
      </c>
      <c r="P663" s="28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9"/>
      <c r="CC663" s="9"/>
      <c r="CD663" s="9"/>
      <c r="CE663" s="9"/>
      <c r="CF663" s="9"/>
      <c r="CG663" s="9"/>
    </row>
    <row r="664" spans="1:85" ht="18" customHeight="1" x14ac:dyDescent="0.3">
      <c r="A664" s="23">
        <f t="shared" si="50"/>
        <v>663</v>
      </c>
      <c r="B664" s="23">
        <f t="shared" si="51"/>
        <v>663</v>
      </c>
      <c r="C664" s="16" t="s">
        <v>2596</v>
      </c>
      <c r="D664" s="16" t="s">
        <v>1462</v>
      </c>
      <c r="E664" s="17" t="str">
        <f t="shared" si="52"/>
        <v>LATERAL</v>
      </c>
      <c r="F664" s="26" t="s">
        <v>2679</v>
      </c>
      <c r="G664" s="16" t="s">
        <v>704</v>
      </c>
      <c r="H664" s="16" t="s">
        <v>2680</v>
      </c>
      <c r="I664" s="16" t="s">
        <v>1227</v>
      </c>
      <c r="J664" s="13" t="s">
        <v>22</v>
      </c>
      <c r="K664" s="16" t="s">
        <v>2681</v>
      </c>
      <c r="L664" s="26"/>
      <c r="M664" s="27" t="s">
        <v>1261</v>
      </c>
      <c r="N664" s="27" t="str">
        <f t="shared" si="53"/>
        <v>NO</v>
      </c>
      <c r="O664" s="27" t="str">
        <f t="shared" si="54"/>
        <v>🟢</v>
      </c>
      <c r="P664" s="28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9"/>
      <c r="CC664" s="9"/>
      <c r="CD664" s="9"/>
      <c r="CE664" s="9"/>
      <c r="CF664" s="9"/>
      <c r="CG664" s="9"/>
    </row>
    <row r="665" spans="1:85" ht="18" customHeight="1" x14ac:dyDescent="0.3">
      <c r="A665" s="23">
        <f t="shared" si="50"/>
        <v>664</v>
      </c>
      <c r="B665" s="23">
        <f t="shared" si="51"/>
        <v>664</v>
      </c>
      <c r="C665" s="44" t="s">
        <v>2596</v>
      </c>
      <c r="D665" s="44"/>
      <c r="E665" s="45" t="str">
        <f t="shared" si="52"/>
        <v>LATERAL</v>
      </c>
      <c r="F665" s="26" t="s">
        <v>2682</v>
      </c>
      <c r="G665" s="44" t="s">
        <v>2683</v>
      </c>
      <c r="H665" s="44" t="s">
        <v>950</v>
      </c>
      <c r="I665" s="44" t="s">
        <v>2684</v>
      </c>
      <c r="J665" s="13" t="s">
        <v>22</v>
      </c>
      <c r="K665" s="44" t="s">
        <v>2685</v>
      </c>
      <c r="L665" s="26"/>
      <c r="M665" s="27" t="s">
        <v>1261</v>
      </c>
      <c r="N665" s="27" t="str">
        <f t="shared" si="53"/>
        <v>NO</v>
      </c>
      <c r="O665" s="27" t="str">
        <f t="shared" si="54"/>
        <v>🟢</v>
      </c>
      <c r="P665" s="28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9"/>
      <c r="CC665" s="9"/>
      <c r="CD665" s="9"/>
      <c r="CE665" s="9"/>
      <c r="CF665" s="9"/>
      <c r="CG665" s="9"/>
    </row>
    <row r="666" spans="1:85" ht="18" customHeight="1" x14ac:dyDescent="0.3">
      <c r="A666" s="23">
        <f t="shared" si="50"/>
        <v>665</v>
      </c>
      <c r="B666" s="23">
        <f t="shared" si="51"/>
        <v>665</v>
      </c>
      <c r="C666" s="16" t="s">
        <v>2596</v>
      </c>
      <c r="D666" s="16"/>
      <c r="E666" s="17" t="str">
        <f t="shared" si="52"/>
        <v>LATERAL</v>
      </c>
      <c r="F666" s="26" t="s">
        <v>2686</v>
      </c>
      <c r="G666" s="16" t="s">
        <v>2687</v>
      </c>
      <c r="H666" s="16" t="s">
        <v>2688</v>
      </c>
      <c r="I666" s="16" t="s">
        <v>2689</v>
      </c>
      <c r="J666" s="13" t="s">
        <v>22</v>
      </c>
      <c r="K666" s="16" t="s">
        <v>2690</v>
      </c>
      <c r="L666" s="26"/>
      <c r="M666" s="27" t="s">
        <v>1261</v>
      </c>
      <c r="N666" s="27" t="str">
        <f t="shared" si="53"/>
        <v>NO</v>
      </c>
      <c r="O666" s="27" t="str">
        <f t="shared" si="54"/>
        <v>🟢</v>
      </c>
      <c r="P666" s="28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9"/>
      <c r="CC666" s="9"/>
      <c r="CD666" s="9"/>
      <c r="CE666" s="9"/>
      <c r="CF666" s="9"/>
      <c r="CG666" s="9"/>
    </row>
    <row r="667" spans="1:85" ht="18" customHeight="1" x14ac:dyDescent="0.3">
      <c r="A667" s="23">
        <f t="shared" si="50"/>
        <v>666</v>
      </c>
      <c r="B667" s="23">
        <f t="shared" si="51"/>
        <v>666</v>
      </c>
      <c r="C667" s="44" t="s">
        <v>2596</v>
      </c>
      <c r="D667" s="44"/>
      <c r="E667" s="45" t="str">
        <f t="shared" si="52"/>
        <v>LATERAL</v>
      </c>
      <c r="F667" s="26" t="s">
        <v>2691</v>
      </c>
      <c r="G667" s="44" t="s">
        <v>2692</v>
      </c>
      <c r="H667" s="44" t="s">
        <v>2693</v>
      </c>
      <c r="I667" s="44" t="s">
        <v>585</v>
      </c>
      <c r="J667" s="13" t="s">
        <v>22</v>
      </c>
      <c r="K667" s="44" t="s">
        <v>2694</v>
      </c>
      <c r="L667" s="26"/>
      <c r="M667" s="27" t="s">
        <v>1261</v>
      </c>
      <c r="N667" s="27" t="str">
        <f t="shared" si="53"/>
        <v>NO</v>
      </c>
      <c r="O667" s="27" t="str">
        <f t="shared" si="54"/>
        <v>🟢</v>
      </c>
      <c r="P667" s="28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9"/>
      <c r="CC667" s="9"/>
      <c r="CD667" s="9"/>
      <c r="CE667" s="9"/>
      <c r="CF667" s="9"/>
      <c r="CG667" s="9"/>
    </row>
    <row r="668" spans="1:85" ht="18" customHeight="1" x14ac:dyDescent="0.3">
      <c r="A668" s="23">
        <f t="shared" si="50"/>
        <v>667</v>
      </c>
      <c r="B668" s="23">
        <f t="shared" si="51"/>
        <v>667</v>
      </c>
      <c r="C668" s="16" t="s">
        <v>2596</v>
      </c>
      <c r="D668" s="16"/>
      <c r="E668" s="17" t="str">
        <f t="shared" si="52"/>
        <v/>
      </c>
      <c r="F668" s="26" t="s">
        <v>2695</v>
      </c>
      <c r="G668" s="16" t="s">
        <v>1558</v>
      </c>
      <c r="H668" s="16" t="s">
        <v>687</v>
      </c>
      <c r="I668" s="16" t="s">
        <v>2696</v>
      </c>
      <c r="J668" s="20" t="s">
        <v>71</v>
      </c>
      <c r="K668" s="16" t="s">
        <v>2697</v>
      </c>
      <c r="L668" s="26"/>
      <c r="M668" s="27" t="s">
        <v>1261</v>
      </c>
      <c r="N668" s="27" t="str">
        <f t="shared" si="53"/>
        <v>NO</v>
      </c>
      <c r="O668" s="27" t="str">
        <f t="shared" si="54"/>
        <v>🔴</v>
      </c>
      <c r="P668" s="28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</row>
    <row r="669" spans="1:85" ht="18" customHeight="1" x14ac:dyDescent="0.3">
      <c r="A669" s="23">
        <f t="shared" si="50"/>
        <v>668</v>
      </c>
      <c r="B669" s="23">
        <f t="shared" si="51"/>
        <v>668</v>
      </c>
      <c r="C669" s="44" t="s">
        <v>2596</v>
      </c>
      <c r="D669" s="44"/>
      <c r="E669" s="45" t="str">
        <f t="shared" si="52"/>
        <v>LATERAL</v>
      </c>
      <c r="F669" s="26" t="s">
        <v>2698</v>
      </c>
      <c r="G669" s="44" t="s">
        <v>2699</v>
      </c>
      <c r="H669" s="44" t="s">
        <v>1174</v>
      </c>
      <c r="I669" s="44" t="s">
        <v>135</v>
      </c>
      <c r="J669" s="13" t="s">
        <v>22</v>
      </c>
      <c r="K669" s="44" t="s">
        <v>2700</v>
      </c>
      <c r="L669" s="26"/>
      <c r="M669" s="27" t="s">
        <v>1261</v>
      </c>
      <c r="N669" s="27" t="str">
        <f t="shared" si="53"/>
        <v>NO</v>
      </c>
      <c r="O669" s="27" t="str">
        <f t="shared" si="54"/>
        <v>🟢</v>
      </c>
      <c r="P669" s="28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9"/>
      <c r="CC669" s="9"/>
      <c r="CD669" s="9"/>
      <c r="CE669" s="9"/>
      <c r="CF669" s="9"/>
      <c r="CG669" s="9"/>
    </row>
    <row r="670" spans="1:85" ht="18" customHeight="1" x14ac:dyDescent="0.3">
      <c r="A670" s="23">
        <f t="shared" si="50"/>
        <v>669</v>
      </c>
      <c r="B670" s="23">
        <f t="shared" si="51"/>
        <v>669</v>
      </c>
      <c r="C670" s="16" t="s">
        <v>2596</v>
      </c>
      <c r="D670" s="16"/>
      <c r="E670" s="17" t="str">
        <f t="shared" si="52"/>
        <v>LATERAL</v>
      </c>
      <c r="F670" s="26" t="s">
        <v>2701</v>
      </c>
      <c r="G670" s="16" t="s">
        <v>68</v>
      </c>
      <c r="H670" s="16" t="s">
        <v>2702</v>
      </c>
      <c r="I670" s="16" t="s">
        <v>2703</v>
      </c>
      <c r="J670" s="13" t="s">
        <v>22</v>
      </c>
      <c r="K670" s="16" t="s">
        <v>2704</v>
      </c>
      <c r="L670" s="26"/>
      <c r="M670" s="27" t="s">
        <v>1261</v>
      </c>
      <c r="N670" s="27" t="str">
        <f t="shared" si="53"/>
        <v>NO</v>
      </c>
      <c r="O670" s="27" t="str">
        <f t="shared" si="54"/>
        <v>🟢</v>
      </c>
      <c r="P670" s="28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9"/>
      <c r="CC670" s="9"/>
      <c r="CD670" s="9"/>
      <c r="CE670" s="9"/>
      <c r="CF670" s="9"/>
      <c r="CG670" s="9"/>
    </row>
    <row r="671" spans="1:85" ht="18" customHeight="1" x14ac:dyDescent="0.3">
      <c r="A671" s="23">
        <f t="shared" si="50"/>
        <v>670</v>
      </c>
      <c r="B671" s="23">
        <f t="shared" si="51"/>
        <v>670</v>
      </c>
      <c r="C671" s="44" t="s">
        <v>2596</v>
      </c>
      <c r="D671" s="44"/>
      <c r="E671" s="45" t="str">
        <f t="shared" si="52"/>
        <v>LATERAL</v>
      </c>
      <c r="F671" s="26" t="s">
        <v>2705</v>
      </c>
      <c r="G671" s="44" t="s">
        <v>2706</v>
      </c>
      <c r="H671" s="44" t="s">
        <v>410</v>
      </c>
      <c r="I671" s="44" t="s">
        <v>2707</v>
      </c>
      <c r="J671" s="13" t="s">
        <v>22</v>
      </c>
      <c r="K671" s="44" t="s">
        <v>2593</v>
      </c>
      <c r="L671" s="26"/>
      <c r="M671" s="27" t="s">
        <v>1261</v>
      </c>
      <c r="N671" s="27" t="str">
        <f t="shared" si="53"/>
        <v>NO</v>
      </c>
      <c r="O671" s="27" t="str">
        <f t="shared" si="54"/>
        <v>🟢</v>
      </c>
      <c r="P671" s="28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9"/>
      <c r="CC671" s="9"/>
      <c r="CD671" s="9"/>
      <c r="CE671" s="9"/>
      <c r="CF671" s="9"/>
      <c r="CG671" s="9"/>
    </row>
    <row r="672" spans="1:85" ht="18" customHeight="1" x14ac:dyDescent="0.3">
      <c r="A672" s="23">
        <f t="shared" si="50"/>
        <v>671</v>
      </c>
      <c r="B672" s="23">
        <f t="shared" si="51"/>
        <v>671</v>
      </c>
      <c r="C672" s="16" t="s">
        <v>2596</v>
      </c>
      <c r="D672" s="16"/>
      <c r="E672" s="17" t="str">
        <f t="shared" si="52"/>
        <v>LATERAL</v>
      </c>
      <c r="F672" s="26" t="s">
        <v>2708</v>
      </c>
      <c r="G672" s="16" t="s">
        <v>877</v>
      </c>
      <c r="H672" s="16" t="s">
        <v>2709</v>
      </c>
      <c r="I672" s="16" t="s">
        <v>2163</v>
      </c>
      <c r="J672" s="13" t="s">
        <v>22</v>
      </c>
      <c r="K672" s="16" t="s">
        <v>2710</v>
      </c>
      <c r="L672" s="26"/>
      <c r="M672" s="27" t="s">
        <v>1261</v>
      </c>
      <c r="N672" s="27" t="str">
        <f t="shared" si="53"/>
        <v>NO</v>
      </c>
      <c r="O672" s="27" t="str">
        <f t="shared" si="54"/>
        <v>🟢</v>
      </c>
      <c r="P672" s="28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9"/>
      <c r="CC672" s="9"/>
      <c r="CD672" s="9"/>
      <c r="CE672" s="9"/>
      <c r="CF672" s="9"/>
      <c r="CG672" s="9"/>
    </row>
    <row r="673" spans="1:85" ht="18" customHeight="1" x14ac:dyDescent="0.3">
      <c r="A673" s="23">
        <f t="shared" si="50"/>
        <v>672</v>
      </c>
      <c r="B673" s="23">
        <f t="shared" si="51"/>
        <v>672</v>
      </c>
      <c r="C673" s="44" t="s">
        <v>2596</v>
      </c>
      <c r="D673" s="44"/>
      <c r="E673" s="45" t="str">
        <f t="shared" si="52"/>
        <v>LATERAL</v>
      </c>
      <c r="F673" s="26" t="s">
        <v>2711</v>
      </c>
      <c r="G673" s="44" t="s">
        <v>443</v>
      </c>
      <c r="H673" s="44" t="s">
        <v>2524</v>
      </c>
      <c r="I673" s="44" t="s">
        <v>2712</v>
      </c>
      <c r="J673" s="13" t="s">
        <v>22</v>
      </c>
      <c r="K673" s="44" t="s">
        <v>2713</v>
      </c>
      <c r="L673" s="26"/>
      <c r="M673" s="27" t="s">
        <v>1261</v>
      </c>
      <c r="N673" s="27" t="str">
        <f t="shared" si="53"/>
        <v>NO</v>
      </c>
      <c r="O673" s="27" t="str">
        <f t="shared" si="54"/>
        <v>🟢</v>
      </c>
      <c r="P673" s="28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9"/>
      <c r="CC673" s="9"/>
      <c r="CD673" s="9"/>
      <c r="CE673" s="9"/>
      <c r="CF673" s="9"/>
      <c r="CG673" s="9"/>
    </row>
    <row r="674" spans="1:85" ht="18" customHeight="1" x14ac:dyDescent="0.3">
      <c r="A674" s="23">
        <f t="shared" si="50"/>
        <v>673</v>
      </c>
      <c r="B674" s="23">
        <f t="shared" si="51"/>
        <v>673</v>
      </c>
      <c r="C674" s="16" t="s">
        <v>2596</v>
      </c>
      <c r="D674" s="16"/>
      <c r="E674" s="17" t="str">
        <f t="shared" si="52"/>
        <v>LATERAL</v>
      </c>
      <c r="F674" s="26" t="s">
        <v>2714</v>
      </c>
      <c r="G674" s="16" t="s">
        <v>74</v>
      </c>
      <c r="H674" s="16" t="s">
        <v>244</v>
      </c>
      <c r="I674" s="16" t="s">
        <v>578</v>
      </c>
      <c r="J674" s="13" t="s">
        <v>22</v>
      </c>
      <c r="K674" s="16" t="s">
        <v>2715</v>
      </c>
      <c r="L674" s="26"/>
      <c r="M674" s="27" t="s">
        <v>1261</v>
      </c>
      <c r="N674" s="27" t="str">
        <f t="shared" si="53"/>
        <v>NO</v>
      </c>
      <c r="O674" s="27" t="str">
        <f t="shared" si="54"/>
        <v>🟢</v>
      </c>
      <c r="P674" s="28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9"/>
      <c r="CC674" s="9"/>
      <c r="CD674" s="9"/>
      <c r="CE674" s="9"/>
      <c r="CF674" s="9"/>
      <c r="CG674" s="9"/>
    </row>
    <row r="675" spans="1:85" ht="18" customHeight="1" x14ac:dyDescent="0.3">
      <c r="A675" s="23">
        <f t="shared" si="50"/>
        <v>674</v>
      </c>
      <c r="B675" s="23">
        <f t="shared" si="51"/>
        <v>674</v>
      </c>
      <c r="C675" s="44" t="s">
        <v>2596</v>
      </c>
      <c r="D675" s="44"/>
      <c r="E675" s="45" t="str">
        <f t="shared" si="52"/>
        <v>LATERAL</v>
      </c>
      <c r="F675" s="26" t="s">
        <v>2716</v>
      </c>
      <c r="G675" s="44" t="s">
        <v>2717</v>
      </c>
      <c r="H675" s="44" t="s">
        <v>2718</v>
      </c>
      <c r="I675" s="44" t="s">
        <v>2228</v>
      </c>
      <c r="J675" s="13" t="s">
        <v>22</v>
      </c>
      <c r="K675" s="44" t="s">
        <v>2719</v>
      </c>
      <c r="L675" s="26"/>
      <c r="M675" s="27" t="s">
        <v>1261</v>
      </c>
      <c r="N675" s="27" t="str">
        <f t="shared" si="53"/>
        <v>NO</v>
      </c>
      <c r="O675" s="27" t="str">
        <f t="shared" si="54"/>
        <v>🟢</v>
      </c>
      <c r="P675" s="28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9"/>
      <c r="CC675" s="9"/>
      <c r="CD675" s="9"/>
      <c r="CE675" s="9"/>
      <c r="CF675" s="9"/>
      <c r="CG675" s="9"/>
    </row>
    <row r="676" spans="1:85" ht="18" customHeight="1" x14ac:dyDescent="0.3">
      <c r="A676" s="23">
        <f t="shared" si="50"/>
        <v>675</v>
      </c>
      <c r="B676" s="23">
        <f t="shared" si="51"/>
        <v>675</v>
      </c>
      <c r="C676" s="16" t="s">
        <v>2596</v>
      </c>
      <c r="D676" s="16"/>
      <c r="E676" s="17" t="str">
        <f t="shared" si="52"/>
        <v>LATERAL</v>
      </c>
      <c r="F676" s="26" t="s">
        <v>2720</v>
      </c>
      <c r="G676" s="16" t="s">
        <v>2721</v>
      </c>
      <c r="H676" s="16" t="s">
        <v>490</v>
      </c>
      <c r="I676" s="16" t="s">
        <v>503</v>
      </c>
      <c r="J676" s="13" t="s">
        <v>22</v>
      </c>
      <c r="K676" s="16" t="s">
        <v>2722</v>
      </c>
      <c r="L676" s="26"/>
      <c r="M676" s="27" t="s">
        <v>1261</v>
      </c>
      <c r="N676" s="27" t="str">
        <f t="shared" si="53"/>
        <v>NO</v>
      </c>
      <c r="O676" s="27" t="str">
        <f t="shared" si="54"/>
        <v>🟢</v>
      </c>
      <c r="P676" s="28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9"/>
      <c r="CC676" s="9"/>
      <c r="CD676" s="9"/>
      <c r="CE676" s="9"/>
      <c r="CF676" s="9"/>
      <c r="CG676" s="9"/>
    </row>
    <row r="677" spans="1:85" ht="18" customHeight="1" x14ac:dyDescent="0.3">
      <c r="A677" s="23">
        <f t="shared" si="50"/>
        <v>676</v>
      </c>
      <c r="B677" s="23">
        <f t="shared" si="51"/>
        <v>676</v>
      </c>
      <c r="C677" s="44" t="s">
        <v>2596</v>
      </c>
      <c r="D677" s="44" t="s">
        <v>1428</v>
      </c>
      <c r="E677" s="45" t="str">
        <f t="shared" si="52"/>
        <v>LATERAL</v>
      </c>
      <c r="F677" s="26" t="s">
        <v>2723</v>
      </c>
      <c r="G677" s="44" t="s">
        <v>242</v>
      </c>
      <c r="H677" s="44" t="s">
        <v>720</v>
      </c>
      <c r="I677" s="44" t="s">
        <v>506</v>
      </c>
      <c r="J677" s="13" t="s">
        <v>22</v>
      </c>
      <c r="K677" s="44" t="s">
        <v>2724</v>
      </c>
      <c r="L677" s="26"/>
      <c r="M677" s="27" t="s">
        <v>1261</v>
      </c>
      <c r="N677" s="27" t="str">
        <f t="shared" si="53"/>
        <v>NO</v>
      </c>
      <c r="O677" s="27" t="str">
        <f t="shared" si="54"/>
        <v>🟢</v>
      </c>
      <c r="P677" s="28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9"/>
      <c r="CC677" s="9"/>
      <c r="CD677" s="9"/>
      <c r="CE677" s="9"/>
      <c r="CF677" s="9"/>
      <c r="CG677" s="9"/>
    </row>
    <row r="678" spans="1:85" ht="18" customHeight="1" x14ac:dyDescent="0.3">
      <c r="A678" s="23">
        <f t="shared" si="50"/>
        <v>677</v>
      </c>
      <c r="B678" s="23">
        <f t="shared" si="51"/>
        <v>677</v>
      </c>
      <c r="C678" s="16" t="s">
        <v>2596</v>
      </c>
      <c r="D678" s="16"/>
      <c r="E678" s="17" t="str">
        <f t="shared" si="52"/>
        <v>LATERAL</v>
      </c>
      <c r="F678" s="26" t="s">
        <v>2725</v>
      </c>
      <c r="G678" s="16" t="s">
        <v>2482</v>
      </c>
      <c r="H678" s="16" t="s">
        <v>2726</v>
      </c>
      <c r="I678" s="16" t="s">
        <v>342</v>
      </c>
      <c r="J678" s="13" t="s">
        <v>22</v>
      </c>
      <c r="K678" s="16" t="s">
        <v>2727</v>
      </c>
      <c r="L678" s="26"/>
      <c r="M678" s="27" t="s">
        <v>1261</v>
      </c>
      <c r="N678" s="27" t="str">
        <f t="shared" si="53"/>
        <v>NO</v>
      </c>
      <c r="O678" s="27" t="str">
        <f t="shared" si="54"/>
        <v>🟢</v>
      </c>
      <c r="P678" s="28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</row>
    <row r="679" spans="1:85" ht="18" customHeight="1" x14ac:dyDescent="0.3">
      <c r="A679" s="23">
        <f t="shared" si="50"/>
        <v>678</v>
      </c>
      <c r="B679" s="23">
        <f t="shared" si="51"/>
        <v>678</v>
      </c>
      <c r="C679" s="44" t="s">
        <v>2596</v>
      </c>
      <c r="D679" s="44"/>
      <c r="E679" s="45" t="str">
        <f t="shared" si="52"/>
        <v>LATERAL</v>
      </c>
      <c r="F679" s="26" t="s">
        <v>2728</v>
      </c>
      <c r="G679" s="44" t="s">
        <v>877</v>
      </c>
      <c r="H679" s="44" t="s">
        <v>2729</v>
      </c>
      <c r="I679" s="44" t="s">
        <v>1050</v>
      </c>
      <c r="J679" s="13" t="s">
        <v>22</v>
      </c>
      <c r="K679" s="44" t="s">
        <v>2730</v>
      </c>
      <c r="L679" s="26"/>
      <c r="M679" s="27" t="s">
        <v>1261</v>
      </c>
      <c r="N679" s="27" t="str">
        <f t="shared" si="53"/>
        <v>NO</v>
      </c>
      <c r="O679" s="27" t="str">
        <f t="shared" si="54"/>
        <v>🟢</v>
      </c>
      <c r="P679" s="28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9"/>
      <c r="CC679" s="9"/>
      <c r="CD679" s="9"/>
      <c r="CE679" s="9"/>
      <c r="CF679" s="9"/>
      <c r="CG679" s="9"/>
    </row>
    <row r="680" spans="1:85" ht="18" customHeight="1" x14ac:dyDescent="0.3">
      <c r="A680" s="23">
        <f t="shared" si="50"/>
        <v>679</v>
      </c>
      <c r="B680" s="23">
        <f t="shared" si="51"/>
        <v>679</v>
      </c>
      <c r="C680" s="16" t="s">
        <v>2596</v>
      </c>
      <c r="D680" s="16"/>
      <c r="E680" s="17" t="str">
        <f t="shared" si="52"/>
        <v>LATERAL</v>
      </c>
      <c r="F680" s="26" t="s">
        <v>2731</v>
      </c>
      <c r="G680" s="16" t="s">
        <v>2732</v>
      </c>
      <c r="H680" s="16" t="s">
        <v>2733</v>
      </c>
      <c r="I680" s="16" t="s">
        <v>2734</v>
      </c>
      <c r="J680" s="13" t="s">
        <v>22</v>
      </c>
      <c r="K680" s="16" t="s">
        <v>2735</v>
      </c>
      <c r="L680" s="26"/>
      <c r="M680" s="27" t="s">
        <v>1261</v>
      </c>
      <c r="N680" s="27" t="str">
        <f t="shared" si="53"/>
        <v>NO</v>
      </c>
      <c r="O680" s="27" t="str">
        <f t="shared" si="54"/>
        <v>🟢</v>
      </c>
      <c r="P680" s="28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</row>
    <row r="681" spans="1:85" ht="18" customHeight="1" x14ac:dyDescent="0.3">
      <c r="A681" s="23">
        <f t="shared" si="50"/>
        <v>680</v>
      </c>
      <c r="B681" s="23">
        <f t="shared" si="51"/>
        <v>680</v>
      </c>
      <c r="C681" s="44" t="s">
        <v>2596</v>
      </c>
      <c r="D681" s="44"/>
      <c r="E681" s="45" t="str">
        <f t="shared" si="52"/>
        <v>LATERAL</v>
      </c>
      <c r="F681" s="26" t="s">
        <v>2736</v>
      </c>
      <c r="G681" s="44" t="s">
        <v>1348</v>
      </c>
      <c r="H681" s="44" t="s">
        <v>2737</v>
      </c>
      <c r="I681" s="44" t="s">
        <v>686</v>
      </c>
      <c r="J681" s="13" t="s">
        <v>22</v>
      </c>
      <c r="K681" s="44" t="s">
        <v>2738</v>
      </c>
      <c r="L681" s="26"/>
      <c r="M681" s="27" t="s">
        <v>1261</v>
      </c>
      <c r="N681" s="27" t="str">
        <f t="shared" si="53"/>
        <v>NO</v>
      </c>
      <c r="O681" s="27" t="str">
        <f t="shared" si="54"/>
        <v>🟢</v>
      </c>
      <c r="P681" s="28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9"/>
      <c r="CC681" s="9"/>
      <c r="CD681" s="9"/>
      <c r="CE681" s="9"/>
      <c r="CF681" s="9"/>
      <c r="CG681" s="9"/>
    </row>
    <row r="682" spans="1:85" ht="18" customHeight="1" x14ac:dyDescent="0.3">
      <c r="A682" s="23">
        <f t="shared" si="50"/>
        <v>681</v>
      </c>
      <c r="B682" s="23">
        <f t="shared" si="51"/>
        <v>681</v>
      </c>
      <c r="C682" s="16" t="s">
        <v>2596</v>
      </c>
      <c r="D682" s="16"/>
      <c r="E682" s="17" t="str">
        <f t="shared" si="52"/>
        <v>LATERAL</v>
      </c>
      <c r="F682" s="26" t="s">
        <v>2739</v>
      </c>
      <c r="G682" s="16" t="s">
        <v>1558</v>
      </c>
      <c r="H682" s="16" t="s">
        <v>1086</v>
      </c>
      <c r="I682" s="16" t="s">
        <v>2709</v>
      </c>
      <c r="J682" s="13" t="s">
        <v>22</v>
      </c>
      <c r="K682" s="16" t="s">
        <v>2740</v>
      </c>
      <c r="L682" s="26"/>
      <c r="M682" s="27" t="s">
        <v>1261</v>
      </c>
      <c r="N682" s="27" t="str">
        <f t="shared" si="53"/>
        <v>NO</v>
      </c>
      <c r="O682" s="27" t="str">
        <f t="shared" si="54"/>
        <v>🟢</v>
      </c>
      <c r="P682" s="28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9"/>
      <c r="CC682" s="9"/>
      <c r="CD682" s="9"/>
      <c r="CE682" s="9"/>
      <c r="CF682" s="9"/>
      <c r="CG682" s="9"/>
    </row>
    <row r="683" spans="1:85" ht="18" customHeight="1" x14ac:dyDescent="0.3">
      <c r="A683" s="23">
        <f t="shared" si="50"/>
        <v>682</v>
      </c>
      <c r="B683" s="23">
        <f t="shared" si="51"/>
        <v>682</v>
      </c>
      <c r="C683" s="44" t="s">
        <v>2596</v>
      </c>
      <c r="D683" s="44"/>
      <c r="E683" s="45" t="str">
        <f t="shared" si="52"/>
        <v>LATERAL</v>
      </c>
      <c r="F683" s="26" t="s">
        <v>2741</v>
      </c>
      <c r="G683" s="44" t="s">
        <v>128</v>
      </c>
      <c r="H683" s="44" t="s">
        <v>104</v>
      </c>
      <c r="I683" s="44" t="s">
        <v>88</v>
      </c>
      <c r="J683" s="13" t="s">
        <v>22</v>
      </c>
      <c r="K683" s="44" t="s">
        <v>2742</v>
      </c>
      <c r="L683" s="26"/>
      <c r="M683" s="27" t="s">
        <v>1261</v>
      </c>
      <c r="N683" s="27" t="str">
        <f t="shared" si="53"/>
        <v>NO</v>
      </c>
      <c r="O683" s="27" t="str">
        <f t="shared" si="54"/>
        <v>🟢</v>
      </c>
      <c r="P683" s="28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9"/>
      <c r="CC683" s="9"/>
      <c r="CD683" s="9"/>
      <c r="CE683" s="9"/>
      <c r="CF683" s="9"/>
      <c r="CG683" s="9"/>
    </row>
    <row r="684" spans="1:85" ht="18" customHeight="1" x14ac:dyDescent="0.3">
      <c r="A684" s="23">
        <f t="shared" si="50"/>
        <v>683</v>
      </c>
      <c r="B684" s="23">
        <f t="shared" si="51"/>
        <v>683</v>
      </c>
      <c r="C684" s="16" t="s">
        <v>2596</v>
      </c>
      <c r="D684" s="16"/>
      <c r="E684" s="17" t="str">
        <f t="shared" si="52"/>
        <v>LATERAL</v>
      </c>
      <c r="F684" s="26" t="s">
        <v>2743</v>
      </c>
      <c r="G684" s="16" t="s">
        <v>2744</v>
      </c>
      <c r="H684" s="16" t="s">
        <v>2745</v>
      </c>
      <c r="I684" s="16"/>
      <c r="J684" s="13" t="s">
        <v>22</v>
      </c>
      <c r="K684" s="16" t="s">
        <v>2746</v>
      </c>
      <c r="L684" s="26"/>
      <c r="M684" s="27" t="s">
        <v>1261</v>
      </c>
      <c r="N684" s="27" t="str">
        <f t="shared" si="53"/>
        <v>NO</v>
      </c>
      <c r="O684" s="27" t="str">
        <f t="shared" si="54"/>
        <v>🟢</v>
      </c>
      <c r="P684" s="28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9"/>
      <c r="CC684" s="9"/>
      <c r="CD684" s="9"/>
      <c r="CE684" s="9"/>
      <c r="CF684" s="9"/>
      <c r="CG684" s="9"/>
    </row>
    <row r="685" spans="1:85" ht="18" customHeight="1" x14ac:dyDescent="0.3">
      <c r="A685" s="23">
        <f t="shared" si="50"/>
        <v>684</v>
      </c>
      <c r="B685" s="23">
        <f t="shared" si="51"/>
        <v>684</v>
      </c>
      <c r="C685" s="44" t="s">
        <v>2596</v>
      </c>
      <c r="D685" s="44"/>
      <c r="E685" s="45" t="str">
        <f t="shared" si="52"/>
        <v>LATERAL</v>
      </c>
      <c r="F685" s="26" t="s">
        <v>2747</v>
      </c>
      <c r="G685" s="44" t="s">
        <v>2748</v>
      </c>
      <c r="H685" s="44" t="s">
        <v>2525</v>
      </c>
      <c r="I685" s="44" t="s">
        <v>1054</v>
      </c>
      <c r="J685" s="13" t="s">
        <v>22</v>
      </c>
      <c r="K685" s="44" t="s">
        <v>2749</v>
      </c>
      <c r="L685" s="26"/>
      <c r="M685" s="27" t="s">
        <v>1261</v>
      </c>
      <c r="N685" s="27" t="str">
        <f t="shared" si="53"/>
        <v>NO</v>
      </c>
      <c r="O685" s="27" t="str">
        <f t="shared" si="54"/>
        <v>🟢</v>
      </c>
      <c r="P685" s="28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9"/>
      <c r="CC685" s="9"/>
      <c r="CD685" s="9"/>
      <c r="CE685" s="9"/>
      <c r="CF685" s="9"/>
      <c r="CG685" s="9"/>
    </row>
    <row r="686" spans="1:85" ht="18" customHeight="1" x14ac:dyDescent="0.3">
      <c r="A686" s="23">
        <f t="shared" si="50"/>
        <v>685</v>
      </c>
      <c r="B686" s="23">
        <f t="shared" si="51"/>
        <v>685</v>
      </c>
      <c r="C686" s="16" t="s">
        <v>2596</v>
      </c>
      <c r="D686" s="16"/>
      <c r="E686" s="17" t="str">
        <f t="shared" si="52"/>
        <v>LATERAL</v>
      </c>
      <c r="F686" s="26" t="s">
        <v>2750</v>
      </c>
      <c r="G686" s="16" t="s">
        <v>2751</v>
      </c>
      <c r="H686" s="16" t="s">
        <v>1456</v>
      </c>
      <c r="I686" s="16" t="s">
        <v>2752</v>
      </c>
      <c r="J686" s="13" t="s">
        <v>22</v>
      </c>
      <c r="K686" s="16" t="s">
        <v>2753</v>
      </c>
      <c r="L686" s="26"/>
      <c r="M686" s="27" t="s">
        <v>1261</v>
      </c>
      <c r="N686" s="27" t="str">
        <f t="shared" si="53"/>
        <v>NO</v>
      </c>
      <c r="O686" s="27" t="str">
        <f t="shared" si="54"/>
        <v>🟢</v>
      </c>
      <c r="P686" s="28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9"/>
      <c r="CC686" s="9"/>
      <c r="CD686" s="9"/>
      <c r="CE686" s="9"/>
      <c r="CF686" s="9"/>
      <c r="CG686" s="9"/>
    </row>
    <row r="687" spans="1:85" ht="18" customHeight="1" x14ac:dyDescent="0.3">
      <c r="A687" s="23">
        <f t="shared" si="50"/>
        <v>686</v>
      </c>
      <c r="B687" s="23">
        <f t="shared" si="51"/>
        <v>686</v>
      </c>
      <c r="C687" s="44" t="s">
        <v>2596</v>
      </c>
      <c r="D687" s="44"/>
      <c r="E687" s="45" t="str">
        <f t="shared" si="52"/>
        <v>LATERAL</v>
      </c>
      <c r="F687" s="26" t="s">
        <v>2754</v>
      </c>
      <c r="G687" s="44" t="s">
        <v>758</v>
      </c>
      <c r="H687" s="44" t="s">
        <v>2737</v>
      </c>
      <c r="I687" s="44" t="s">
        <v>2625</v>
      </c>
      <c r="J687" s="13" t="s">
        <v>22</v>
      </c>
      <c r="K687" s="44" t="s">
        <v>2755</v>
      </c>
      <c r="L687" s="26"/>
      <c r="M687" s="27" t="s">
        <v>1261</v>
      </c>
      <c r="N687" s="27" t="str">
        <f t="shared" si="53"/>
        <v>NO</v>
      </c>
      <c r="O687" s="27" t="str">
        <f t="shared" si="54"/>
        <v>🟢</v>
      </c>
      <c r="P687" s="28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9"/>
      <c r="CC687" s="9"/>
      <c r="CD687" s="9"/>
      <c r="CE687" s="9"/>
      <c r="CF687" s="9"/>
      <c r="CG687" s="9"/>
    </row>
    <row r="688" spans="1:85" ht="18" customHeight="1" x14ac:dyDescent="0.3">
      <c r="A688" s="23">
        <f t="shared" si="50"/>
        <v>687</v>
      </c>
      <c r="B688" s="23">
        <f t="shared" si="51"/>
        <v>687</v>
      </c>
      <c r="C688" s="16" t="s">
        <v>2596</v>
      </c>
      <c r="D688" s="16"/>
      <c r="E688" s="17" t="str">
        <f t="shared" si="52"/>
        <v>LATERAL</v>
      </c>
      <c r="F688" s="26" t="s">
        <v>2756</v>
      </c>
      <c r="G688" s="16" t="s">
        <v>2166</v>
      </c>
      <c r="H688" s="16" t="s">
        <v>349</v>
      </c>
      <c r="I688" s="16"/>
      <c r="J688" s="13" t="s">
        <v>22</v>
      </c>
      <c r="K688" s="16" t="s">
        <v>2757</v>
      </c>
      <c r="L688" s="26"/>
      <c r="M688" s="27" t="s">
        <v>1261</v>
      </c>
      <c r="N688" s="27" t="str">
        <f t="shared" si="53"/>
        <v>NO</v>
      </c>
      <c r="O688" s="27" t="str">
        <f t="shared" si="54"/>
        <v>🟢</v>
      </c>
      <c r="P688" s="28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9"/>
      <c r="CC688" s="9"/>
      <c r="CD688" s="9"/>
      <c r="CE688" s="9"/>
      <c r="CF688" s="9"/>
      <c r="CG688" s="9"/>
    </row>
    <row r="689" spans="1:85" ht="18" customHeight="1" x14ac:dyDescent="0.3">
      <c r="A689" s="23">
        <f t="shared" si="50"/>
        <v>688</v>
      </c>
      <c r="B689" s="23">
        <f t="shared" si="51"/>
        <v>688</v>
      </c>
      <c r="C689" s="44" t="s">
        <v>2596</v>
      </c>
      <c r="D689" s="44"/>
      <c r="E689" s="45" t="str">
        <f t="shared" si="52"/>
        <v>LATERAL</v>
      </c>
      <c r="F689" s="26" t="s">
        <v>2758</v>
      </c>
      <c r="G689" s="44" t="s">
        <v>2583</v>
      </c>
      <c r="H689" s="44" t="s">
        <v>951</v>
      </c>
      <c r="I689" s="44" t="s">
        <v>2139</v>
      </c>
      <c r="J689" s="13" t="s">
        <v>22</v>
      </c>
      <c r="K689" s="44" t="s">
        <v>2759</v>
      </c>
      <c r="L689" s="26"/>
      <c r="M689" s="27" t="s">
        <v>1261</v>
      </c>
      <c r="N689" s="27" t="str">
        <f t="shared" si="53"/>
        <v>NO</v>
      </c>
      <c r="O689" s="27" t="str">
        <f t="shared" si="54"/>
        <v>🟢</v>
      </c>
      <c r="P689" s="28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9"/>
      <c r="CC689" s="9"/>
      <c r="CD689" s="9"/>
      <c r="CE689" s="9"/>
      <c r="CF689" s="9"/>
      <c r="CG689" s="9"/>
    </row>
    <row r="690" spans="1:85" ht="18" customHeight="1" x14ac:dyDescent="0.3">
      <c r="A690" s="23">
        <f t="shared" si="50"/>
        <v>689</v>
      </c>
      <c r="B690" s="23">
        <f t="shared" si="51"/>
        <v>689</v>
      </c>
      <c r="C690" s="16" t="s">
        <v>2596</v>
      </c>
      <c r="D690" s="16"/>
      <c r="E690" s="17" t="str">
        <f t="shared" si="52"/>
        <v>LATERAL</v>
      </c>
      <c r="F690" s="26" t="s">
        <v>2760</v>
      </c>
      <c r="G690" s="16" t="s">
        <v>754</v>
      </c>
      <c r="H690" s="16" t="s">
        <v>42</v>
      </c>
      <c r="I690" s="16" t="s">
        <v>2761</v>
      </c>
      <c r="J690" s="13" t="s">
        <v>22</v>
      </c>
      <c r="K690" s="16" t="s">
        <v>2762</v>
      </c>
      <c r="L690" s="26"/>
      <c r="M690" s="27" t="s">
        <v>1261</v>
      </c>
      <c r="N690" s="27" t="str">
        <f t="shared" si="53"/>
        <v>NO</v>
      </c>
      <c r="O690" s="27" t="str">
        <f t="shared" si="54"/>
        <v>🟢</v>
      </c>
      <c r="P690" s="28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9"/>
      <c r="CC690" s="9"/>
      <c r="CD690" s="9"/>
      <c r="CE690" s="9"/>
      <c r="CF690" s="9"/>
      <c r="CG690" s="9"/>
    </row>
    <row r="691" spans="1:85" ht="18" customHeight="1" x14ac:dyDescent="0.3">
      <c r="A691" s="23">
        <f t="shared" si="50"/>
        <v>690</v>
      </c>
      <c r="B691" s="23">
        <f t="shared" si="51"/>
        <v>690</v>
      </c>
      <c r="C691" s="44" t="s">
        <v>2596</v>
      </c>
      <c r="D691" s="44"/>
      <c r="E691" s="45" t="str">
        <f t="shared" si="52"/>
        <v>LATERAL</v>
      </c>
      <c r="F691" s="26" t="s">
        <v>2763</v>
      </c>
      <c r="G691" s="44" t="s">
        <v>2764</v>
      </c>
      <c r="H691" s="44" t="s">
        <v>529</v>
      </c>
      <c r="I691" s="44"/>
      <c r="J691" s="13" t="s">
        <v>22</v>
      </c>
      <c r="K691" s="44" t="s">
        <v>2765</v>
      </c>
      <c r="L691" s="26"/>
      <c r="M691" s="27" t="s">
        <v>1261</v>
      </c>
      <c r="N691" s="27" t="str">
        <f t="shared" si="53"/>
        <v>NO</v>
      </c>
      <c r="O691" s="27" t="str">
        <f t="shared" si="54"/>
        <v>🟢</v>
      </c>
      <c r="P691" s="28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9"/>
      <c r="CC691" s="9"/>
      <c r="CD691" s="9"/>
      <c r="CE691" s="9"/>
      <c r="CF691" s="9"/>
      <c r="CG691" s="9"/>
    </row>
    <row r="692" spans="1:85" ht="18" customHeight="1" x14ac:dyDescent="0.3">
      <c r="A692" s="23">
        <f t="shared" si="50"/>
        <v>691</v>
      </c>
      <c r="B692" s="23">
        <f t="shared" si="51"/>
        <v>691</v>
      </c>
      <c r="C692" s="16" t="s">
        <v>2596</v>
      </c>
      <c r="D692" s="16"/>
      <c r="E692" s="17" t="str">
        <f t="shared" si="52"/>
        <v>LATERAL</v>
      </c>
      <c r="F692" s="26" t="s">
        <v>2766</v>
      </c>
      <c r="G692" s="16" t="s">
        <v>2767</v>
      </c>
      <c r="H692" s="16" t="s">
        <v>705</v>
      </c>
      <c r="I692" s="16" t="s">
        <v>529</v>
      </c>
      <c r="J692" s="13" t="s">
        <v>22</v>
      </c>
      <c r="K692" s="16" t="s">
        <v>2768</v>
      </c>
      <c r="L692" s="26"/>
      <c r="M692" s="27" t="s">
        <v>1261</v>
      </c>
      <c r="N692" s="27" t="str">
        <f t="shared" si="53"/>
        <v>NO</v>
      </c>
      <c r="O692" s="27" t="str">
        <f t="shared" si="54"/>
        <v>🟢</v>
      </c>
      <c r="P692" s="28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9"/>
      <c r="CC692" s="9"/>
      <c r="CD692" s="9"/>
      <c r="CE692" s="9"/>
      <c r="CF692" s="9"/>
      <c r="CG692" s="9"/>
    </row>
    <row r="693" spans="1:85" ht="18" customHeight="1" x14ac:dyDescent="0.3">
      <c r="A693" s="23">
        <f t="shared" si="50"/>
        <v>692</v>
      </c>
      <c r="B693" s="23">
        <f t="shared" si="51"/>
        <v>692</v>
      </c>
      <c r="C693" s="44" t="s">
        <v>2596</v>
      </c>
      <c r="D693" s="44"/>
      <c r="E693" s="45" t="str">
        <f t="shared" si="52"/>
        <v>LATERAL</v>
      </c>
      <c r="F693" s="26" t="s">
        <v>2769</v>
      </c>
      <c r="G693" s="44" t="s">
        <v>328</v>
      </c>
      <c r="H693" s="44" t="s">
        <v>395</v>
      </c>
      <c r="I693" s="44" t="s">
        <v>1008</v>
      </c>
      <c r="J693" s="13" t="s">
        <v>22</v>
      </c>
      <c r="K693" s="44" t="s">
        <v>2770</v>
      </c>
      <c r="L693" s="26"/>
      <c r="M693" s="27" t="s">
        <v>1261</v>
      </c>
      <c r="N693" s="27" t="str">
        <f t="shared" si="53"/>
        <v>NO</v>
      </c>
      <c r="O693" s="27" t="str">
        <f t="shared" si="54"/>
        <v>🟢</v>
      </c>
      <c r="P693" s="28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9"/>
      <c r="CC693" s="9"/>
      <c r="CD693" s="9"/>
      <c r="CE693" s="9"/>
      <c r="CF693" s="9"/>
      <c r="CG693" s="9"/>
    </row>
    <row r="694" spans="1:85" ht="18" customHeight="1" x14ac:dyDescent="0.3">
      <c r="A694" s="23">
        <f t="shared" si="50"/>
        <v>693</v>
      </c>
      <c r="B694" s="23">
        <f t="shared" si="51"/>
        <v>693</v>
      </c>
      <c r="C694" s="16" t="s">
        <v>2596</v>
      </c>
      <c r="D694" s="16"/>
      <c r="E694" s="17" t="str">
        <f t="shared" si="52"/>
        <v>LATERAL</v>
      </c>
      <c r="F694" s="26" t="s">
        <v>2771</v>
      </c>
      <c r="G694" s="16" t="s">
        <v>363</v>
      </c>
      <c r="H694" s="16" t="s">
        <v>99</v>
      </c>
      <c r="I694" s="16" t="s">
        <v>683</v>
      </c>
      <c r="J694" s="13" t="s">
        <v>22</v>
      </c>
      <c r="K694" s="16" t="s">
        <v>2772</v>
      </c>
      <c r="L694" s="26"/>
      <c r="M694" s="27" t="s">
        <v>1261</v>
      </c>
      <c r="N694" s="27" t="str">
        <f t="shared" si="53"/>
        <v>NO</v>
      </c>
      <c r="O694" s="27" t="str">
        <f t="shared" si="54"/>
        <v>🟢</v>
      </c>
      <c r="P694" s="28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9"/>
      <c r="CC694" s="9"/>
      <c r="CD694" s="9"/>
      <c r="CE694" s="9"/>
      <c r="CF694" s="9"/>
      <c r="CG694" s="9"/>
    </row>
    <row r="695" spans="1:85" ht="18" customHeight="1" x14ac:dyDescent="0.3">
      <c r="A695" s="23">
        <f t="shared" si="50"/>
        <v>694</v>
      </c>
      <c r="B695" s="23">
        <f t="shared" si="51"/>
        <v>694</v>
      </c>
      <c r="C695" s="44" t="s">
        <v>2596</v>
      </c>
      <c r="D695" s="44"/>
      <c r="E695" s="45" t="str">
        <f t="shared" si="52"/>
        <v>LATERAL</v>
      </c>
      <c r="F695" s="26" t="s">
        <v>2773</v>
      </c>
      <c r="G695" s="44" t="s">
        <v>2774</v>
      </c>
      <c r="H695" s="44" t="s">
        <v>2018</v>
      </c>
      <c r="I695" s="44" t="s">
        <v>390</v>
      </c>
      <c r="J695" s="13" t="s">
        <v>22</v>
      </c>
      <c r="K695" s="44" t="s">
        <v>2775</v>
      </c>
      <c r="L695" s="26"/>
      <c r="M695" s="27" t="s">
        <v>1261</v>
      </c>
      <c r="N695" s="27" t="str">
        <f t="shared" si="53"/>
        <v>NO</v>
      </c>
      <c r="O695" s="27" t="str">
        <f t="shared" si="54"/>
        <v>🟢</v>
      </c>
      <c r="P695" s="28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</row>
    <row r="696" spans="1:85" ht="18" customHeight="1" x14ac:dyDescent="0.3">
      <c r="A696" s="23">
        <f t="shared" si="50"/>
        <v>695</v>
      </c>
      <c r="B696" s="23">
        <f t="shared" si="51"/>
        <v>695</v>
      </c>
      <c r="C696" s="16" t="s">
        <v>2596</v>
      </c>
      <c r="D696" s="16"/>
      <c r="E696" s="17" t="str">
        <f t="shared" si="52"/>
        <v>LATERAL</v>
      </c>
      <c r="F696" s="26" t="s">
        <v>2776</v>
      </c>
      <c r="G696" s="16" t="s">
        <v>758</v>
      </c>
      <c r="H696" s="16" t="s">
        <v>2777</v>
      </c>
      <c r="I696" s="16" t="s">
        <v>2778</v>
      </c>
      <c r="J696" s="13" t="s">
        <v>22</v>
      </c>
      <c r="K696" s="16" t="s">
        <v>2779</v>
      </c>
      <c r="L696" s="26"/>
      <c r="M696" s="27" t="s">
        <v>1261</v>
      </c>
      <c r="N696" s="27" t="str">
        <f t="shared" si="53"/>
        <v>NO</v>
      </c>
      <c r="O696" s="27" t="str">
        <f t="shared" si="54"/>
        <v>🟢</v>
      </c>
      <c r="P696" s="28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9"/>
      <c r="CC696" s="9"/>
      <c r="CD696" s="9"/>
      <c r="CE696" s="9"/>
      <c r="CF696" s="9"/>
      <c r="CG696" s="9"/>
    </row>
    <row r="697" spans="1:85" ht="18" customHeight="1" x14ac:dyDescent="0.3">
      <c r="A697" s="23">
        <f t="shared" si="50"/>
        <v>696</v>
      </c>
      <c r="B697" s="23">
        <f t="shared" si="51"/>
        <v>696</v>
      </c>
      <c r="C697" s="16" t="s">
        <v>2596</v>
      </c>
      <c r="D697" s="16"/>
      <c r="E697" s="17" t="str">
        <f t="shared" si="52"/>
        <v>LATERAL</v>
      </c>
      <c r="F697" s="26" t="s">
        <v>2780</v>
      </c>
      <c r="G697" s="16" t="s">
        <v>317</v>
      </c>
      <c r="H697" s="16" t="s">
        <v>2781</v>
      </c>
      <c r="I697" s="16" t="s">
        <v>2782</v>
      </c>
      <c r="J697" s="13" t="s">
        <v>22</v>
      </c>
      <c r="K697" s="16" t="s">
        <v>2783</v>
      </c>
      <c r="L697" s="26"/>
      <c r="M697" s="27" t="s">
        <v>1261</v>
      </c>
      <c r="N697" s="27" t="str">
        <f t="shared" si="53"/>
        <v>NO</v>
      </c>
      <c r="O697" s="27" t="str">
        <f t="shared" si="54"/>
        <v>🟢</v>
      </c>
      <c r="P697" s="28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9"/>
      <c r="CC697" s="9"/>
      <c r="CD697" s="9"/>
      <c r="CE697" s="9"/>
      <c r="CF697" s="9"/>
      <c r="CG697" s="9"/>
    </row>
    <row r="698" spans="1:85" ht="18" customHeight="1" x14ac:dyDescent="0.3">
      <c r="A698" s="23">
        <f t="shared" si="50"/>
        <v>697</v>
      </c>
      <c r="B698" s="23">
        <f t="shared" si="51"/>
        <v>697</v>
      </c>
      <c r="C698" s="44" t="s">
        <v>2596</v>
      </c>
      <c r="D698" s="44"/>
      <c r="E698" s="45" t="str">
        <f t="shared" si="52"/>
        <v>LATERAL</v>
      </c>
      <c r="F698" s="26" t="s">
        <v>2784</v>
      </c>
      <c r="G698" s="44" t="s">
        <v>322</v>
      </c>
      <c r="H698" s="44" t="s">
        <v>2785</v>
      </c>
      <c r="I698" s="44"/>
      <c r="J698" s="13" t="s">
        <v>22</v>
      </c>
      <c r="K698" s="44" t="s">
        <v>2786</v>
      </c>
      <c r="L698" s="26"/>
      <c r="M698" s="27" t="s">
        <v>1261</v>
      </c>
      <c r="N698" s="27" t="str">
        <f t="shared" si="53"/>
        <v>NO</v>
      </c>
      <c r="O698" s="27" t="str">
        <f t="shared" si="54"/>
        <v>🟢</v>
      </c>
      <c r="P698" s="28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9"/>
      <c r="CC698" s="9"/>
      <c r="CD698" s="9"/>
      <c r="CE698" s="9"/>
      <c r="CF698" s="9"/>
      <c r="CG698" s="9"/>
    </row>
    <row r="699" spans="1:85" ht="18" customHeight="1" x14ac:dyDescent="0.3">
      <c r="A699" s="23">
        <f t="shared" si="50"/>
        <v>698</v>
      </c>
      <c r="B699" s="23">
        <f t="shared" si="51"/>
        <v>698</v>
      </c>
      <c r="C699" s="16" t="s">
        <v>2596</v>
      </c>
      <c r="D699" s="16"/>
      <c r="E699" s="17" t="str">
        <f t="shared" si="52"/>
        <v>LATERAL</v>
      </c>
      <c r="F699" s="26" t="s">
        <v>2787</v>
      </c>
      <c r="G699" s="16" t="s">
        <v>528</v>
      </c>
      <c r="H699" s="16" t="s">
        <v>2788</v>
      </c>
      <c r="I699" s="16" t="s">
        <v>2789</v>
      </c>
      <c r="J699" s="13" t="s">
        <v>22</v>
      </c>
      <c r="K699" s="16" t="s">
        <v>2790</v>
      </c>
      <c r="L699" s="26"/>
      <c r="M699" s="27" t="s">
        <v>1261</v>
      </c>
      <c r="N699" s="27" t="str">
        <f t="shared" si="53"/>
        <v>NO</v>
      </c>
      <c r="O699" s="27" t="str">
        <f t="shared" si="54"/>
        <v>🟢</v>
      </c>
      <c r="P699" s="28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9"/>
      <c r="CC699" s="9"/>
      <c r="CD699" s="9"/>
      <c r="CE699" s="9"/>
      <c r="CF699" s="9"/>
      <c r="CG699" s="9"/>
    </row>
    <row r="700" spans="1:85" ht="18" customHeight="1" x14ac:dyDescent="0.3">
      <c r="A700" s="23">
        <f t="shared" si="50"/>
        <v>699</v>
      </c>
      <c r="B700" s="23">
        <f t="shared" si="51"/>
        <v>699</v>
      </c>
      <c r="C700" s="44" t="s">
        <v>2596</v>
      </c>
      <c r="D700" s="44"/>
      <c r="E700" s="45" t="str">
        <f t="shared" si="52"/>
        <v>LATERAL</v>
      </c>
      <c r="F700" s="26" t="s">
        <v>2791</v>
      </c>
      <c r="G700" s="44" t="s">
        <v>2792</v>
      </c>
      <c r="H700" s="44" t="s">
        <v>2793</v>
      </c>
      <c r="I700" s="44"/>
      <c r="J700" s="13" t="s">
        <v>22</v>
      </c>
      <c r="K700" s="44" t="s">
        <v>2790</v>
      </c>
      <c r="L700" s="26"/>
      <c r="M700" s="27" t="s">
        <v>1261</v>
      </c>
      <c r="N700" s="27" t="str">
        <f t="shared" si="53"/>
        <v>NO</v>
      </c>
      <c r="O700" s="27" t="str">
        <f t="shared" si="54"/>
        <v>🟢</v>
      </c>
      <c r="P700" s="28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9"/>
      <c r="CC700" s="9"/>
      <c r="CD700" s="9"/>
      <c r="CE700" s="9"/>
      <c r="CF700" s="9"/>
      <c r="CG700" s="9"/>
    </row>
    <row r="701" spans="1:85" ht="18" customHeight="1" x14ac:dyDescent="0.3">
      <c r="A701" s="23">
        <f t="shared" si="50"/>
        <v>700</v>
      </c>
      <c r="B701" s="23">
        <f t="shared" si="51"/>
        <v>700</v>
      </c>
      <c r="C701" s="16" t="s">
        <v>2596</v>
      </c>
      <c r="D701" s="16"/>
      <c r="E701" s="17" t="str">
        <f t="shared" si="52"/>
        <v>LATERAL</v>
      </c>
      <c r="F701" s="26" t="s">
        <v>2794</v>
      </c>
      <c r="G701" s="16" t="s">
        <v>2795</v>
      </c>
      <c r="H701" s="16" t="s">
        <v>2796</v>
      </c>
      <c r="I701" s="16"/>
      <c r="J701" s="13" t="s">
        <v>22</v>
      </c>
      <c r="K701" s="16" t="s">
        <v>2790</v>
      </c>
      <c r="L701" s="26"/>
      <c r="M701" s="27" t="s">
        <v>1261</v>
      </c>
      <c r="N701" s="27" t="str">
        <f t="shared" si="53"/>
        <v>NO</v>
      </c>
      <c r="O701" s="27" t="str">
        <f t="shared" si="54"/>
        <v>🟢</v>
      </c>
      <c r="P701" s="28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9"/>
      <c r="CC701" s="9"/>
      <c r="CD701" s="9"/>
      <c r="CE701" s="9"/>
      <c r="CF701" s="9"/>
      <c r="CG701" s="9"/>
    </row>
    <row r="702" spans="1:85" ht="18" customHeight="1" x14ac:dyDescent="0.3">
      <c r="A702" s="23">
        <f t="shared" si="50"/>
        <v>701</v>
      </c>
      <c r="B702" s="23">
        <f t="shared" si="51"/>
        <v>701</v>
      </c>
      <c r="C702" s="44" t="s">
        <v>2596</v>
      </c>
      <c r="D702" s="44"/>
      <c r="E702" s="45" t="str">
        <f t="shared" si="52"/>
        <v>LATERAL</v>
      </c>
      <c r="F702" s="26" t="s">
        <v>2797</v>
      </c>
      <c r="G702" s="44" t="s">
        <v>533</v>
      </c>
      <c r="H702" s="44" t="s">
        <v>2798</v>
      </c>
      <c r="I702" s="44"/>
      <c r="J702" s="13" t="s">
        <v>22</v>
      </c>
      <c r="K702" s="44" t="s">
        <v>2790</v>
      </c>
      <c r="L702" s="26"/>
      <c r="M702" s="27" t="s">
        <v>1261</v>
      </c>
      <c r="N702" s="27" t="str">
        <f t="shared" si="53"/>
        <v>NO</v>
      </c>
      <c r="O702" s="27" t="str">
        <f t="shared" si="54"/>
        <v>🟢</v>
      </c>
      <c r="P702" s="28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9"/>
      <c r="CC702" s="9"/>
      <c r="CD702" s="9"/>
      <c r="CE702" s="9"/>
      <c r="CF702" s="9"/>
      <c r="CG702" s="9"/>
    </row>
    <row r="703" spans="1:85" ht="18" customHeight="1" x14ac:dyDescent="0.3">
      <c r="A703" s="23">
        <f t="shared" si="50"/>
        <v>702</v>
      </c>
      <c r="B703" s="23">
        <f t="shared" si="51"/>
        <v>702</v>
      </c>
      <c r="C703" s="16" t="s">
        <v>2596</v>
      </c>
      <c r="D703" s="16"/>
      <c r="E703" s="17" t="str">
        <f t="shared" si="52"/>
        <v>LATERAL</v>
      </c>
      <c r="F703" s="26" t="s">
        <v>2799</v>
      </c>
      <c r="G703" s="16" t="s">
        <v>465</v>
      </c>
      <c r="H703" s="16" t="s">
        <v>1013</v>
      </c>
      <c r="I703" s="16" t="s">
        <v>2139</v>
      </c>
      <c r="J703" s="13" t="s">
        <v>22</v>
      </c>
      <c r="K703" s="16" t="s">
        <v>2800</v>
      </c>
      <c r="L703" s="26"/>
      <c r="M703" s="27" t="s">
        <v>1261</v>
      </c>
      <c r="N703" s="27" t="str">
        <f t="shared" si="53"/>
        <v>NO</v>
      </c>
      <c r="O703" s="27" t="str">
        <f t="shared" si="54"/>
        <v>🟢</v>
      </c>
      <c r="P703" s="28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9"/>
      <c r="CC703" s="9"/>
      <c r="CD703" s="9"/>
      <c r="CE703" s="9"/>
      <c r="CF703" s="9"/>
      <c r="CG703" s="9"/>
    </row>
    <row r="704" spans="1:85" ht="18" customHeight="1" x14ac:dyDescent="0.3">
      <c r="A704" s="23">
        <f t="shared" si="50"/>
        <v>703</v>
      </c>
      <c r="B704" s="23">
        <f t="shared" si="51"/>
        <v>703</v>
      </c>
      <c r="C704" s="44" t="s">
        <v>2596</v>
      </c>
      <c r="D704" s="44"/>
      <c r="E704" s="45" t="str">
        <f t="shared" si="52"/>
        <v/>
      </c>
      <c r="F704" s="26" t="s">
        <v>2801</v>
      </c>
      <c r="G704" s="44" t="s">
        <v>2802</v>
      </c>
      <c r="H704" s="44" t="s">
        <v>410</v>
      </c>
      <c r="I704" s="44" t="s">
        <v>99</v>
      </c>
      <c r="J704" s="20" t="s">
        <v>71</v>
      </c>
      <c r="K704" s="44" t="s">
        <v>2800</v>
      </c>
      <c r="L704" s="26"/>
      <c r="M704" s="27"/>
      <c r="N704" s="27" t="str">
        <f t="shared" si="53"/>
        <v>NO</v>
      </c>
      <c r="O704" s="27" t="str">
        <f t="shared" si="54"/>
        <v>🔴</v>
      </c>
      <c r="P704" s="28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9"/>
      <c r="CC704" s="9"/>
      <c r="CD704" s="9"/>
      <c r="CE704" s="9"/>
      <c r="CF704" s="9"/>
      <c r="CG704" s="9"/>
    </row>
    <row r="705" spans="1:85" ht="18" customHeight="1" x14ac:dyDescent="0.3">
      <c r="A705" s="23">
        <f t="shared" ref="A705:A768" si="55">IF(COUNTA(C705:K705)=0,"",ROW()-1)</f>
        <v>704</v>
      </c>
      <c r="B705" s="23">
        <f t="shared" ref="B705:B768" si="56">IF($F705&lt;&gt;"",$A705,"")</f>
        <v>704</v>
      </c>
      <c r="C705" s="16" t="s">
        <v>2596</v>
      </c>
      <c r="D705" s="16"/>
      <c r="E705" s="17" t="str">
        <f t="shared" ref="E705:E768" si="57">IF(UPPER($J705)="NO","",$M705)</f>
        <v/>
      </c>
      <c r="F705" s="26" t="s">
        <v>2803</v>
      </c>
      <c r="G705" s="16" t="s">
        <v>2767</v>
      </c>
      <c r="H705" s="16" t="s">
        <v>2804</v>
      </c>
      <c r="I705" s="16"/>
      <c r="J705" s="19" t="s">
        <v>71</v>
      </c>
      <c r="K705" s="16" t="s">
        <v>2805</v>
      </c>
      <c r="L705" s="26"/>
      <c r="M705" s="27" t="s">
        <v>1261</v>
      </c>
      <c r="N705" s="27" t="str">
        <f t="shared" ref="N705:N768" si="58">IF(AND(UPPER($M705)="VIP",UPPER($J705)="SI",$F705&lt;&gt;""),"SI","NO")</f>
        <v>NO</v>
      </c>
      <c r="O705" s="27" t="str">
        <f t="shared" ref="O705:O768" si="59">IF(UPPER($J705)="SI","🟢",IF(UPPER($J705)="NO","🔴","🟡"))</f>
        <v>🔴</v>
      </c>
      <c r="P705" s="28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9"/>
      <c r="CC705" s="9"/>
      <c r="CD705" s="9"/>
      <c r="CE705" s="9"/>
      <c r="CF705" s="9"/>
      <c r="CG705" s="9"/>
    </row>
    <row r="706" spans="1:85" ht="18" customHeight="1" x14ac:dyDescent="0.3">
      <c r="A706" s="23">
        <f t="shared" si="55"/>
        <v>705</v>
      </c>
      <c r="B706" s="23">
        <f t="shared" si="56"/>
        <v>705</v>
      </c>
      <c r="C706" s="44" t="s">
        <v>2596</v>
      </c>
      <c r="D706" s="44"/>
      <c r="E706" s="45" t="str">
        <f t="shared" si="57"/>
        <v>LATERAL</v>
      </c>
      <c r="F706" s="26" t="s">
        <v>2806</v>
      </c>
      <c r="G706" s="44" t="s">
        <v>2807</v>
      </c>
      <c r="H706" s="44" t="s">
        <v>313</v>
      </c>
      <c r="I706" s="44" t="s">
        <v>2808</v>
      </c>
      <c r="J706" s="13" t="s">
        <v>22</v>
      </c>
      <c r="K706" s="44" t="s">
        <v>2809</v>
      </c>
      <c r="L706" s="26"/>
      <c r="M706" s="27" t="s">
        <v>1261</v>
      </c>
      <c r="N706" s="27" t="str">
        <f t="shared" si="58"/>
        <v>NO</v>
      </c>
      <c r="O706" s="27" t="str">
        <f t="shared" si="59"/>
        <v>🟢</v>
      </c>
      <c r="P706" s="28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9"/>
      <c r="CC706" s="9"/>
      <c r="CD706" s="9"/>
      <c r="CE706" s="9"/>
      <c r="CF706" s="9"/>
      <c r="CG706" s="9"/>
    </row>
    <row r="707" spans="1:85" ht="18" customHeight="1" x14ac:dyDescent="0.3">
      <c r="A707" s="23">
        <f t="shared" si="55"/>
        <v>706</v>
      </c>
      <c r="B707" s="23">
        <f t="shared" si="56"/>
        <v>706</v>
      </c>
      <c r="C707" s="16" t="s">
        <v>2596</v>
      </c>
      <c r="D707" s="16"/>
      <c r="E707" s="17" t="str">
        <f t="shared" si="57"/>
        <v>LATERAL</v>
      </c>
      <c r="F707" s="26" t="s">
        <v>2810</v>
      </c>
      <c r="G707" s="16" t="s">
        <v>2811</v>
      </c>
      <c r="H707" s="16" t="s">
        <v>2812</v>
      </c>
      <c r="I707" s="16" t="s">
        <v>978</v>
      </c>
      <c r="J707" s="13" t="s">
        <v>22</v>
      </c>
      <c r="K707" s="16" t="s">
        <v>2813</v>
      </c>
      <c r="L707" s="26"/>
      <c r="M707" s="27" t="s">
        <v>1261</v>
      </c>
      <c r="N707" s="27" t="str">
        <f t="shared" si="58"/>
        <v>NO</v>
      </c>
      <c r="O707" s="27" t="str">
        <f t="shared" si="59"/>
        <v>🟢</v>
      </c>
      <c r="P707" s="28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9"/>
      <c r="CC707" s="9"/>
      <c r="CD707" s="9"/>
      <c r="CE707" s="9"/>
      <c r="CF707" s="9"/>
      <c r="CG707" s="9"/>
    </row>
    <row r="708" spans="1:85" ht="18" customHeight="1" x14ac:dyDescent="0.3">
      <c r="A708" s="23">
        <f t="shared" si="55"/>
        <v>707</v>
      </c>
      <c r="B708" s="23">
        <f t="shared" si="56"/>
        <v>707</v>
      </c>
      <c r="C708" s="44" t="s">
        <v>2596</v>
      </c>
      <c r="D708" s="44"/>
      <c r="E708" s="45" t="str">
        <f t="shared" si="57"/>
        <v>LATERAL</v>
      </c>
      <c r="F708" s="26" t="s">
        <v>2814</v>
      </c>
      <c r="G708" s="44" t="s">
        <v>2645</v>
      </c>
      <c r="H708" s="44" t="s">
        <v>2815</v>
      </c>
      <c r="I708" s="44" t="s">
        <v>329</v>
      </c>
      <c r="J708" s="13" t="s">
        <v>22</v>
      </c>
      <c r="K708" s="44" t="s">
        <v>1292</v>
      </c>
      <c r="L708" s="26"/>
      <c r="M708" s="27" t="s">
        <v>1261</v>
      </c>
      <c r="N708" s="27" t="str">
        <f t="shared" si="58"/>
        <v>NO</v>
      </c>
      <c r="O708" s="27" t="str">
        <f t="shared" si="59"/>
        <v>🟢</v>
      </c>
      <c r="P708" s="28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9"/>
      <c r="CC708" s="9"/>
      <c r="CD708" s="9"/>
      <c r="CE708" s="9"/>
      <c r="CF708" s="9"/>
      <c r="CG708" s="9"/>
    </row>
    <row r="709" spans="1:85" ht="18" customHeight="1" x14ac:dyDescent="0.3">
      <c r="A709" s="23">
        <f t="shared" si="55"/>
        <v>708</v>
      </c>
      <c r="B709" s="23">
        <f t="shared" si="56"/>
        <v>708</v>
      </c>
      <c r="C709" s="16" t="s">
        <v>2596</v>
      </c>
      <c r="D709" s="16"/>
      <c r="E709" s="17" t="str">
        <f t="shared" si="57"/>
        <v>LATERAL</v>
      </c>
      <c r="F709" s="26" t="s">
        <v>2816</v>
      </c>
      <c r="G709" s="16" t="s">
        <v>68</v>
      </c>
      <c r="H709" s="16" t="s">
        <v>2761</v>
      </c>
      <c r="I709" s="16" t="s">
        <v>2817</v>
      </c>
      <c r="J709" s="13" t="s">
        <v>22</v>
      </c>
      <c r="K709" s="16" t="s">
        <v>1292</v>
      </c>
      <c r="L709" s="26"/>
      <c r="M709" s="27" t="s">
        <v>1261</v>
      </c>
      <c r="N709" s="27" t="str">
        <f t="shared" si="58"/>
        <v>NO</v>
      </c>
      <c r="O709" s="27" t="str">
        <f t="shared" si="59"/>
        <v>🟢</v>
      </c>
      <c r="P709" s="28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</row>
    <row r="710" spans="1:85" ht="18" customHeight="1" x14ac:dyDescent="0.3">
      <c r="A710" s="23">
        <f t="shared" si="55"/>
        <v>709</v>
      </c>
      <c r="B710" s="23">
        <f t="shared" si="56"/>
        <v>709</v>
      </c>
      <c r="C710" s="44" t="s">
        <v>2596</v>
      </c>
      <c r="D710" s="44"/>
      <c r="E710" s="45" t="str">
        <f t="shared" si="57"/>
        <v>LATERAL</v>
      </c>
      <c r="F710" s="26" t="s">
        <v>2818</v>
      </c>
      <c r="G710" s="44" t="s">
        <v>615</v>
      </c>
      <c r="H710" s="44" t="s">
        <v>2819</v>
      </c>
      <c r="I710" s="44"/>
      <c r="J710" s="13" t="s">
        <v>22</v>
      </c>
      <c r="K710" s="44" t="s">
        <v>2820</v>
      </c>
      <c r="L710" s="26"/>
      <c r="M710" s="27" t="s">
        <v>1261</v>
      </c>
      <c r="N710" s="27" t="str">
        <f t="shared" si="58"/>
        <v>NO</v>
      </c>
      <c r="O710" s="27" t="str">
        <f t="shared" si="59"/>
        <v>🟢</v>
      </c>
      <c r="P710" s="28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9"/>
      <c r="CC710" s="9"/>
      <c r="CD710" s="9"/>
      <c r="CE710" s="9"/>
      <c r="CF710" s="9"/>
      <c r="CG710" s="9"/>
    </row>
    <row r="711" spans="1:85" ht="18" customHeight="1" x14ac:dyDescent="0.3">
      <c r="A711" s="23">
        <f t="shared" si="55"/>
        <v>710</v>
      </c>
      <c r="B711" s="23">
        <f t="shared" si="56"/>
        <v>710</v>
      </c>
      <c r="C711" s="16" t="s">
        <v>2596</v>
      </c>
      <c r="D711" s="16"/>
      <c r="E711" s="17" t="str">
        <f t="shared" si="57"/>
        <v>LATERAL</v>
      </c>
      <c r="F711" s="26" t="s">
        <v>1242</v>
      </c>
      <c r="G711" s="16" t="s">
        <v>114</v>
      </c>
      <c r="H711" s="16" t="s">
        <v>99</v>
      </c>
      <c r="I711" s="16"/>
      <c r="J711" s="13" t="s">
        <v>22</v>
      </c>
      <c r="K711" s="16" t="s">
        <v>2821</v>
      </c>
      <c r="L711" s="26"/>
      <c r="M711" s="27" t="s">
        <v>1261</v>
      </c>
      <c r="N711" s="27" t="str">
        <f t="shared" si="58"/>
        <v>NO</v>
      </c>
      <c r="O711" s="27" t="str">
        <f t="shared" si="59"/>
        <v>🟢</v>
      </c>
      <c r="P711" s="28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9"/>
      <c r="CC711" s="9"/>
      <c r="CD711" s="9"/>
      <c r="CE711" s="9"/>
      <c r="CF711" s="9"/>
      <c r="CG711" s="9"/>
    </row>
    <row r="712" spans="1:85" ht="18" customHeight="1" x14ac:dyDescent="0.3">
      <c r="A712" s="23">
        <f t="shared" si="55"/>
        <v>711</v>
      </c>
      <c r="B712" s="23">
        <f t="shared" si="56"/>
        <v>711</v>
      </c>
      <c r="C712" s="44" t="s">
        <v>2596</v>
      </c>
      <c r="D712" s="44" t="s">
        <v>1462</v>
      </c>
      <c r="E712" s="45" t="str">
        <f t="shared" si="57"/>
        <v>LATERAL</v>
      </c>
      <c r="F712" s="26" t="s">
        <v>2822</v>
      </c>
      <c r="G712" s="44" t="s">
        <v>2823</v>
      </c>
      <c r="H712" s="44" t="s">
        <v>2824</v>
      </c>
      <c r="I712" s="44"/>
      <c r="J712" s="13" t="s">
        <v>22</v>
      </c>
      <c r="K712" s="44" t="s">
        <v>2825</v>
      </c>
      <c r="L712" s="26"/>
      <c r="M712" s="27" t="s">
        <v>1261</v>
      </c>
      <c r="N712" s="27" t="str">
        <f t="shared" si="58"/>
        <v>NO</v>
      </c>
      <c r="O712" s="27" t="str">
        <f t="shared" si="59"/>
        <v>🟢</v>
      </c>
      <c r="P712" s="28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9"/>
      <c r="CC712" s="9"/>
      <c r="CD712" s="9"/>
      <c r="CE712" s="9"/>
      <c r="CF712" s="9"/>
      <c r="CG712" s="9"/>
    </row>
    <row r="713" spans="1:85" ht="18" customHeight="1" x14ac:dyDescent="0.3">
      <c r="A713" s="23">
        <f t="shared" si="55"/>
        <v>712</v>
      </c>
      <c r="B713" s="23">
        <f t="shared" si="56"/>
        <v>712</v>
      </c>
      <c r="C713" s="16" t="s">
        <v>2596</v>
      </c>
      <c r="D713" s="16"/>
      <c r="E713" s="17" t="str">
        <f t="shared" si="57"/>
        <v>LATERAL</v>
      </c>
      <c r="F713" s="26" t="s">
        <v>2826</v>
      </c>
      <c r="G713" s="16" t="s">
        <v>1558</v>
      </c>
      <c r="H713" s="16" t="s">
        <v>1013</v>
      </c>
      <c r="I713" s="16" t="s">
        <v>2139</v>
      </c>
      <c r="J713" s="13" t="s">
        <v>22</v>
      </c>
      <c r="K713" s="16" t="s">
        <v>2827</v>
      </c>
      <c r="L713" s="26"/>
      <c r="M713" s="27" t="s">
        <v>1261</v>
      </c>
      <c r="N713" s="27" t="str">
        <f t="shared" si="58"/>
        <v>NO</v>
      </c>
      <c r="O713" s="27" t="str">
        <f t="shared" si="59"/>
        <v>🟢</v>
      </c>
      <c r="P713" s="28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9"/>
      <c r="CC713" s="9"/>
      <c r="CD713" s="9"/>
      <c r="CE713" s="9"/>
      <c r="CF713" s="9"/>
      <c r="CG713" s="9"/>
    </row>
    <row r="714" spans="1:85" ht="18" customHeight="1" x14ac:dyDescent="0.3">
      <c r="A714" s="23">
        <f t="shared" si="55"/>
        <v>713</v>
      </c>
      <c r="B714" s="23">
        <f t="shared" si="56"/>
        <v>713</v>
      </c>
      <c r="C714" s="44" t="s">
        <v>2828</v>
      </c>
      <c r="D714" s="44" t="s">
        <v>1462</v>
      </c>
      <c r="E714" s="45" t="str">
        <f t="shared" si="57"/>
        <v>LATERAL</v>
      </c>
      <c r="F714" s="26" t="s">
        <v>2829</v>
      </c>
      <c r="G714" s="44" t="s">
        <v>114</v>
      </c>
      <c r="H714" s="44" t="s">
        <v>2477</v>
      </c>
      <c r="I714" s="44"/>
      <c r="J714" s="13" t="s">
        <v>22</v>
      </c>
      <c r="K714" s="44"/>
      <c r="L714" s="26"/>
      <c r="M714" s="27" t="s">
        <v>1261</v>
      </c>
      <c r="N714" s="27" t="str">
        <f t="shared" si="58"/>
        <v>NO</v>
      </c>
      <c r="O714" s="27" t="str">
        <f t="shared" si="59"/>
        <v>🟢</v>
      </c>
      <c r="P714" s="28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9"/>
      <c r="CC714" s="9"/>
      <c r="CD714" s="9"/>
      <c r="CE714" s="9"/>
      <c r="CF714" s="9"/>
      <c r="CG714" s="9"/>
    </row>
    <row r="715" spans="1:85" ht="18" customHeight="1" x14ac:dyDescent="0.3">
      <c r="A715" s="23">
        <f t="shared" si="55"/>
        <v>714</v>
      </c>
      <c r="B715" s="23">
        <f t="shared" si="56"/>
        <v>714</v>
      </c>
      <c r="C715" s="16" t="s">
        <v>2828</v>
      </c>
      <c r="D715" s="16" t="s">
        <v>95</v>
      </c>
      <c r="E715" s="17" t="str">
        <f t="shared" si="57"/>
        <v>LATERAL</v>
      </c>
      <c r="F715" s="26" t="s">
        <v>2830</v>
      </c>
      <c r="G715" s="16" t="s">
        <v>473</v>
      </c>
      <c r="H715" s="16" t="s">
        <v>2831</v>
      </c>
      <c r="I715" s="16"/>
      <c r="J715" s="13" t="s">
        <v>22</v>
      </c>
      <c r="K715" s="16" t="s">
        <v>2832</v>
      </c>
      <c r="L715" s="26"/>
      <c r="M715" s="27" t="s">
        <v>1261</v>
      </c>
      <c r="N715" s="27" t="str">
        <f t="shared" si="58"/>
        <v>NO</v>
      </c>
      <c r="O715" s="27" t="str">
        <f t="shared" si="59"/>
        <v>🟢</v>
      </c>
      <c r="P715" s="28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9"/>
      <c r="CC715" s="9"/>
      <c r="CD715" s="9"/>
      <c r="CE715" s="9"/>
      <c r="CF715" s="9"/>
      <c r="CG715" s="9"/>
    </row>
    <row r="716" spans="1:85" ht="18" customHeight="1" x14ac:dyDescent="0.3">
      <c r="A716" s="23">
        <f t="shared" si="55"/>
        <v>715</v>
      </c>
      <c r="B716" s="23">
        <f t="shared" si="56"/>
        <v>715</v>
      </c>
      <c r="C716" s="44" t="s">
        <v>2828</v>
      </c>
      <c r="D716" s="44" t="s">
        <v>95</v>
      </c>
      <c r="E716" s="45" t="str">
        <f t="shared" si="57"/>
        <v>LATERAL</v>
      </c>
      <c r="F716" s="26" t="s">
        <v>2833</v>
      </c>
      <c r="G716" s="44" t="s">
        <v>465</v>
      </c>
      <c r="H716" s="44" t="s">
        <v>2642</v>
      </c>
      <c r="I716" s="44"/>
      <c r="J716" s="13" t="s">
        <v>22</v>
      </c>
      <c r="K716" s="44" t="s">
        <v>2834</v>
      </c>
      <c r="L716" s="26"/>
      <c r="M716" s="27" t="s">
        <v>1261</v>
      </c>
      <c r="N716" s="27" t="str">
        <f t="shared" si="58"/>
        <v>NO</v>
      </c>
      <c r="O716" s="27" t="str">
        <f t="shared" si="59"/>
        <v>🟢</v>
      </c>
      <c r="P716" s="28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9"/>
      <c r="CC716" s="9"/>
      <c r="CD716" s="9"/>
      <c r="CE716" s="9"/>
      <c r="CF716" s="9"/>
      <c r="CG716" s="9"/>
    </row>
    <row r="717" spans="1:85" ht="18" customHeight="1" x14ac:dyDescent="0.3">
      <c r="A717" s="23">
        <f t="shared" si="55"/>
        <v>716</v>
      </c>
      <c r="B717" s="23">
        <f t="shared" si="56"/>
        <v>716</v>
      </c>
      <c r="C717" s="16" t="s">
        <v>2828</v>
      </c>
      <c r="D717" s="16"/>
      <c r="E717" s="17" t="str">
        <f t="shared" si="57"/>
        <v>LATERAL</v>
      </c>
      <c r="F717" s="26" t="s">
        <v>2835</v>
      </c>
      <c r="G717" s="16" t="s">
        <v>1258</v>
      </c>
      <c r="H717" s="16" t="s">
        <v>2836</v>
      </c>
      <c r="I717" s="16"/>
      <c r="J717" s="13" t="s">
        <v>22</v>
      </c>
      <c r="K717" s="16" t="s">
        <v>2837</v>
      </c>
      <c r="L717" s="26"/>
      <c r="M717" s="27" t="s">
        <v>1261</v>
      </c>
      <c r="N717" s="27" t="str">
        <f t="shared" si="58"/>
        <v>NO</v>
      </c>
      <c r="O717" s="27" t="str">
        <f t="shared" si="59"/>
        <v>🟢</v>
      </c>
      <c r="P717" s="28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9"/>
      <c r="CC717" s="9"/>
      <c r="CD717" s="9"/>
      <c r="CE717" s="9"/>
      <c r="CF717" s="9"/>
      <c r="CG717" s="9"/>
    </row>
    <row r="718" spans="1:85" ht="18" customHeight="1" x14ac:dyDescent="0.3">
      <c r="A718" s="23">
        <f t="shared" si="55"/>
        <v>717</v>
      </c>
      <c r="B718" s="23">
        <f t="shared" si="56"/>
        <v>717</v>
      </c>
      <c r="C718" s="44" t="s">
        <v>2828</v>
      </c>
      <c r="D718" s="44"/>
      <c r="E718" s="45" t="str">
        <f t="shared" si="57"/>
        <v>LATERAL</v>
      </c>
      <c r="F718" s="26" t="s">
        <v>2838</v>
      </c>
      <c r="G718" s="44" t="s">
        <v>554</v>
      </c>
      <c r="H718" s="44" t="s">
        <v>2626</v>
      </c>
      <c r="I718" s="44"/>
      <c r="J718" s="13" t="s">
        <v>22</v>
      </c>
      <c r="K718" s="44" t="s">
        <v>2839</v>
      </c>
      <c r="L718" s="26"/>
      <c r="M718" s="27" t="s">
        <v>1261</v>
      </c>
      <c r="N718" s="27" t="str">
        <f t="shared" si="58"/>
        <v>NO</v>
      </c>
      <c r="O718" s="27" t="str">
        <f t="shared" si="59"/>
        <v>🟢</v>
      </c>
      <c r="P718" s="28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9"/>
      <c r="CC718" s="9"/>
      <c r="CD718" s="9"/>
      <c r="CE718" s="9"/>
      <c r="CF718" s="9"/>
      <c r="CG718" s="9"/>
    </row>
    <row r="719" spans="1:85" ht="18" customHeight="1" x14ac:dyDescent="0.3">
      <c r="A719" s="23">
        <f t="shared" si="55"/>
        <v>718</v>
      </c>
      <c r="B719" s="23">
        <f t="shared" si="56"/>
        <v>718</v>
      </c>
      <c r="C719" s="16" t="s">
        <v>2828</v>
      </c>
      <c r="D719" s="16"/>
      <c r="E719" s="17" t="str">
        <f t="shared" si="57"/>
        <v>LATERAL</v>
      </c>
      <c r="F719" s="26" t="s">
        <v>2840</v>
      </c>
      <c r="G719" s="16" t="s">
        <v>2841</v>
      </c>
      <c r="H719" s="16" t="s">
        <v>2842</v>
      </c>
      <c r="I719" s="16" t="s">
        <v>2843</v>
      </c>
      <c r="J719" s="13" t="s">
        <v>22</v>
      </c>
      <c r="K719" s="16" t="s">
        <v>2704</v>
      </c>
      <c r="L719" s="26"/>
      <c r="M719" s="27" t="s">
        <v>1261</v>
      </c>
      <c r="N719" s="27" t="str">
        <f t="shared" si="58"/>
        <v>NO</v>
      </c>
      <c r="O719" s="27" t="str">
        <f t="shared" si="59"/>
        <v>🟢</v>
      </c>
      <c r="P719" s="28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9"/>
      <c r="CC719" s="9"/>
      <c r="CD719" s="9"/>
      <c r="CE719" s="9"/>
      <c r="CF719" s="9"/>
      <c r="CG719" s="9"/>
    </row>
    <row r="720" spans="1:85" ht="18" customHeight="1" x14ac:dyDescent="0.3">
      <c r="A720" s="23">
        <f t="shared" si="55"/>
        <v>719</v>
      </c>
      <c r="B720" s="23">
        <f t="shared" si="56"/>
        <v>719</v>
      </c>
      <c r="C720" s="44" t="s">
        <v>2828</v>
      </c>
      <c r="D720" s="44"/>
      <c r="E720" s="45" t="str">
        <f t="shared" si="57"/>
        <v>LATERAL</v>
      </c>
      <c r="F720" s="26" t="s">
        <v>2844</v>
      </c>
      <c r="G720" s="44" t="s">
        <v>498</v>
      </c>
      <c r="H720" s="44" t="s">
        <v>2845</v>
      </c>
      <c r="I720" s="44" t="s">
        <v>652</v>
      </c>
      <c r="J720" s="13" t="s">
        <v>22</v>
      </c>
      <c r="K720" s="44" t="s">
        <v>2846</v>
      </c>
      <c r="L720" s="26"/>
      <c r="M720" s="27" t="s">
        <v>1261</v>
      </c>
      <c r="N720" s="27" t="str">
        <f t="shared" si="58"/>
        <v>NO</v>
      </c>
      <c r="O720" s="27" t="str">
        <f t="shared" si="59"/>
        <v>🟢</v>
      </c>
      <c r="P720" s="28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9"/>
      <c r="CC720" s="9"/>
      <c r="CD720" s="9"/>
      <c r="CE720" s="9"/>
      <c r="CF720" s="9"/>
      <c r="CG720" s="9"/>
    </row>
    <row r="721" spans="1:85" ht="18" customHeight="1" x14ac:dyDescent="0.3">
      <c r="A721" s="23">
        <f t="shared" si="55"/>
        <v>720</v>
      </c>
      <c r="B721" s="23">
        <f t="shared" si="56"/>
        <v>720</v>
      </c>
      <c r="C721" s="16" t="s">
        <v>2828</v>
      </c>
      <c r="D721" s="16"/>
      <c r="E721" s="17" t="str">
        <f t="shared" si="57"/>
        <v>LATERAL</v>
      </c>
      <c r="F721" s="26" t="s">
        <v>2847</v>
      </c>
      <c r="G721" s="16" t="s">
        <v>1033</v>
      </c>
      <c r="H721" s="16" t="s">
        <v>111</v>
      </c>
      <c r="I721" s="16" t="s">
        <v>312</v>
      </c>
      <c r="J721" s="13" t="s">
        <v>22</v>
      </c>
      <c r="K721" s="16" t="s">
        <v>2848</v>
      </c>
      <c r="L721" s="26"/>
      <c r="M721" s="27" t="s">
        <v>1261</v>
      </c>
      <c r="N721" s="27" t="str">
        <f t="shared" si="58"/>
        <v>NO</v>
      </c>
      <c r="O721" s="27" t="str">
        <f t="shared" si="59"/>
        <v>🟢</v>
      </c>
      <c r="P721" s="28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</row>
    <row r="722" spans="1:85" ht="18" customHeight="1" x14ac:dyDescent="0.3">
      <c r="A722" s="9">
        <f t="shared" si="55"/>
        <v>721</v>
      </c>
      <c r="B722" s="9" t="str">
        <f t="shared" si="56"/>
        <v/>
      </c>
      <c r="C722" s="9"/>
      <c r="D722" s="9"/>
      <c r="E722" s="9">
        <f t="shared" si="57"/>
        <v>0</v>
      </c>
      <c r="F722" s="9"/>
      <c r="G722" s="9"/>
      <c r="H722" s="9"/>
      <c r="I722" s="9"/>
      <c r="J722" s="9"/>
      <c r="K722" s="9"/>
      <c r="L722" s="9"/>
      <c r="M722" s="9"/>
      <c r="N722" s="9" t="str">
        <f t="shared" si="58"/>
        <v>NO</v>
      </c>
      <c r="O722" s="9" t="str">
        <f t="shared" si="59"/>
        <v>🟡</v>
      </c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9"/>
      <c r="CC722" s="9"/>
      <c r="CD722" s="9"/>
      <c r="CE722" s="9"/>
      <c r="CF722" s="9"/>
      <c r="CG722" s="9"/>
    </row>
    <row r="723" spans="1:85" ht="18" customHeight="1" x14ac:dyDescent="0.3">
      <c r="A723" s="9">
        <f t="shared" si="55"/>
        <v>722</v>
      </c>
      <c r="B723" s="9" t="str">
        <f t="shared" si="56"/>
        <v/>
      </c>
      <c r="C723" s="9"/>
      <c r="D723" s="9"/>
      <c r="E723" s="9">
        <f t="shared" si="57"/>
        <v>0</v>
      </c>
      <c r="F723" s="9"/>
      <c r="G723" s="9"/>
      <c r="H723" s="9"/>
      <c r="I723" s="9"/>
      <c r="J723" s="9"/>
      <c r="K723" s="9"/>
      <c r="L723" s="9"/>
      <c r="M723" s="9"/>
      <c r="N723" s="9" t="str">
        <f t="shared" si="58"/>
        <v>NO</v>
      </c>
      <c r="O723" s="9" t="str">
        <f t="shared" si="59"/>
        <v>🟡</v>
      </c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9"/>
      <c r="CC723" s="9"/>
      <c r="CD723" s="9"/>
      <c r="CE723" s="9"/>
      <c r="CF723" s="9"/>
      <c r="CG723" s="9"/>
    </row>
    <row r="724" spans="1:85" ht="18" customHeight="1" x14ac:dyDescent="0.3">
      <c r="A724" s="9">
        <f t="shared" si="55"/>
        <v>723</v>
      </c>
      <c r="B724" s="9" t="str">
        <f t="shared" si="56"/>
        <v/>
      </c>
      <c r="C724" s="9"/>
      <c r="D724" s="9"/>
      <c r="E724" s="9">
        <f t="shared" si="57"/>
        <v>0</v>
      </c>
      <c r="F724" s="9"/>
      <c r="G724" s="9"/>
      <c r="H724" s="9"/>
      <c r="I724" s="9"/>
      <c r="J724" s="9"/>
      <c r="K724" s="9"/>
      <c r="L724" s="9"/>
      <c r="M724" s="9"/>
      <c r="N724" s="9" t="str">
        <f t="shared" si="58"/>
        <v>NO</v>
      </c>
      <c r="O724" s="9" t="str">
        <f t="shared" si="59"/>
        <v>🟡</v>
      </c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  <c r="BS724" s="9"/>
      <c r="BT724" s="9"/>
      <c r="BU724" s="9"/>
      <c r="BV724" s="9"/>
      <c r="BW724" s="9"/>
      <c r="BX724" s="9"/>
      <c r="BY724" s="9"/>
      <c r="BZ724" s="9"/>
      <c r="CA724" s="9"/>
      <c r="CB724" s="9"/>
      <c r="CC724" s="9"/>
      <c r="CD724" s="9"/>
      <c r="CE724" s="9"/>
      <c r="CF724" s="9"/>
      <c r="CG724" s="9"/>
    </row>
    <row r="725" spans="1:85" ht="18" customHeight="1" x14ac:dyDescent="0.3">
      <c r="A725" s="9">
        <f t="shared" si="55"/>
        <v>724</v>
      </c>
      <c r="B725" s="9" t="str">
        <f t="shared" si="56"/>
        <v/>
      </c>
      <c r="C725" s="9"/>
      <c r="D725" s="9"/>
      <c r="E725" s="9">
        <f t="shared" si="57"/>
        <v>0</v>
      </c>
      <c r="F725" s="9"/>
      <c r="G725" s="9"/>
      <c r="H725" s="9"/>
      <c r="I725" s="9"/>
      <c r="J725" s="9"/>
      <c r="K725" s="9"/>
      <c r="L725" s="9"/>
      <c r="M725" s="9"/>
      <c r="N725" s="9" t="str">
        <f t="shared" si="58"/>
        <v>NO</v>
      </c>
      <c r="O725" s="9" t="str">
        <f t="shared" si="59"/>
        <v>🟡</v>
      </c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  <c r="BS725" s="9"/>
      <c r="BT725" s="9"/>
      <c r="BU725" s="9"/>
      <c r="BV725" s="9"/>
      <c r="BW725" s="9"/>
      <c r="BX725" s="9"/>
      <c r="BY725" s="9"/>
      <c r="BZ725" s="9"/>
      <c r="CA725" s="9"/>
      <c r="CB725" s="9"/>
      <c r="CC725" s="9"/>
      <c r="CD725" s="9"/>
      <c r="CE725" s="9"/>
      <c r="CF725" s="9"/>
      <c r="CG725" s="9"/>
    </row>
    <row r="726" spans="1:85" ht="18" customHeight="1" x14ac:dyDescent="0.3">
      <c r="A726" s="9">
        <f t="shared" si="55"/>
        <v>725</v>
      </c>
      <c r="B726" s="9" t="str">
        <f t="shared" si="56"/>
        <v/>
      </c>
      <c r="C726" s="9"/>
      <c r="D726" s="9"/>
      <c r="E726" s="9">
        <f t="shared" si="57"/>
        <v>0</v>
      </c>
      <c r="F726" s="9"/>
      <c r="G726" s="9"/>
      <c r="H726" s="9"/>
      <c r="I726" s="9"/>
      <c r="J726" s="9"/>
      <c r="K726" s="9"/>
      <c r="L726" s="9"/>
      <c r="M726" s="9"/>
      <c r="N726" s="9" t="str">
        <f t="shared" si="58"/>
        <v>NO</v>
      </c>
      <c r="O726" s="9" t="str">
        <f t="shared" si="59"/>
        <v>🟡</v>
      </c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  <c r="BS726" s="9"/>
      <c r="BT726" s="9"/>
      <c r="BU726" s="9"/>
      <c r="BV726" s="9"/>
      <c r="BW726" s="9"/>
      <c r="BX726" s="9"/>
      <c r="BY726" s="9"/>
      <c r="BZ726" s="9"/>
      <c r="CA726" s="9"/>
      <c r="CB726" s="9"/>
      <c r="CC726" s="9"/>
      <c r="CD726" s="9"/>
      <c r="CE726" s="9"/>
      <c r="CF726" s="9"/>
      <c r="CG726" s="9"/>
    </row>
    <row r="727" spans="1:85" ht="18" customHeight="1" x14ac:dyDescent="0.3">
      <c r="A727" s="9">
        <f t="shared" si="55"/>
        <v>726</v>
      </c>
      <c r="B727" s="9" t="str">
        <f t="shared" si="56"/>
        <v/>
      </c>
      <c r="C727" s="9"/>
      <c r="D727" s="9"/>
      <c r="E727" s="9">
        <f t="shared" si="57"/>
        <v>0</v>
      </c>
      <c r="F727" s="9"/>
      <c r="G727" s="9"/>
      <c r="H727" s="9"/>
      <c r="I727" s="9"/>
      <c r="J727" s="9"/>
      <c r="K727" s="9"/>
      <c r="L727" s="9"/>
      <c r="M727" s="9"/>
      <c r="N727" s="9" t="str">
        <f t="shared" si="58"/>
        <v>NO</v>
      </c>
      <c r="O727" s="9" t="str">
        <f t="shared" si="59"/>
        <v>🟡</v>
      </c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9"/>
      <c r="CC727" s="9"/>
      <c r="CD727" s="9"/>
      <c r="CE727" s="9"/>
      <c r="CF727" s="9"/>
      <c r="CG727" s="9"/>
    </row>
    <row r="728" spans="1:85" ht="18" customHeight="1" x14ac:dyDescent="0.3">
      <c r="A728" s="9">
        <f t="shared" si="55"/>
        <v>727</v>
      </c>
      <c r="B728" s="9" t="str">
        <f t="shared" si="56"/>
        <v/>
      </c>
      <c r="C728" s="9"/>
      <c r="D728" s="9"/>
      <c r="E728" s="9">
        <f t="shared" si="57"/>
        <v>0</v>
      </c>
      <c r="F728" s="9"/>
      <c r="G728" s="9"/>
      <c r="H728" s="9"/>
      <c r="I728" s="9"/>
      <c r="J728" s="9"/>
      <c r="K728" s="9"/>
      <c r="L728" s="9"/>
      <c r="M728" s="9"/>
      <c r="N728" s="9" t="str">
        <f t="shared" si="58"/>
        <v>NO</v>
      </c>
      <c r="O728" s="9" t="str">
        <f t="shared" si="59"/>
        <v>🟡</v>
      </c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9"/>
      <c r="CC728" s="9"/>
      <c r="CD728" s="9"/>
      <c r="CE728" s="9"/>
      <c r="CF728" s="9"/>
      <c r="CG728" s="9"/>
    </row>
    <row r="729" spans="1:85" ht="18" customHeight="1" x14ac:dyDescent="0.3">
      <c r="A729" s="9">
        <f t="shared" si="55"/>
        <v>728</v>
      </c>
      <c r="B729" s="9" t="str">
        <f t="shared" si="56"/>
        <v/>
      </c>
      <c r="C729" s="9"/>
      <c r="D729" s="9"/>
      <c r="E729" s="9">
        <f t="shared" si="57"/>
        <v>0</v>
      </c>
      <c r="F729" s="9"/>
      <c r="G729" s="9"/>
      <c r="H729" s="9"/>
      <c r="I729" s="9"/>
      <c r="J729" s="9"/>
      <c r="K729" s="9"/>
      <c r="L729" s="9"/>
      <c r="M729" s="9"/>
      <c r="N729" s="9" t="str">
        <f t="shared" si="58"/>
        <v>NO</v>
      </c>
      <c r="O729" s="9" t="str">
        <f t="shared" si="59"/>
        <v>🟡</v>
      </c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9"/>
      <c r="CC729" s="9"/>
      <c r="CD729" s="9"/>
      <c r="CE729" s="9"/>
      <c r="CF729" s="9"/>
      <c r="CG729" s="9"/>
    </row>
    <row r="730" spans="1:85" ht="18" customHeight="1" x14ac:dyDescent="0.3">
      <c r="A730" s="9">
        <f t="shared" si="55"/>
        <v>729</v>
      </c>
      <c r="B730" s="9" t="str">
        <f t="shared" si="56"/>
        <v/>
      </c>
      <c r="C730" s="9"/>
      <c r="D730" s="9"/>
      <c r="E730" s="9">
        <f t="shared" si="57"/>
        <v>0</v>
      </c>
      <c r="F730" s="9"/>
      <c r="G730" s="9"/>
      <c r="H730" s="9"/>
      <c r="I730" s="9"/>
      <c r="J730" s="9"/>
      <c r="K730" s="9"/>
      <c r="L730" s="9"/>
      <c r="M730" s="9"/>
      <c r="N730" s="9" t="str">
        <f t="shared" si="58"/>
        <v>NO</v>
      </c>
      <c r="O730" s="9" t="str">
        <f t="shared" si="59"/>
        <v>🟡</v>
      </c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  <c r="BS730" s="9"/>
      <c r="BT730" s="9"/>
      <c r="BU730" s="9"/>
      <c r="BV730" s="9"/>
      <c r="BW730" s="9"/>
      <c r="BX730" s="9"/>
      <c r="BY730" s="9"/>
      <c r="BZ730" s="9"/>
      <c r="CA730" s="9"/>
      <c r="CB730" s="9"/>
      <c r="CC730" s="9"/>
      <c r="CD730" s="9"/>
      <c r="CE730" s="9"/>
      <c r="CF730" s="9"/>
      <c r="CG730" s="9"/>
    </row>
    <row r="731" spans="1:85" ht="18" customHeight="1" x14ac:dyDescent="0.3">
      <c r="A731" s="9">
        <f t="shared" si="55"/>
        <v>730</v>
      </c>
      <c r="B731" s="9" t="str">
        <f t="shared" si="56"/>
        <v/>
      </c>
      <c r="C731" s="9"/>
      <c r="D731" s="9"/>
      <c r="E731" s="9">
        <f t="shared" si="57"/>
        <v>0</v>
      </c>
      <c r="F731" s="9"/>
      <c r="G731" s="9"/>
      <c r="H731" s="9"/>
      <c r="I731" s="9"/>
      <c r="J731" s="9"/>
      <c r="K731" s="9"/>
      <c r="L731" s="9"/>
      <c r="M731" s="9"/>
      <c r="N731" s="9" t="str">
        <f t="shared" si="58"/>
        <v>NO</v>
      </c>
      <c r="O731" s="9" t="str">
        <f t="shared" si="59"/>
        <v>🟡</v>
      </c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  <c r="BS731" s="9"/>
      <c r="BT731" s="9"/>
      <c r="BU731" s="9"/>
      <c r="BV731" s="9"/>
      <c r="BW731" s="9"/>
      <c r="BX731" s="9"/>
      <c r="BY731" s="9"/>
      <c r="BZ731" s="9"/>
      <c r="CA731" s="9"/>
      <c r="CB731" s="9"/>
      <c r="CC731" s="9"/>
      <c r="CD731" s="9"/>
      <c r="CE731" s="9"/>
      <c r="CF731" s="9"/>
      <c r="CG731" s="9"/>
    </row>
    <row r="732" spans="1:85" ht="18" customHeight="1" x14ac:dyDescent="0.3">
      <c r="A732" s="9">
        <f t="shared" si="55"/>
        <v>731</v>
      </c>
      <c r="B732" s="9" t="str">
        <f t="shared" si="56"/>
        <v/>
      </c>
      <c r="C732" s="9"/>
      <c r="D732" s="9"/>
      <c r="E732" s="9">
        <f t="shared" si="57"/>
        <v>0</v>
      </c>
      <c r="F732" s="9"/>
      <c r="G732" s="9"/>
      <c r="H732" s="9"/>
      <c r="I732" s="9"/>
      <c r="J732" s="9"/>
      <c r="K732" s="9"/>
      <c r="L732" s="9"/>
      <c r="M732" s="9"/>
      <c r="N732" s="9" t="str">
        <f t="shared" si="58"/>
        <v>NO</v>
      </c>
      <c r="O732" s="9" t="str">
        <f t="shared" si="59"/>
        <v>🟡</v>
      </c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  <c r="BS732" s="9"/>
      <c r="BT732" s="9"/>
      <c r="BU732" s="9"/>
      <c r="BV732" s="9"/>
      <c r="BW732" s="9"/>
      <c r="BX732" s="9"/>
      <c r="BY732" s="9"/>
      <c r="BZ732" s="9"/>
      <c r="CA732" s="9"/>
      <c r="CB732" s="9"/>
      <c r="CC732" s="9"/>
      <c r="CD732" s="9"/>
      <c r="CE732" s="9"/>
      <c r="CF732" s="9"/>
      <c r="CG732" s="9"/>
    </row>
    <row r="733" spans="1:85" ht="18" customHeight="1" x14ac:dyDescent="0.3">
      <c r="A733" s="9">
        <f t="shared" si="55"/>
        <v>732</v>
      </c>
      <c r="B733" s="9" t="str">
        <f t="shared" si="56"/>
        <v/>
      </c>
      <c r="C733" s="9"/>
      <c r="D733" s="9"/>
      <c r="E733" s="9">
        <f t="shared" si="57"/>
        <v>0</v>
      </c>
      <c r="F733" s="9"/>
      <c r="G733" s="9"/>
      <c r="H733" s="9"/>
      <c r="I733" s="9"/>
      <c r="J733" s="9"/>
      <c r="K733" s="9"/>
      <c r="L733" s="9"/>
      <c r="M733" s="9"/>
      <c r="N733" s="9" t="str">
        <f t="shared" si="58"/>
        <v>NO</v>
      </c>
      <c r="O733" s="9" t="str">
        <f t="shared" si="59"/>
        <v>🟡</v>
      </c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9"/>
      <c r="CC733" s="9"/>
      <c r="CD733" s="9"/>
      <c r="CE733" s="9"/>
      <c r="CF733" s="9"/>
      <c r="CG733" s="9"/>
    </row>
    <row r="734" spans="1:85" ht="18" customHeight="1" x14ac:dyDescent="0.3">
      <c r="A734" s="9">
        <f t="shared" si="55"/>
        <v>733</v>
      </c>
      <c r="B734" s="9" t="str">
        <f t="shared" si="56"/>
        <v/>
      </c>
      <c r="C734" s="9"/>
      <c r="D734" s="9"/>
      <c r="E734" s="9">
        <f t="shared" si="57"/>
        <v>0</v>
      </c>
      <c r="F734" s="9"/>
      <c r="G734" s="9"/>
      <c r="H734" s="9"/>
      <c r="I734" s="9"/>
      <c r="J734" s="9"/>
      <c r="K734" s="9"/>
      <c r="L734" s="9"/>
      <c r="M734" s="9"/>
      <c r="N734" s="9" t="str">
        <f t="shared" si="58"/>
        <v>NO</v>
      </c>
      <c r="O734" s="9" t="str">
        <f t="shared" si="59"/>
        <v>🟡</v>
      </c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9"/>
      <c r="BP734" s="9"/>
      <c r="BQ734" s="9"/>
      <c r="BR734" s="9"/>
      <c r="BS734" s="9"/>
      <c r="BT734" s="9"/>
      <c r="BU734" s="9"/>
      <c r="BV734" s="9"/>
      <c r="BW734" s="9"/>
      <c r="BX734" s="9"/>
      <c r="BY734" s="9"/>
      <c r="BZ734" s="9"/>
      <c r="CA734" s="9"/>
      <c r="CB734" s="9"/>
      <c r="CC734" s="9"/>
      <c r="CD734" s="9"/>
      <c r="CE734" s="9"/>
      <c r="CF734" s="9"/>
      <c r="CG734" s="9"/>
    </row>
    <row r="735" spans="1:85" ht="18" customHeight="1" x14ac:dyDescent="0.3">
      <c r="A735" s="9">
        <f t="shared" si="55"/>
        <v>734</v>
      </c>
      <c r="B735" s="9" t="str">
        <f t="shared" si="56"/>
        <v/>
      </c>
      <c r="C735" s="9"/>
      <c r="D735" s="9"/>
      <c r="E735" s="9">
        <f t="shared" si="57"/>
        <v>0</v>
      </c>
      <c r="F735" s="9"/>
      <c r="G735" s="9"/>
      <c r="H735" s="9"/>
      <c r="I735" s="9"/>
      <c r="J735" s="9"/>
      <c r="K735" s="9"/>
      <c r="L735" s="9"/>
      <c r="M735" s="9"/>
      <c r="N735" s="9" t="str">
        <f t="shared" si="58"/>
        <v>NO</v>
      </c>
      <c r="O735" s="9" t="str">
        <f t="shared" si="59"/>
        <v>🟡</v>
      </c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  <c r="BF735" s="9"/>
      <c r="BG735" s="9"/>
      <c r="BH735" s="9"/>
      <c r="BI735" s="9"/>
      <c r="BJ735" s="9"/>
      <c r="BK735" s="9"/>
      <c r="BL735" s="9"/>
      <c r="BM735" s="9"/>
      <c r="BN735" s="9"/>
      <c r="BO735" s="9"/>
      <c r="BP735" s="9"/>
      <c r="BQ735" s="9"/>
      <c r="BR735" s="9"/>
      <c r="BS735" s="9"/>
      <c r="BT735" s="9"/>
      <c r="BU735" s="9"/>
      <c r="BV735" s="9"/>
      <c r="BW735" s="9"/>
      <c r="BX735" s="9"/>
      <c r="BY735" s="9"/>
      <c r="BZ735" s="9"/>
      <c r="CA735" s="9"/>
      <c r="CB735" s="9"/>
      <c r="CC735" s="9"/>
      <c r="CD735" s="9"/>
      <c r="CE735" s="9"/>
      <c r="CF735" s="9"/>
      <c r="CG735" s="9"/>
    </row>
    <row r="736" spans="1:85" ht="18" customHeight="1" x14ac:dyDescent="0.3">
      <c r="A736" s="9">
        <f t="shared" si="55"/>
        <v>735</v>
      </c>
      <c r="B736" s="9" t="str">
        <f t="shared" si="56"/>
        <v/>
      </c>
      <c r="C736" s="9"/>
      <c r="D736" s="9"/>
      <c r="E736" s="9">
        <f t="shared" si="57"/>
        <v>0</v>
      </c>
      <c r="F736" s="9"/>
      <c r="G736" s="9"/>
      <c r="H736" s="9"/>
      <c r="I736" s="9"/>
      <c r="J736" s="9"/>
      <c r="K736" s="9"/>
      <c r="L736" s="9"/>
      <c r="M736" s="9"/>
      <c r="N736" s="9" t="str">
        <f t="shared" si="58"/>
        <v>NO</v>
      </c>
      <c r="O736" s="9" t="str">
        <f t="shared" si="59"/>
        <v>🟡</v>
      </c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9"/>
      <c r="BP736" s="9"/>
      <c r="BQ736" s="9"/>
      <c r="BR736" s="9"/>
      <c r="BS736" s="9"/>
      <c r="BT736" s="9"/>
      <c r="BU736" s="9"/>
      <c r="BV736" s="9"/>
      <c r="BW736" s="9"/>
      <c r="BX736" s="9"/>
      <c r="BY736" s="9"/>
      <c r="BZ736" s="9"/>
      <c r="CA736" s="9"/>
      <c r="CB736" s="9"/>
      <c r="CC736" s="9"/>
      <c r="CD736" s="9"/>
      <c r="CE736" s="9"/>
      <c r="CF736" s="9"/>
      <c r="CG736" s="9"/>
    </row>
    <row r="737" spans="1:85" ht="18" customHeight="1" x14ac:dyDescent="0.3">
      <c r="A737" s="9">
        <f t="shared" si="55"/>
        <v>736</v>
      </c>
      <c r="B737" s="9" t="str">
        <f t="shared" si="56"/>
        <v/>
      </c>
      <c r="C737" s="9"/>
      <c r="D737" s="9"/>
      <c r="E737" s="9">
        <f t="shared" si="57"/>
        <v>0</v>
      </c>
      <c r="F737" s="9"/>
      <c r="G737" s="9"/>
      <c r="H737" s="9"/>
      <c r="I737" s="9"/>
      <c r="J737" s="9"/>
      <c r="K737" s="9"/>
      <c r="L737" s="9"/>
      <c r="M737" s="9"/>
      <c r="N737" s="9" t="str">
        <f t="shared" si="58"/>
        <v>NO</v>
      </c>
      <c r="O737" s="9" t="str">
        <f t="shared" si="59"/>
        <v>🟡</v>
      </c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  <c r="BF737" s="9"/>
      <c r="BG737" s="9"/>
      <c r="BH737" s="9"/>
      <c r="BI737" s="9"/>
      <c r="BJ737" s="9"/>
      <c r="BK737" s="9"/>
      <c r="BL737" s="9"/>
      <c r="BM737" s="9"/>
      <c r="BN737" s="9"/>
      <c r="BO737" s="9"/>
      <c r="BP737" s="9"/>
      <c r="BQ737" s="9"/>
      <c r="BR737" s="9"/>
      <c r="BS737" s="9"/>
      <c r="BT737" s="9"/>
      <c r="BU737" s="9"/>
      <c r="BV737" s="9"/>
      <c r="BW737" s="9"/>
      <c r="BX737" s="9"/>
      <c r="BY737" s="9"/>
      <c r="BZ737" s="9"/>
      <c r="CA737" s="9"/>
      <c r="CB737" s="9"/>
      <c r="CC737" s="9"/>
      <c r="CD737" s="9"/>
      <c r="CE737" s="9"/>
      <c r="CF737" s="9"/>
      <c r="CG737" s="9"/>
    </row>
    <row r="738" spans="1:85" ht="18" customHeight="1" x14ac:dyDescent="0.3">
      <c r="A738" s="9">
        <f t="shared" si="55"/>
        <v>737</v>
      </c>
      <c r="B738" s="9" t="str">
        <f t="shared" si="56"/>
        <v/>
      </c>
      <c r="C738" s="9"/>
      <c r="D738" s="9"/>
      <c r="E738" s="9">
        <f t="shared" si="57"/>
        <v>0</v>
      </c>
      <c r="F738" s="9"/>
      <c r="G738" s="9"/>
      <c r="H738" s="9"/>
      <c r="I738" s="9"/>
      <c r="J738" s="9"/>
      <c r="K738" s="9"/>
      <c r="L738" s="9"/>
      <c r="M738" s="9"/>
      <c r="N738" s="9" t="str">
        <f t="shared" si="58"/>
        <v>NO</v>
      </c>
      <c r="O738" s="9" t="str">
        <f t="shared" si="59"/>
        <v>🟡</v>
      </c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9"/>
      <c r="BP738" s="9"/>
      <c r="BQ738" s="9"/>
      <c r="BR738" s="9"/>
      <c r="BS738" s="9"/>
      <c r="BT738" s="9"/>
      <c r="BU738" s="9"/>
      <c r="BV738" s="9"/>
      <c r="BW738" s="9"/>
      <c r="BX738" s="9"/>
      <c r="BY738" s="9"/>
      <c r="BZ738" s="9"/>
      <c r="CA738" s="9"/>
      <c r="CB738" s="9"/>
      <c r="CC738" s="9"/>
      <c r="CD738" s="9"/>
      <c r="CE738" s="9"/>
      <c r="CF738" s="9"/>
      <c r="CG738" s="9"/>
    </row>
    <row r="739" spans="1:85" ht="18" customHeight="1" x14ac:dyDescent="0.3">
      <c r="A739" s="9">
        <f t="shared" si="55"/>
        <v>738</v>
      </c>
      <c r="B739" s="9" t="str">
        <f t="shared" si="56"/>
        <v/>
      </c>
      <c r="C739" s="9"/>
      <c r="D739" s="9"/>
      <c r="E739" s="9">
        <f t="shared" si="57"/>
        <v>0</v>
      </c>
      <c r="F739" s="9"/>
      <c r="G739" s="9"/>
      <c r="H739" s="9"/>
      <c r="I739" s="9"/>
      <c r="J739" s="9"/>
      <c r="K739" s="9"/>
      <c r="L739" s="9"/>
      <c r="M739" s="9"/>
      <c r="N739" s="9" t="str">
        <f t="shared" si="58"/>
        <v>NO</v>
      </c>
      <c r="O739" s="9" t="str">
        <f t="shared" si="59"/>
        <v>🟡</v>
      </c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  <c r="BL739" s="9"/>
      <c r="BM739" s="9"/>
      <c r="BN739" s="9"/>
      <c r="BO739" s="9"/>
      <c r="BP739" s="9"/>
      <c r="BQ739" s="9"/>
      <c r="BR739" s="9"/>
      <c r="BS739" s="9"/>
      <c r="BT739" s="9"/>
      <c r="BU739" s="9"/>
      <c r="BV739" s="9"/>
      <c r="BW739" s="9"/>
      <c r="BX739" s="9"/>
      <c r="BY739" s="9"/>
      <c r="BZ739" s="9"/>
      <c r="CA739" s="9"/>
      <c r="CB739" s="9"/>
      <c r="CC739" s="9"/>
      <c r="CD739" s="9"/>
      <c r="CE739" s="9"/>
      <c r="CF739" s="9"/>
      <c r="CG739" s="9"/>
    </row>
    <row r="740" spans="1:85" ht="18" customHeight="1" x14ac:dyDescent="0.3">
      <c r="A740" s="9">
        <f t="shared" si="55"/>
        <v>739</v>
      </c>
      <c r="B740" s="9" t="str">
        <f t="shared" si="56"/>
        <v/>
      </c>
      <c r="C740" s="9"/>
      <c r="D740" s="9"/>
      <c r="E740" s="9">
        <f t="shared" si="57"/>
        <v>0</v>
      </c>
      <c r="F740" s="9"/>
      <c r="G740" s="9"/>
      <c r="H740" s="9"/>
      <c r="I740" s="9"/>
      <c r="J740" s="9"/>
      <c r="K740" s="9"/>
      <c r="L740" s="9"/>
      <c r="M740" s="9"/>
      <c r="N740" s="9" t="str">
        <f t="shared" si="58"/>
        <v>NO</v>
      </c>
      <c r="O740" s="9" t="str">
        <f t="shared" si="59"/>
        <v>🟡</v>
      </c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9"/>
      <c r="BP740" s="9"/>
      <c r="BQ740" s="9"/>
      <c r="BR740" s="9"/>
      <c r="BS740" s="9"/>
      <c r="BT740" s="9"/>
      <c r="BU740" s="9"/>
      <c r="BV740" s="9"/>
      <c r="BW740" s="9"/>
      <c r="BX740" s="9"/>
      <c r="BY740" s="9"/>
      <c r="BZ740" s="9"/>
      <c r="CA740" s="9"/>
      <c r="CB740" s="9"/>
      <c r="CC740" s="9"/>
      <c r="CD740" s="9"/>
      <c r="CE740" s="9"/>
      <c r="CF740" s="9"/>
      <c r="CG740" s="9"/>
    </row>
    <row r="741" spans="1:85" ht="18" customHeight="1" x14ac:dyDescent="0.3">
      <c r="A741" s="9">
        <f t="shared" si="55"/>
        <v>740</v>
      </c>
      <c r="B741" s="9" t="str">
        <f t="shared" si="56"/>
        <v/>
      </c>
      <c r="C741" s="9"/>
      <c r="D741" s="9"/>
      <c r="E741" s="9">
        <f t="shared" si="57"/>
        <v>0</v>
      </c>
      <c r="F741" s="9"/>
      <c r="G741" s="9"/>
      <c r="H741" s="9"/>
      <c r="I741" s="9"/>
      <c r="J741" s="9"/>
      <c r="K741" s="9"/>
      <c r="L741" s="9"/>
      <c r="M741" s="9"/>
      <c r="N741" s="9" t="str">
        <f t="shared" si="58"/>
        <v>NO</v>
      </c>
      <c r="O741" s="9" t="str">
        <f t="shared" si="59"/>
        <v>🟡</v>
      </c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  <c r="BL741" s="9"/>
      <c r="BM741" s="9"/>
      <c r="BN741" s="9"/>
      <c r="BO741" s="9"/>
      <c r="BP741" s="9"/>
      <c r="BQ741" s="9"/>
      <c r="BR741" s="9"/>
      <c r="BS741" s="9"/>
      <c r="BT741" s="9"/>
      <c r="BU741" s="9"/>
      <c r="BV741" s="9"/>
      <c r="BW741" s="9"/>
      <c r="BX741" s="9"/>
      <c r="BY741" s="9"/>
      <c r="BZ741" s="9"/>
      <c r="CA741" s="9"/>
      <c r="CB741" s="9"/>
      <c r="CC741" s="9"/>
      <c r="CD741" s="9"/>
      <c r="CE741" s="9"/>
      <c r="CF741" s="9"/>
      <c r="CG741" s="9"/>
    </row>
    <row r="742" spans="1:85" ht="18" customHeight="1" x14ac:dyDescent="0.3">
      <c r="A742" s="9">
        <f t="shared" si="55"/>
        <v>741</v>
      </c>
      <c r="B742" s="9" t="str">
        <f t="shared" si="56"/>
        <v/>
      </c>
      <c r="C742" s="9"/>
      <c r="D742" s="9"/>
      <c r="E742" s="9">
        <f t="shared" si="57"/>
        <v>0</v>
      </c>
      <c r="F742" s="9"/>
      <c r="G742" s="9"/>
      <c r="H742" s="9"/>
      <c r="I742" s="9"/>
      <c r="J742" s="9"/>
      <c r="K742" s="9"/>
      <c r="L742" s="9"/>
      <c r="M742" s="9"/>
      <c r="N742" s="9" t="str">
        <f t="shared" si="58"/>
        <v>NO</v>
      </c>
      <c r="O742" s="9" t="str">
        <f t="shared" si="59"/>
        <v>🟡</v>
      </c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9"/>
      <c r="BP742" s="9"/>
      <c r="BQ742" s="9"/>
      <c r="BR742" s="9"/>
      <c r="BS742" s="9"/>
      <c r="BT742" s="9"/>
      <c r="BU742" s="9"/>
      <c r="BV742" s="9"/>
      <c r="BW742" s="9"/>
      <c r="BX742" s="9"/>
      <c r="BY742" s="9"/>
      <c r="BZ742" s="9"/>
      <c r="CA742" s="9"/>
      <c r="CB742" s="9"/>
      <c r="CC742" s="9"/>
      <c r="CD742" s="9"/>
      <c r="CE742" s="9"/>
      <c r="CF742" s="9"/>
      <c r="CG742" s="9"/>
    </row>
    <row r="743" spans="1:85" ht="18" customHeight="1" x14ac:dyDescent="0.3">
      <c r="A743" s="9">
        <f t="shared" si="55"/>
        <v>742</v>
      </c>
      <c r="B743" s="9" t="str">
        <f t="shared" si="56"/>
        <v/>
      </c>
      <c r="C743" s="9"/>
      <c r="D743" s="9"/>
      <c r="E743" s="9">
        <f t="shared" si="57"/>
        <v>0</v>
      </c>
      <c r="F743" s="9"/>
      <c r="G743" s="9"/>
      <c r="H743" s="9"/>
      <c r="I743" s="9"/>
      <c r="J743" s="9"/>
      <c r="K743" s="9"/>
      <c r="L743" s="9"/>
      <c r="M743" s="9"/>
      <c r="N743" s="9" t="str">
        <f t="shared" si="58"/>
        <v>NO</v>
      </c>
      <c r="O743" s="9" t="str">
        <f t="shared" si="59"/>
        <v>🟡</v>
      </c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  <c r="BL743" s="9"/>
      <c r="BM743" s="9"/>
      <c r="BN743" s="9"/>
      <c r="BO743" s="9"/>
      <c r="BP743" s="9"/>
      <c r="BQ743" s="9"/>
      <c r="BR743" s="9"/>
      <c r="BS743" s="9"/>
      <c r="BT743" s="9"/>
      <c r="BU743" s="9"/>
      <c r="BV743" s="9"/>
      <c r="BW743" s="9"/>
      <c r="BX743" s="9"/>
      <c r="BY743" s="9"/>
      <c r="BZ743" s="9"/>
      <c r="CA743" s="9"/>
      <c r="CB743" s="9"/>
      <c r="CC743" s="9"/>
      <c r="CD743" s="9"/>
      <c r="CE743" s="9"/>
      <c r="CF743" s="9"/>
      <c r="CG743" s="9"/>
    </row>
    <row r="744" spans="1:85" ht="18" customHeight="1" x14ac:dyDescent="0.3">
      <c r="A744" s="9">
        <f t="shared" si="55"/>
        <v>743</v>
      </c>
      <c r="B744" s="9" t="str">
        <f t="shared" si="56"/>
        <v/>
      </c>
      <c r="C744" s="9"/>
      <c r="D744" s="9"/>
      <c r="E744" s="9">
        <f t="shared" si="57"/>
        <v>0</v>
      </c>
      <c r="F744" s="9"/>
      <c r="G744" s="9"/>
      <c r="H744" s="9"/>
      <c r="I744" s="9"/>
      <c r="J744" s="9"/>
      <c r="K744" s="9"/>
      <c r="L744" s="9"/>
      <c r="M744" s="9"/>
      <c r="N744" s="9" t="str">
        <f t="shared" si="58"/>
        <v>NO</v>
      </c>
      <c r="O744" s="9" t="str">
        <f t="shared" si="59"/>
        <v>🟡</v>
      </c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9"/>
      <c r="BP744" s="9"/>
      <c r="BQ744" s="9"/>
      <c r="BR744" s="9"/>
      <c r="BS744" s="9"/>
      <c r="BT744" s="9"/>
      <c r="BU744" s="9"/>
      <c r="BV744" s="9"/>
      <c r="BW744" s="9"/>
      <c r="BX744" s="9"/>
      <c r="BY744" s="9"/>
      <c r="BZ744" s="9"/>
      <c r="CA744" s="9"/>
      <c r="CB744" s="9"/>
      <c r="CC744" s="9"/>
      <c r="CD744" s="9"/>
      <c r="CE744" s="9"/>
      <c r="CF744" s="9"/>
      <c r="CG744" s="9"/>
    </row>
    <row r="745" spans="1:85" ht="18" customHeight="1" x14ac:dyDescent="0.3">
      <c r="A745" s="9">
        <f t="shared" si="55"/>
        <v>744</v>
      </c>
      <c r="B745" s="9" t="str">
        <f t="shared" si="56"/>
        <v/>
      </c>
      <c r="C745" s="9"/>
      <c r="D745" s="9"/>
      <c r="E745" s="9">
        <f t="shared" si="57"/>
        <v>0</v>
      </c>
      <c r="F745" s="9"/>
      <c r="G745" s="9"/>
      <c r="H745" s="9"/>
      <c r="I745" s="9"/>
      <c r="J745" s="9"/>
      <c r="K745" s="9"/>
      <c r="L745" s="9"/>
      <c r="M745" s="9"/>
      <c r="N745" s="9" t="str">
        <f t="shared" si="58"/>
        <v>NO</v>
      </c>
      <c r="O745" s="9" t="str">
        <f t="shared" si="59"/>
        <v>🟡</v>
      </c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  <c r="BL745" s="9"/>
      <c r="BM745" s="9"/>
      <c r="BN745" s="9"/>
      <c r="BO745" s="9"/>
      <c r="BP745" s="9"/>
      <c r="BQ745" s="9"/>
      <c r="BR745" s="9"/>
      <c r="BS745" s="9"/>
      <c r="BT745" s="9"/>
      <c r="BU745" s="9"/>
      <c r="BV745" s="9"/>
      <c r="BW745" s="9"/>
      <c r="BX745" s="9"/>
      <c r="BY745" s="9"/>
      <c r="BZ745" s="9"/>
      <c r="CA745" s="9"/>
      <c r="CB745" s="9"/>
      <c r="CC745" s="9"/>
      <c r="CD745" s="9"/>
      <c r="CE745" s="9"/>
      <c r="CF745" s="9"/>
      <c r="CG745" s="9"/>
    </row>
    <row r="746" spans="1:85" ht="18" customHeight="1" x14ac:dyDescent="0.3">
      <c r="A746" s="9">
        <f t="shared" si="55"/>
        <v>745</v>
      </c>
      <c r="B746" s="9" t="str">
        <f t="shared" si="56"/>
        <v/>
      </c>
      <c r="C746" s="9"/>
      <c r="D746" s="9"/>
      <c r="E746" s="9">
        <f t="shared" si="57"/>
        <v>0</v>
      </c>
      <c r="F746" s="9"/>
      <c r="G746" s="9"/>
      <c r="H746" s="9"/>
      <c r="I746" s="9"/>
      <c r="J746" s="9"/>
      <c r="K746" s="9"/>
      <c r="L746" s="9"/>
      <c r="M746" s="9"/>
      <c r="N746" s="9" t="str">
        <f t="shared" si="58"/>
        <v>NO</v>
      </c>
      <c r="O746" s="9" t="str">
        <f t="shared" si="59"/>
        <v>🟡</v>
      </c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9"/>
      <c r="BP746" s="9"/>
      <c r="BQ746" s="9"/>
      <c r="BR746" s="9"/>
      <c r="BS746" s="9"/>
      <c r="BT746" s="9"/>
      <c r="BU746" s="9"/>
      <c r="BV746" s="9"/>
      <c r="BW746" s="9"/>
      <c r="BX746" s="9"/>
      <c r="BY746" s="9"/>
      <c r="BZ746" s="9"/>
      <c r="CA746" s="9"/>
      <c r="CB746" s="9"/>
      <c r="CC746" s="9"/>
      <c r="CD746" s="9"/>
      <c r="CE746" s="9"/>
      <c r="CF746" s="9"/>
      <c r="CG746" s="9"/>
    </row>
    <row r="747" spans="1:85" ht="18" customHeight="1" x14ac:dyDescent="0.3">
      <c r="A747" s="9">
        <f t="shared" si="55"/>
        <v>746</v>
      </c>
      <c r="B747" s="9" t="str">
        <f t="shared" si="56"/>
        <v/>
      </c>
      <c r="C747" s="9"/>
      <c r="D747" s="9"/>
      <c r="E747" s="9">
        <f t="shared" si="57"/>
        <v>0</v>
      </c>
      <c r="F747" s="9"/>
      <c r="G747" s="9"/>
      <c r="H747" s="9"/>
      <c r="I747" s="9"/>
      <c r="J747" s="9"/>
      <c r="K747" s="9"/>
      <c r="L747" s="9"/>
      <c r="M747" s="9"/>
      <c r="N747" s="9" t="str">
        <f t="shared" si="58"/>
        <v>NO</v>
      </c>
      <c r="O747" s="9" t="str">
        <f t="shared" si="59"/>
        <v>🟡</v>
      </c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  <c r="BL747" s="9"/>
      <c r="BM747" s="9"/>
      <c r="BN747" s="9"/>
      <c r="BO747" s="9"/>
      <c r="BP747" s="9"/>
      <c r="BQ747" s="9"/>
      <c r="BR747" s="9"/>
      <c r="BS747" s="9"/>
      <c r="BT747" s="9"/>
      <c r="BU747" s="9"/>
      <c r="BV747" s="9"/>
      <c r="BW747" s="9"/>
      <c r="BX747" s="9"/>
      <c r="BY747" s="9"/>
      <c r="BZ747" s="9"/>
      <c r="CA747" s="9"/>
      <c r="CB747" s="9"/>
      <c r="CC747" s="9"/>
      <c r="CD747" s="9"/>
      <c r="CE747" s="9"/>
      <c r="CF747" s="9"/>
      <c r="CG747" s="9"/>
    </row>
    <row r="748" spans="1:85" ht="18" customHeight="1" x14ac:dyDescent="0.3">
      <c r="A748" s="9">
        <f t="shared" si="55"/>
        <v>747</v>
      </c>
      <c r="B748" s="9" t="str">
        <f t="shared" si="56"/>
        <v/>
      </c>
      <c r="C748" s="9"/>
      <c r="D748" s="9"/>
      <c r="E748" s="9">
        <f t="shared" si="57"/>
        <v>0</v>
      </c>
      <c r="F748" s="9"/>
      <c r="G748" s="9"/>
      <c r="H748" s="9"/>
      <c r="I748" s="9"/>
      <c r="J748" s="9"/>
      <c r="K748" s="9"/>
      <c r="L748" s="9"/>
      <c r="M748" s="9"/>
      <c r="N748" s="9" t="str">
        <f t="shared" si="58"/>
        <v>NO</v>
      </c>
      <c r="O748" s="9" t="str">
        <f t="shared" si="59"/>
        <v>🟡</v>
      </c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9"/>
      <c r="BP748" s="9"/>
      <c r="BQ748" s="9"/>
      <c r="BR748" s="9"/>
      <c r="BS748" s="9"/>
      <c r="BT748" s="9"/>
      <c r="BU748" s="9"/>
      <c r="BV748" s="9"/>
      <c r="BW748" s="9"/>
      <c r="BX748" s="9"/>
      <c r="BY748" s="9"/>
      <c r="BZ748" s="9"/>
      <c r="CA748" s="9"/>
      <c r="CB748" s="9"/>
      <c r="CC748" s="9"/>
      <c r="CD748" s="9"/>
      <c r="CE748" s="9"/>
      <c r="CF748" s="9"/>
      <c r="CG748" s="9"/>
    </row>
    <row r="749" spans="1:85" ht="18" customHeight="1" x14ac:dyDescent="0.3">
      <c r="A749" s="9">
        <f t="shared" si="55"/>
        <v>748</v>
      </c>
      <c r="B749" s="9" t="str">
        <f t="shared" si="56"/>
        <v/>
      </c>
      <c r="C749" s="9"/>
      <c r="D749" s="9"/>
      <c r="E749" s="9">
        <f t="shared" si="57"/>
        <v>0</v>
      </c>
      <c r="F749" s="9"/>
      <c r="G749" s="9"/>
      <c r="H749" s="9"/>
      <c r="I749" s="9"/>
      <c r="J749" s="9"/>
      <c r="K749" s="9"/>
      <c r="L749" s="9"/>
      <c r="M749" s="9"/>
      <c r="N749" s="9" t="str">
        <f t="shared" si="58"/>
        <v>NO</v>
      </c>
      <c r="O749" s="9" t="str">
        <f t="shared" si="59"/>
        <v>🟡</v>
      </c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  <c r="BL749" s="9"/>
      <c r="BM749" s="9"/>
      <c r="BN749" s="9"/>
      <c r="BO749" s="9"/>
      <c r="BP749" s="9"/>
      <c r="BQ749" s="9"/>
      <c r="BR749" s="9"/>
      <c r="BS749" s="9"/>
      <c r="BT749" s="9"/>
      <c r="BU749" s="9"/>
      <c r="BV749" s="9"/>
      <c r="BW749" s="9"/>
      <c r="BX749" s="9"/>
      <c r="BY749" s="9"/>
      <c r="BZ749" s="9"/>
      <c r="CA749" s="9"/>
      <c r="CB749" s="9"/>
      <c r="CC749" s="9"/>
      <c r="CD749" s="9"/>
      <c r="CE749" s="9"/>
      <c r="CF749" s="9"/>
      <c r="CG749" s="9"/>
    </row>
    <row r="750" spans="1:85" ht="18" customHeight="1" x14ac:dyDescent="0.3">
      <c r="A750" s="9">
        <f t="shared" si="55"/>
        <v>749</v>
      </c>
      <c r="B750" s="9" t="str">
        <f t="shared" si="56"/>
        <v/>
      </c>
      <c r="C750" s="9"/>
      <c r="D750" s="9"/>
      <c r="E750" s="9">
        <f t="shared" si="57"/>
        <v>0</v>
      </c>
      <c r="F750" s="9"/>
      <c r="G750" s="9"/>
      <c r="H750" s="9"/>
      <c r="I750" s="9"/>
      <c r="J750" s="9"/>
      <c r="K750" s="9"/>
      <c r="L750" s="9"/>
      <c r="M750" s="9"/>
      <c r="N750" s="9" t="str">
        <f t="shared" si="58"/>
        <v>NO</v>
      </c>
      <c r="O750" s="9" t="str">
        <f t="shared" si="59"/>
        <v>🟡</v>
      </c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9"/>
      <c r="BP750" s="9"/>
      <c r="BQ750" s="9"/>
      <c r="BR750" s="9"/>
      <c r="BS750" s="9"/>
      <c r="BT750" s="9"/>
      <c r="BU750" s="9"/>
      <c r="BV750" s="9"/>
      <c r="BW750" s="9"/>
      <c r="BX750" s="9"/>
      <c r="BY750" s="9"/>
      <c r="BZ750" s="9"/>
      <c r="CA750" s="9"/>
      <c r="CB750" s="9"/>
      <c r="CC750" s="9"/>
      <c r="CD750" s="9"/>
      <c r="CE750" s="9"/>
      <c r="CF750" s="9"/>
      <c r="CG750" s="9"/>
    </row>
    <row r="751" spans="1:85" ht="18" customHeight="1" x14ac:dyDescent="0.3">
      <c r="A751" s="9">
        <f t="shared" si="55"/>
        <v>750</v>
      </c>
      <c r="B751" s="9" t="str">
        <f t="shared" si="56"/>
        <v/>
      </c>
      <c r="C751" s="9"/>
      <c r="D751" s="9"/>
      <c r="E751" s="9">
        <f t="shared" si="57"/>
        <v>0</v>
      </c>
      <c r="F751" s="9"/>
      <c r="G751" s="9"/>
      <c r="H751" s="9"/>
      <c r="I751" s="9"/>
      <c r="J751" s="9"/>
      <c r="K751" s="9"/>
      <c r="L751" s="9"/>
      <c r="M751" s="9"/>
      <c r="N751" s="9" t="str">
        <f t="shared" si="58"/>
        <v>NO</v>
      </c>
      <c r="O751" s="9" t="str">
        <f t="shared" si="59"/>
        <v>🟡</v>
      </c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  <c r="BF751" s="9"/>
      <c r="BG751" s="9"/>
      <c r="BH751" s="9"/>
      <c r="BI751" s="9"/>
      <c r="BJ751" s="9"/>
      <c r="BK751" s="9"/>
      <c r="BL751" s="9"/>
      <c r="BM751" s="9"/>
      <c r="BN751" s="9"/>
      <c r="BO751" s="9"/>
      <c r="BP751" s="9"/>
      <c r="BQ751" s="9"/>
      <c r="BR751" s="9"/>
      <c r="BS751" s="9"/>
      <c r="BT751" s="9"/>
      <c r="BU751" s="9"/>
      <c r="BV751" s="9"/>
      <c r="BW751" s="9"/>
      <c r="BX751" s="9"/>
      <c r="BY751" s="9"/>
      <c r="BZ751" s="9"/>
      <c r="CA751" s="9"/>
      <c r="CB751" s="9"/>
      <c r="CC751" s="9"/>
      <c r="CD751" s="9"/>
      <c r="CE751" s="9"/>
      <c r="CF751" s="9"/>
      <c r="CG751" s="9"/>
    </row>
    <row r="752" spans="1:85" ht="18" customHeight="1" x14ac:dyDescent="0.3">
      <c r="A752" s="9">
        <f t="shared" si="55"/>
        <v>751</v>
      </c>
      <c r="B752" s="9" t="str">
        <f t="shared" si="56"/>
        <v/>
      </c>
      <c r="C752" s="9"/>
      <c r="D752" s="9"/>
      <c r="E752" s="9">
        <f t="shared" si="57"/>
        <v>0</v>
      </c>
      <c r="F752" s="9"/>
      <c r="G752" s="9"/>
      <c r="H752" s="9"/>
      <c r="I752" s="9"/>
      <c r="J752" s="9"/>
      <c r="K752" s="9"/>
      <c r="L752" s="9"/>
      <c r="M752" s="9"/>
      <c r="N752" s="9" t="str">
        <f t="shared" si="58"/>
        <v>NO</v>
      </c>
      <c r="O752" s="9" t="str">
        <f t="shared" si="59"/>
        <v>🟡</v>
      </c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9"/>
      <c r="BP752" s="9"/>
      <c r="BQ752" s="9"/>
      <c r="BR752" s="9"/>
      <c r="BS752" s="9"/>
      <c r="BT752" s="9"/>
      <c r="BU752" s="9"/>
      <c r="BV752" s="9"/>
      <c r="BW752" s="9"/>
      <c r="BX752" s="9"/>
      <c r="BY752" s="9"/>
      <c r="BZ752" s="9"/>
      <c r="CA752" s="9"/>
      <c r="CB752" s="9"/>
      <c r="CC752" s="9"/>
      <c r="CD752" s="9"/>
      <c r="CE752" s="9"/>
      <c r="CF752" s="9"/>
      <c r="CG752" s="9"/>
    </row>
    <row r="753" spans="1:85" ht="18" customHeight="1" x14ac:dyDescent="0.3">
      <c r="A753" s="9">
        <f t="shared" si="55"/>
        <v>752</v>
      </c>
      <c r="B753" s="9" t="str">
        <f t="shared" si="56"/>
        <v/>
      </c>
      <c r="C753" s="9"/>
      <c r="D753" s="9"/>
      <c r="E753" s="9">
        <f t="shared" si="57"/>
        <v>0</v>
      </c>
      <c r="F753" s="9"/>
      <c r="G753" s="9"/>
      <c r="H753" s="9"/>
      <c r="I753" s="9"/>
      <c r="J753" s="9"/>
      <c r="K753" s="9"/>
      <c r="L753" s="9"/>
      <c r="M753" s="9"/>
      <c r="N753" s="9" t="str">
        <f t="shared" si="58"/>
        <v>NO</v>
      </c>
      <c r="O753" s="9" t="str">
        <f t="shared" si="59"/>
        <v>🟡</v>
      </c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  <c r="BF753" s="9"/>
      <c r="BG753" s="9"/>
      <c r="BH753" s="9"/>
      <c r="BI753" s="9"/>
      <c r="BJ753" s="9"/>
      <c r="BK753" s="9"/>
      <c r="BL753" s="9"/>
      <c r="BM753" s="9"/>
      <c r="BN753" s="9"/>
      <c r="BO753" s="9"/>
      <c r="BP753" s="9"/>
      <c r="BQ753" s="9"/>
      <c r="BR753" s="9"/>
      <c r="BS753" s="9"/>
      <c r="BT753" s="9"/>
      <c r="BU753" s="9"/>
      <c r="BV753" s="9"/>
      <c r="BW753" s="9"/>
      <c r="BX753" s="9"/>
      <c r="BY753" s="9"/>
      <c r="BZ753" s="9"/>
      <c r="CA753" s="9"/>
      <c r="CB753" s="9"/>
      <c r="CC753" s="9"/>
      <c r="CD753" s="9"/>
      <c r="CE753" s="9"/>
      <c r="CF753" s="9"/>
      <c r="CG753" s="9"/>
    </row>
    <row r="754" spans="1:85" ht="18" customHeight="1" x14ac:dyDescent="0.3">
      <c r="A754" s="9">
        <f t="shared" si="55"/>
        <v>753</v>
      </c>
      <c r="B754" s="9" t="str">
        <f t="shared" si="56"/>
        <v/>
      </c>
      <c r="C754" s="9"/>
      <c r="D754" s="9"/>
      <c r="E754" s="9">
        <f t="shared" si="57"/>
        <v>0</v>
      </c>
      <c r="F754" s="9"/>
      <c r="G754" s="9"/>
      <c r="H754" s="9"/>
      <c r="I754" s="9"/>
      <c r="J754" s="9"/>
      <c r="K754" s="9"/>
      <c r="L754" s="9"/>
      <c r="M754" s="9"/>
      <c r="N754" s="9" t="str">
        <f t="shared" si="58"/>
        <v>NO</v>
      </c>
      <c r="O754" s="9" t="str">
        <f t="shared" si="59"/>
        <v>🟡</v>
      </c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9"/>
      <c r="BT754" s="9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9"/>
      <c r="CF754" s="9"/>
      <c r="CG754" s="9"/>
    </row>
    <row r="755" spans="1:85" ht="18" customHeight="1" x14ac:dyDescent="0.3">
      <c r="A755" s="9">
        <f t="shared" si="55"/>
        <v>754</v>
      </c>
      <c r="B755" s="9" t="str">
        <f t="shared" si="56"/>
        <v/>
      </c>
      <c r="C755" s="9"/>
      <c r="D755" s="9"/>
      <c r="E755" s="9">
        <f t="shared" si="57"/>
        <v>0</v>
      </c>
      <c r="F755" s="9"/>
      <c r="G755" s="9"/>
      <c r="H755" s="9"/>
      <c r="I755" s="9"/>
      <c r="J755" s="9"/>
      <c r="K755" s="9"/>
      <c r="L755" s="9"/>
      <c r="M755" s="9"/>
      <c r="N755" s="9" t="str">
        <f t="shared" si="58"/>
        <v>NO</v>
      </c>
      <c r="O755" s="9" t="str">
        <f t="shared" si="59"/>
        <v>🟡</v>
      </c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  <c r="BF755" s="9"/>
      <c r="BG755" s="9"/>
      <c r="BH755" s="9"/>
      <c r="BI755" s="9"/>
      <c r="BJ755" s="9"/>
      <c r="BK755" s="9"/>
      <c r="BL755" s="9"/>
      <c r="BM755" s="9"/>
      <c r="BN755" s="9"/>
      <c r="BO755" s="9"/>
      <c r="BP755" s="9"/>
      <c r="BQ755" s="9"/>
      <c r="BR755" s="9"/>
      <c r="BS755" s="9"/>
      <c r="BT755" s="9"/>
      <c r="BU755" s="9"/>
      <c r="BV755" s="9"/>
      <c r="BW755" s="9"/>
      <c r="BX755" s="9"/>
      <c r="BY755" s="9"/>
      <c r="BZ755" s="9"/>
      <c r="CA755" s="9"/>
      <c r="CB755" s="9"/>
      <c r="CC755" s="9"/>
      <c r="CD755" s="9"/>
      <c r="CE755" s="9"/>
      <c r="CF755" s="9"/>
      <c r="CG755" s="9"/>
    </row>
    <row r="756" spans="1:85" ht="18" customHeight="1" x14ac:dyDescent="0.3">
      <c r="A756" s="9">
        <f t="shared" si="55"/>
        <v>755</v>
      </c>
      <c r="B756" s="9" t="str">
        <f t="shared" si="56"/>
        <v/>
      </c>
      <c r="C756" s="9"/>
      <c r="D756" s="9"/>
      <c r="E756" s="9">
        <f t="shared" si="57"/>
        <v>0</v>
      </c>
      <c r="F756" s="9"/>
      <c r="G756" s="9"/>
      <c r="H756" s="9"/>
      <c r="I756" s="9"/>
      <c r="J756" s="9"/>
      <c r="K756" s="9"/>
      <c r="L756" s="9"/>
      <c r="M756" s="9"/>
      <c r="N756" s="9" t="str">
        <f t="shared" si="58"/>
        <v>NO</v>
      </c>
      <c r="O756" s="9" t="str">
        <f t="shared" si="59"/>
        <v>🟡</v>
      </c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9"/>
      <c r="BP756" s="9"/>
      <c r="BQ756" s="9"/>
      <c r="BR756" s="9"/>
      <c r="BS756" s="9"/>
      <c r="BT756" s="9"/>
      <c r="BU756" s="9"/>
      <c r="BV756" s="9"/>
      <c r="BW756" s="9"/>
      <c r="BX756" s="9"/>
      <c r="BY756" s="9"/>
      <c r="BZ756" s="9"/>
      <c r="CA756" s="9"/>
      <c r="CB756" s="9"/>
      <c r="CC756" s="9"/>
      <c r="CD756" s="9"/>
      <c r="CE756" s="9"/>
      <c r="CF756" s="9"/>
      <c r="CG756" s="9"/>
    </row>
    <row r="757" spans="1:85" ht="18" customHeight="1" x14ac:dyDescent="0.3">
      <c r="A757" s="9">
        <f t="shared" si="55"/>
        <v>756</v>
      </c>
      <c r="B757" s="9" t="str">
        <f t="shared" si="56"/>
        <v/>
      </c>
      <c r="C757" s="9"/>
      <c r="D757" s="9"/>
      <c r="E757" s="9">
        <f t="shared" si="57"/>
        <v>0</v>
      </c>
      <c r="F757" s="9"/>
      <c r="G757" s="9"/>
      <c r="H757" s="9"/>
      <c r="I757" s="9"/>
      <c r="J757" s="9"/>
      <c r="K757" s="9"/>
      <c r="L757" s="9"/>
      <c r="M757" s="9"/>
      <c r="N757" s="9" t="str">
        <f t="shared" si="58"/>
        <v>NO</v>
      </c>
      <c r="O757" s="9" t="str">
        <f t="shared" si="59"/>
        <v>🟡</v>
      </c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  <c r="BL757" s="9"/>
      <c r="BM757" s="9"/>
      <c r="BN757" s="9"/>
      <c r="BO757" s="9"/>
      <c r="BP757" s="9"/>
      <c r="BQ757" s="9"/>
      <c r="BR757" s="9"/>
      <c r="BS757" s="9"/>
      <c r="BT757" s="9"/>
      <c r="BU757" s="9"/>
      <c r="BV757" s="9"/>
      <c r="BW757" s="9"/>
      <c r="BX757" s="9"/>
      <c r="BY757" s="9"/>
      <c r="BZ757" s="9"/>
      <c r="CA757" s="9"/>
      <c r="CB757" s="9"/>
      <c r="CC757" s="9"/>
      <c r="CD757" s="9"/>
      <c r="CE757" s="9"/>
      <c r="CF757" s="9"/>
      <c r="CG757" s="9"/>
    </row>
    <row r="758" spans="1:85" ht="18" customHeight="1" x14ac:dyDescent="0.3">
      <c r="A758" s="9">
        <f t="shared" si="55"/>
        <v>757</v>
      </c>
      <c r="B758" s="9" t="str">
        <f t="shared" si="56"/>
        <v/>
      </c>
      <c r="C758" s="9"/>
      <c r="D758" s="9"/>
      <c r="E758" s="9">
        <f t="shared" si="57"/>
        <v>0</v>
      </c>
      <c r="F758" s="9"/>
      <c r="G758" s="9"/>
      <c r="H758" s="9"/>
      <c r="I758" s="9"/>
      <c r="J758" s="9"/>
      <c r="K758" s="9"/>
      <c r="L758" s="9"/>
      <c r="M758" s="9"/>
      <c r="N758" s="9" t="str">
        <f t="shared" si="58"/>
        <v>NO</v>
      </c>
      <c r="O758" s="9" t="str">
        <f t="shared" si="59"/>
        <v>🟡</v>
      </c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9"/>
      <c r="BP758" s="9"/>
      <c r="BQ758" s="9"/>
      <c r="BR758" s="9"/>
      <c r="BS758" s="9"/>
      <c r="BT758" s="9"/>
      <c r="BU758" s="9"/>
      <c r="BV758" s="9"/>
      <c r="BW758" s="9"/>
      <c r="BX758" s="9"/>
      <c r="BY758" s="9"/>
      <c r="BZ758" s="9"/>
      <c r="CA758" s="9"/>
      <c r="CB758" s="9"/>
      <c r="CC758" s="9"/>
      <c r="CD758" s="9"/>
      <c r="CE758" s="9"/>
      <c r="CF758" s="9"/>
      <c r="CG758" s="9"/>
    </row>
    <row r="759" spans="1:85" ht="18" customHeight="1" x14ac:dyDescent="0.3">
      <c r="A759" s="9">
        <f t="shared" si="55"/>
        <v>758</v>
      </c>
      <c r="B759" s="9" t="str">
        <f t="shared" si="56"/>
        <v/>
      </c>
      <c r="C759" s="9"/>
      <c r="D759" s="9"/>
      <c r="E759" s="9">
        <f t="shared" si="57"/>
        <v>0</v>
      </c>
      <c r="F759" s="9"/>
      <c r="G759" s="9"/>
      <c r="H759" s="9"/>
      <c r="I759" s="9"/>
      <c r="J759" s="9"/>
      <c r="K759" s="9"/>
      <c r="L759" s="9"/>
      <c r="M759" s="9"/>
      <c r="N759" s="9" t="str">
        <f t="shared" si="58"/>
        <v>NO</v>
      </c>
      <c r="O759" s="9" t="str">
        <f t="shared" si="59"/>
        <v>🟡</v>
      </c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  <c r="BF759" s="9"/>
      <c r="BG759" s="9"/>
      <c r="BH759" s="9"/>
      <c r="BI759" s="9"/>
      <c r="BJ759" s="9"/>
      <c r="BK759" s="9"/>
      <c r="BL759" s="9"/>
      <c r="BM759" s="9"/>
      <c r="BN759" s="9"/>
      <c r="BO759" s="9"/>
      <c r="BP759" s="9"/>
      <c r="BQ759" s="9"/>
      <c r="BR759" s="9"/>
      <c r="BS759" s="9"/>
      <c r="BT759" s="9"/>
      <c r="BU759" s="9"/>
      <c r="BV759" s="9"/>
      <c r="BW759" s="9"/>
      <c r="BX759" s="9"/>
      <c r="BY759" s="9"/>
      <c r="BZ759" s="9"/>
      <c r="CA759" s="9"/>
      <c r="CB759" s="9"/>
      <c r="CC759" s="9"/>
      <c r="CD759" s="9"/>
      <c r="CE759" s="9"/>
      <c r="CF759" s="9"/>
      <c r="CG759" s="9"/>
    </row>
    <row r="760" spans="1:85" ht="18" customHeight="1" x14ac:dyDescent="0.3">
      <c r="A760" s="9">
        <f t="shared" si="55"/>
        <v>759</v>
      </c>
      <c r="B760" s="9" t="str">
        <f t="shared" si="56"/>
        <v/>
      </c>
      <c r="C760" s="9"/>
      <c r="D760" s="9"/>
      <c r="E760" s="9">
        <f t="shared" si="57"/>
        <v>0</v>
      </c>
      <c r="F760" s="9"/>
      <c r="G760" s="9"/>
      <c r="H760" s="9"/>
      <c r="I760" s="9"/>
      <c r="J760" s="9"/>
      <c r="K760" s="9"/>
      <c r="L760" s="9"/>
      <c r="M760" s="9"/>
      <c r="N760" s="9" t="str">
        <f t="shared" si="58"/>
        <v>NO</v>
      </c>
      <c r="O760" s="9" t="str">
        <f t="shared" si="59"/>
        <v>🟡</v>
      </c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9"/>
      <c r="BP760" s="9"/>
      <c r="BQ760" s="9"/>
      <c r="BR760" s="9"/>
      <c r="BS760" s="9"/>
      <c r="BT760" s="9"/>
      <c r="BU760" s="9"/>
      <c r="BV760" s="9"/>
      <c r="BW760" s="9"/>
      <c r="BX760" s="9"/>
      <c r="BY760" s="9"/>
      <c r="BZ760" s="9"/>
      <c r="CA760" s="9"/>
      <c r="CB760" s="9"/>
      <c r="CC760" s="9"/>
      <c r="CD760" s="9"/>
      <c r="CE760" s="9"/>
      <c r="CF760" s="9"/>
      <c r="CG760" s="9"/>
    </row>
    <row r="761" spans="1:85" ht="18" customHeight="1" x14ac:dyDescent="0.3">
      <c r="A761" s="9">
        <f t="shared" si="55"/>
        <v>760</v>
      </c>
      <c r="B761" s="9" t="str">
        <f t="shared" si="56"/>
        <v/>
      </c>
      <c r="C761" s="9"/>
      <c r="D761" s="9"/>
      <c r="E761" s="9">
        <f t="shared" si="57"/>
        <v>0</v>
      </c>
      <c r="F761" s="9"/>
      <c r="G761" s="9"/>
      <c r="H761" s="9"/>
      <c r="I761" s="9"/>
      <c r="J761" s="9"/>
      <c r="K761" s="9"/>
      <c r="L761" s="9"/>
      <c r="M761" s="9"/>
      <c r="N761" s="9" t="str">
        <f t="shared" si="58"/>
        <v>NO</v>
      </c>
      <c r="O761" s="9" t="str">
        <f t="shared" si="59"/>
        <v>🟡</v>
      </c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  <c r="BF761" s="9"/>
      <c r="BG761" s="9"/>
      <c r="BH761" s="9"/>
      <c r="BI761" s="9"/>
      <c r="BJ761" s="9"/>
      <c r="BK761" s="9"/>
      <c r="BL761" s="9"/>
      <c r="BM761" s="9"/>
      <c r="BN761" s="9"/>
      <c r="BO761" s="9"/>
      <c r="BP761" s="9"/>
      <c r="BQ761" s="9"/>
      <c r="BR761" s="9"/>
      <c r="BS761" s="9"/>
      <c r="BT761" s="9"/>
      <c r="BU761" s="9"/>
      <c r="BV761" s="9"/>
      <c r="BW761" s="9"/>
      <c r="BX761" s="9"/>
      <c r="BY761" s="9"/>
      <c r="BZ761" s="9"/>
      <c r="CA761" s="9"/>
      <c r="CB761" s="9"/>
      <c r="CC761" s="9"/>
      <c r="CD761" s="9"/>
      <c r="CE761" s="9"/>
      <c r="CF761" s="9"/>
      <c r="CG761" s="9"/>
    </row>
    <row r="762" spans="1:85" ht="18" customHeight="1" x14ac:dyDescent="0.3">
      <c r="A762" s="9">
        <f t="shared" si="55"/>
        <v>761</v>
      </c>
      <c r="B762" s="9" t="str">
        <f t="shared" si="56"/>
        <v/>
      </c>
      <c r="C762" s="9"/>
      <c r="D762" s="9"/>
      <c r="E762" s="9">
        <f t="shared" si="57"/>
        <v>0</v>
      </c>
      <c r="F762" s="9"/>
      <c r="G762" s="9"/>
      <c r="H762" s="9"/>
      <c r="I762" s="9"/>
      <c r="J762" s="9"/>
      <c r="K762" s="9"/>
      <c r="L762" s="9"/>
      <c r="M762" s="9"/>
      <c r="N762" s="9" t="str">
        <f t="shared" si="58"/>
        <v>NO</v>
      </c>
      <c r="O762" s="9" t="str">
        <f t="shared" si="59"/>
        <v>🟡</v>
      </c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9"/>
      <c r="BP762" s="9"/>
      <c r="BQ762" s="9"/>
      <c r="BR762" s="9"/>
      <c r="BS762" s="9"/>
      <c r="BT762" s="9"/>
      <c r="BU762" s="9"/>
      <c r="BV762" s="9"/>
      <c r="BW762" s="9"/>
      <c r="BX762" s="9"/>
      <c r="BY762" s="9"/>
      <c r="BZ762" s="9"/>
      <c r="CA762" s="9"/>
      <c r="CB762" s="9"/>
      <c r="CC762" s="9"/>
      <c r="CD762" s="9"/>
      <c r="CE762" s="9"/>
      <c r="CF762" s="9"/>
      <c r="CG762" s="9"/>
    </row>
    <row r="763" spans="1:85" ht="18" customHeight="1" x14ac:dyDescent="0.3">
      <c r="A763" s="9">
        <f t="shared" si="55"/>
        <v>762</v>
      </c>
      <c r="B763" s="9" t="str">
        <f t="shared" si="56"/>
        <v/>
      </c>
      <c r="C763" s="9"/>
      <c r="D763" s="9"/>
      <c r="E763" s="9">
        <f t="shared" si="57"/>
        <v>0</v>
      </c>
      <c r="F763" s="9"/>
      <c r="G763" s="9"/>
      <c r="H763" s="9"/>
      <c r="I763" s="9"/>
      <c r="J763" s="9"/>
      <c r="K763" s="9"/>
      <c r="L763" s="9"/>
      <c r="M763" s="9"/>
      <c r="N763" s="9" t="str">
        <f t="shared" si="58"/>
        <v>NO</v>
      </c>
      <c r="O763" s="9" t="str">
        <f t="shared" si="59"/>
        <v>🟡</v>
      </c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  <c r="BF763" s="9"/>
      <c r="BG763" s="9"/>
      <c r="BH763" s="9"/>
      <c r="BI763" s="9"/>
      <c r="BJ763" s="9"/>
      <c r="BK763" s="9"/>
      <c r="BL763" s="9"/>
      <c r="BM763" s="9"/>
      <c r="BN763" s="9"/>
      <c r="BO763" s="9"/>
      <c r="BP763" s="9"/>
      <c r="BQ763" s="9"/>
      <c r="BR763" s="9"/>
      <c r="BS763" s="9"/>
      <c r="BT763" s="9"/>
      <c r="BU763" s="9"/>
      <c r="BV763" s="9"/>
      <c r="BW763" s="9"/>
      <c r="BX763" s="9"/>
      <c r="BY763" s="9"/>
      <c r="BZ763" s="9"/>
      <c r="CA763" s="9"/>
      <c r="CB763" s="9"/>
      <c r="CC763" s="9"/>
      <c r="CD763" s="9"/>
      <c r="CE763" s="9"/>
      <c r="CF763" s="9"/>
      <c r="CG763" s="9"/>
    </row>
    <row r="764" spans="1:85" ht="18" customHeight="1" x14ac:dyDescent="0.3">
      <c r="A764" s="9">
        <f t="shared" si="55"/>
        <v>763</v>
      </c>
      <c r="B764" s="9" t="str">
        <f t="shared" si="56"/>
        <v/>
      </c>
      <c r="C764" s="9"/>
      <c r="D764" s="9"/>
      <c r="E764" s="9">
        <f t="shared" si="57"/>
        <v>0</v>
      </c>
      <c r="F764" s="9"/>
      <c r="G764" s="9"/>
      <c r="H764" s="9"/>
      <c r="I764" s="9"/>
      <c r="J764" s="9"/>
      <c r="K764" s="9"/>
      <c r="L764" s="9"/>
      <c r="M764" s="9"/>
      <c r="N764" s="9" t="str">
        <f t="shared" si="58"/>
        <v>NO</v>
      </c>
      <c r="O764" s="9" t="str">
        <f t="shared" si="59"/>
        <v>🟡</v>
      </c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9"/>
      <c r="CC764" s="9"/>
      <c r="CD764" s="9"/>
      <c r="CE764" s="9"/>
      <c r="CF764" s="9"/>
      <c r="CG764" s="9"/>
    </row>
    <row r="765" spans="1:85" ht="18" customHeight="1" x14ac:dyDescent="0.3">
      <c r="A765" s="9">
        <f t="shared" si="55"/>
        <v>764</v>
      </c>
      <c r="B765" s="9" t="str">
        <f t="shared" si="56"/>
        <v/>
      </c>
      <c r="C765" s="9"/>
      <c r="D765" s="9"/>
      <c r="E765" s="9">
        <f t="shared" si="57"/>
        <v>0</v>
      </c>
      <c r="F765" s="9"/>
      <c r="G765" s="9"/>
      <c r="H765" s="9"/>
      <c r="I765" s="9"/>
      <c r="J765" s="9"/>
      <c r="K765" s="9"/>
      <c r="L765" s="9"/>
      <c r="M765" s="9"/>
      <c r="N765" s="9" t="str">
        <f t="shared" si="58"/>
        <v>NO</v>
      </c>
      <c r="O765" s="9" t="str">
        <f t="shared" si="59"/>
        <v>🟡</v>
      </c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</row>
    <row r="766" spans="1:85" ht="18" customHeight="1" x14ac:dyDescent="0.3">
      <c r="A766" s="9">
        <f t="shared" si="55"/>
        <v>765</v>
      </c>
      <c r="B766" s="9" t="str">
        <f t="shared" si="56"/>
        <v/>
      </c>
      <c r="C766" s="9"/>
      <c r="D766" s="9"/>
      <c r="E766" s="9">
        <f t="shared" si="57"/>
        <v>0</v>
      </c>
      <c r="F766" s="9"/>
      <c r="G766" s="9"/>
      <c r="H766" s="9"/>
      <c r="I766" s="9"/>
      <c r="J766" s="9"/>
      <c r="K766" s="9"/>
      <c r="L766" s="9"/>
      <c r="M766" s="9"/>
      <c r="N766" s="9" t="str">
        <f t="shared" si="58"/>
        <v>NO</v>
      </c>
      <c r="O766" s="9" t="str">
        <f t="shared" si="59"/>
        <v>🟡</v>
      </c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9"/>
      <c r="BP766" s="9"/>
      <c r="BQ766" s="9"/>
      <c r="BR766" s="9"/>
      <c r="BS766" s="9"/>
      <c r="BT766" s="9"/>
      <c r="BU766" s="9"/>
      <c r="BV766" s="9"/>
      <c r="BW766" s="9"/>
      <c r="BX766" s="9"/>
      <c r="BY766" s="9"/>
      <c r="BZ766" s="9"/>
      <c r="CA766" s="9"/>
      <c r="CB766" s="9"/>
      <c r="CC766" s="9"/>
      <c r="CD766" s="9"/>
      <c r="CE766" s="9"/>
      <c r="CF766" s="9"/>
      <c r="CG766" s="9"/>
    </row>
    <row r="767" spans="1:85" ht="18" customHeight="1" x14ac:dyDescent="0.3">
      <c r="A767" s="9">
        <f t="shared" si="55"/>
        <v>766</v>
      </c>
      <c r="B767" s="9" t="str">
        <f t="shared" si="56"/>
        <v/>
      </c>
      <c r="C767" s="9"/>
      <c r="D767" s="9"/>
      <c r="E767" s="9">
        <f t="shared" si="57"/>
        <v>0</v>
      </c>
      <c r="F767" s="9"/>
      <c r="G767" s="9"/>
      <c r="H767" s="9"/>
      <c r="I767" s="9"/>
      <c r="J767" s="9"/>
      <c r="K767" s="9"/>
      <c r="L767" s="9"/>
      <c r="M767" s="9"/>
      <c r="N767" s="9" t="str">
        <f t="shared" si="58"/>
        <v>NO</v>
      </c>
      <c r="O767" s="9" t="str">
        <f t="shared" si="59"/>
        <v>🟡</v>
      </c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  <c r="BL767" s="9"/>
      <c r="BM767" s="9"/>
      <c r="BN767" s="9"/>
      <c r="BO767" s="9"/>
      <c r="BP767" s="9"/>
      <c r="BQ767" s="9"/>
      <c r="BR767" s="9"/>
      <c r="BS767" s="9"/>
      <c r="BT767" s="9"/>
      <c r="BU767" s="9"/>
      <c r="BV767" s="9"/>
      <c r="BW767" s="9"/>
      <c r="BX767" s="9"/>
      <c r="BY767" s="9"/>
      <c r="BZ767" s="9"/>
      <c r="CA767" s="9"/>
      <c r="CB767" s="9"/>
      <c r="CC767" s="9"/>
      <c r="CD767" s="9"/>
      <c r="CE767" s="9"/>
      <c r="CF767" s="9"/>
      <c r="CG767" s="9"/>
    </row>
    <row r="768" spans="1:85" ht="18" customHeight="1" x14ac:dyDescent="0.3">
      <c r="A768" s="9">
        <f t="shared" si="55"/>
        <v>767</v>
      </c>
      <c r="B768" s="9" t="str">
        <f t="shared" si="56"/>
        <v/>
      </c>
      <c r="C768" s="9"/>
      <c r="D768" s="9"/>
      <c r="E768" s="9">
        <f t="shared" si="57"/>
        <v>0</v>
      </c>
      <c r="F768" s="9"/>
      <c r="G768" s="9"/>
      <c r="H768" s="9"/>
      <c r="I768" s="9"/>
      <c r="J768" s="9"/>
      <c r="K768" s="9"/>
      <c r="L768" s="9"/>
      <c r="M768" s="9"/>
      <c r="N768" s="9" t="str">
        <f t="shared" si="58"/>
        <v>NO</v>
      </c>
      <c r="O768" s="9" t="str">
        <f t="shared" si="59"/>
        <v>🟡</v>
      </c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9"/>
      <c r="BP768" s="9"/>
      <c r="BQ768" s="9"/>
      <c r="BR768" s="9"/>
      <c r="BS768" s="9"/>
      <c r="BT768" s="9"/>
      <c r="BU768" s="9"/>
      <c r="BV768" s="9"/>
      <c r="BW768" s="9"/>
      <c r="BX768" s="9"/>
      <c r="BY768" s="9"/>
      <c r="BZ768" s="9"/>
      <c r="CA768" s="9"/>
      <c r="CB768" s="9"/>
      <c r="CC768" s="9"/>
      <c r="CD768" s="9"/>
      <c r="CE768" s="9"/>
      <c r="CF768" s="9"/>
      <c r="CG768" s="9"/>
    </row>
    <row r="769" spans="1:85" ht="18" customHeight="1" x14ac:dyDescent="0.3">
      <c r="A769" s="9">
        <f t="shared" ref="A769:A832" si="60">IF(COUNTA(C769:K769)=0,"",ROW()-1)</f>
        <v>768</v>
      </c>
      <c r="B769" s="9" t="str">
        <f t="shared" ref="B769:B832" si="61">IF($F769&lt;&gt;"",$A769,"")</f>
        <v/>
      </c>
      <c r="C769" s="9"/>
      <c r="D769" s="9"/>
      <c r="E769" s="9">
        <f t="shared" ref="E769:E832" si="62">IF(UPPER($J769)="NO","",$M769)</f>
        <v>0</v>
      </c>
      <c r="F769" s="9"/>
      <c r="G769" s="9"/>
      <c r="H769" s="9"/>
      <c r="I769" s="9"/>
      <c r="J769" s="9"/>
      <c r="K769" s="9"/>
      <c r="L769" s="9"/>
      <c r="M769" s="9"/>
      <c r="N769" s="9" t="str">
        <f t="shared" ref="N769:N832" si="63">IF(AND(UPPER($M769)="VIP",UPPER($J769)="SI",$F769&lt;&gt;""),"SI","NO")</f>
        <v>NO</v>
      </c>
      <c r="O769" s="9" t="str">
        <f t="shared" ref="O769:O832" si="64">IF(UPPER($J769)="SI","🟢",IF(UPPER($J769)="NO","🔴","🟡"))</f>
        <v>🟡</v>
      </c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  <c r="BF769" s="9"/>
      <c r="BG769" s="9"/>
      <c r="BH769" s="9"/>
      <c r="BI769" s="9"/>
      <c r="BJ769" s="9"/>
      <c r="BK769" s="9"/>
      <c r="BL769" s="9"/>
      <c r="BM769" s="9"/>
      <c r="BN769" s="9"/>
      <c r="BO769" s="9"/>
      <c r="BP769" s="9"/>
      <c r="BQ769" s="9"/>
      <c r="BR769" s="9"/>
      <c r="BS769" s="9"/>
      <c r="BT769" s="9"/>
      <c r="BU769" s="9"/>
      <c r="BV769" s="9"/>
      <c r="BW769" s="9"/>
      <c r="BX769" s="9"/>
      <c r="BY769" s="9"/>
      <c r="BZ769" s="9"/>
      <c r="CA769" s="9"/>
      <c r="CB769" s="9"/>
      <c r="CC769" s="9"/>
      <c r="CD769" s="9"/>
      <c r="CE769" s="9"/>
      <c r="CF769" s="9"/>
      <c r="CG769" s="9"/>
    </row>
    <row r="770" spans="1:85" ht="18" customHeight="1" x14ac:dyDescent="0.3">
      <c r="A770" s="9">
        <f t="shared" si="60"/>
        <v>769</v>
      </c>
      <c r="B770" s="9" t="str">
        <f t="shared" si="61"/>
        <v/>
      </c>
      <c r="C770" s="9"/>
      <c r="D770" s="9"/>
      <c r="E770" s="9">
        <f t="shared" si="62"/>
        <v>0</v>
      </c>
      <c r="F770" s="9"/>
      <c r="G770" s="9"/>
      <c r="H770" s="9"/>
      <c r="I770" s="9"/>
      <c r="J770" s="9"/>
      <c r="K770" s="9"/>
      <c r="L770" s="9"/>
      <c r="M770" s="9"/>
      <c r="N770" s="9" t="str">
        <f t="shared" si="63"/>
        <v>NO</v>
      </c>
      <c r="O770" s="9" t="str">
        <f t="shared" si="64"/>
        <v>🟡</v>
      </c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9"/>
      <c r="BP770" s="9"/>
      <c r="BQ770" s="9"/>
      <c r="BR770" s="9"/>
      <c r="BS770" s="9"/>
      <c r="BT770" s="9"/>
      <c r="BU770" s="9"/>
      <c r="BV770" s="9"/>
      <c r="BW770" s="9"/>
      <c r="BX770" s="9"/>
      <c r="BY770" s="9"/>
      <c r="BZ770" s="9"/>
      <c r="CA770" s="9"/>
      <c r="CB770" s="9"/>
      <c r="CC770" s="9"/>
      <c r="CD770" s="9"/>
      <c r="CE770" s="9"/>
      <c r="CF770" s="9"/>
      <c r="CG770" s="9"/>
    </row>
    <row r="771" spans="1:85" ht="18" customHeight="1" x14ac:dyDescent="0.3">
      <c r="A771" s="9">
        <f t="shared" si="60"/>
        <v>770</v>
      </c>
      <c r="B771" s="9" t="str">
        <f t="shared" si="61"/>
        <v/>
      </c>
      <c r="C771" s="9"/>
      <c r="D771" s="9"/>
      <c r="E771" s="9">
        <f t="shared" si="62"/>
        <v>0</v>
      </c>
      <c r="F771" s="9"/>
      <c r="G771" s="9"/>
      <c r="H771" s="9"/>
      <c r="I771" s="9"/>
      <c r="J771" s="9"/>
      <c r="K771" s="9"/>
      <c r="L771" s="9"/>
      <c r="M771" s="9"/>
      <c r="N771" s="9" t="str">
        <f t="shared" si="63"/>
        <v>NO</v>
      </c>
      <c r="O771" s="9" t="str">
        <f t="shared" si="64"/>
        <v>🟡</v>
      </c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9"/>
      <c r="CC771" s="9"/>
      <c r="CD771" s="9"/>
      <c r="CE771" s="9"/>
      <c r="CF771" s="9"/>
      <c r="CG771" s="9"/>
    </row>
    <row r="772" spans="1:85" ht="18" customHeight="1" x14ac:dyDescent="0.3">
      <c r="A772" s="9">
        <f t="shared" si="60"/>
        <v>771</v>
      </c>
      <c r="B772" s="9" t="str">
        <f t="shared" si="61"/>
        <v/>
      </c>
      <c r="C772" s="9"/>
      <c r="D772" s="9"/>
      <c r="E772" s="9">
        <f t="shared" si="62"/>
        <v>0</v>
      </c>
      <c r="F772" s="9"/>
      <c r="G772" s="9"/>
      <c r="H772" s="9"/>
      <c r="I772" s="9"/>
      <c r="J772" s="9"/>
      <c r="K772" s="9"/>
      <c r="L772" s="9"/>
      <c r="M772" s="9"/>
      <c r="N772" s="9" t="str">
        <f t="shared" si="63"/>
        <v>NO</v>
      </c>
      <c r="O772" s="9" t="str">
        <f t="shared" si="64"/>
        <v>🟡</v>
      </c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9"/>
      <c r="BP772" s="9"/>
      <c r="BQ772" s="9"/>
      <c r="BR772" s="9"/>
      <c r="BS772" s="9"/>
      <c r="BT772" s="9"/>
      <c r="BU772" s="9"/>
      <c r="BV772" s="9"/>
      <c r="BW772" s="9"/>
      <c r="BX772" s="9"/>
      <c r="BY772" s="9"/>
      <c r="BZ772" s="9"/>
      <c r="CA772" s="9"/>
      <c r="CB772" s="9"/>
      <c r="CC772" s="9"/>
      <c r="CD772" s="9"/>
      <c r="CE772" s="9"/>
      <c r="CF772" s="9"/>
      <c r="CG772" s="9"/>
    </row>
    <row r="773" spans="1:85" ht="18" customHeight="1" x14ac:dyDescent="0.3">
      <c r="A773" s="9">
        <f t="shared" si="60"/>
        <v>772</v>
      </c>
      <c r="B773" s="9" t="str">
        <f t="shared" si="61"/>
        <v/>
      </c>
      <c r="C773" s="9"/>
      <c r="D773" s="9"/>
      <c r="E773" s="9">
        <f t="shared" si="62"/>
        <v>0</v>
      </c>
      <c r="F773" s="9"/>
      <c r="G773" s="9"/>
      <c r="H773" s="9"/>
      <c r="I773" s="9"/>
      <c r="J773" s="9"/>
      <c r="K773" s="9"/>
      <c r="L773" s="9"/>
      <c r="M773" s="9"/>
      <c r="N773" s="9" t="str">
        <f t="shared" si="63"/>
        <v>NO</v>
      </c>
      <c r="O773" s="9" t="str">
        <f t="shared" si="64"/>
        <v>🟡</v>
      </c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  <c r="BL773" s="9"/>
      <c r="BM773" s="9"/>
      <c r="BN773" s="9"/>
      <c r="BO773" s="9"/>
      <c r="BP773" s="9"/>
      <c r="BQ773" s="9"/>
      <c r="BR773" s="9"/>
      <c r="BS773" s="9"/>
      <c r="BT773" s="9"/>
      <c r="BU773" s="9"/>
      <c r="BV773" s="9"/>
      <c r="BW773" s="9"/>
      <c r="BX773" s="9"/>
      <c r="BY773" s="9"/>
      <c r="BZ773" s="9"/>
      <c r="CA773" s="9"/>
      <c r="CB773" s="9"/>
      <c r="CC773" s="9"/>
      <c r="CD773" s="9"/>
      <c r="CE773" s="9"/>
      <c r="CF773" s="9"/>
      <c r="CG773" s="9"/>
    </row>
    <row r="774" spans="1:85" ht="18" customHeight="1" x14ac:dyDescent="0.3">
      <c r="A774" s="9">
        <f t="shared" si="60"/>
        <v>773</v>
      </c>
      <c r="B774" s="9" t="str">
        <f t="shared" si="61"/>
        <v/>
      </c>
      <c r="C774" s="9"/>
      <c r="D774" s="9"/>
      <c r="E774" s="9">
        <f t="shared" si="62"/>
        <v>0</v>
      </c>
      <c r="F774" s="9"/>
      <c r="G774" s="9"/>
      <c r="H774" s="9"/>
      <c r="I774" s="9"/>
      <c r="J774" s="9"/>
      <c r="K774" s="9"/>
      <c r="L774" s="9"/>
      <c r="M774" s="9"/>
      <c r="N774" s="9" t="str">
        <f t="shared" si="63"/>
        <v>NO</v>
      </c>
      <c r="O774" s="9" t="str">
        <f t="shared" si="64"/>
        <v>🟡</v>
      </c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9"/>
      <c r="BP774" s="9"/>
      <c r="BQ774" s="9"/>
      <c r="BR774" s="9"/>
      <c r="BS774" s="9"/>
      <c r="BT774" s="9"/>
      <c r="BU774" s="9"/>
      <c r="BV774" s="9"/>
      <c r="BW774" s="9"/>
      <c r="BX774" s="9"/>
      <c r="BY774" s="9"/>
      <c r="BZ774" s="9"/>
      <c r="CA774" s="9"/>
      <c r="CB774" s="9"/>
      <c r="CC774" s="9"/>
      <c r="CD774" s="9"/>
      <c r="CE774" s="9"/>
      <c r="CF774" s="9"/>
      <c r="CG774" s="9"/>
    </row>
    <row r="775" spans="1:85" ht="18" customHeight="1" x14ac:dyDescent="0.3">
      <c r="A775" s="9">
        <f t="shared" si="60"/>
        <v>774</v>
      </c>
      <c r="B775" s="9" t="str">
        <f t="shared" si="61"/>
        <v/>
      </c>
      <c r="C775" s="9"/>
      <c r="D775" s="9"/>
      <c r="E775" s="9">
        <f t="shared" si="62"/>
        <v>0</v>
      </c>
      <c r="F775" s="9"/>
      <c r="G775" s="9"/>
      <c r="H775" s="9"/>
      <c r="I775" s="9"/>
      <c r="J775" s="9"/>
      <c r="K775" s="9"/>
      <c r="L775" s="9"/>
      <c r="M775" s="9"/>
      <c r="N775" s="9" t="str">
        <f t="shared" si="63"/>
        <v>NO</v>
      </c>
      <c r="O775" s="9" t="str">
        <f t="shared" si="64"/>
        <v>🟡</v>
      </c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  <c r="BL775" s="9"/>
      <c r="BM775" s="9"/>
      <c r="BN775" s="9"/>
      <c r="BO775" s="9"/>
      <c r="BP775" s="9"/>
      <c r="BQ775" s="9"/>
      <c r="BR775" s="9"/>
      <c r="BS775" s="9"/>
      <c r="BT775" s="9"/>
      <c r="BU775" s="9"/>
      <c r="BV775" s="9"/>
      <c r="BW775" s="9"/>
      <c r="BX775" s="9"/>
      <c r="BY775" s="9"/>
      <c r="BZ775" s="9"/>
      <c r="CA775" s="9"/>
      <c r="CB775" s="9"/>
      <c r="CC775" s="9"/>
      <c r="CD775" s="9"/>
      <c r="CE775" s="9"/>
      <c r="CF775" s="9"/>
      <c r="CG775" s="9"/>
    </row>
    <row r="776" spans="1:85" ht="18" customHeight="1" x14ac:dyDescent="0.3">
      <c r="A776" s="9">
        <f t="shared" si="60"/>
        <v>775</v>
      </c>
      <c r="B776" s="9" t="str">
        <f t="shared" si="61"/>
        <v/>
      </c>
      <c r="C776" s="9"/>
      <c r="D776" s="9"/>
      <c r="E776" s="9">
        <f t="shared" si="62"/>
        <v>0</v>
      </c>
      <c r="F776" s="9"/>
      <c r="G776" s="9"/>
      <c r="H776" s="9"/>
      <c r="I776" s="9"/>
      <c r="J776" s="9"/>
      <c r="K776" s="9"/>
      <c r="L776" s="9"/>
      <c r="M776" s="9"/>
      <c r="N776" s="9" t="str">
        <f t="shared" si="63"/>
        <v>NO</v>
      </c>
      <c r="O776" s="9" t="str">
        <f t="shared" si="64"/>
        <v>🟡</v>
      </c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9"/>
      <c r="BP776" s="9"/>
      <c r="BQ776" s="9"/>
      <c r="BR776" s="9"/>
      <c r="BS776" s="9"/>
      <c r="BT776" s="9"/>
      <c r="BU776" s="9"/>
      <c r="BV776" s="9"/>
      <c r="BW776" s="9"/>
      <c r="BX776" s="9"/>
      <c r="BY776" s="9"/>
      <c r="BZ776" s="9"/>
      <c r="CA776" s="9"/>
      <c r="CB776" s="9"/>
      <c r="CC776" s="9"/>
      <c r="CD776" s="9"/>
      <c r="CE776" s="9"/>
      <c r="CF776" s="9"/>
      <c r="CG776" s="9"/>
    </row>
    <row r="777" spans="1:85" ht="18" customHeight="1" x14ac:dyDescent="0.3">
      <c r="A777" s="9">
        <f t="shared" si="60"/>
        <v>776</v>
      </c>
      <c r="B777" s="9" t="str">
        <f t="shared" si="61"/>
        <v/>
      </c>
      <c r="C777" s="9"/>
      <c r="D777" s="9"/>
      <c r="E777" s="9">
        <f t="shared" si="62"/>
        <v>0</v>
      </c>
      <c r="F777" s="9"/>
      <c r="G777" s="9"/>
      <c r="H777" s="9"/>
      <c r="I777" s="9"/>
      <c r="J777" s="9"/>
      <c r="K777" s="9"/>
      <c r="L777" s="9"/>
      <c r="M777" s="9"/>
      <c r="N777" s="9" t="str">
        <f t="shared" si="63"/>
        <v>NO</v>
      </c>
      <c r="O777" s="9" t="str">
        <f t="shared" si="64"/>
        <v>🟡</v>
      </c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  <c r="BF777" s="9"/>
      <c r="BG777" s="9"/>
      <c r="BH777" s="9"/>
      <c r="BI777" s="9"/>
      <c r="BJ777" s="9"/>
      <c r="BK777" s="9"/>
      <c r="BL777" s="9"/>
      <c r="BM777" s="9"/>
      <c r="BN777" s="9"/>
      <c r="BO777" s="9"/>
      <c r="BP777" s="9"/>
      <c r="BQ777" s="9"/>
      <c r="BR777" s="9"/>
      <c r="BS777" s="9"/>
      <c r="BT777" s="9"/>
      <c r="BU777" s="9"/>
      <c r="BV777" s="9"/>
      <c r="BW777" s="9"/>
      <c r="BX777" s="9"/>
      <c r="BY777" s="9"/>
      <c r="BZ777" s="9"/>
      <c r="CA777" s="9"/>
      <c r="CB777" s="9"/>
      <c r="CC777" s="9"/>
      <c r="CD777" s="9"/>
      <c r="CE777" s="9"/>
      <c r="CF777" s="9"/>
      <c r="CG777" s="9"/>
    </row>
    <row r="778" spans="1:85" ht="18" customHeight="1" x14ac:dyDescent="0.3">
      <c r="A778" s="9">
        <f t="shared" si="60"/>
        <v>777</v>
      </c>
      <c r="B778" s="9" t="str">
        <f t="shared" si="61"/>
        <v/>
      </c>
      <c r="C778" s="9"/>
      <c r="D778" s="9"/>
      <c r="E778" s="9">
        <f t="shared" si="62"/>
        <v>0</v>
      </c>
      <c r="F778" s="9"/>
      <c r="G778" s="9"/>
      <c r="H778" s="9"/>
      <c r="I778" s="9"/>
      <c r="J778" s="9"/>
      <c r="K778" s="9"/>
      <c r="L778" s="9"/>
      <c r="M778" s="9"/>
      <c r="N778" s="9" t="str">
        <f t="shared" si="63"/>
        <v>NO</v>
      </c>
      <c r="O778" s="9" t="str">
        <f t="shared" si="64"/>
        <v>🟡</v>
      </c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9"/>
      <c r="BP778" s="9"/>
      <c r="BQ778" s="9"/>
      <c r="BR778" s="9"/>
      <c r="BS778" s="9"/>
      <c r="BT778" s="9"/>
      <c r="BU778" s="9"/>
      <c r="BV778" s="9"/>
      <c r="BW778" s="9"/>
      <c r="BX778" s="9"/>
      <c r="BY778" s="9"/>
      <c r="BZ778" s="9"/>
      <c r="CA778" s="9"/>
      <c r="CB778" s="9"/>
      <c r="CC778" s="9"/>
      <c r="CD778" s="9"/>
      <c r="CE778" s="9"/>
      <c r="CF778" s="9"/>
      <c r="CG778" s="9"/>
    </row>
    <row r="779" spans="1:85" ht="18" customHeight="1" x14ac:dyDescent="0.3">
      <c r="A779" s="9">
        <f t="shared" si="60"/>
        <v>778</v>
      </c>
      <c r="B779" s="9" t="str">
        <f t="shared" si="61"/>
        <v/>
      </c>
      <c r="C779" s="9"/>
      <c r="D779" s="9"/>
      <c r="E779" s="9">
        <f t="shared" si="62"/>
        <v>0</v>
      </c>
      <c r="F779" s="9"/>
      <c r="G779" s="9"/>
      <c r="H779" s="9"/>
      <c r="I779" s="9"/>
      <c r="J779" s="9"/>
      <c r="K779" s="9"/>
      <c r="L779" s="9"/>
      <c r="M779" s="9"/>
      <c r="N779" s="9" t="str">
        <f t="shared" si="63"/>
        <v>NO</v>
      </c>
      <c r="O779" s="9" t="str">
        <f t="shared" si="64"/>
        <v>🟡</v>
      </c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  <c r="BF779" s="9"/>
      <c r="BG779" s="9"/>
      <c r="BH779" s="9"/>
      <c r="BI779" s="9"/>
      <c r="BJ779" s="9"/>
      <c r="BK779" s="9"/>
      <c r="BL779" s="9"/>
      <c r="BM779" s="9"/>
      <c r="BN779" s="9"/>
      <c r="BO779" s="9"/>
      <c r="BP779" s="9"/>
      <c r="BQ779" s="9"/>
      <c r="BR779" s="9"/>
      <c r="BS779" s="9"/>
      <c r="BT779" s="9"/>
      <c r="BU779" s="9"/>
      <c r="BV779" s="9"/>
      <c r="BW779" s="9"/>
      <c r="BX779" s="9"/>
      <c r="BY779" s="9"/>
      <c r="BZ779" s="9"/>
      <c r="CA779" s="9"/>
      <c r="CB779" s="9"/>
      <c r="CC779" s="9"/>
      <c r="CD779" s="9"/>
      <c r="CE779" s="9"/>
      <c r="CF779" s="9"/>
      <c r="CG779" s="9"/>
    </row>
    <row r="780" spans="1:85" ht="18" customHeight="1" x14ac:dyDescent="0.3">
      <c r="A780" s="9">
        <f t="shared" si="60"/>
        <v>779</v>
      </c>
      <c r="B780" s="9" t="str">
        <f t="shared" si="61"/>
        <v/>
      </c>
      <c r="C780" s="9"/>
      <c r="D780" s="9"/>
      <c r="E780" s="9">
        <f t="shared" si="62"/>
        <v>0</v>
      </c>
      <c r="F780" s="9"/>
      <c r="G780" s="9"/>
      <c r="H780" s="9"/>
      <c r="I780" s="9"/>
      <c r="J780" s="9"/>
      <c r="K780" s="9"/>
      <c r="L780" s="9"/>
      <c r="M780" s="9"/>
      <c r="N780" s="9" t="str">
        <f t="shared" si="63"/>
        <v>NO</v>
      </c>
      <c r="O780" s="9" t="str">
        <f t="shared" si="64"/>
        <v>🟡</v>
      </c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9"/>
      <c r="BP780" s="9"/>
      <c r="BQ780" s="9"/>
      <c r="BR780" s="9"/>
      <c r="BS780" s="9"/>
      <c r="BT780" s="9"/>
      <c r="BU780" s="9"/>
      <c r="BV780" s="9"/>
      <c r="BW780" s="9"/>
      <c r="BX780" s="9"/>
      <c r="BY780" s="9"/>
      <c r="BZ780" s="9"/>
      <c r="CA780" s="9"/>
      <c r="CB780" s="9"/>
      <c r="CC780" s="9"/>
      <c r="CD780" s="9"/>
      <c r="CE780" s="9"/>
      <c r="CF780" s="9"/>
      <c r="CG780" s="9"/>
    </row>
    <row r="781" spans="1:85" ht="18" customHeight="1" x14ac:dyDescent="0.3">
      <c r="A781" s="9">
        <f t="shared" si="60"/>
        <v>780</v>
      </c>
      <c r="B781" s="9" t="str">
        <f t="shared" si="61"/>
        <v/>
      </c>
      <c r="C781" s="9"/>
      <c r="D781" s="9"/>
      <c r="E781" s="9">
        <f t="shared" si="62"/>
        <v>0</v>
      </c>
      <c r="F781" s="9"/>
      <c r="G781" s="9"/>
      <c r="H781" s="9"/>
      <c r="I781" s="9"/>
      <c r="J781" s="9"/>
      <c r="K781" s="9"/>
      <c r="L781" s="9"/>
      <c r="M781" s="9"/>
      <c r="N781" s="9" t="str">
        <f t="shared" si="63"/>
        <v>NO</v>
      </c>
      <c r="O781" s="9" t="str">
        <f t="shared" si="64"/>
        <v>🟡</v>
      </c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  <c r="BL781" s="9"/>
      <c r="BM781" s="9"/>
      <c r="BN781" s="9"/>
      <c r="BO781" s="9"/>
      <c r="BP781" s="9"/>
      <c r="BQ781" s="9"/>
      <c r="BR781" s="9"/>
      <c r="BS781" s="9"/>
      <c r="BT781" s="9"/>
      <c r="BU781" s="9"/>
      <c r="BV781" s="9"/>
      <c r="BW781" s="9"/>
      <c r="BX781" s="9"/>
      <c r="BY781" s="9"/>
      <c r="BZ781" s="9"/>
      <c r="CA781" s="9"/>
      <c r="CB781" s="9"/>
      <c r="CC781" s="9"/>
      <c r="CD781" s="9"/>
      <c r="CE781" s="9"/>
      <c r="CF781" s="9"/>
      <c r="CG781" s="9"/>
    </row>
    <row r="782" spans="1:85" ht="18" customHeight="1" x14ac:dyDescent="0.3">
      <c r="A782" s="9">
        <f t="shared" si="60"/>
        <v>781</v>
      </c>
      <c r="B782" s="9" t="str">
        <f t="shared" si="61"/>
        <v/>
      </c>
      <c r="C782" s="9"/>
      <c r="D782" s="9"/>
      <c r="E782" s="9">
        <f t="shared" si="62"/>
        <v>0</v>
      </c>
      <c r="F782" s="9"/>
      <c r="G782" s="9"/>
      <c r="H782" s="9"/>
      <c r="I782" s="9"/>
      <c r="J782" s="9"/>
      <c r="K782" s="9"/>
      <c r="L782" s="9"/>
      <c r="M782" s="9"/>
      <c r="N782" s="9" t="str">
        <f t="shared" si="63"/>
        <v>NO</v>
      </c>
      <c r="O782" s="9" t="str">
        <f t="shared" si="64"/>
        <v>🟡</v>
      </c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9"/>
      <c r="BP782" s="9"/>
      <c r="BQ782" s="9"/>
      <c r="BR782" s="9"/>
      <c r="BS782" s="9"/>
      <c r="BT782" s="9"/>
      <c r="BU782" s="9"/>
      <c r="BV782" s="9"/>
      <c r="BW782" s="9"/>
      <c r="BX782" s="9"/>
      <c r="BY782" s="9"/>
      <c r="BZ782" s="9"/>
      <c r="CA782" s="9"/>
      <c r="CB782" s="9"/>
      <c r="CC782" s="9"/>
      <c r="CD782" s="9"/>
      <c r="CE782" s="9"/>
      <c r="CF782" s="9"/>
      <c r="CG782" s="9"/>
    </row>
    <row r="783" spans="1:85" ht="18" customHeight="1" x14ac:dyDescent="0.3">
      <c r="A783" s="9">
        <f t="shared" si="60"/>
        <v>782</v>
      </c>
      <c r="B783" s="9" t="str">
        <f t="shared" si="61"/>
        <v/>
      </c>
      <c r="C783" s="9"/>
      <c r="D783" s="9"/>
      <c r="E783" s="9">
        <f t="shared" si="62"/>
        <v>0</v>
      </c>
      <c r="F783" s="9"/>
      <c r="G783" s="9"/>
      <c r="H783" s="9"/>
      <c r="I783" s="9"/>
      <c r="J783" s="9"/>
      <c r="K783" s="9"/>
      <c r="L783" s="9"/>
      <c r="M783" s="9"/>
      <c r="N783" s="9" t="str">
        <f t="shared" si="63"/>
        <v>NO</v>
      </c>
      <c r="O783" s="9" t="str">
        <f t="shared" si="64"/>
        <v>🟡</v>
      </c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  <c r="BL783" s="9"/>
      <c r="BM783" s="9"/>
      <c r="BN783" s="9"/>
      <c r="BO783" s="9"/>
      <c r="BP783" s="9"/>
      <c r="BQ783" s="9"/>
      <c r="BR783" s="9"/>
      <c r="BS783" s="9"/>
      <c r="BT783" s="9"/>
      <c r="BU783" s="9"/>
      <c r="BV783" s="9"/>
      <c r="BW783" s="9"/>
      <c r="BX783" s="9"/>
      <c r="BY783" s="9"/>
      <c r="BZ783" s="9"/>
      <c r="CA783" s="9"/>
      <c r="CB783" s="9"/>
      <c r="CC783" s="9"/>
      <c r="CD783" s="9"/>
      <c r="CE783" s="9"/>
      <c r="CF783" s="9"/>
      <c r="CG783" s="9"/>
    </row>
    <row r="784" spans="1:85" ht="18" customHeight="1" x14ac:dyDescent="0.3">
      <c r="A784" s="9">
        <f t="shared" si="60"/>
        <v>783</v>
      </c>
      <c r="B784" s="9" t="str">
        <f t="shared" si="61"/>
        <v/>
      </c>
      <c r="C784" s="9"/>
      <c r="D784" s="9"/>
      <c r="E784" s="9">
        <f t="shared" si="62"/>
        <v>0</v>
      </c>
      <c r="F784" s="9"/>
      <c r="G784" s="9"/>
      <c r="H784" s="9"/>
      <c r="I784" s="9"/>
      <c r="J784" s="9"/>
      <c r="K784" s="9"/>
      <c r="L784" s="9"/>
      <c r="M784" s="9"/>
      <c r="N784" s="9" t="str">
        <f t="shared" si="63"/>
        <v>NO</v>
      </c>
      <c r="O784" s="9" t="str">
        <f t="shared" si="64"/>
        <v>🟡</v>
      </c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9"/>
      <c r="BP784" s="9"/>
      <c r="BQ784" s="9"/>
      <c r="BR784" s="9"/>
      <c r="BS784" s="9"/>
      <c r="BT784" s="9"/>
      <c r="BU784" s="9"/>
      <c r="BV784" s="9"/>
      <c r="BW784" s="9"/>
      <c r="BX784" s="9"/>
      <c r="BY784" s="9"/>
      <c r="BZ784" s="9"/>
      <c r="CA784" s="9"/>
      <c r="CB784" s="9"/>
      <c r="CC784" s="9"/>
      <c r="CD784" s="9"/>
      <c r="CE784" s="9"/>
      <c r="CF784" s="9"/>
      <c r="CG784" s="9"/>
    </row>
    <row r="785" spans="1:85" ht="18" customHeight="1" x14ac:dyDescent="0.3">
      <c r="A785" s="9">
        <f t="shared" si="60"/>
        <v>784</v>
      </c>
      <c r="B785" s="9" t="str">
        <f t="shared" si="61"/>
        <v/>
      </c>
      <c r="C785" s="9"/>
      <c r="D785" s="9"/>
      <c r="E785" s="9">
        <f t="shared" si="62"/>
        <v>0</v>
      </c>
      <c r="F785" s="9"/>
      <c r="G785" s="9"/>
      <c r="H785" s="9"/>
      <c r="I785" s="9"/>
      <c r="J785" s="9"/>
      <c r="K785" s="9"/>
      <c r="L785" s="9"/>
      <c r="M785" s="9"/>
      <c r="N785" s="9" t="str">
        <f t="shared" si="63"/>
        <v>NO</v>
      </c>
      <c r="O785" s="9" t="str">
        <f t="shared" si="64"/>
        <v>🟡</v>
      </c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9"/>
      <c r="BP785" s="9"/>
      <c r="BQ785" s="9"/>
      <c r="BR785" s="9"/>
      <c r="BS785" s="9"/>
      <c r="BT785" s="9"/>
      <c r="BU785" s="9"/>
      <c r="BV785" s="9"/>
      <c r="BW785" s="9"/>
      <c r="BX785" s="9"/>
      <c r="BY785" s="9"/>
      <c r="BZ785" s="9"/>
      <c r="CA785" s="9"/>
      <c r="CB785" s="9"/>
      <c r="CC785" s="9"/>
      <c r="CD785" s="9"/>
      <c r="CE785" s="9"/>
      <c r="CF785" s="9"/>
      <c r="CG785" s="9"/>
    </row>
    <row r="786" spans="1:85" ht="18" customHeight="1" x14ac:dyDescent="0.3">
      <c r="A786" s="9">
        <f t="shared" si="60"/>
        <v>785</v>
      </c>
      <c r="B786" s="9" t="str">
        <f t="shared" si="61"/>
        <v/>
      </c>
      <c r="C786" s="9"/>
      <c r="D786" s="9"/>
      <c r="E786" s="9">
        <f t="shared" si="62"/>
        <v>0</v>
      </c>
      <c r="F786" s="9"/>
      <c r="G786" s="9"/>
      <c r="H786" s="9"/>
      <c r="I786" s="9"/>
      <c r="J786" s="9"/>
      <c r="K786" s="9"/>
      <c r="L786" s="9"/>
      <c r="M786" s="9"/>
      <c r="N786" s="9" t="str">
        <f t="shared" si="63"/>
        <v>NO</v>
      </c>
      <c r="O786" s="9" t="str">
        <f t="shared" si="64"/>
        <v>🟡</v>
      </c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9"/>
      <c r="BP786" s="9"/>
      <c r="BQ786" s="9"/>
      <c r="BR786" s="9"/>
      <c r="BS786" s="9"/>
      <c r="BT786" s="9"/>
      <c r="BU786" s="9"/>
      <c r="BV786" s="9"/>
      <c r="BW786" s="9"/>
      <c r="BX786" s="9"/>
      <c r="BY786" s="9"/>
      <c r="BZ786" s="9"/>
      <c r="CA786" s="9"/>
      <c r="CB786" s="9"/>
      <c r="CC786" s="9"/>
      <c r="CD786" s="9"/>
      <c r="CE786" s="9"/>
      <c r="CF786" s="9"/>
      <c r="CG786" s="9"/>
    </row>
    <row r="787" spans="1:85" ht="18" customHeight="1" x14ac:dyDescent="0.3">
      <c r="A787" s="9">
        <f t="shared" si="60"/>
        <v>786</v>
      </c>
      <c r="B787" s="9" t="str">
        <f t="shared" si="61"/>
        <v/>
      </c>
      <c r="C787" s="9"/>
      <c r="D787" s="9"/>
      <c r="E787" s="9">
        <f t="shared" si="62"/>
        <v>0</v>
      </c>
      <c r="F787" s="9"/>
      <c r="G787" s="9"/>
      <c r="H787" s="9"/>
      <c r="I787" s="9"/>
      <c r="J787" s="9"/>
      <c r="K787" s="9"/>
      <c r="L787" s="9"/>
      <c r="M787" s="9"/>
      <c r="N787" s="9" t="str">
        <f t="shared" si="63"/>
        <v>NO</v>
      </c>
      <c r="O787" s="9" t="str">
        <f t="shared" si="64"/>
        <v>🟡</v>
      </c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  <c r="BF787" s="9"/>
      <c r="BG787" s="9"/>
      <c r="BH787" s="9"/>
      <c r="BI787" s="9"/>
      <c r="BJ787" s="9"/>
      <c r="BK787" s="9"/>
      <c r="BL787" s="9"/>
      <c r="BM787" s="9"/>
      <c r="BN787" s="9"/>
      <c r="BO787" s="9"/>
      <c r="BP787" s="9"/>
      <c r="BQ787" s="9"/>
      <c r="BR787" s="9"/>
      <c r="BS787" s="9"/>
      <c r="BT787" s="9"/>
      <c r="BU787" s="9"/>
      <c r="BV787" s="9"/>
      <c r="BW787" s="9"/>
      <c r="BX787" s="9"/>
      <c r="BY787" s="9"/>
      <c r="BZ787" s="9"/>
      <c r="CA787" s="9"/>
      <c r="CB787" s="9"/>
      <c r="CC787" s="9"/>
      <c r="CD787" s="9"/>
      <c r="CE787" s="9"/>
      <c r="CF787" s="9"/>
      <c r="CG787" s="9"/>
    </row>
    <row r="788" spans="1:85" ht="18" customHeight="1" x14ac:dyDescent="0.3">
      <c r="A788" s="9">
        <f t="shared" si="60"/>
        <v>787</v>
      </c>
      <c r="B788" s="9" t="str">
        <f t="shared" si="61"/>
        <v/>
      </c>
      <c r="C788" s="9"/>
      <c r="D788" s="9"/>
      <c r="E788" s="9">
        <f t="shared" si="62"/>
        <v>0</v>
      </c>
      <c r="F788" s="9"/>
      <c r="G788" s="9"/>
      <c r="H788" s="9"/>
      <c r="I788" s="9"/>
      <c r="J788" s="9"/>
      <c r="K788" s="9"/>
      <c r="L788" s="9"/>
      <c r="M788" s="9"/>
      <c r="N788" s="9" t="str">
        <f t="shared" si="63"/>
        <v>NO</v>
      </c>
      <c r="O788" s="9" t="str">
        <f t="shared" si="64"/>
        <v>🟡</v>
      </c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9"/>
      <c r="CC788" s="9"/>
      <c r="CD788" s="9"/>
      <c r="CE788" s="9"/>
      <c r="CF788" s="9"/>
      <c r="CG788" s="9"/>
    </row>
    <row r="789" spans="1:85" ht="18" customHeight="1" x14ac:dyDescent="0.3">
      <c r="A789" s="9">
        <f t="shared" si="60"/>
        <v>788</v>
      </c>
      <c r="B789" s="9" t="str">
        <f t="shared" si="61"/>
        <v/>
      </c>
      <c r="C789" s="9"/>
      <c r="D789" s="9"/>
      <c r="E789" s="9">
        <f t="shared" si="62"/>
        <v>0</v>
      </c>
      <c r="F789" s="9"/>
      <c r="G789" s="9"/>
      <c r="H789" s="9"/>
      <c r="I789" s="9"/>
      <c r="J789" s="9"/>
      <c r="K789" s="9"/>
      <c r="L789" s="9"/>
      <c r="M789" s="9"/>
      <c r="N789" s="9" t="str">
        <f t="shared" si="63"/>
        <v>NO</v>
      </c>
      <c r="O789" s="9" t="str">
        <f t="shared" si="64"/>
        <v>🟡</v>
      </c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9"/>
      <c r="CC789" s="9"/>
      <c r="CD789" s="9"/>
      <c r="CE789" s="9"/>
      <c r="CF789" s="9"/>
      <c r="CG789" s="9"/>
    </row>
    <row r="790" spans="1:85" ht="18" customHeight="1" x14ac:dyDescent="0.3">
      <c r="A790" s="9">
        <f t="shared" si="60"/>
        <v>789</v>
      </c>
      <c r="B790" s="9" t="str">
        <f t="shared" si="61"/>
        <v/>
      </c>
      <c r="C790" s="9"/>
      <c r="D790" s="9"/>
      <c r="E790" s="9">
        <f t="shared" si="62"/>
        <v>0</v>
      </c>
      <c r="F790" s="9"/>
      <c r="G790" s="9"/>
      <c r="H790" s="9"/>
      <c r="I790" s="9"/>
      <c r="J790" s="9"/>
      <c r="K790" s="9"/>
      <c r="L790" s="9"/>
      <c r="M790" s="9"/>
      <c r="N790" s="9" t="str">
        <f t="shared" si="63"/>
        <v>NO</v>
      </c>
      <c r="O790" s="9" t="str">
        <f t="shared" si="64"/>
        <v>🟡</v>
      </c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9"/>
      <c r="BP790" s="9"/>
      <c r="BQ790" s="9"/>
      <c r="BR790" s="9"/>
      <c r="BS790" s="9"/>
      <c r="BT790" s="9"/>
      <c r="BU790" s="9"/>
      <c r="BV790" s="9"/>
      <c r="BW790" s="9"/>
      <c r="BX790" s="9"/>
      <c r="BY790" s="9"/>
      <c r="BZ790" s="9"/>
      <c r="CA790" s="9"/>
      <c r="CB790" s="9"/>
      <c r="CC790" s="9"/>
      <c r="CD790" s="9"/>
      <c r="CE790" s="9"/>
      <c r="CF790" s="9"/>
      <c r="CG790" s="9"/>
    </row>
    <row r="791" spans="1:85" ht="18" customHeight="1" x14ac:dyDescent="0.3">
      <c r="A791" s="9">
        <f t="shared" si="60"/>
        <v>790</v>
      </c>
      <c r="B791" s="9" t="str">
        <f t="shared" si="61"/>
        <v/>
      </c>
      <c r="C791" s="9"/>
      <c r="D791" s="9"/>
      <c r="E791" s="9">
        <f t="shared" si="62"/>
        <v>0</v>
      </c>
      <c r="F791" s="9"/>
      <c r="G791" s="9"/>
      <c r="H791" s="9"/>
      <c r="I791" s="9"/>
      <c r="J791" s="9"/>
      <c r="K791" s="9"/>
      <c r="L791" s="9"/>
      <c r="M791" s="9"/>
      <c r="N791" s="9" t="str">
        <f t="shared" si="63"/>
        <v>NO</v>
      </c>
      <c r="O791" s="9" t="str">
        <f t="shared" si="64"/>
        <v>🟡</v>
      </c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  <c r="BL791" s="9"/>
      <c r="BM791" s="9"/>
      <c r="BN791" s="9"/>
      <c r="BO791" s="9"/>
      <c r="BP791" s="9"/>
      <c r="BQ791" s="9"/>
      <c r="BR791" s="9"/>
      <c r="BS791" s="9"/>
      <c r="BT791" s="9"/>
      <c r="BU791" s="9"/>
      <c r="BV791" s="9"/>
      <c r="BW791" s="9"/>
      <c r="BX791" s="9"/>
      <c r="BY791" s="9"/>
      <c r="BZ791" s="9"/>
      <c r="CA791" s="9"/>
      <c r="CB791" s="9"/>
      <c r="CC791" s="9"/>
      <c r="CD791" s="9"/>
      <c r="CE791" s="9"/>
      <c r="CF791" s="9"/>
      <c r="CG791" s="9"/>
    </row>
    <row r="792" spans="1:85" ht="18" customHeight="1" x14ac:dyDescent="0.3">
      <c r="A792" s="9">
        <f t="shared" si="60"/>
        <v>791</v>
      </c>
      <c r="B792" s="9" t="str">
        <f t="shared" si="61"/>
        <v/>
      </c>
      <c r="C792" s="9"/>
      <c r="D792" s="9"/>
      <c r="E792" s="9">
        <f t="shared" si="62"/>
        <v>0</v>
      </c>
      <c r="F792" s="9"/>
      <c r="G792" s="9"/>
      <c r="H792" s="9"/>
      <c r="I792" s="9"/>
      <c r="J792" s="9"/>
      <c r="K792" s="9"/>
      <c r="L792" s="9"/>
      <c r="M792" s="9"/>
      <c r="N792" s="9" t="str">
        <f t="shared" si="63"/>
        <v>NO</v>
      </c>
      <c r="O792" s="9" t="str">
        <f t="shared" si="64"/>
        <v>🟡</v>
      </c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9"/>
      <c r="BP792" s="9"/>
      <c r="BQ792" s="9"/>
      <c r="BR792" s="9"/>
      <c r="BS792" s="9"/>
      <c r="BT792" s="9"/>
      <c r="BU792" s="9"/>
      <c r="BV792" s="9"/>
      <c r="BW792" s="9"/>
      <c r="BX792" s="9"/>
      <c r="BY792" s="9"/>
      <c r="BZ792" s="9"/>
      <c r="CA792" s="9"/>
      <c r="CB792" s="9"/>
      <c r="CC792" s="9"/>
      <c r="CD792" s="9"/>
      <c r="CE792" s="9"/>
      <c r="CF792" s="9"/>
      <c r="CG792" s="9"/>
    </row>
    <row r="793" spans="1:85" ht="18" customHeight="1" x14ac:dyDescent="0.3">
      <c r="A793" s="9">
        <f t="shared" si="60"/>
        <v>792</v>
      </c>
      <c r="B793" s="9" t="str">
        <f t="shared" si="61"/>
        <v/>
      </c>
      <c r="C793" s="9"/>
      <c r="D793" s="9"/>
      <c r="E793" s="9">
        <f t="shared" si="62"/>
        <v>0</v>
      </c>
      <c r="F793" s="9"/>
      <c r="G793" s="9"/>
      <c r="H793" s="9"/>
      <c r="I793" s="9"/>
      <c r="J793" s="9"/>
      <c r="K793" s="9"/>
      <c r="L793" s="9"/>
      <c r="M793" s="9"/>
      <c r="N793" s="9" t="str">
        <f t="shared" si="63"/>
        <v>NO</v>
      </c>
      <c r="O793" s="9" t="str">
        <f t="shared" si="64"/>
        <v>🟡</v>
      </c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  <c r="BF793" s="9"/>
      <c r="BG793" s="9"/>
      <c r="BH793" s="9"/>
      <c r="BI793" s="9"/>
      <c r="BJ793" s="9"/>
      <c r="BK793" s="9"/>
      <c r="BL793" s="9"/>
      <c r="BM793" s="9"/>
      <c r="BN793" s="9"/>
      <c r="BO793" s="9"/>
      <c r="BP793" s="9"/>
      <c r="BQ793" s="9"/>
      <c r="BR793" s="9"/>
      <c r="BS793" s="9"/>
      <c r="BT793" s="9"/>
      <c r="BU793" s="9"/>
      <c r="BV793" s="9"/>
      <c r="BW793" s="9"/>
      <c r="BX793" s="9"/>
      <c r="BY793" s="9"/>
      <c r="BZ793" s="9"/>
      <c r="CA793" s="9"/>
      <c r="CB793" s="9"/>
      <c r="CC793" s="9"/>
      <c r="CD793" s="9"/>
      <c r="CE793" s="9"/>
      <c r="CF793" s="9"/>
      <c r="CG793" s="9"/>
    </row>
    <row r="794" spans="1:85" ht="18" customHeight="1" x14ac:dyDescent="0.3">
      <c r="A794" s="9">
        <f t="shared" si="60"/>
        <v>793</v>
      </c>
      <c r="B794" s="9" t="str">
        <f t="shared" si="61"/>
        <v/>
      </c>
      <c r="C794" s="9"/>
      <c r="D794" s="9"/>
      <c r="E794" s="9">
        <f t="shared" si="62"/>
        <v>0</v>
      </c>
      <c r="F794" s="9"/>
      <c r="G794" s="9"/>
      <c r="H794" s="9"/>
      <c r="I794" s="9"/>
      <c r="J794" s="9"/>
      <c r="K794" s="9"/>
      <c r="L794" s="9"/>
      <c r="M794" s="9"/>
      <c r="N794" s="9" t="str">
        <f t="shared" si="63"/>
        <v>NO</v>
      </c>
      <c r="O794" s="9" t="str">
        <f t="shared" si="64"/>
        <v>🟡</v>
      </c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9"/>
      <c r="BP794" s="9"/>
      <c r="BQ794" s="9"/>
      <c r="BR794" s="9"/>
      <c r="BS794" s="9"/>
      <c r="BT794" s="9"/>
      <c r="BU794" s="9"/>
      <c r="BV794" s="9"/>
      <c r="BW794" s="9"/>
      <c r="BX794" s="9"/>
      <c r="BY794" s="9"/>
      <c r="BZ794" s="9"/>
      <c r="CA794" s="9"/>
      <c r="CB794" s="9"/>
      <c r="CC794" s="9"/>
      <c r="CD794" s="9"/>
      <c r="CE794" s="9"/>
      <c r="CF794" s="9"/>
      <c r="CG794" s="9"/>
    </row>
    <row r="795" spans="1:85" ht="18" customHeight="1" x14ac:dyDescent="0.3">
      <c r="A795" s="9">
        <f t="shared" si="60"/>
        <v>794</v>
      </c>
      <c r="B795" s="9" t="str">
        <f t="shared" si="61"/>
        <v/>
      </c>
      <c r="C795" s="9"/>
      <c r="D795" s="9"/>
      <c r="E795" s="9">
        <f t="shared" si="62"/>
        <v>0</v>
      </c>
      <c r="F795" s="9"/>
      <c r="G795" s="9"/>
      <c r="H795" s="9"/>
      <c r="I795" s="9"/>
      <c r="J795" s="9"/>
      <c r="K795" s="9"/>
      <c r="L795" s="9"/>
      <c r="M795" s="9"/>
      <c r="N795" s="9" t="str">
        <f t="shared" si="63"/>
        <v>NO</v>
      </c>
      <c r="O795" s="9" t="str">
        <f t="shared" si="64"/>
        <v>🟡</v>
      </c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  <c r="BF795" s="9"/>
      <c r="BG795" s="9"/>
      <c r="BH795" s="9"/>
      <c r="BI795" s="9"/>
      <c r="BJ795" s="9"/>
      <c r="BK795" s="9"/>
      <c r="BL795" s="9"/>
      <c r="BM795" s="9"/>
      <c r="BN795" s="9"/>
      <c r="BO795" s="9"/>
      <c r="BP795" s="9"/>
      <c r="BQ795" s="9"/>
      <c r="BR795" s="9"/>
      <c r="BS795" s="9"/>
      <c r="BT795" s="9"/>
      <c r="BU795" s="9"/>
      <c r="BV795" s="9"/>
      <c r="BW795" s="9"/>
      <c r="BX795" s="9"/>
      <c r="BY795" s="9"/>
      <c r="BZ795" s="9"/>
      <c r="CA795" s="9"/>
      <c r="CB795" s="9"/>
      <c r="CC795" s="9"/>
      <c r="CD795" s="9"/>
      <c r="CE795" s="9"/>
      <c r="CF795" s="9"/>
      <c r="CG795" s="9"/>
    </row>
    <row r="796" spans="1:85" ht="18" customHeight="1" x14ac:dyDescent="0.3">
      <c r="A796" s="9">
        <f t="shared" si="60"/>
        <v>795</v>
      </c>
      <c r="B796" s="9" t="str">
        <f t="shared" si="61"/>
        <v/>
      </c>
      <c r="C796" s="9"/>
      <c r="D796" s="9"/>
      <c r="E796" s="9">
        <f t="shared" si="62"/>
        <v>0</v>
      </c>
      <c r="F796" s="9"/>
      <c r="G796" s="9"/>
      <c r="H796" s="9"/>
      <c r="I796" s="9"/>
      <c r="J796" s="9"/>
      <c r="K796" s="9"/>
      <c r="L796" s="9"/>
      <c r="M796" s="9"/>
      <c r="N796" s="9" t="str">
        <f t="shared" si="63"/>
        <v>NO</v>
      </c>
      <c r="O796" s="9" t="str">
        <f t="shared" si="64"/>
        <v>🟡</v>
      </c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9"/>
      <c r="BP796" s="9"/>
      <c r="BQ796" s="9"/>
      <c r="BR796" s="9"/>
      <c r="BS796" s="9"/>
      <c r="BT796" s="9"/>
      <c r="BU796" s="9"/>
      <c r="BV796" s="9"/>
      <c r="BW796" s="9"/>
      <c r="BX796" s="9"/>
      <c r="BY796" s="9"/>
      <c r="BZ796" s="9"/>
      <c r="CA796" s="9"/>
      <c r="CB796" s="9"/>
      <c r="CC796" s="9"/>
      <c r="CD796" s="9"/>
      <c r="CE796" s="9"/>
      <c r="CF796" s="9"/>
      <c r="CG796" s="9"/>
    </row>
    <row r="797" spans="1:85" ht="18" customHeight="1" x14ac:dyDescent="0.3">
      <c r="A797" s="9">
        <f t="shared" si="60"/>
        <v>796</v>
      </c>
      <c r="B797" s="9" t="str">
        <f t="shared" si="61"/>
        <v/>
      </c>
      <c r="C797" s="9"/>
      <c r="D797" s="9"/>
      <c r="E797" s="9">
        <f t="shared" si="62"/>
        <v>0</v>
      </c>
      <c r="F797" s="9"/>
      <c r="G797" s="9"/>
      <c r="H797" s="9"/>
      <c r="I797" s="9"/>
      <c r="J797" s="9"/>
      <c r="K797" s="9"/>
      <c r="L797" s="9"/>
      <c r="M797" s="9"/>
      <c r="N797" s="9" t="str">
        <f t="shared" si="63"/>
        <v>NO</v>
      </c>
      <c r="O797" s="9" t="str">
        <f t="shared" si="64"/>
        <v>🟡</v>
      </c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  <c r="BF797" s="9"/>
      <c r="BG797" s="9"/>
      <c r="BH797" s="9"/>
      <c r="BI797" s="9"/>
      <c r="BJ797" s="9"/>
      <c r="BK797" s="9"/>
      <c r="BL797" s="9"/>
      <c r="BM797" s="9"/>
      <c r="BN797" s="9"/>
      <c r="BO797" s="9"/>
      <c r="BP797" s="9"/>
      <c r="BQ797" s="9"/>
      <c r="BR797" s="9"/>
      <c r="BS797" s="9"/>
      <c r="BT797" s="9"/>
      <c r="BU797" s="9"/>
      <c r="BV797" s="9"/>
      <c r="BW797" s="9"/>
      <c r="BX797" s="9"/>
      <c r="BY797" s="9"/>
      <c r="BZ797" s="9"/>
      <c r="CA797" s="9"/>
      <c r="CB797" s="9"/>
      <c r="CC797" s="9"/>
      <c r="CD797" s="9"/>
      <c r="CE797" s="9"/>
      <c r="CF797" s="9"/>
      <c r="CG797" s="9"/>
    </row>
    <row r="798" spans="1:85" ht="18" customHeight="1" x14ac:dyDescent="0.3">
      <c r="A798" s="9">
        <f t="shared" si="60"/>
        <v>797</v>
      </c>
      <c r="B798" s="9" t="str">
        <f t="shared" si="61"/>
        <v/>
      </c>
      <c r="C798" s="9"/>
      <c r="D798" s="9"/>
      <c r="E798" s="9">
        <f t="shared" si="62"/>
        <v>0</v>
      </c>
      <c r="F798" s="9"/>
      <c r="G798" s="9"/>
      <c r="H798" s="9"/>
      <c r="I798" s="9"/>
      <c r="J798" s="9"/>
      <c r="K798" s="9"/>
      <c r="L798" s="9"/>
      <c r="M798" s="9"/>
      <c r="N798" s="9" t="str">
        <f t="shared" si="63"/>
        <v>NO</v>
      </c>
      <c r="O798" s="9" t="str">
        <f t="shared" si="64"/>
        <v>🟡</v>
      </c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9"/>
      <c r="BP798" s="9"/>
      <c r="BQ798" s="9"/>
      <c r="BR798" s="9"/>
      <c r="BS798" s="9"/>
      <c r="BT798" s="9"/>
      <c r="BU798" s="9"/>
      <c r="BV798" s="9"/>
      <c r="BW798" s="9"/>
      <c r="BX798" s="9"/>
      <c r="BY798" s="9"/>
      <c r="BZ798" s="9"/>
      <c r="CA798" s="9"/>
      <c r="CB798" s="9"/>
      <c r="CC798" s="9"/>
      <c r="CD798" s="9"/>
      <c r="CE798" s="9"/>
      <c r="CF798" s="9"/>
      <c r="CG798" s="9"/>
    </row>
    <row r="799" spans="1:85" ht="18" customHeight="1" x14ac:dyDescent="0.3">
      <c r="A799" s="9">
        <f t="shared" si="60"/>
        <v>798</v>
      </c>
      <c r="B799" s="9" t="str">
        <f t="shared" si="61"/>
        <v/>
      </c>
      <c r="C799" s="9"/>
      <c r="D799" s="9"/>
      <c r="E799" s="9">
        <f t="shared" si="62"/>
        <v>0</v>
      </c>
      <c r="F799" s="9"/>
      <c r="G799" s="9"/>
      <c r="H799" s="9"/>
      <c r="I799" s="9"/>
      <c r="J799" s="9"/>
      <c r="K799" s="9"/>
      <c r="L799" s="9"/>
      <c r="M799" s="9"/>
      <c r="N799" s="9" t="str">
        <f t="shared" si="63"/>
        <v>NO</v>
      </c>
      <c r="O799" s="9" t="str">
        <f t="shared" si="64"/>
        <v>🟡</v>
      </c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  <c r="BL799" s="9"/>
      <c r="BM799" s="9"/>
      <c r="BN799" s="9"/>
      <c r="BO799" s="9"/>
      <c r="BP799" s="9"/>
      <c r="BQ799" s="9"/>
      <c r="BR799" s="9"/>
      <c r="BS799" s="9"/>
      <c r="BT799" s="9"/>
      <c r="BU799" s="9"/>
      <c r="BV799" s="9"/>
      <c r="BW799" s="9"/>
      <c r="BX799" s="9"/>
      <c r="BY799" s="9"/>
      <c r="BZ799" s="9"/>
      <c r="CA799" s="9"/>
      <c r="CB799" s="9"/>
      <c r="CC799" s="9"/>
      <c r="CD799" s="9"/>
      <c r="CE799" s="9"/>
      <c r="CF799" s="9"/>
      <c r="CG799" s="9"/>
    </row>
    <row r="800" spans="1:85" ht="18" customHeight="1" x14ac:dyDescent="0.3">
      <c r="A800" s="9">
        <f t="shared" si="60"/>
        <v>799</v>
      </c>
      <c r="B800" s="9" t="str">
        <f t="shared" si="61"/>
        <v/>
      </c>
      <c r="C800" s="9"/>
      <c r="D800" s="9"/>
      <c r="E800" s="9">
        <f t="shared" si="62"/>
        <v>0</v>
      </c>
      <c r="F800" s="9"/>
      <c r="G800" s="9"/>
      <c r="H800" s="9"/>
      <c r="I800" s="9"/>
      <c r="J800" s="9"/>
      <c r="K800" s="9"/>
      <c r="L800" s="9"/>
      <c r="M800" s="9"/>
      <c r="N800" s="9" t="str">
        <f t="shared" si="63"/>
        <v>NO</v>
      </c>
      <c r="O800" s="9" t="str">
        <f t="shared" si="64"/>
        <v>🟡</v>
      </c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9"/>
      <c r="BP800" s="9"/>
      <c r="BQ800" s="9"/>
      <c r="BR800" s="9"/>
      <c r="BS800" s="9"/>
      <c r="BT800" s="9"/>
      <c r="BU800" s="9"/>
      <c r="BV800" s="9"/>
      <c r="BW800" s="9"/>
      <c r="BX800" s="9"/>
      <c r="BY800" s="9"/>
      <c r="BZ800" s="9"/>
      <c r="CA800" s="9"/>
      <c r="CB800" s="9"/>
      <c r="CC800" s="9"/>
      <c r="CD800" s="9"/>
      <c r="CE800" s="9"/>
      <c r="CF800" s="9"/>
      <c r="CG800" s="9"/>
    </row>
    <row r="801" spans="1:85" ht="18" customHeight="1" x14ac:dyDescent="0.3">
      <c r="A801" s="9">
        <f t="shared" si="60"/>
        <v>800</v>
      </c>
      <c r="B801" s="9" t="str">
        <f t="shared" si="61"/>
        <v/>
      </c>
      <c r="C801" s="9"/>
      <c r="D801" s="9"/>
      <c r="E801" s="9">
        <f t="shared" si="62"/>
        <v>0</v>
      </c>
      <c r="F801" s="9"/>
      <c r="G801" s="9"/>
      <c r="H801" s="9"/>
      <c r="I801" s="9"/>
      <c r="J801" s="9"/>
      <c r="K801" s="9"/>
      <c r="L801" s="9"/>
      <c r="M801" s="9"/>
      <c r="N801" s="9" t="str">
        <f t="shared" si="63"/>
        <v>NO</v>
      </c>
      <c r="O801" s="9" t="str">
        <f t="shared" si="64"/>
        <v>🟡</v>
      </c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  <c r="BF801" s="9"/>
      <c r="BG801" s="9"/>
      <c r="BH801" s="9"/>
      <c r="BI801" s="9"/>
      <c r="BJ801" s="9"/>
      <c r="BK801" s="9"/>
      <c r="BL801" s="9"/>
      <c r="BM801" s="9"/>
      <c r="BN801" s="9"/>
      <c r="BO801" s="9"/>
      <c r="BP801" s="9"/>
      <c r="BQ801" s="9"/>
      <c r="BR801" s="9"/>
      <c r="BS801" s="9"/>
      <c r="BT801" s="9"/>
      <c r="BU801" s="9"/>
      <c r="BV801" s="9"/>
      <c r="BW801" s="9"/>
      <c r="BX801" s="9"/>
      <c r="BY801" s="9"/>
      <c r="BZ801" s="9"/>
      <c r="CA801" s="9"/>
      <c r="CB801" s="9"/>
      <c r="CC801" s="9"/>
      <c r="CD801" s="9"/>
      <c r="CE801" s="9"/>
      <c r="CF801" s="9"/>
      <c r="CG801" s="9"/>
    </row>
    <row r="802" spans="1:85" ht="18" customHeight="1" x14ac:dyDescent="0.3">
      <c r="A802" s="9">
        <f t="shared" si="60"/>
        <v>801</v>
      </c>
      <c r="B802" s="9" t="str">
        <f t="shared" si="61"/>
        <v/>
      </c>
      <c r="C802" s="9"/>
      <c r="D802" s="9"/>
      <c r="E802" s="9">
        <f t="shared" si="62"/>
        <v>0</v>
      </c>
      <c r="F802" s="9"/>
      <c r="G802" s="9"/>
      <c r="H802" s="9"/>
      <c r="I802" s="9"/>
      <c r="J802" s="9"/>
      <c r="K802" s="9"/>
      <c r="L802" s="9"/>
      <c r="M802" s="9"/>
      <c r="N802" s="9" t="str">
        <f t="shared" si="63"/>
        <v>NO</v>
      </c>
      <c r="O802" s="9" t="str">
        <f t="shared" si="64"/>
        <v>🟡</v>
      </c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9"/>
      <c r="BP802" s="9"/>
      <c r="BQ802" s="9"/>
      <c r="BR802" s="9"/>
      <c r="BS802" s="9"/>
      <c r="BT802" s="9"/>
      <c r="BU802" s="9"/>
      <c r="BV802" s="9"/>
      <c r="BW802" s="9"/>
      <c r="BX802" s="9"/>
      <c r="BY802" s="9"/>
      <c r="BZ802" s="9"/>
      <c r="CA802" s="9"/>
      <c r="CB802" s="9"/>
      <c r="CC802" s="9"/>
      <c r="CD802" s="9"/>
      <c r="CE802" s="9"/>
      <c r="CF802" s="9"/>
      <c r="CG802" s="9"/>
    </row>
    <row r="803" spans="1:85" ht="18" customHeight="1" x14ac:dyDescent="0.3">
      <c r="A803" s="9">
        <f t="shared" si="60"/>
        <v>802</v>
      </c>
      <c r="B803" s="9" t="str">
        <f t="shared" si="61"/>
        <v/>
      </c>
      <c r="C803" s="9"/>
      <c r="D803" s="9"/>
      <c r="E803" s="9">
        <f t="shared" si="62"/>
        <v>0</v>
      </c>
      <c r="F803" s="9"/>
      <c r="G803" s="9"/>
      <c r="H803" s="9"/>
      <c r="I803" s="9"/>
      <c r="J803" s="9"/>
      <c r="K803" s="9"/>
      <c r="L803" s="9"/>
      <c r="M803" s="9"/>
      <c r="N803" s="9" t="str">
        <f t="shared" si="63"/>
        <v>NO</v>
      </c>
      <c r="O803" s="9" t="str">
        <f t="shared" si="64"/>
        <v>🟡</v>
      </c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  <c r="BL803" s="9"/>
      <c r="BM803" s="9"/>
      <c r="BN803" s="9"/>
      <c r="BO803" s="9"/>
      <c r="BP803" s="9"/>
      <c r="BQ803" s="9"/>
      <c r="BR803" s="9"/>
      <c r="BS803" s="9"/>
      <c r="BT803" s="9"/>
      <c r="BU803" s="9"/>
      <c r="BV803" s="9"/>
      <c r="BW803" s="9"/>
      <c r="BX803" s="9"/>
      <c r="BY803" s="9"/>
      <c r="BZ803" s="9"/>
      <c r="CA803" s="9"/>
      <c r="CB803" s="9"/>
      <c r="CC803" s="9"/>
      <c r="CD803" s="9"/>
      <c r="CE803" s="9"/>
      <c r="CF803" s="9"/>
      <c r="CG803" s="9"/>
    </row>
    <row r="804" spans="1:85" ht="18" customHeight="1" x14ac:dyDescent="0.3">
      <c r="A804" s="9">
        <f t="shared" si="60"/>
        <v>803</v>
      </c>
      <c r="B804" s="9" t="str">
        <f t="shared" si="61"/>
        <v/>
      </c>
      <c r="C804" s="9"/>
      <c r="D804" s="9"/>
      <c r="E804" s="9">
        <f t="shared" si="62"/>
        <v>0</v>
      </c>
      <c r="F804" s="9"/>
      <c r="G804" s="9"/>
      <c r="H804" s="9"/>
      <c r="I804" s="9"/>
      <c r="J804" s="9"/>
      <c r="K804" s="9"/>
      <c r="L804" s="9"/>
      <c r="M804" s="9"/>
      <c r="N804" s="9" t="str">
        <f t="shared" si="63"/>
        <v>NO</v>
      </c>
      <c r="O804" s="9" t="str">
        <f t="shared" si="64"/>
        <v>🟡</v>
      </c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9"/>
      <c r="BP804" s="9"/>
      <c r="BQ804" s="9"/>
      <c r="BR804" s="9"/>
      <c r="BS804" s="9"/>
      <c r="BT804" s="9"/>
      <c r="BU804" s="9"/>
      <c r="BV804" s="9"/>
      <c r="BW804" s="9"/>
      <c r="BX804" s="9"/>
      <c r="BY804" s="9"/>
      <c r="BZ804" s="9"/>
      <c r="CA804" s="9"/>
      <c r="CB804" s="9"/>
      <c r="CC804" s="9"/>
      <c r="CD804" s="9"/>
      <c r="CE804" s="9"/>
      <c r="CF804" s="9"/>
      <c r="CG804" s="9"/>
    </row>
    <row r="805" spans="1:85" ht="18" customHeight="1" x14ac:dyDescent="0.3">
      <c r="A805" s="9">
        <f t="shared" si="60"/>
        <v>804</v>
      </c>
      <c r="B805" s="9" t="str">
        <f t="shared" si="61"/>
        <v/>
      </c>
      <c r="C805" s="9"/>
      <c r="D805" s="9"/>
      <c r="E805" s="9">
        <f t="shared" si="62"/>
        <v>0</v>
      </c>
      <c r="F805" s="9"/>
      <c r="G805" s="9"/>
      <c r="H805" s="9"/>
      <c r="I805" s="9"/>
      <c r="J805" s="9"/>
      <c r="K805" s="9"/>
      <c r="L805" s="9"/>
      <c r="M805" s="9"/>
      <c r="N805" s="9" t="str">
        <f t="shared" si="63"/>
        <v>NO</v>
      </c>
      <c r="O805" s="9" t="str">
        <f t="shared" si="64"/>
        <v>🟡</v>
      </c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  <c r="BL805" s="9"/>
      <c r="BM805" s="9"/>
      <c r="BN805" s="9"/>
      <c r="BO805" s="9"/>
      <c r="BP805" s="9"/>
      <c r="BQ805" s="9"/>
      <c r="BR805" s="9"/>
      <c r="BS805" s="9"/>
      <c r="BT805" s="9"/>
      <c r="BU805" s="9"/>
      <c r="BV805" s="9"/>
      <c r="BW805" s="9"/>
      <c r="BX805" s="9"/>
      <c r="BY805" s="9"/>
      <c r="BZ805" s="9"/>
      <c r="CA805" s="9"/>
      <c r="CB805" s="9"/>
      <c r="CC805" s="9"/>
      <c r="CD805" s="9"/>
      <c r="CE805" s="9"/>
      <c r="CF805" s="9"/>
      <c r="CG805" s="9"/>
    </row>
    <row r="806" spans="1:85" ht="18" customHeight="1" x14ac:dyDescent="0.3">
      <c r="A806" s="9">
        <f t="shared" si="60"/>
        <v>805</v>
      </c>
      <c r="B806" s="9" t="str">
        <f t="shared" si="61"/>
        <v/>
      </c>
      <c r="C806" s="9"/>
      <c r="D806" s="9"/>
      <c r="E806" s="9">
        <f t="shared" si="62"/>
        <v>0</v>
      </c>
      <c r="F806" s="9"/>
      <c r="G806" s="9"/>
      <c r="H806" s="9"/>
      <c r="I806" s="9"/>
      <c r="J806" s="9"/>
      <c r="K806" s="9"/>
      <c r="L806" s="9"/>
      <c r="M806" s="9"/>
      <c r="N806" s="9" t="str">
        <f t="shared" si="63"/>
        <v>NO</v>
      </c>
      <c r="O806" s="9" t="str">
        <f t="shared" si="64"/>
        <v>🟡</v>
      </c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9"/>
      <c r="CC806" s="9"/>
      <c r="CD806" s="9"/>
      <c r="CE806" s="9"/>
      <c r="CF806" s="9"/>
      <c r="CG806" s="9"/>
    </row>
    <row r="807" spans="1:85" ht="18" customHeight="1" x14ac:dyDescent="0.3">
      <c r="A807" s="9">
        <f t="shared" si="60"/>
        <v>806</v>
      </c>
      <c r="B807" s="9" t="str">
        <f t="shared" si="61"/>
        <v/>
      </c>
      <c r="C807" s="9"/>
      <c r="D807" s="9"/>
      <c r="E807" s="9">
        <f t="shared" si="62"/>
        <v>0</v>
      </c>
      <c r="F807" s="9"/>
      <c r="G807" s="9"/>
      <c r="H807" s="9"/>
      <c r="I807" s="9"/>
      <c r="J807" s="9"/>
      <c r="K807" s="9"/>
      <c r="L807" s="9"/>
      <c r="M807" s="9"/>
      <c r="N807" s="9" t="str">
        <f t="shared" si="63"/>
        <v>NO</v>
      </c>
      <c r="O807" s="9" t="str">
        <f t="shared" si="64"/>
        <v>🟡</v>
      </c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  <c r="BF807" s="9"/>
      <c r="BG807" s="9"/>
      <c r="BH807" s="9"/>
      <c r="BI807" s="9"/>
      <c r="BJ807" s="9"/>
      <c r="BK807" s="9"/>
      <c r="BL807" s="9"/>
      <c r="BM807" s="9"/>
      <c r="BN807" s="9"/>
      <c r="BO807" s="9"/>
      <c r="BP807" s="9"/>
      <c r="BQ807" s="9"/>
      <c r="BR807" s="9"/>
      <c r="BS807" s="9"/>
      <c r="BT807" s="9"/>
      <c r="BU807" s="9"/>
      <c r="BV807" s="9"/>
      <c r="BW807" s="9"/>
      <c r="BX807" s="9"/>
      <c r="BY807" s="9"/>
      <c r="BZ807" s="9"/>
      <c r="CA807" s="9"/>
      <c r="CB807" s="9"/>
      <c r="CC807" s="9"/>
      <c r="CD807" s="9"/>
      <c r="CE807" s="9"/>
      <c r="CF807" s="9"/>
      <c r="CG807" s="9"/>
    </row>
    <row r="808" spans="1:85" ht="18" customHeight="1" x14ac:dyDescent="0.3">
      <c r="A808" s="9">
        <f t="shared" si="60"/>
        <v>807</v>
      </c>
      <c r="B808" s="9" t="str">
        <f t="shared" si="61"/>
        <v/>
      </c>
      <c r="C808" s="9"/>
      <c r="D808" s="9"/>
      <c r="E808" s="9">
        <f t="shared" si="62"/>
        <v>0</v>
      </c>
      <c r="F808" s="9"/>
      <c r="G808" s="9"/>
      <c r="H808" s="9"/>
      <c r="I808" s="9"/>
      <c r="J808" s="9"/>
      <c r="K808" s="9"/>
      <c r="L808" s="9"/>
      <c r="M808" s="9"/>
      <c r="N808" s="9" t="str">
        <f t="shared" si="63"/>
        <v>NO</v>
      </c>
      <c r="O808" s="9" t="str">
        <f t="shared" si="64"/>
        <v>🟡</v>
      </c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9"/>
      <c r="BP808" s="9"/>
      <c r="BQ808" s="9"/>
      <c r="BR808" s="9"/>
      <c r="BS808" s="9"/>
      <c r="BT808" s="9"/>
      <c r="BU808" s="9"/>
      <c r="BV808" s="9"/>
      <c r="BW808" s="9"/>
      <c r="BX808" s="9"/>
      <c r="BY808" s="9"/>
      <c r="BZ808" s="9"/>
      <c r="CA808" s="9"/>
      <c r="CB808" s="9"/>
      <c r="CC808" s="9"/>
      <c r="CD808" s="9"/>
      <c r="CE808" s="9"/>
      <c r="CF808" s="9"/>
      <c r="CG808" s="9"/>
    </row>
    <row r="809" spans="1:85" ht="18" customHeight="1" x14ac:dyDescent="0.3">
      <c r="A809" s="9">
        <f t="shared" si="60"/>
        <v>808</v>
      </c>
      <c r="B809" s="9" t="str">
        <f t="shared" si="61"/>
        <v/>
      </c>
      <c r="C809" s="9"/>
      <c r="D809" s="9"/>
      <c r="E809" s="9">
        <f t="shared" si="62"/>
        <v>0</v>
      </c>
      <c r="F809" s="9"/>
      <c r="G809" s="9"/>
      <c r="H809" s="9"/>
      <c r="I809" s="9"/>
      <c r="J809" s="9"/>
      <c r="K809" s="9"/>
      <c r="L809" s="9"/>
      <c r="M809" s="9"/>
      <c r="N809" s="9" t="str">
        <f t="shared" si="63"/>
        <v>NO</v>
      </c>
      <c r="O809" s="9" t="str">
        <f t="shared" si="64"/>
        <v>🟡</v>
      </c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  <c r="BL809" s="9"/>
      <c r="BM809" s="9"/>
      <c r="BN809" s="9"/>
      <c r="BO809" s="9"/>
      <c r="BP809" s="9"/>
      <c r="BQ809" s="9"/>
      <c r="BR809" s="9"/>
      <c r="BS809" s="9"/>
      <c r="BT809" s="9"/>
      <c r="BU809" s="9"/>
      <c r="BV809" s="9"/>
      <c r="BW809" s="9"/>
      <c r="BX809" s="9"/>
      <c r="BY809" s="9"/>
      <c r="BZ809" s="9"/>
      <c r="CA809" s="9"/>
      <c r="CB809" s="9"/>
      <c r="CC809" s="9"/>
      <c r="CD809" s="9"/>
      <c r="CE809" s="9"/>
      <c r="CF809" s="9"/>
      <c r="CG809" s="9"/>
    </row>
    <row r="810" spans="1:85" ht="18" customHeight="1" x14ac:dyDescent="0.3">
      <c r="A810" s="9">
        <f t="shared" si="60"/>
        <v>809</v>
      </c>
      <c r="B810" s="9" t="str">
        <f t="shared" si="61"/>
        <v/>
      </c>
      <c r="C810" s="9"/>
      <c r="D810" s="9"/>
      <c r="E810" s="9">
        <f t="shared" si="62"/>
        <v>0</v>
      </c>
      <c r="F810" s="9"/>
      <c r="G810" s="9"/>
      <c r="H810" s="9"/>
      <c r="I810" s="9"/>
      <c r="J810" s="9"/>
      <c r="K810" s="9"/>
      <c r="L810" s="9"/>
      <c r="M810" s="9"/>
      <c r="N810" s="9" t="str">
        <f t="shared" si="63"/>
        <v>NO</v>
      </c>
      <c r="O810" s="9" t="str">
        <f t="shared" si="64"/>
        <v>🟡</v>
      </c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9"/>
      <c r="BP810" s="9"/>
      <c r="BQ810" s="9"/>
      <c r="BR810" s="9"/>
      <c r="BS810" s="9"/>
      <c r="BT810" s="9"/>
      <c r="BU810" s="9"/>
      <c r="BV810" s="9"/>
      <c r="BW810" s="9"/>
      <c r="BX810" s="9"/>
      <c r="BY810" s="9"/>
      <c r="BZ810" s="9"/>
      <c r="CA810" s="9"/>
      <c r="CB810" s="9"/>
      <c r="CC810" s="9"/>
      <c r="CD810" s="9"/>
      <c r="CE810" s="9"/>
      <c r="CF810" s="9"/>
      <c r="CG810" s="9"/>
    </row>
    <row r="811" spans="1:85" ht="18" customHeight="1" x14ac:dyDescent="0.3">
      <c r="A811" s="9">
        <f t="shared" si="60"/>
        <v>810</v>
      </c>
      <c r="B811" s="9" t="str">
        <f t="shared" si="61"/>
        <v/>
      </c>
      <c r="C811" s="9"/>
      <c r="D811" s="9"/>
      <c r="E811" s="9">
        <f t="shared" si="62"/>
        <v>0</v>
      </c>
      <c r="F811" s="9"/>
      <c r="G811" s="9"/>
      <c r="H811" s="9"/>
      <c r="I811" s="9"/>
      <c r="J811" s="9"/>
      <c r="K811" s="9"/>
      <c r="L811" s="9"/>
      <c r="M811" s="9"/>
      <c r="N811" s="9" t="str">
        <f t="shared" si="63"/>
        <v>NO</v>
      </c>
      <c r="O811" s="9" t="str">
        <f t="shared" si="64"/>
        <v>🟡</v>
      </c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9"/>
      <c r="BP811" s="9"/>
      <c r="BQ811" s="9"/>
      <c r="BR811" s="9"/>
      <c r="BS811" s="9"/>
      <c r="BT811" s="9"/>
      <c r="BU811" s="9"/>
      <c r="BV811" s="9"/>
      <c r="BW811" s="9"/>
      <c r="BX811" s="9"/>
      <c r="BY811" s="9"/>
      <c r="BZ811" s="9"/>
      <c r="CA811" s="9"/>
      <c r="CB811" s="9"/>
      <c r="CC811" s="9"/>
      <c r="CD811" s="9"/>
      <c r="CE811" s="9"/>
      <c r="CF811" s="9"/>
      <c r="CG811" s="9"/>
    </row>
    <row r="812" spans="1:85" ht="18" customHeight="1" x14ac:dyDescent="0.3">
      <c r="A812" s="9">
        <f t="shared" si="60"/>
        <v>811</v>
      </c>
      <c r="B812" s="9" t="str">
        <f t="shared" si="61"/>
        <v/>
      </c>
      <c r="C812" s="9"/>
      <c r="D812" s="9"/>
      <c r="E812" s="9">
        <f t="shared" si="62"/>
        <v>0</v>
      </c>
      <c r="F812" s="9"/>
      <c r="G812" s="9"/>
      <c r="H812" s="9"/>
      <c r="I812" s="9"/>
      <c r="J812" s="9"/>
      <c r="K812" s="9"/>
      <c r="L812" s="9"/>
      <c r="M812" s="9"/>
      <c r="N812" s="9" t="str">
        <f t="shared" si="63"/>
        <v>NO</v>
      </c>
      <c r="O812" s="9" t="str">
        <f t="shared" si="64"/>
        <v>🟡</v>
      </c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9"/>
      <c r="BP812" s="9"/>
      <c r="BQ812" s="9"/>
      <c r="BR812" s="9"/>
      <c r="BS812" s="9"/>
      <c r="BT812" s="9"/>
      <c r="BU812" s="9"/>
      <c r="BV812" s="9"/>
      <c r="BW812" s="9"/>
      <c r="BX812" s="9"/>
      <c r="BY812" s="9"/>
      <c r="BZ812" s="9"/>
      <c r="CA812" s="9"/>
      <c r="CB812" s="9"/>
      <c r="CC812" s="9"/>
      <c r="CD812" s="9"/>
      <c r="CE812" s="9"/>
      <c r="CF812" s="9"/>
      <c r="CG812" s="9"/>
    </row>
    <row r="813" spans="1:85" ht="18" customHeight="1" x14ac:dyDescent="0.3">
      <c r="A813" s="9">
        <f t="shared" si="60"/>
        <v>812</v>
      </c>
      <c r="B813" s="9" t="str">
        <f t="shared" si="61"/>
        <v/>
      </c>
      <c r="C813" s="9"/>
      <c r="D813" s="9"/>
      <c r="E813" s="9">
        <f t="shared" si="62"/>
        <v>0</v>
      </c>
      <c r="F813" s="9"/>
      <c r="G813" s="9"/>
      <c r="H813" s="9"/>
      <c r="I813" s="9"/>
      <c r="J813" s="9"/>
      <c r="K813" s="9"/>
      <c r="L813" s="9"/>
      <c r="M813" s="9"/>
      <c r="N813" s="9" t="str">
        <f t="shared" si="63"/>
        <v>NO</v>
      </c>
      <c r="O813" s="9" t="str">
        <f t="shared" si="64"/>
        <v>🟡</v>
      </c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9"/>
      <c r="BP813" s="9"/>
      <c r="BQ813" s="9"/>
      <c r="BR813" s="9"/>
      <c r="BS813" s="9"/>
      <c r="BT813" s="9"/>
      <c r="BU813" s="9"/>
      <c r="BV813" s="9"/>
      <c r="BW813" s="9"/>
      <c r="BX813" s="9"/>
      <c r="BY813" s="9"/>
      <c r="BZ813" s="9"/>
      <c r="CA813" s="9"/>
      <c r="CB813" s="9"/>
      <c r="CC813" s="9"/>
      <c r="CD813" s="9"/>
      <c r="CE813" s="9"/>
      <c r="CF813" s="9"/>
      <c r="CG813" s="9"/>
    </row>
    <row r="814" spans="1:85" ht="18" customHeight="1" x14ac:dyDescent="0.3">
      <c r="A814" s="9">
        <f t="shared" si="60"/>
        <v>813</v>
      </c>
      <c r="B814" s="9" t="str">
        <f t="shared" si="61"/>
        <v/>
      </c>
      <c r="C814" s="9"/>
      <c r="D814" s="9"/>
      <c r="E814" s="9">
        <f t="shared" si="62"/>
        <v>0</v>
      </c>
      <c r="F814" s="9"/>
      <c r="G814" s="9"/>
      <c r="H814" s="9"/>
      <c r="I814" s="9"/>
      <c r="J814" s="9"/>
      <c r="K814" s="9"/>
      <c r="L814" s="9"/>
      <c r="M814" s="9"/>
      <c r="N814" s="9" t="str">
        <f t="shared" si="63"/>
        <v>NO</v>
      </c>
      <c r="O814" s="9" t="str">
        <f t="shared" si="64"/>
        <v>🟡</v>
      </c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9"/>
      <c r="BP814" s="9"/>
      <c r="BQ814" s="9"/>
      <c r="BR814" s="9"/>
      <c r="BS814" s="9"/>
      <c r="BT814" s="9"/>
      <c r="BU814" s="9"/>
      <c r="BV814" s="9"/>
      <c r="BW814" s="9"/>
      <c r="BX814" s="9"/>
      <c r="BY814" s="9"/>
      <c r="BZ814" s="9"/>
      <c r="CA814" s="9"/>
      <c r="CB814" s="9"/>
      <c r="CC814" s="9"/>
      <c r="CD814" s="9"/>
      <c r="CE814" s="9"/>
      <c r="CF814" s="9"/>
      <c r="CG814" s="9"/>
    </row>
    <row r="815" spans="1:85" ht="18" customHeight="1" x14ac:dyDescent="0.3">
      <c r="A815" s="9">
        <f t="shared" si="60"/>
        <v>814</v>
      </c>
      <c r="B815" s="9" t="str">
        <f t="shared" si="61"/>
        <v/>
      </c>
      <c r="C815" s="9"/>
      <c r="D815" s="9"/>
      <c r="E815" s="9">
        <f t="shared" si="62"/>
        <v>0</v>
      </c>
      <c r="F815" s="9"/>
      <c r="G815" s="9"/>
      <c r="H815" s="9"/>
      <c r="I815" s="9"/>
      <c r="J815" s="9"/>
      <c r="K815" s="9"/>
      <c r="L815" s="9"/>
      <c r="M815" s="9"/>
      <c r="N815" s="9" t="str">
        <f t="shared" si="63"/>
        <v>NO</v>
      </c>
      <c r="O815" s="9" t="str">
        <f t="shared" si="64"/>
        <v>🟡</v>
      </c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  <c r="BF815" s="9"/>
      <c r="BG815" s="9"/>
      <c r="BH815" s="9"/>
      <c r="BI815" s="9"/>
      <c r="BJ815" s="9"/>
      <c r="BK815" s="9"/>
      <c r="BL815" s="9"/>
      <c r="BM815" s="9"/>
      <c r="BN815" s="9"/>
      <c r="BO815" s="9"/>
      <c r="BP815" s="9"/>
      <c r="BQ815" s="9"/>
      <c r="BR815" s="9"/>
      <c r="BS815" s="9"/>
      <c r="BT815" s="9"/>
      <c r="BU815" s="9"/>
      <c r="BV815" s="9"/>
      <c r="BW815" s="9"/>
      <c r="BX815" s="9"/>
      <c r="BY815" s="9"/>
      <c r="BZ815" s="9"/>
      <c r="CA815" s="9"/>
      <c r="CB815" s="9"/>
      <c r="CC815" s="9"/>
      <c r="CD815" s="9"/>
      <c r="CE815" s="9"/>
      <c r="CF815" s="9"/>
      <c r="CG815" s="9"/>
    </row>
    <row r="816" spans="1:85" ht="18" customHeight="1" x14ac:dyDescent="0.3">
      <c r="A816" s="9">
        <f t="shared" si="60"/>
        <v>815</v>
      </c>
      <c r="B816" s="9" t="str">
        <f t="shared" si="61"/>
        <v/>
      </c>
      <c r="C816" s="9"/>
      <c r="D816" s="9"/>
      <c r="E816" s="9">
        <f t="shared" si="62"/>
        <v>0</v>
      </c>
      <c r="F816" s="9"/>
      <c r="G816" s="9"/>
      <c r="H816" s="9"/>
      <c r="I816" s="9"/>
      <c r="J816" s="9"/>
      <c r="K816" s="9"/>
      <c r="L816" s="9"/>
      <c r="M816" s="9"/>
      <c r="N816" s="9" t="str">
        <f t="shared" si="63"/>
        <v>NO</v>
      </c>
      <c r="O816" s="9" t="str">
        <f t="shared" si="64"/>
        <v>🟡</v>
      </c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9"/>
      <c r="BP816" s="9"/>
      <c r="BQ816" s="9"/>
      <c r="BR816" s="9"/>
      <c r="BS816" s="9"/>
      <c r="BT816" s="9"/>
      <c r="BU816" s="9"/>
      <c r="BV816" s="9"/>
      <c r="BW816" s="9"/>
      <c r="BX816" s="9"/>
      <c r="BY816" s="9"/>
      <c r="BZ816" s="9"/>
      <c r="CA816" s="9"/>
      <c r="CB816" s="9"/>
      <c r="CC816" s="9"/>
      <c r="CD816" s="9"/>
      <c r="CE816" s="9"/>
      <c r="CF816" s="9"/>
      <c r="CG816" s="9"/>
    </row>
    <row r="817" spans="1:85" ht="18" customHeight="1" x14ac:dyDescent="0.3">
      <c r="A817" s="9">
        <f t="shared" si="60"/>
        <v>816</v>
      </c>
      <c r="B817" s="9" t="str">
        <f t="shared" si="61"/>
        <v/>
      </c>
      <c r="C817" s="9"/>
      <c r="D817" s="9"/>
      <c r="E817" s="9">
        <f t="shared" si="62"/>
        <v>0</v>
      </c>
      <c r="F817" s="9"/>
      <c r="G817" s="9"/>
      <c r="H817" s="9"/>
      <c r="I817" s="9"/>
      <c r="J817" s="9"/>
      <c r="K817" s="9"/>
      <c r="L817" s="9"/>
      <c r="M817" s="9"/>
      <c r="N817" s="9" t="str">
        <f t="shared" si="63"/>
        <v>NO</v>
      </c>
      <c r="O817" s="9" t="str">
        <f t="shared" si="64"/>
        <v>🟡</v>
      </c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  <c r="BF817" s="9"/>
      <c r="BG817" s="9"/>
      <c r="BH817" s="9"/>
      <c r="BI817" s="9"/>
      <c r="BJ817" s="9"/>
      <c r="BK817" s="9"/>
      <c r="BL817" s="9"/>
      <c r="BM817" s="9"/>
      <c r="BN817" s="9"/>
      <c r="BO817" s="9"/>
      <c r="BP817" s="9"/>
      <c r="BQ817" s="9"/>
      <c r="BR817" s="9"/>
      <c r="BS817" s="9"/>
      <c r="BT817" s="9"/>
      <c r="BU817" s="9"/>
      <c r="BV817" s="9"/>
      <c r="BW817" s="9"/>
      <c r="BX817" s="9"/>
      <c r="BY817" s="9"/>
      <c r="BZ817" s="9"/>
      <c r="CA817" s="9"/>
      <c r="CB817" s="9"/>
      <c r="CC817" s="9"/>
      <c r="CD817" s="9"/>
      <c r="CE817" s="9"/>
      <c r="CF817" s="9"/>
      <c r="CG817" s="9"/>
    </row>
    <row r="818" spans="1:85" ht="18" customHeight="1" x14ac:dyDescent="0.3">
      <c r="A818" s="9">
        <f t="shared" si="60"/>
        <v>817</v>
      </c>
      <c r="B818" s="9" t="str">
        <f t="shared" si="61"/>
        <v/>
      </c>
      <c r="C818" s="9"/>
      <c r="D818" s="9"/>
      <c r="E818" s="9">
        <f t="shared" si="62"/>
        <v>0</v>
      </c>
      <c r="F818" s="9"/>
      <c r="G818" s="9"/>
      <c r="H818" s="9"/>
      <c r="I818" s="9"/>
      <c r="J818" s="9"/>
      <c r="K818" s="9"/>
      <c r="L818" s="9"/>
      <c r="M818" s="9"/>
      <c r="N818" s="9" t="str">
        <f t="shared" si="63"/>
        <v>NO</v>
      </c>
      <c r="O818" s="9" t="str">
        <f t="shared" si="64"/>
        <v>🟡</v>
      </c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</row>
    <row r="819" spans="1:85" ht="18" customHeight="1" x14ac:dyDescent="0.3">
      <c r="A819" s="9">
        <f t="shared" si="60"/>
        <v>818</v>
      </c>
      <c r="B819" s="9" t="str">
        <f t="shared" si="61"/>
        <v/>
      </c>
      <c r="C819" s="9"/>
      <c r="D819" s="9"/>
      <c r="E819" s="9">
        <f t="shared" si="62"/>
        <v>0</v>
      </c>
      <c r="F819" s="9"/>
      <c r="G819" s="9"/>
      <c r="H819" s="9"/>
      <c r="I819" s="9"/>
      <c r="J819" s="9"/>
      <c r="K819" s="9"/>
      <c r="L819" s="9"/>
      <c r="M819" s="9"/>
      <c r="N819" s="9" t="str">
        <f t="shared" si="63"/>
        <v>NO</v>
      </c>
      <c r="O819" s="9" t="str">
        <f t="shared" si="64"/>
        <v>🟡</v>
      </c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9"/>
      <c r="CC819" s="9"/>
      <c r="CD819" s="9"/>
      <c r="CE819" s="9"/>
      <c r="CF819" s="9"/>
      <c r="CG819" s="9"/>
    </row>
    <row r="820" spans="1:85" ht="18" customHeight="1" x14ac:dyDescent="0.3">
      <c r="A820" s="9">
        <f t="shared" si="60"/>
        <v>819</v>
      </c>
      <c r="B820" s="9" t="str">
        <f t="shared" si="61"/>
        <v/>
      </c>
      <c r="C820" s="9"/>
      <c r="D820" s="9"/>
      <c r="E820" s="9">
        <f t="shared" si="62"/>
        <v>0</v>
      </c>
      <c r="F820" s="9"/>
      <c r="G820" s="9"/>
      <c r="H820" s="9"/>
      <c r="I820" s="9"/>
      <c r="J820" s="9"/>
      <c r="K820" s="9"/>
      <c r="L820" s="9"/>
      <c r="M820" s="9"/>
      <c r="N820" s="9" t="str">
        <f t="shared" si="63"/>
        <v>NO</v>
      </c>
      <c r="O820" s="9" t="str">
        <f t="shared" si="64"/>
        <v>🟡</v>
      </c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9"/>
      <c r="CC820" s="9"/>
      <c r="CD820" s="9"/>
      <c r="CE820" s="9"/>
      <c r="CF820" s="9"/>
      <c r="CG820" s="9"/>
    </row>
    <row r="821" spans="1:85" ht="18" customHeight="1" x14ac:dyDescent="0.3">
      <c r="A821" s="9">
        <f t="shared" si="60"/>
        <v>820</v>
      </c>
      <c r="B821" s="9" t="str">
        <f t="shared" si="61"/>
        <v/>
      </c>
      <c r="C821" s="9"/>
      <c r="D821" s="9"/>
      <c r="E821" s="9">
        <f t="shared" si="62"/>
        <v>0</v>
      </c>
      <c r="F821" s="9"/>
      <c r="G821" s="9"/>
      <c r="H821" s="9"/>
      <c r="I821" s="9"/>
      <c r="J821" s="9"/>
      <c r="K821" s="9"/>
      <c r="L821" s="9"/>
      <c r="M821" s="9"/>
      <c r="N821" s="9" t="str">
        <f t="shared" si="63"/>
        <v>NO</v>
      </c>
      <c r="O821" s="9" t="str">
        <f t="shared" si="64"/>
        <v>🟡</v>
      </c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9"/>
      <c r="CC821" s="9"/>
      <c r="CD821" s="9"/>
      <c r="CE821" s="9"/>
      <c r="CF821" s="9"/>
      <c r="CG821" s="9"/>
    </row>
    <row r="822" spans="1:85" ht="18" customHeight="1" x14ac:dyDescent="0.3">
      <c r="A822" s="9">
        <f t="shared" si="60"/>
        <v>821</v>
      </c>
      <c r="B822" s="9" t="str">
        <f t="shared" si="61"/>
        <v/>
      </c>
      <c r="C822" s="9"/>
      <c r="D822" s="9"/>
      <c r="E822" s="9">
        <f t="shared" si="62"/>
        <v>0</v>
      </c>
      <c r="F822" s="9"/>
      <c r="G822" s="9"/>
      <c r="H822" s="9"/>
      <c r="I822" s="9"/>
      <c r="J822" s="9"/>
      <c r="K822" s="9"/>
      <c r="L822" s="9"/>
      <c r="M822" s="9"/>
      <c r="N822" s="9" t="str">
        <f t="shared" si="63"/>
        <v>NO</v>
      </c>
      <c r="O822" s="9" t="str">
        <f t="shared" si="64"/>
        <v>🟡</v>
      </c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9"/>
      <c r="CC822" s="9"/>
      <c r="CD822" s="9"/>
      <c r="CE822" s="9"/>
      <c r="CF822" s="9"/>
      <c r="CG822" s="9"/>
    </row>
    <row r="823" spans="1:85" ht="18" customHeight="1" x14ac:dyDescent="0.3">
      <c r="A823" s="9">
        <f t="shared" si="60"/>
        <v>822</v>
      </c>
      <c r="B823" s="9" t="str">
        <f t="shared" si="61"/>
        <v/>
      </c>
      <c r="C823" s="9"/>
      <c r="D823" s="9"/>
      <c r="E823" s="9">
        <f t="shared" si="62"/>
        <v>0</v>
      </c>
      <c r="F823" s="9"/>
      <c r="G823" s="9"/>
      <c r="H823" s="9"/>
      <c r="I823" s="9"/>
      <c r="J823" s="9"/>
      <c r="K823" s="9"/>
      <c r="L823" s="9"/>
      <c r="M823" s="9"/>
      <c r="N823" s="9" t="str">
        <f t="shared" si="63"/>
        <v>NO</v>
      </c>
      <c r="O823" s="9" t="str">
        <f t="shared" si="64"/>
        <v>🟡</v>
      </c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9"/>
      <c r="CC823" s="9"/>
      <c r="CD823" s="9"/>
      <c r="CE823" s="9"/>
      <c r="CF823" s="9"/>
      <c r="CG823" s="9"/>
    </row>
    <row r="824" spans="1:85" ht="18" customHeight="1" x14ac:dyDescent="0.3">
      <c r="A824" s="9">
        <f t="shared" si="60"/>
        <v>823</v>
      </c>
      <c r="B824" s="9" t="str">
        <f t="shared" si="61"/>
        <v/>
      </c>
      <c r="C824" s="9"/>
      <c r="D824" s="9"/>
      <c r="E824" s="9">
        <f t="shared" si="62"/>
        <v>0</v>
      </c>
      <c r="F824" s="9"/>
      <c r="G824" s="9"/>
      <c r="H824" s="9"/>
      <c r="I824" s="9"/>
      <c r="J824" s="9"/>
      <c r="K824" s="9"/>
      <c r="L824" s="9"/>
      <c r="M824" s="9"/>
      <c r="N824" s="9" t="str">
        <f t="shared" si="63"/>
        <v>NO</v>
      </c>
      <c r="O824" s="9" t="str">
        <f t="shared" si="64"/>
        <v>🟡</v>
      </c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9"/>
      <c r="CC824" s="9"/>
      <c r="CD824" s="9"/>
      <c r="CE824" s="9"/>
      <c r="CF824" s="9"/>
      <c r="CG824" s="9"/>
    </row>
    <row r="825" spans="1:85" ht="18" customHeight="1" x14ac:dyDescent="0.3">
      <c r="A825" s="9">
        <f t="shared" si="60"/>
        <v>824</v>
      </c>
      <c r="B825" s="9" t="str">
        <f t="shared" si="61"/>
        <v/>
      </c>
      <c r="C825" s="9"/>
      <c r="D825" s="9"/>
      <c r="E825" s="9">
        <f t="shared" si="62"/>
        <v>0</v>
      </c>
      <c r="F825" s="9"/>
      <c r="G825" s="9"/>
      <c r="H825" s="9"/>
      <c r="I825" s="9"/>
      <c r="J825" s="9"/>
      <c r="K825" s="9"/>
      <c r="L825" s="9"/>
      <c r="M825" s="9"/>
      <c r="N825" s="9" t="str">
        <f t="shared" si="63"/>
        <v>NO</v>
      </c>
      <c r="O825" s="9" t="str">
        <f t="shared" si="64"/>
        <v>🟡</v>
      </c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9"/>
      <c r="CC825" s="9"/>
      <c r="CD825" s="9"/>
      <c r="CE825" s="9"/>
      <c r="CF825" s="9"/>
      <c r="CG825" s="9"/>
    </row>
    <row r="826" spans="1:85" ht="18" customHeight="1" x14ac:dyDescent="0.3">
      <c r="A826" s="9">
        <f t="shared" si="60"/>
        <v>825</v>
      </c>
      <c r="B826" s="9" t="str">
        <f t="shared" si="61"/>
        <v/>
      </c>
      <c r="C826" s="9"/>
      <c r="D826" s="9"/>
      <c r="E826" s="9">
        <f t="shared" si="62"/>
        <v>0</v>
      </c>
      <c r="F826" s="9"/>
      <c r="G826" s="9"/>
      <c r="H826" s="9"/>
      <c r="I826" s="9"/>
      <c r="J826" s="9"/>
      <c r="K826" s="9"/>
      <c r="L826" s="9"/>
      <c r="M826" s="9"/>
      <c r="N826" s="9" t="str">
        <f t="shared" si="63"/>
        <v>NO</v>
      </c>
      <c r="O826" s="9" t="str">
        <f t="shared" si="64"/>
        <v>🟡</v>
      </c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9"/>
      <c r="CC826" s="9"/>
      <c r="CD826" s="9"/>
      <c r="CE826" s="9"/>
      <c r="CF826" s="9"/>
      <c r="CG826" s="9"/>
    </row>
    <row r="827" spans="1:85" ht="18" customHeight="1" x14ac:dyDescent="0.3">
      <c r="A827" s="9">
        <f t="shared" si="60"/>
        <v>826</v>
      </c>
      <c r="B827" s="9" t="str">
        <f t="shared" si="61"/>
        <v/>
      </c>
      <c r="C827" s="9"/>
      <c r="D827" s="9"/>
      <c r="E827" s="9">
        <f t="shared" si="62"/>
        <v>0</v>
      </c>
      <c r="F827" s="9"/>
      <c r="G827" s="9"/>
      <c r="H827" s="9"/>
      <c r="I827" s="9"/>
      <c r="J827" s="9"/>
      <c r="K827" s="9"/>
      <c r="L827" s="9"/>
      <c r="M827" s="9"/>
      <c r="N827" s="9" t="str">
        <f t="shared" si="63"/>
        <v>NO</v>
      </c>
      <c r="O827" s="9" t="str">
        <f t="shared" si="64"/>
        <v>🟡</v>
      </c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9"/>
      <c r="CC827" s="9"/>
      <c r="CD827" s="9"/>
      <c r="CE827" s="9"/>
      <c r="CF827" s="9"/>
      <c r="CG827" s="9"/>
    </row>
    <row r="828" spans="1:85" ht="18" customHeight="1" x14ac:dyDescent="0.3">
      <c r="A828" s="9">
        <f t="shared" si="60"/>
        <v>827</v>
      </c>
      <c r="B828" s="9" t="str">
        <f t="shared" si="61"/>
        <v/>
      </c>
      <c r="C828" s="9"/>
      <c r="D828" s="9"/>
      <c r="E828" s="9">
        <f t="shared" si="62"/>
        <v>0</v>
      </c>
      <c r="F828" s="9"/>
      <c r="G828" s="9"/>
      <c r="H828" s="9"/>
      <c r="I828" s="9"/>
      <c r="J828" s="9"/>
      <c r="K828" s="9"/>
      <c r="L828" s="9"/>
      <c r="M828" s="9"/>
      <c r="N828" s="9" t="str">
        <f t="shared" si="63"/>
        <v>NO</v>
      </c>
      <c r="O828" s="9" t="str">
        <f t="shared" si="64"/>
        <v>🟡</v>
      </c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9"/>
      <c r="CF828" s="9"/>
      <c r="CG828" s="9"/>
    </row>
    <row r="829" spans="1:85" ht="18" customHeight="1" x14ac:dyDescent="0.3">
      <c r="A829" s="9">
        <f t="shared" si="60"/>
        <v>828</v>
      </c>
      <c r="B829" s="9" t="str">
        <f t="shared" si="61"/>
        <v/>
      </c>
      <c r="C829" s="9"/>
      <c r="D829" s="9"/>
      <c r="E829" s="9">
        <f t="shared" si="62"/>
        <v>0</v>
      </c>
      <c r="F829" s="9"/>
      <c r="G829" s="9"/>
      <c r="H829" s="9"/>
      <c r="I829" s="9"/>
      <c r="J829" s="9"/>
      <c r="K829" s="9"/>
      <c r="L829" s="9"/>
      <c r="M829" s="9"/>
      <c r="N829" s="9" t="str">
        <f t="shared" si="63"/>
        <v>NO</v>
      </c>
      <c r="O829" s="9" t="str">
        <f t="shared" si="64"/>
        <v>🟡</v>
      </c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</row>
    <row r="830" spans="1:85" ht="18" customHeight="1" x14ac:dyDescent="0.3">
      <c r="A830" s="9">
        <f t="shared" si="60"/>
        <v>829</v>
      </c>
      <c r="B830" s="9" t="str">
        <f t="shared" si="61"/>
        <v/>
      </c>
      <c r="C830" s="9"/>
      <c r="D830" s="9"/>
      <c r="E830" s="9">
        <f t="shared" si="62"/>
        <v>0</v>
      </c>
      <c r="F830" s="9"/>
      <c r="G830" s="9"/>
      <c r="H830" s="9"/>
      <c r="I830" s="9"/>
      <c r="J830" s="9"/>
      <c r="K830" s="9"/>
      <c r="L830" s="9"/>
      <c r="M830" s="9"/>
      <c r="N830" s="9" t="str">
        <f t="shared" si="63"/>
        <v>NO</v>
      </c>
      <c r="O830" s="9" t="str">
        <f t="shared" si="64"/>
        <v>🟡</v>
      </c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9"/>
      <c r="CC830" s="9"/>
      <c r="CD830" s="9"/>
      <c r="CE830" s="9"/>
      <c r="CF830" s="9"/>
      <c r="CG830" s="9"/>
    </row>
    <row r="831" spans="1:85" ht="18" customHeight="1" x14ac:dyDescent="0.3">
      <c r="A831" s="9">
        <f t="shared" si="60"/>
        <v>830</v>
      </c>
      <c r="B831" s="9" t="str">
        <f t="shared" si="61"/>
        <v/>
      </c>
      <c r="C831" s="9"/>
      <c r="D831" s="9"/>
      <c r="E831" s="9">
        <f t="shared" si="62"/>
        <v>0</v>
      </c>
      <c r="F831" s="9"/>
      <c r="G831" s="9"/>
      <c r="H831" s="9"/>
      <c r="I831" s="9"/>
      <c r="J831" s="9"/>
      <c r="K831" s="9"/>
      <c r="L831" s="9"/>
      <c r="M831" s="9"/>
      <c r="N831" s="9" t="str">
        <f t="shared" si="63"/>
        <v>NO</v>
      </c>
      <c r="O831" s="9" t="str">
        <f t="shared" si="64"/>
        <v>🟡</v>
      </c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9"/>
      <c r="CC831" s="9"/>
      <c r="CD831" s="9"/>
      <c r="CE831" s="9"/>
      <c r="CF831" s="9"/>
      <c r="CG831" s="9"/>
    </row>
    <row r="832" spans="1:85" ht="18" customHeight="1" x14ac:dyDescent="0.3">
      <c r="A832" s="9">
        <f t="shared" si="60"/>
        <v>831</v>
      </c>
      <c r="B832" s="9" t="str">
        <f t="shared" si="61"/>
        <v/>
      </c>
      <c r="C832" s="9"/>
      <c r="D832" s="9"/>
      <c r="E832" s="9">
        <f t="shared" si="62"/>
        <v>0</v>
      </c>
      <c r="F832" s="9"/>
      <c r="G832" s="9"/>
      <c r="H832" s="9"/>
      <c r="I832" s="9"/>
      <c r="J832" s="9"/>
      <c r="K832" s="9"/>
      <c r="L832" s="9"/>
      <c r="M832" s="9"/>
      <c r="N832" s="9" t="str">
        <f t="shared" si="63"/>
        <v>NO</v>
      </c>
      <c r="O832" s="9" t="str">
        <f t="shared" si="64"/>
        <v>🟡</v>
      </c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9"/>
      <c r="CC832" s="9"/>
      <c r="CD832" s="9"/>
      <c r="CE832" s="9"/>
      <c r="CF832" s="9"/>
      <c r="CG832" s="9"/>
    </row>
    <row r="833" spans="1:85" ht="18" customHeight="1" x14ac:dyDescent="0.3">
      <c r="A833" s="9">
        <f t="shared" ref="A833:A896" si="65">IF(COUNTA(C833:K833)=0,"",ROW()-1)</f>
        <v>832</v>
      </c>
      <c r="B833" s="9" t="str">
        <f t="shared" ref="B833:B896" si="66">IF($F833&lt;&gt;"",$A833,"")</f>
        <v/>
      </c>
      <c r="C833" s="9"/>
      <c r="D833" s="9"/>
      <c r="E833" s="9">
        <f t="shared" ref="E833:E896" si="67">IF(UPPER($J833)="NO","",$M833)</f>
        <v>0</v>
      </c>
      <c r="F833" s="9"/>
      <c r="G833" s="9"/>
      <c r="H833" s="9"/>
      <c r="I833" s="9"/>
      <c r="J833" s="9"/>
      <c r="K833" s="9"/>
      <c r="L833" s="9"/>
      <c r="M833" s="9"/>
      <c r="N833" s="9" t="str">
        <f t="shared" ref="N833:N896" si="68">IF(AND(UPPER($M833)="VIP",UPPER($J833)="SI",$F833&lt;&gt;""),"SI","NO")</f>
        <v>NO</v>
      </c>
      <c r="O833" s="9" t="str">
        <f t="shared" ref="O833:O896" si="69">IF(UPPER($J833)="SI","🟢",IF(UPPER($J833)="NO","🔴","🟡"))</f>
        <v>🟡</v>
      </c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9"/>
      <c r="CC833" s="9"/>
      <c r="CD833" s="9"/>
      <c r="CE833" s="9"/>
      <c r="CF833" s="9"/>
      <c r="CG833" s="9"/>
    </row>
    <row r="834" spans="1:85" ht="18" customHeight="1" x14ac:dyDescent="0.3">
      <c r="A834" s="9">
        <f t="shared" si="65"/>
        <v>833</v>
      </c>
      <c r="B834" s="9" t="str">
        <f t="shared" si="66"/>
        <v/>
      </c>
      <c r="C834" s="9"/>
      <c r="D834" s="9"/>
      <c r="E834" s="9">
        <f t="shared" si="67"/>
        <v>0</v>
      </c>
      <c r="F834" s="9"/>
      <c r="G834" s="9"/>
      <c r="H834" s="9"/>
      <c r="I834" s="9"/>
      <c r="J834" s="9"/>
      <c r="K834" s="9"/>
      <c r="L834" s="9"/>
      <c r="M834" s="9"/>
      <c r="N834" s="9" t="str">
        <f t="shared" si="68"/>
        <v>NO</v>
      </c>
      <c r="O834" s="9" t="str">
        <f t="shared" si="69"/>
        <v>🟡</v>
      </c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9"/>
      <c r="CC834" s="9"/>
      <c r="CD834" s="9"/>
      <c r="CE834" s="9"/>
      <c r="CF834" s="9"/>
      <c r="CG834" s="9"/>
    </row>
    <row r="835" spans="1:85" ht="18" customHeight="1" x14ac:dyDescent="0.3">
      <c r="A835" s="9">
        <f t="shared" si="65"/>
        <v>834</v>
      </c>
      <c r="B835" s="9" t="str">
        <f t="shared" si="66"/>
        <v/>
      </c>
      <c r="C835" s="9"/>
      <c r="D835" s="9"/>
      <c r="E835" s="9">
        <f t="shared" si="67"/>
        <v>0</v>
      </c>
      <c r="F835" s="9"/>
      <c r="G835" s="9"/>
      <c r="H835" s="9"/>
      <c r="I835" s="9"/>
      <c r="J835" s="9"/>
      <c r="K835" s="9"/>
      <c r="L835" s="9"/>
      <c r="M835" s="9"/>
      <c r="N835" s="9" t="str">
        <f t="shared" si="68"/>
        <v>NO</v>
      </c>
      <c r="O835" s="9" t="str">
        <f t="shared" si="69"/>
        <v>🟡</v>
      </c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9"/>
      <c r="CC835" s="9"/>
      <c r="CD835" s="9"/>
      <c r="CE835" s="9"/>
      <c r="CF835" s="9"/>
      <c r="CG835" s="9"/>
    </row>
    <row r="836" spans="1:85" ht="18" customHeight="1" x14ac:dyDescent="0.3">
      <c r="A836" s="9">
        <f t="shared" si="65"/>
        <v>835</v>
      </c>
      <c r="B836" s="9" t="str">
        <f t="shared" si="66"/>
        <v/>
      </c>
      <c r="C836" s="9"/>
      <c r="D836" s="9"/>
      <c r="E836" s="9">
        <f t="shared" si="67"/>
        <v>0</v>
      </c>
      <c r="F836" s="9"/>
      <c r="G836" s="9"/>
      <c r="H836" s="9"/>
      <c r="I836" s="9"/>
      <c r="J836" s="9"/>
      <c r="K836" s="9"/>
      <c r="L836" s="9"/>
      <c r="M836" s="9"/>
      <c r="N836" s="9" t="str">
        <f t="shared" si="68"/>
        <v>NO</v>
      </c>
      <c r="O836" s="9" t="str">
        <f t="shared" si="69"/>
        <v>🟡</v>
      </c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9"/>
      <c r="BP836" s="9"/>
      <c r="BQ836" s="9"/>
      <c r="BR836" s="9"/>
      <c r="BS836" s="9"/>
      <c r="BT836" s="9"/>
      <c r="BU836" s="9"/>
      <c r="BV836" s="9"/>
      <c r="BW836" s="9"/>
      <c r="BX836" s="9"/>
      <c r="BY836" s="9"/>
      <c r="BZ836" s="9"/>
      <c r="CA836" s="9"/>
      <c r="CB836" s="9"/>
      <c r="CC836" s="9"/>
      <c r="CD836" s="9"/>
      <c r="CE836" s="9"/>
      <c r="CF836" s="9"/>
      <c r="CG836" s="9"/>
    </row>
    <row r="837" spans="1:85" ht="18" customHeight="1" x14ac:dyDescent="0.3">
      <c r="A837" s="9">
        <f t="shared" si="65"/>
        <v>836</v>
      </c>
      <c r="B837" s="9" t="str">
        <f t="shared" si="66"/>
        <v/>
      </c>
      <c r="C837" s="9"/>
      <c r="D837" s="9"/>
      <c r="E837" s="9">
        <f t="shared" si="67"/>
        <v>0</v>
      </c>
      <c r="F837" s="9"/>
      <c r="G837" s="9"/>
      <c r="H837" s="9"/>
      <c r="I837" s="9"/>
      <c r="J837" s="9"/>
      <c r="K837" s="9"/>
      <c r="L837" s="9"/>
      <c r="M837" s="9"/>
      <c r="N837" s="9" t="str">
        <f t="shared" si="68"/>
        <v>NO</v>
      </c>
      <c r="O837" s="9" t="str">
        <f t="shared" si="69"/>
        <v>🟡</v>
      </c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  <c r="BF837" s="9"/>
      <c r="BG837" s="9"/>
      <c r="BH837" s="9"/>
      <c r="BI837" s="9"/>
      <c r="BJ837" s="9"/>
      <c r="BK837" s="9"/>
      <c r="BL837" s="9"/>
      <c r="BM837" s="9"/>
      <c r="BN837" s="9"/>
      <c r="BO837" s="9"/>
      <c r="BP837" s="9"/>
      <c r="BQ837" s="9"/>
      <c r="BR837" s="9"/>
      <c r="BS837" s="9"/>
      <c r="BT837" s="9"/>
      <c r="BU837" s="9"/>
      <c r="BV837" s="9"/>
      <c r="BW837" s="9"/>
      <c r="BX837" s="9"/>
      <c r="BY837" s="9"/>
      <c r="BZ837" s="9"/>
      <c r="CA837" s="9"/>
      <c r="CB837" s="9"/>
      <c r="CC837" s="9"/>
      <c r="CD837" s="9"/>
      <c r="CE837" s="9"/>
      <c r="CF837" s="9"/>
      <c r="CG837" s="9"/>
    </row>
    <row r="838" spans="1:85" ht="18" customHeight="1" x14ac:dyDescent="0.3">
      <c r="A838" s="9">
        <f t="shared" si="65"/>
        <v>837</v>
      </c>
      <c r="B838" s="9" t="str">
        <f t="shared" si="66"/>
        <v/>
      </c>
      <c r="C838" s="9"/>
      <c r="D838" s="9"/>
      <c r="E838" s="9">
        <f t="shared" si="67"/>
        <v>0</v>
      </c>
      <c r="F838" s="9"/>
      <c r="G838" s="9"/>
      <c r="H838" s="9"/>
      <c r="I838" s="9"/>
      <c r="J838" s="9"/>
      <c r="K838" s="9"/>
      <c r="L838" s="9"/>
      <c r="M838" s="9"/>
      <c r="N838" s="9" t="str">
        <f t="shared" si="68"/>
        <v>NO</v>
      </c>
      <c r="O838" s="9" t="str">
        <f t="shared" si="69"/>
        <v>🟡</v>
      </c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9"/>
      <c r="CC838" s="9"/>
      <c r="CD838" s="9"/>
      <c r="CE838" s="9"/>
      <c r="CF838" s="9"/>
      <c r="CG838" s="9"/>
    </row>
    <row r="839" spans="1:85" ht="18" customHeight="1" x14ac:dyDescent="0.3">
      <c r="A839" s="9">
        <f t="shared" si="65"/>
        <v>838</v>
      </c>
      <c r="B839" s="9" t="str">
        <f t="shared" si="66"/>
        <v/>
      </c>
      <c r="C839" s="9"/>
      <c r="D839" s="9"/>
      <c r="E839" s="9">
        <f t="shared" si="67"/>
        <v>0</v>
      </c>
      <c r="F839" s="9"/>
      <c r="G839" s="9"/>
      <c r="H839" s="9"/>
      <c r="I839" s="9"/>
      <c r="J839" s="9"/>
      <c r="K839" s="9"/>
      <c r="L839" s="9"/>
      <c r="M839" s="9"/>
      <c r="N839" s="9" t="str">
        <f t="shared" si="68"/>
        <v>NO</v>
      </c>
      <c r="O839" s="9" t="str">
        <f t="shared" si="69"/>
        <v>🟡</v>
      </c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9"/>
      <c r="CC839" s="9"/>
      <c r="CD839" s="9"/>
      <c r="CE839" s="9"/>
      <c r="CF839" s="9"/>
      <c r="CG839" s="9"/>
    </row>
    <row r="840" spans="1:85" ht="18" customHeight="1" x14ac:dyDescent="0.3">
      <c r="A840" s="9">
        <f t="shared" si="65"/>
        <v>839</v>
      </c>
      <c r="B840" s="9" t="str">
        <f t="shared" si="66"/>
        <v/>
      </c>
      <c r="C840" s="9"/>
      <c r="D840" s="9"/>
      <c r="E840" s="9">
        <f t="shared" si="67"/>
        <v>0</v>
      </c>
      <c r="F840" s="9"/>
      <c r="G840" s="9"/>
      <c r="H840" s="9"/>
      <c r="I840" s="9"/>
      <c r="J840" s="9"/>
      <c r="K840" s="9"/>
      <c r="L840" s="9"/>
      <c r="M840" s="9"/>
      <c r="N840" s="9" t="str">
        <f t="shared" si="68"/>
        <v>NO</v>
      </c>
      <c r="O840" s="9" t="str">
        <f t="shared" si="69"/>
        <v>🟡</v>
      </c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9"/>
      <c r="CC840" s="9"/>
      <c r="CD840" s="9"/>
      <c r="CE840" s="9"/>
      <c r="CF840" s="9"/>
      <c r="CG840" s="9"/>
    </row>
    <row r="841" spans="1:85" ht="18" customHeight="1" x14ac:dyDescent="0.3">
      <c r="A841" s="9">
        <f t="shared" si="65"/>
        <v>840</v>
      </c>
      <c r="B841" s="9" t="str">
        <f t="shared" si="66"/>
        <v/>
      </c>
      <c r="C841" s="9"/>
      <c r="D841" s="9"/>
      <c r="E841" s="9">
        <f t="shared" si="67"/>
        <v>0</v>
      </c>
      <c r="F841" s="9"/>
      <c r="G841" s="9"/>
      <c r="H841" s="9"/>
      <c r="I841" s="9"/>
      <c r="J841" s="9"/>
      <c r="K841" s="9"/>
      <c r="L841" s="9"/>
      <c r="M841" s="9"/>
      <c r="N841" s="9" t="str">
        <f t="shared" si="68"/>
        <v>NO</v>
      </c>
      <c r="O841" s="9" t="str">
        <f t="shared" si="69"/>
        <v>🟡</v>
      </c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9"/>
      <c r="CC841" s="9"/>
      <c r="CD841" s="9"/>
      <c r="CE841" s="9"/>
      <c r="CF841" s="9"/>
      <c r="CG841" s="9"/>
    </row>
    <row r="842" spans="1:85" ht="18" customHeight="1" x14ac:dyDescent="0.3">
      <c r="A842" s="9">
        <f t="shared" si="65"/>
        <v>841</v>
      </c>
      <c r="B842" s="9" t="str">
        <f t="shared" si="66"/>
        <v/>
      </c>
      <c r="C842" s="9"/>
      <c r="D842" s="9"/>
      <c r="E842" s="9">
        <f t="shared" si="67"/>
        <v>0</v>
      </c>
      <c r="F842" s="9"/>
      <c r="G842" s="9"/>
      <c r="H842" s="9"/>
      <c r="I842" s="9"/>
      <c r="J842" s="9"/>
      <c r="K842" s="9"/>
      <c r="L842" s="9"/>
      <c r="M842" s="9"/>
      <c r="N842" s="9" t="str">
        <f t="shared" si="68"/>
        <v>NO</v>
      </c>
      <c r="O842" s="9" t="str">
        <f t="shared" si="69"/>
        <v>🟡</v>
      </c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9"/>
      <c r="BP842" s="9"/>
      <c r="BQ842" s="9"/>
      <c r="BR842" s="9"/>
      <c r="BS842" s="9"/>
      <c r="BT842" s="9"/>
      <c r="BU842" s="9"/>
      <c r="BV842" s="9"/>
      <c r="BW842" s="9"/>
      <c r="BX842" s="9"/>
      <c r="BY842" s="9"/>
      <c r="BZ842" s="9"/>
      <c r="CA842" s="9"/>
      <c r="CB842" s="9"/>
      <c r="CC842" s="9"/>
      <c r="CD842" s="9"/>
      <c r="CE842" s="9"/>
      <c r="CF842" s="9"/>
      <c r="CG842" s="9"/>
    </row>
    <row r="843" spans="1:85" ht="18" customHeight="1" x14ac:dyDescent="0.3">
      <c r="A843" s="9">
        <f t="shared" si="65"/>
        <v>842</v>
      </c>
      <c r="B843" s="9" t="str">
        <f t="shared" si="66"/>
        <v/>
      </c>
      <c r="C843" s="9"/>
      <c r="D843" s="9"/>
      <c r="E843" s="9">
        <f t="shared" si="67"/>
        <v>0</v>
      </c>
      <c r="F843" s="9"/>
      <c r="G843" s="9"/>
      <c r="H843" s="9"/>
      <c r="I843" s="9"/>
      <c r="J843" s="9"/>
      <c r="K843" s="9"/>
      <c r="L843" s="9"/>
      <c r="M843" s="9"/>
      <c r="N843" s="9" t="str">
        <f t="shared" si="68"/>
        <v>NO</v>
      </c>
      <c r="O843" s="9" t="str">
        <f t="shared" si="69"/>
        <v>🟡</v>
      </c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  <c r="BL843" s="9"/>
      <c r="BM843" s="9"/>
      <c r="BN843" s="9"/>
      <c r="BO843" s="9"/>
      <c r="BP843" s="9"/>
      <c r="BQ843" s="9"/>
      <c r="BR843" s="9"/>
      <c r="BS843" s="9"/>
      <c r="BT843" s="9"/>
      <c r="BU843" s="9"/>
      <c r="BV843" s="9"/>
      <c r="BW843" s="9"/>
      <c r="BX843" s="9"/>
      <c r="BY843" s="9"/>
      <c r="BZ843" s="9"/>
      <c r="CA843" s="9"/>
      <c r="CB843" s="9"/>
      <c r="CC843" s="9"/>
      <c r="CD843" s="9"/>
      <c r="CE843" s="9"/>
      <c r="CF843" s="9"/>
      <c r="CG843" s="9"/>
    </row>
    <row r="844" spans="1:85" ht="18" customHeight="1" x14ac:dyDescent="0.3">
      <c r="A844" s="9">
        <f t="shared" si="65"/>
        <v>843</v>
      </c>
      <c r="B844" s="9" t="str">
        <f t="shared" si="66"/>
        <v/>
      </c>
      <c r="C844" s="9"/>
      <c r="D844" s="9"/>
      <c r="E844" s="9">
        <f t="shared" si="67"/>
        <v>0</v>
      </c>
      <c r="F844" s="9"/>
      <c r="G844" s="9"/>
      <c r="H844" s="9"/>
      <c r="I844" s="9"/>
      <c r="J844" s="9"/>
      <c r="K844" s="9"/>
      <c r="L844" s="9"/>
      <c r="M844" s="9"/>
      <c r="N844" s="9" t="str">
        <f t="shared" si="68"/>
        <v>NO</v>
      </c>
      <c r="O844" s="9" t="str">
        <f t="shared" si="69"/>
        <v>🟡</v>
      </c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9"/>
      <c r="CC844" s="9"/>
      <c r="CD844" s="9"/>
      <c r="CE844" s="9"/>
      <c r="CF844" s="9"/>
      <c r="CG844" s="9"/>
    </row>
    <row r="845" spans="1:85" ht="18" customHeight="1" x14ac:dyDescent="0.3">
      <c r="A845" s="9">
        <f t="shared" si="65"/>
        <v>844</v>
      </c>
      <c r="B845" s="9" t="str">
        <f t="shared" si="66"/>
        <v/>
      </c>
      <c r="C845" s="9"/>
      <c r="D845" s="9"/>
      <c r="E845" s="9">
        <f t="shared" si="67"/>
        <v>0</v>
      </c>
      <c r="F845" s="9"/>
      <c r="G845" s="9"/>
      <c r="H845" s="9"/>
      <c r="I845" s="9"/>
      <c r="J845" s="9"/>
      <c r="K845" s="9"/>
      <c r="L845" s="9"/>
      <c r="M845" s="9"/>
      <c r="N845" s="9" t="str">
        <f t="shared" si="68"/>
        <v>NO</v>
      </c>
      <c r="O845" s="9" t="str">
        <f t="shared" si="69"/>
        <v>🟡</v>
      </c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9"/>
      <c r="CC845" s="9"/>
      <c r="CD845" s="9"/>
      <c r="CE845" s="9"/>
      <c r="CF845" s="9"/>
      <c r="CG845" s="9"/>
    </row>
    <row r="846" spans="1:85" ht="18" customHeight="1" x14ac:dyDescent="0.3">
      <c r="A846" s="9">
        <f t="shared" si="65"/>
        <v>845</v>
      </c>
      <c r="B846" s="9" t="str">
        <f t="shared" si="66"/>
        <v/>
      </c>
      <c r="C846" s="9"/>
      <c r="D846" s="9"/>
      <c r="E846" s="9">
        <f t="shared" si="67"/>
        <v>0</v>
      </c>
      <c r="F846" s="9"/>
      <c r="G846" s="9"/>
      <c r="H846" s="9"/>
      <c r="I846" s="9"/>
      <c r="J846" s="9"/>
      <c r="K846" s="9"/>
      <c r="L846" s="9"/>
      <c r="M846" s="9"/>
      <c r="N846" s="9" t="str">
        <f t="shared" si="68"/>
        <v>NO</v>
      </c>
      <c r="O846" s="9" t="str">
        <f t="shared" si="69"/>
        <v>🟡</v>
      </c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9"/>
      <c r="CC846" s="9"/>
      <c r="CD846" s="9"/>
      <c r="CE846" s="9"/>
      <c r="CF846" s="9"/>
      <c r="CG846" s="9"/>
    </row>
    <row r="847" spans="1:85" ht="18" customHeight="1" x14ac:dyDescent="0.3">
      <c r="A847" s="9">
        <f t="shared" si="65"/>
        <v>846</v>
      </c>
      <c r="B847" s="9" t="str">
        <f t="shared" si="66"/>
        <v/>
      </c>
      <c r="C847" s="9"/>
      <c r="D847" s="9"/>
      <c r="E847" s="9">
        <f t="shared" si="67"/>
        <v>0</v>
      </c>
      <c r="F847" s="9"/>
      <c r="G847" s="9"/>
      <c r="H847" s="9"/>
      <c r="I847" s="9"/>
      <c r="J847" s="9"/>
      <c r="K847" s="9"/>
      <c r="L847" s="9"/>
      <c r="M847" s="9"/>
      <c r="N847" s="9" t="str">
        <f t="shared" si="68"/>
        <v>NO</v>
      </c>
      <c r="O847" s="9" t="str">
        <f t="shared" si="69"/>
        <v>🟡</v>
      </c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9"/>
      <c r="CC847" s="9"/>
      <c r="CD847" s="9"/>
      <c r="CE847" s="9"/>
      <c r="CF847" s="9"/>
      <c r="CG847" s="9"/>
    </row>
    <row r="848" spans="1:85" ht="18" customHeight="1" x14ac:dyDescent="0.3">
      <c r="A848" s="9">
        <f t="shared" si="65"/>
        <v>847</v>
      </c>
      <c r="B848" s="9" t="str">
        <f t="shared" si="66"/>
        <v/>
      </c>
      <c r="C848" s="9"/>
      <c r="D848" s="9"/>
      <c r="E848" s="9">
        <f t="shared" si="67"/>
        <v>0</v>
      </c>
      <c r="F848" s="9"/>
      <c r="G848" s="9"/>
      <c r="H848" s="9"/>
      <c r="I848" s="9"/>
      <c r="J848" s="9"/>
      <c r="K848" s="9"/>
      <c r="L848" s="9"/>
      <c r="M848" s="9"/>
      <c r="N848" s="9" t="str">
        <f t="shared" si="68"/>
        <v>NO</v>
      </c>
      <c r="O848" s="9" t="str">
        <f t="shared" si="69"/>
        <v>🟡</v>
      </c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9"/>
      <c r="CC848" s="9"/>
      <c r="CD848" s="9"/>
      <c r="CE848" s="9"/>
      <c r="CF848" s="9"/>
      <c r="CG848" s="9"/>
    </row>
    <row r="849" spans="1:85" ht="18" customHeight="1" x14ac:dyDescent="0.3">
      <c r="A849" s="9">
        <f t="shared" si="65"/>
        <v>848</v>
      </c>
      <c r="B849" s="9" t="str">
        <f t="shared" si="66"/>
        <v/>
      </c>
      <c r="C849" s="9"/>
      <c r="D849" s="9"/>
      <c r="E849" s="9">
        <f t="shared" si="67"/>
        <v>0</v>
      </c>
      <c r="F849" s="9"/>
      <c r="G849" s="9"/>
      <c r="H849" s="9"/>
      <c r="I849" s="9"/>
      <c r="J849" s="9"/>
      <c r="K849" s="9"/>
      <c r="L849" s="9"/>
      <c r="M849" s="9"/>
      <c r="N849" s="9" t="str">
        <f t="shared" si="68"/>
        <v>NO</v>
      </c>
      <c r="O849" s="9" t="str">
        <f t="shared" si="69"/>
        <v>🟡</v>
      </c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  <c r="BF849" s="9"/>
      <c r="BG849" s="9"/>
      <c r="BH849" s="9"/>
      <c r="BI849" s="9"/>
      <c r="BJ849" s="9"/>
      <c r="BK849" s="9"/>
      <c r="BL849" s="9"/>
      <c r="BM849" s="9"/>
      <c r="BN849" s="9"/>
      <c r="BO849" s="9"/>
      <c r="BP849" s="9"/>
      <c r="BQ849" s="9"/>
      <c r="BR849" s="9"/>
      <c r="BS849" s="9"/>
      <c r="BT849" s="9"/>
      <c r="BU849" s="9"/>
      <c r="BV849" s="9"/>
      <c r="BW849" s="9"/>
      <c r="BX849" s="9"/>
      <c r="BY849" s="9"/>
      <c r="BZ849" s="9"/>
      <c r="CA849" s="9"/>
      <c r="CB849" s="9"/>
      <c r="CC849" s="9"/>
      <c r="CD849" s="9"/>
      <c r="CE849" s="9"/>
      <c r="CF849" s="9"/>
      <c r="CG849" s="9"/>
    </row>
    <row r="850" spans="1:85" ht="18" customHeight="1" x14ac:dyDescent="0.3">
      <c r="A850" s="9">
        <f t="shared" si="65"/>
        <v>849</v>
      </c>
      <c r="B850" s="9" t="str">
        <f t="shared" si="66"/>
        <v/>
      </c>
      <c r="C850" s="9"/>
      <c r="D850" s="9"/>
      <c r="E850" s="9">
        <f t="shared" si="67"/>
        <v>0</v>
      </c>
      <c r="F850" s="9"/>
      <c r="G850" s="9"/>
      <c r="H850" s="9"/>
      <c r="I850" s="9"/>
      <c r="J850" s="9"/>
      <c r="K850" s="9"/>
      <c r="L850" s="9"/>
      <c r="M850" s="9"/>
      <c r="N850" s="9" t="str">
        <f t="shared" si="68"/>
        <v>NO</v>
      </c>
      <c r="O850" s="9" t="str">
        <f t="shared" si="69"/>
        <v>🟡</v>
      </c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9"/>
      <c r="BP850" s="9"/>
      <c r="BQ850" s="9"/>
      <c r="BR850" s="9"/>
      <c r="BS850" s="9"/>
      <c r="BT850" s="9"/>
      <c r="BU850" s="9"/>
      <c r="BV850" s="9"/>
      <c r="BW850" s="9"/>
      <c r="BX850" s="9"/>
      <c r="BY850" s="9"/>
      <c r="BZ850" s="9"/>
      <c r="CA850" s="9"/>
      <c r="CB850" s="9"/>
      <c r="CC850" s="9"/>
      <c r="CD850" s="9"/>
      <c r="CE850" s="9"/>
      <c r="CF850" s="9"/>
      <c r="CG850" s="9"/>
    </row>
    <row r="851" spans="1:85" ht="18" customHeight="1" x14ac:dyDescent="0.3">
      <c r="A851" s="9">
        <f t="shared" si="65"/>
        <v>850</v>
      </c>
      <c r="B851" s="9" t="str">
        <f t="shared" si="66"/>
        <v/>
      </c>
      <c r="C851" s="9"/>
      <c r="D851" s="9"/>
      <c r="E851" s="9">
        <f t="shared" si="67"/>
        <v>0</v>
      </c>
      <c r="F851" s="9"/>
      <c r="G851" s="9"/>
      <c r="H851" s="9"/>
      <c r="I851" s="9"/>
      <c r="J851" s="9"/>
      <c r="K851" s="9"/>
      <c r="L851" s="9"/>
      <c r="M851" s="9"/>
      <c r="N851" s="9" t="str">
        <f t="shared" si="68"/>
        <v>NO</v>
      </c>
      <c r="O851" s="9" t="str">
        <f t="shared" si="69"/>
        <v>🟡</v>
      </c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  <c r="BF851" s="9"/>
      <c r="BG851" s="9"/>
      <c r="BH851" s="9"/>
      <c r="BI851" s="9"/>
      <c r="BJ851" s="9"/>
      <c r="BK851" s="9"/>
      <c r="BL851" s="9"/>
      <c r="BM851" s="9"/>
      <c r="BN851" s="9"/>
      <c r="BO851" s="9"/>
      <c r="BP851" s="9"/>
      <c r="BQ851" s="9"/>
      <c r="BR851" s="9"/>
      <c r="BS851" s="9"/>
      <c r="BT851" s="9"/>
      <c r="BU851" s="9"/>
      <c r="BV851" s="9"/>
      <c r="BW851" s="9"/>
      <c r="BX851" s="9"/>
      <c r="BY851" s="9"/>
      <c r="BZ851" s="9"/>
      <c r="CA851" s="9"/>
      <c r="CB851" s="9"/>
      <c r="CC851" s="9"/>
      <c r="CD851" s="9"/>
      <c r="CE851" s="9"/>
      <c r="CF851" s="9"/>
      <c r="CG851" s="9"/>
    </row>
    <row r="852" spans="1:85" ht="18" customHeight="1" x14ac:dyDescent="0.3">
      <c r="A852" s="9">
        <f t="shared" si="65"/>
        <v>851</v>
      </c>
      <c r="B852" s="9" t="str">
        <f t="shared" si="66"/>
        <v/>
      </c>
      <c r="C852" s="9"/>
      <c r="D852" s="9"/>
      <c r="E852" s="9">
        <f t="shared" si="67"/>
        <v>0</v>
      </c>
      <c r="F852" s="9"/>
      <c r="G852" s="9"/>
      <c r="H852" s="9"/>
      <c r="I852" s="9"/>
      <c r="J852" s="9"/>
      <c r="K852" s="9"/>
      <c r="L852" s="9"/>
      <c r="M852" s="9"/>
      <c r="N852" s="9" t="str">
        <f t="shared" si="68"/>
        <v>NO</v>
      </c>
      <c r="O852" s="9" t="str">
        <f t="shared" si="69"/>
        <v>🟡</v>
      </c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9"/>
      <c r="CC852" s="9"/>
      <c r="CD852" s="9"/>
      <c r="CE852" s="9"/>
      <c r="CF852" s="9"/>
      <c r="CG852" s="9"/>
    </row>
    <row r="853" spans="1:85" ht="18" customHeight="1" x14ac:dyDescent="0.3">
      <c r="A853" s="9">
        <f t="shared" si="65"/>
        <v>852</v>
      </c>
      <c r="B853" s="9" t="str">
        <f t="shared" si="66"/>
        <v/>
      </c>
      <c r="C853" s="9"/>
      <c r="D853" s="9"/>
      <c r="E853" s="9">
        <f t="shared" si="67"/>
        <v>0</v>
      </c>
      <c r="F853" s="9"/>
      <c r="G853" s="9"/>
      <c r="H853" s="9"/>
      <c r="I853" s="9"/>
      <c r="J853" s="9"/>
      <c r="K853" s="9"/>
      <c r="L853" s="9"/>
      <c r="M853" s="9"/>
      <c r="N853" s="9" t="str">
        <f t="shared" si="68"/>
        <v>NO</v>
      </c>
      <c r="O853" s="9" t="str">
        <f t="shared" si="69"/>
        <v>🟡</v>
      </c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  <c r="BF853" s="9"/>
      <c r="BG853" s="9"/>
      <c r="BH853" s="9"/>
      <c r="BI853" s="9"/>
      <c r="BJ853" s="9"/>
      <c r="BK853" s="9"/>
      <c r="BL853" s="9"/>
      <c r="BM853" s="9"/>
      <c r="BN853" s="9"/>
      <c r="BO853" s="9"/>
      <c r="BP853" s="9"/>
      <c r="BQ853" s="9"/>
      <c r="BR853" s="9"/>
      <c r="BS853" s="9"/>
      <c r="BT853" s="9"/>
      <c r="BU853" s="9"/>
      <c r="BV853" s="9"/>
      <c r="BW853" s="9"/>
      <c r="BX853" s="9"/>
      <c r="BY853" s="9"/>
      <c r="BZ853" s="9"/>
      <c r="CA853" s="9"/>
      <c r="CB853" s="9"/>
      <c r="CC853" s="9"/>
      <c r="CD853" s="9"/>
      <c r="CE853" s="9"/>
      <c r="CF853" s="9"/>
      <c r="CG853" s="9"/>
    </row>
    <row r="854" spans="1:85" ht="18" customHeight="1" x14ac:dyDescent="0.3">
      <c r="A854" s="9">
        <f t="shared" si="65"/>
        <v>853</v>
      </c>
      <c r="B854" s="9" t="str">
        <f t="shared" si="66"/>
        <v/>
      </c>
      <c r="C854" s="9"/>
      <c r="D854" s="9"/>
      <c r="E854" s="9">
        <f t="shared" si="67"/>
        <v>0</v>
      </c>
      <c r="F854" s="9"/>
      <c r="G854" s="9"/>
      <c r="H854" s="9"/>
      <c r="I854" s="9"/>
      <c r="J854" s="9"/>
      <c r="K854" s="9"/>
      <c r="L854" s="9"/>
      <c r="M854" s="9"/>
      <c r="N854" s="9" t="str">
        <f t="shared" si="68"/>
        <v>NO</v>
      </c>
      <c r="O854" s="9" t="str">
        <f t="shared" si="69"/>
        <v>🟡</v>
      </c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9"/>
      <c r="CC854" s="9"/>
      <c r="CD854" s="9"/>
      <c r="CE854" s="9"/>
      <c r="CF854" s="9"/>
      <c r="CG854" s="9"/>
    </row>
    <row r="855" spans="1:85" ht="18" customHeight="1" x14ac:dyDescent="0.3">
      <c r="A855" s="9">
        <f t="shared" si="65"/>
        <v>854</v>
      </c>
      <c r="B855" s="9" t="str">
        <f t="shared" si="66"/>
        <v/>
      </c>
      <c r="C855" s="9"/>
      <c r="D855" s="9"/>
      <c r="E855" s="9">
        <f t="shared" si="67"/>
        <v>0</v>
      </c>
      <c r="F855" s="9"/>
      <c r="G855" s="9"/>
      <c r="H855" s="9"/>
      <c r="I855" s="9"/>
      <c r="J855" s="9"/>
      <c r="K855" s="9"/>
      <c r="L855" s="9"/>
      <c r="M855" s="9"/>
      <c r="N855" s="9" t="str">
        <f t="shared" si="68"/>
        <v>NO</v>
      </c>
      <c r="O855" s="9" t="str">
        <f t="shared" si="69"/>
        <v>🟡</v>
      </c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  <c r="BL855" s="9"/>
      <c r="BM855" s="9"/>
      <c r="BN855" s="9"/>
      <c r="BO855" s="9"/>
      <c r="BP855" s="9"/>
      <c r="BQ855" s="9"/>
      <c r="BR855" s="9"/>
      <c r="BS855" s="9"/>
      <c r="BT855" s="9"/>
      <c r="BU855" s="9"/>
      <c r="BV855" s="9"/>
      <c r="BW855" s="9"/>
      <c r="BX855" s="9"/>
      <c r="BY855" s="9"/>
      <c r="BZ855" s="9"/>
      <c r="CA855" s="9"/>
      <c r="CB855" s="9"/>
      <c r="CC855" s="9"/>
      <c r="CD855" s="9"/>
      <c r="CE855" s="9"/>
      <c r="CF855" s="9"/>
      <c r="CG855" s="9"/>
    </row>
    <row r="856" spans="1:85" ht="18" customHeight="1" x14ac:dyDescent="0.3">
      <c r="A856" s="9">
        <f t="shared" si="65"/>
        <v>855</v>
      </c>
      <c r="B856" s="9" t="str">
        <f t="shared" si="66"/>
        <v/>
      </c>
      <c r="C856" s="9"/>
      <c r="D856" s="9"/>
      <c r="E856" s="9">
        <f t="shared" si="67"/>
        <v>0</v>
      </c>
      <c r="F856" s="9"/>
      <c r="G856" s="9"/>
      <c r="H856" s="9"/>
      <c r="I856" s="9"/>
      <c r="J856" s="9"/>
      <c r="K856" s="9"/>
      <c r="L856" s="9"/>
      <c r="M856" s="9"/>
      <c r="N856" s="9" t="str">
        <f t="shared" si="68"/>
        <v>NO</v>
      </c>
      <c r="O856" s="9" t="str">
        <f t="shared" si="69"/>
        <v>🟡</v>
      </c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9"/>
      <c r="BP856" s="9"/>
      <c r="BQ856" s="9"/>
      <c r="BR856" s="9"/>
      <c r="BS856" s="9"/>
      <c r="BT856" s="9"/>
      <c r="BU856" s="9"/>
      <c r="BV856" s="9"/>
      <c r="BW856" s="9"/>
      <c r="BX856" s="9"/>
      <c r="BY856" s="9"/>
      <c r="BZ856" s="9"/>
      <c r="CA856" s="9"/>
      <c r="CB856" s="9"/>
      <c r="CC856" s="9"/>
      <c r="CD856" s="9"/>
      <c r="CE856" s="9"/>
      <c r="CF856" s="9"/>
      <c r="CG856" s="9"/>
    </row>
    <row r="857" spans="1:85" ht="18" customHeight="1" x14ac:dyDescent="0.3">
      <c r="A857" s="9">
        <f t="shared" si="65"/>
        <v>856</v>
      </c>
      <c r="B857" s="9" t="str">
        <f t="shared" si="66"/>
        <v/>
      </c>
      <c r="C857" s="9"/>
      <c r="D857" s="9"/>
      <c r="E857" s="9">
        <f t="shared" si="67"/>
        <v>0</v>
      </c>
      <c r="F857" s="9"/>
      <c r="G857" s="9"/>
      <c r="H857" s="9"/>
      <c r="I857" s="9"/>
      <c r="J857" s="9"/>
      <c r="K857" s="9"/>
      <c r="L857" s="9"/>
      <c r="M857" s="9"/>
      <c r="N857" s="9" t="str">
        <f t="shared" si="68"/>
        <v>NO</v>
      </c>
      <c r="O857" s="9" t="str">
        <f t="shared" si="69"/>
        <v>🟡</v>
      </c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  <c r="BL857" s="9"/>
      <c r="BM857" s="9"/>
      <c r="BN857" s="9"/>
      <c r="BO857" s="9"/>
      <c r="BP857" s="9"/>
      <c r="BQ857" s="9"/>
      <c r="BR857" s="9"/>
      <c r="BS857" s="9"/>
      <c r="BT857" s="9"/>
      <c r="BU857" s="9"/>
      <c r="BV857" s="9"/>
      <c r="BW857" s="9"/>
      <c r="BX857" s="9"/>
      <c r="BY857" s="9"/>
      <c r="BZ857" s="9"/>
      <c r="CA857" s="9"/>
      <c r="CB857" s="9"/>
      <c r="CC857" s="9"/>
      <c r="CD857" s="9"/>
      <c r="CE857" s="9"/>
      <c r="CF857" s="9"/>
      <c r="CG857" s="9"/>
    </row>
    <row r="858" spans="1:85" ht="18" customHeight="1" x14ac:dyDescent="0.3">
      <c r="A858" s="9">
        <f t="shared" si="65"/>
        <v>857</v>
      </c>
      <c r="B858" s="9" t="str">
        <f t="shared" si="66"/>
        <v/>
      </c>
      <c r="C858" s="9"/>
      <c r="D858" s="9"/>
      <c r="E858" s="9">
        <f t="shared" si="67"/>
        <v>0</v>
      </c>
      <c r="F858" s="9"/>
      <c r="G858" s="9"/>
      <c r="H858" s="9"/>
      <c r="I858" s="9"/>
      <c r="J858" s="9"/>
      <c r="K858" s="9"/>
      <c r="L858" s="9"/>
      <c r="M858" s="9"/>
      <c r="N858" s="9" t="str">
        <f t="shared" si="68"/>
        <v>NO</v>
      </c>
      <c r="O858" s="9" t="str">
        <f t="shared" si="69"/>
        <v>🟡</v>
      </c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9"/>
      <c r="BP858" s="9"/>
      <c r="BQ858" s="9"/>
      <c r="BR858" s="9"/>
      <c r="BS858" s="9"/>
      <c r="BT858" s="9"/>
      <c r="BU858" s="9"/>
      <c r="BV858" s="9"/>
      <c r="BW858" s="9"/>
      <c r="BX858" s="9"/>
      <c r="BY858" s="9"/>
      <c r="BZ858" s="9"/>
      <c r="CA858" s="9"/>
      <c r="CB858" s="9"/>
      <c r="CC858" s="9"/>
      <c r="CD858" s="9"/>
      <c r="CE858" s="9"/>
      <c r="CF858" s="9"/>
      <c r="CG858" s="9"/>
    </row>
    <row r="859" spans="1:85" ht="18" customHeight="1" x14ac:dyDescent="0.3">
      <c r="A859" s="9">
        <f t="shared" si="65"/>
        <v>858</v>
      </c>
      <c r="B859" s="9" t="str">
        <f t="shared" si="66"/>
        <v/>
      </c>
      <c r="C859" s="9"/>
      <c r="D859" s="9"/>
      <c r="E859" s="9">
        <f t="shared" si="67"/>
        <v>0</v>
      </c>
      <c r="F859" s="9"/>
      <c r="G859" s="9"/>
      <c r="H859" s="9"/>
      <c r="I859" s="9"/>
      <c r="J859" s="9"/>
      <c r="K859" s="9"/>
      <c r="L859" s="9"/>
      <c r="M859" s="9"/>
      <c r="N859" s="9" t="str">
        <f t="shared" si="68"/>
        <v>NO</v>
      </c>
      <c r="O859" s="9" t="str">
        <f t="shared" si="69"/>
        <v>🟡</v>
      </c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  <c r="BL859" s="9"/>
      <c r="BM859" s="9"/>
      <c r="BN859" s="9"/>
      <c r="BO859" s="9"/>
      <c r="BP859" s="9"/>
      <c r="BQ859" s="9"/>
      <c r="BR859" s="9"/>
      <c r="BS859" s="9"/>
      <c r="BT859" s="9"/>
      <c r="BU859" s="9"/>
      <c r="BV859" s="9"/>
      <c r="BW859" s="9"/>
      <c r="BX859" s="9"/>
      <c r="BY859" s="9"/>
      <c r="BZ859" s="9"/>
      <c r="CA859" s="9"/>
      <c r="CB859" s="9"/>
      <c r="CC859" s="9"/>
      <c r="CD859" s="9"/>
      <c r="CE859" s="9"/>
      <c r="CF859" s="9"/>
      <c r="CG859" s="9"/>
    </row>
    <row r="860" spans="1:85" ht="18" customHeight="1" x14ac:dyDescent="0.3">
      <c r="A860" s="9">
        <f t="shared" si="65"/>
        <v>859</v>
      </c>
      <c r="B860" s="9" t="str">
        <f t="shared" si="66"/>
        <v/>
      </c>
      <c r="C860" s="9"/>
      <c r="D860" s="9"/>
      <c r="E860" s="9">
        <f t="shared" si="67"/>
        <v>0</v>
      </c>
      <c r="F860" s="9"/>
      <c r="G860" s="9"/>
      <c r="H860" s="9"/>
      <c r="I860" s="9"/>
      <c r="J860" s="9"/>
      <c r="K860" s="9"/>
      <c r="L860" s="9"/>
      <c r="M860" s="9"/>
      <c r="N860" s="9" t="str">
        <f t="shared" si="68"/>
        <v>NO</v>
      </c>
      <c r="O860" s="9" t="str">
        <f t="shared" si="69"/>
        <v>🟡</v>
      </c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9"/>
      <c r="BP860" s="9"/>
      <c r="BQ860" s="9"/>
      <c r="BR860" s="9"/>
      <c r="BS860" s="9"/>
      <c r="BT860" s="9"/>
      <c r="BU860" s="9"/>
      <c r="BV860" s="9"/>
      <c r="BW860" s="9"/>
      <c r="BX860" s="9"/>
      <c r="BY860" s="9"/>
      <c r="BZ860" s="9"/>
      <c r="CA860" s="9"/>
      <c r="CB860" s="9"/>
      <c r="CC860" s="9"/>
      <c r="CD860" s="9"/>
      <c r="CE860" s="9"/>
      <c r="CF860" s="9"/>
      <c r="CG860" s="9"/>
    </row>
    <row r="861" spans="1:85" ht="18" customHeight="1" x14ac:dyDescent="0.3">
      <c r="A861" s="9">
        <f t="shared" si="65"/>
        <v>860</v>
      </c>
      <c r="B861" s="9" t="str">
        <f t="shared" si="66"/>
        <v/>
      </c>
      <c r="C861" s="9"/>
      <c r="D861" s="9"/>
      <c r="E861" s="9">
        <f t="shared" si="67"/>
        <v>0</v>
      </c>
      <c r="F861" s="9"/>
      <c r="G861" s="9"/>
      <c r="H861" s="9"/>
      <c r="I861" s="9"/>
      <c r="J861" s="9"/>
      <c r="K861" s="9"/>
      <c r="L861" s="9"/>
      <c r="M861" s="9"/>
      <c r="N861" s="9" t="str">
        <f t="shared" si="68"/>
        <v>NO</v>
      </c>
      <c r="O861" s="9" t="str">
        <f t="shared" si="69"/>
        <v>🟡</v>
      </c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  <c r="BL861" s="9"/>
      <c r="BM861" s="9"/>
      <c r="BN861" s="9"/>
      <c r="BO861" s="9"/>
      <c r="BP861" s="9"/>
      <c r="BQ861" s="9"/>
      <c r="BR861" s="9"/>
      <c r="BS861" s="9"/>
      <c r="BT861" s="9"/>
      <c r="BU861" s="9"/>
      <c r="BV861" s="9"/>
      <c r="BW861" s="9"/>
      <c r="BX861" s="9"/>
      <c r="BY861" s="9"/>
      <c r="BZ861" s="9"/>
      <c r="CA861" s="9"/>
      <c r="CB861" s="9"/>
      <c r="CC861" s="9"/>
      <c r="CD861" s="9"/>
      <c r="CE861" s="9"/>
      <c r="CF861" s="9"/>
      <c r="CG861" s="9"/>
    </row>
    <row r="862" spans="1:85" ht="18" customHeight="1" x14ac:dyDescent="0.3">
      <c r="A862" s="9">
        <f t="shared" si="65"/>
        <v>861</v>
      </c>
      <c r="B862" s="9" t="str">
        <f t="shared" si="66"/>
        <v/>
      </c>
      <c r="C862" s="9"/>
      <c r="D862" s="9"/>
      <c r="E862" s="9">
        <f t="shared" si="67"/>
        <v>0</v>
      </c>
      <c r="F862" s="9"/>
      <c r="G862" s="9"/>
      <c r="H862" s="9"/>
      <c r="I862" s="9"/>
      <c r="J862" s="9"/>
      <c r="K862" s="9"/>
      <c r="L862" s="9"/>
      <c r="M862" s="9"/>
      <c r="N862" s="9" t="str">
        <f t="shared" si="68"/>
        <v>NO</v>
      </c>
      <c r="O862" s="9" t="str">
        <f t="shared" si="69"/>
        <v>🟡</v>
      </c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9"/>
      <c r="CC862" s="9"/>
      <c r="CD862" s="9"/>
      <c r="CE862" s="9"/>
      <c r="CF862" s="9"/>
      <c r="CG862" s="9"/>
    </row>
    <row r="863" spans="1:85" ht="18" customHeight="1" x14ac:dyDescent="0.3">
      <c r="A863" s="9">
        <f t="shared" si="65"/>
        <v>862</v>
      </c>
      <c r="B863" s="9" t="str">
        <f t="shared" si="66"/>
        <v/>
      </c>
      <c r="C863" s="9"/>
      <c r="D863" s="9"/>
      <c r="E863" s="9">
        <f t="shared" si="67"/>
        <v>0</v>
      </c>
      <c r="F863" s="9"/>
      <c r="G863" s="9"/>
      <c r="H863" s="9"/>
      <c r="I863" s="9"/>
      <c r="J863" s="9"/>
      <c r="K863" s="9"/>
      <c r="L863" s="9"/>
      <c r="M863" s="9"/>
      <c r="N863" s="9" t="str">
        <f t="shared" si="68"/>
        <v>NO</v>
      </c>
      <c r="O863" s="9" t="str">
        <f t="shared" si="69"/>
        <v>🟡</v>
      </c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9"/>
      <c r="CC863" s="9"/>
      <c r="CD863" s="9"/>
      <c r="CE863" s="9"/>
      <c r="CF863" s="9"/>
      <c r="CG863" s="9"/>
    </row>
    <row r="864" spans="1:85" ht="18" customHeight="1" x14ac:dyDescent="0.3">
      <c r="A864" s="9">
        <f t="shared" si="65"/>
        <v>863</v>
      </c>
      <c r="B864" s="9" t="str">
        <f t="shared" si="66"/>
        <v/>
      </c>
      <c r="C864" s="9"/>
      <c r="D864" s="9"/>
      <c r="E864" s="9">
        <f t="shared" si="67"/>
        <v>0</v>
      </c>
      <c r="F864" s="9"/>
      <c r="G864" s="9"/>
      <c r="H864" s="9"/>
      <c r="I864" s="9"/>
      <c r="J864" s="9"/>
      <c r="K864" s="9"/>
      <c r="L864" s="9"/>
      <c r="M864" s="9"/>
      <c r="N864" s="9" t="str">
        <f t="shared" si="68"/>
        <v>NO</v>
      </c>
      <c r="O864" s="9" t="str">
        <f t="shared" si="69"/>
        <v>🟡</v>
      </c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9"/>
      <c r="CC864" s="9"/>
      <c r="CD864" s="9"/>
      <c r="CE864" s="9"/>
      <c r="CF864" s="9"/>
      <c r="CG864" s="9"/>
    </row>
    <row r="865" spans="1:85" ht="18" customHeight="1" x14ac:dyDescent="0.3">
      <c r="A865" s="9">
        <f t="shared" si="65"/>
        <v>864</v>
      </c>
      <c r="B865" s="9" t="str">
        <f t="shared" si="66"/>
        <v/>
      </c>
      <c r="C865" s="9"/>
      <c r="D865" s="9"/>
      <c r="E865" s="9">
        <f t="shared" si="67"/>
        <v>0</v>
      </c>
      <c r="F865" s="9"/>
      <c r="G865" s="9"/>
      <c r="H865" s="9"/>
      <c r="I865" s="9"/>
      <c r="J865" s="9"/>
      <c r="K865" s="9"/>
      <c r="L865" s="9"/>
      <c r="M865" s="9"/>
      <c r="N865" s="9" t="str">
        <f t="shared" si="68"/>
        <v>NO</v>
      </c>
      <c r="O865" s="9" t="str">
        <f t="shared" si="69"/>
        <v>🟡</v>
      </c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9"/>
      <c r="CC865" s="9"/>
      <c r="CD865" s="9"/>
      <c r="CE865" s="9"/>
      <c r="CF865" s="9"/>
      <c r="CG865" s="9"/>
    </row>
    <row r="866" spans="1:85" ht="18" customHeight="1" x14ac:dyDescent="0.3">
      <c r="A866" s="9">
        <f t="shared" si="65"/>
        <v>865</v>
      </c>
      <c r="B866" s="9" t="str">
        <f t="shared" si="66"/>
        <v/>
      </c>
      <c r="C866" s="9"/>
      <c r="D866" s="9"/>
      <c r="E866" s="9">
        <f t="shared" si="67"/>
        <v>0</v>
      </c>
      <c r="F866" s="9"/>
      <c r="G866" s="9"/>
      <c r="H866" s="9"/>
      <c r="I866" s="9"/>
      <c r="J866" s="9"/>
      <c r="K866" s="9"/>
      <c r="L866" s="9"/>
      <c r="M866" s="9"/>
      <c r="N866" s="9" t="str">
        <f t="shared" si="68"/>
        <v>NO</v>
      </c>
      <c r="O866" s="9" t="str">
        <f t="shared" si="69"/>
        <v>🟡</v>
      </c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9"/>
      <c r="CC866" s="9"/>
      <c r="CD866" s="9"/>
      <c r="CE866" s="9"/>
      <c r="CF866" s="9"/>
      <c r="CG866" s="9"/>
    </row>
    <row r="867" spans="1:85" ht="18" customHeight="1" x14ac:dyDescent="0.3">
      <c r="A867" s="9">
        <f t="shared" si="65"/>
        <v>866</v>
      </c>
      <c r="B867" s="9" t="str">
        <f t="shared" si="66"/>
        <v/>
      </c>
      <c r="C867" s="9"/>
      <c r="D867" s="9"/>
      <c r="E867" s="9">
        <f t="shared" si="67"/>
        <v>0</v>
      </c>
      <c r="F867" s="9"/>
      <c r="G867" s="9"/>
      <c r="H867" s="9"/>
      <c r="I867" s="9"/>
      <c r="J867" s="9"/>
      <c r="K867" s="9"/>
      <c r="L867" s="9"/>
      <c r="M867" s="9"/>
      <c r="N867" s="9" t="str">
        <f t="shared" si="68"/>
        <v>NO</v>
      </c>
      <c r="O867" s="9" t="str">
        <f t="shared" si="69"/>
        <v>🟡</v>
      </c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  <c r="BL867" s="9"/>
      <c r="BM867" s="9"/>
      <c r="BN867" s="9"/>
      <c r="BO867" s="9"/>
      <c r="BP867" s="9"/>
      <c r="BQ867" s="9"/>
      <c r="BR867" s="9"/>
      <c r="BS867" s="9"/>
      <c r="BT867" s="9"/>
      <c r="BU867" s="9"/>
      <c r="BV867" s="9"/>
      <c r="BW867" s="9"/>
      <c r="BX867" s="9"/>
      <c r="BY867" s="9"/>
      <c r="BZ867" s="9"/>
      <c r="CA867" s="9"/>
      <c r="CB867" s="9"/>
      <c r="CC867" s="9"/>
      <c r="CD867" s="9"/>
      <c r="CE867" s="9"/>
      <c r="CF867" s="9"/>
      <c r="CG867" s="9"/>
    </row>
    <row r="868" spans="1:85" ht="18" customHeight="1" x14ac:dyDescent="0.3">
      <c r="A868" s="9">
        <f t="shared" si="65"/>
        <v>867</v>
      </c>
      <c r="B868" s="9" t="str">
        <f t="shared" si="66"/>
        <v/>
      </c>
      <c r="C868" s="9"/>
      <c r="D868" s="9"/>
      <c r="E868" s="9">
        <f t="shared" si="67"/>
        <v>0</v>
      </c>
      <c r="F868" s="9"/>
      <c r="G868" s="9"/>
      <c r="H868" s="9"/>
      <c r="I868" s="9"/>
      <c r="J868" s="9"/>
      <c r="K868" s="9"/>
      <c r="L868" s="9"/>
      <c r="M868" s="9"/>
      <c r="N868" s="9" t="str">
        <f t="shared" si="68"/>
        <v>NO</v>
      </c>
      <c r="O868" s="9" t="str">
        <f t="shared" si="69"/>
        <v>🟡</v>
      </c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9"/>
      <c r="BP868" s="9"/>
      <c r="BQ868" s="9"/>
      <c r="BR868" s="9"/>
      <c r="BS868" s="9"/>
      <c r="BT868" s="9"/>
      <c r="BU868" s="9"/>
      <c r="BV868" s="9"/>
      <c r="BW868" s="9"/>
      <c r="BX868" s="9"/>
      <c r="BY868" s="9"/>
      <c r="BZ868" s="9"/>
      <c r="CA868" s="9"/>
      <c r="CB868" s="9"/>
      <c r="CC868" s="9"/>
      <c r="CD868" s="9"/>
      <c r="CE868" s="9"/>
      <c r="CF868" s="9"/>
      <c r="CG868" s="9"/>
    </row>
    <row r="869" spans="1:85" ht="18" customHeight="1" x14ac:dyDescent="0.3">
      <c r="A869" s="9">
        <f t="shared" si="65"/>
        <v>868</v>
      </c>
      <c r="B869" s="9" t="str">
        <f t="shared" si="66"/>
        <v/>
      </c>
      <c r="C869" s="9"/>
      <c r="D869" s="9"/>
      <c r="E869" s="9">
        <f t="shared" si="67"/>
        <v>0</v>
      </c>
      <c r="F869" s="9"/>
      <c r="G869" s="9"/>
      <c r="H869" s="9"/>
      <c r="I869" s="9"/>
      <c r="J869" s="9"/>
      <c r="K869" s="9"/>
      <c r="L869" s="9"/>
      <c r="M869" s="9"/>
      <c r="N869" s="9" t="str">
        <f t="shared" si="68"/>
        <v>NO</v>
      </c>
      <c r="O869" s="9" t="str">
        <f t="shared" si="69"/>
        <v>🟡</v>
      </c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9"/>
      <c r="CC869" s="9"/>
      <c r="CD869" s="9"/>
      <c r="CE869" s="9"/>
      <c r="CF869" s="9"/>
      <c r="CG869" s="9"/>
    </row>
    <row r="870" spans="1:85" ht="18" customHeight="1" x14ac:dyDescent="0.3">
      <c r="A870" s="9">
        <f t="shared" si="65"/>
        <v>869</v>
      </c>
      <c r="B870" s="9" t="str">
        <f t="shared" si="66"/>
        <v/>
      </c>
      <c r="C870" s="9"/>
      <c r="D870" s="9"/>
      <c r="E870" s="9">
        <f t="shared" si="67"/>
        <v>0</v>
      </c>
      <c r="F870" s="9"/>
      <c r="G870" s="9"/>
      <c r="H870" s="9"/>
      <c r="I870" s="9"/>
      <c r="J870" s="9"/>
      <c r="K870" s="9"/>
      <c r="L870" s="9"/>
      <c r="M870" s="9"/>
      <c r="N870" s="9" t="str">
        <f t="shared" si="68"/>
        <v>NO</v>
      </c>
      <c r="O870" s="9" t="str">
        <f t="shared" si="69"/>
        <v>🟡</v>
      </c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9"/>
      <c r="BP870" s="9"/>
      <c r="BQ870" s="9"/>
      <c r="BR870" s="9"/>
      <c r="BS870" s="9"/>
      <c r="BT870" s="9"/>
      <c r="BU870" s="9"/>
      <c r="BV870" s="9"/>
      <c r="BW870" s="9"/>
      <c r="BX870" s="9"/>
      <c r="BY870" s="9"/>
      <c r="BZ870" s="9"/>
      <c r="CA870" s="9"/>
      <c r="CB870" s="9"/>
      <c r="CC870" s="9"/>
      <c r="CD870" s="9"/>
      <c r="CE870" s="9"/>
      <c r="CF870" s="9"/>
      <c r="CG870" s="9"/>
    </row>
    <row r="871" spans="1:85" ht="18" customHeight="1" x14ac:dyDescent="0.3">
      <c r="A871" s="9">
        <f t="shared" si="65"/>
        <v>870</v>
      </c>
      <c r="B871" s="9" t="str">
        <f t="shared" si="66"/>
        <v/>
      </c>
      <c r="C871" s="9"/>
      <c r="D871" s="9"/>
      <c r="E871" s="9">
        <f t="shared" si="67"/>
        <v>0</v>
      </c>
      <c r="F871" s="9"/>
      <c r="G871" s="9"/>
      <c r="H871" s="9"/>
      <c r="I871" s="9"/>
      <c r="J871" s="9"/>
      <c r="K871" s="9"/>
      <c r="L871" s="9"/>
      <c r="M871" s="9"/>
      <c r="N871" s="9" t="str">
        <f t="shared" si="68"/>
        <v>NO</v>
      </c>
      <c r="O871" s="9" t="str">
        <f t="shared" si="69"/>
        <v>🟡</v>
      </c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  <c r="BF871" s="9"/>
      <c r="BG871" s="9"/>
      <c r="BH871" s="9"/>
      <c r="BI871" s="9"/>
      <c r="BJ871" s="9"/>
      <c r="BK871" s="9"/>
      <c r="BL871" s="9"/>
      <c r="BM871" s="9"/>
      <c r="BN871" s="9"/>
      <c r="BO871" s="9"/>
      <c r="BP871" s="9"/>
      <c r="BQ871" s="9"/>
      <c r="BR871" s="9"/>
      <c r="BS871" s="9"/>
      <c r="BT871" s="9"/>
      <c r="BU871" s="9"/>
      <c r="BV871" s="9"/>
      <c r="BW871" s="9"/>
      <c r="BX871" s="9"/>
      <c r="BY871" s="9"/>
      <c r="BZ871" s="9"/>
      <c r="CA871" s="9"/>
      <c r="CB871" s="9"/>
      <c r="CC871" s="9"/>
      <c r="CD871" s="9"/>
      <c r="CE871" s="9"/>
      <c r="CF871" s="9"/>
      <c r="CG871" s="9"/>
    </row>
    <row r="872" spans="1:85" ht="18" customHeight="1" x14ac:dyDescent="0.3">
      <c r="A872" s="9">
        <f t="shared" si="65"/>
        <v>871</v>
      </c>
      <c r="B872" s="9" t="str">
        <f t="shared" si="66"/>
        <v/>
      </c>
      <c r="C872" s="9"/>
      <c r="D872" s="9"/>
      <c r="E872" s="9">
        <f t="shared" si="67"/>
        <v>0</v>
      </c>
      <c r="F872" s="9"/>
      <c r="G872" s="9"/>
      <c r="H872" s="9"/>
      <c r="I872" s="9"/>
      <c r="J872" s="9"/>
      <c r="K872" s="9"/>
      <c r="L872" s="9"/>
      <c r="M872" s="9"/>
      <c r="N872" s="9" t="str">
        <f t="shared" si="68"/>
        <v>NO</v>
      </c>
      <c r="O872" s="9" t="str">
        <f t="shared" si="69"/>
        <v>🟡</v>
      </c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9"/>
      <c r="BP872" s="9"/>
      <c r="BQ872" s="9"/>
      <c r="BR872" s="9"/>
      <c r="BS872" s="9"/>
      <c r="BT872" s="9"/>
      <c r="BU872" s="9"/>
      <c r="BV872" s="9"/>
      <c r="BW872" s="9"/>
      <c r="BX872" s="9"/>
      <c r="BY872" s="9"/>
      <c r="BZ872" s="9"/>
      <c r="CA872" s="9"/>
      <c r="CB872" s="9"/>
      <c r="CC872" s="9"/>
      <c r="CD872" s="9"/>
      <c r="CE872" s="9"/>
      <c r="CF872" s="9"/>
      <c r="CG872" s="9"/>
    </row>
    <row r="873" spans="1:85" ht="18" customHeight="1" x14ac:dyDescent="0.3">
      <c r="A873" s="9">
        <f t="shared" si="65"/>
        <v>872</v>
      </c>
      <c r="B873" s="9" t="str">
        <f t="shared" si="66"/>
        <v/>
      </c>
      <c r="C873" s="9"/>
      <c r="D873" s="9"/>
      <c r="E873" s="9">
        <f t="shared" si="67"/>
        <v>0</v>
      </c>
      <c r="F873" s="9"/>
      <c r="G873" s="9"/>
      <c r="H873" s="9"/>
      <c r="I873" s="9"/>
      <c r="J873" s="9"/>
      <c r="K873" s="9"/>
      <c r="L873" s="9"/>
      <c r="M873" s="9"/>
      <c r="N873" s="9" t="str">
        <f t="shared" si="68"/>
        <v>NO</v>
      </c>
      <c r="O873" s="9" t="str">
        <f t="shared" si="69"/>
        <v>🟡</v>
      </c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  <c r="BF873" s="9"/>
      <c r="BG873" s="9"/>
      <c r="BH873" s="9"/>
      <c r="BI873" s="9"/>
      <c r="BJ873" s="9"/>
      <c r="BK873" s="9"/>
      <c r="BL873" s="9"/>
      <c r="BM873" s="9"/>
      <c r="BN873" s="9"/>
      <c r="BO873" s="9"/>
      <c r="BP873" s="9"/>
      <c r="BQ873" s="9"/>
      <c r="BR873" s="9"/>
      <c r="BS873" s="9"/>
      <c r="BT873" s="9"/>
      <c r="BU873" s="9"/>
      <c r="BV873" s="9"/>
      <c r="BW873" s="9"/>
      <c r="BX873" s="9"/>
      <c r="BY873" s="9"/>
      <c r="BZ873" s="9"/>
      <c r="CA873" s="9"/>
      <c r="CB873" s="9"/>
      <c r="CC873" s="9"/>
      <c r="CD873" s="9"/>
      <c r="CE873" s="9"/>
      <c r="CF873" s="9"/>
      <c r="CG873" s="9"/>
    </row>
    <row r="874" spans="1:85" ht="18" customHeight="1" x14ac:dyDescent="0.3">
      <c r="A874" s="9">
        <f t="shared" si="65"/>
        <v>873</v>
      </c>
      <c r="B874" s="9" t="str">
        <f t="shared" si="66"/>
        <v/>
      </c>
      <c r="C874" s="9"/>
      <c r="D874" s="9"/>
      <c r="E874" s="9">
        <f t="shared" si="67"/>
        <v>0</v>
      </c>
      <c r="F874" s="9"/>
      <c r="G874" s="9"/>
      <c r="H874" s="9"/>
      <c r="I874" s="9"/>
      <c r="J874" s="9"/>
      <c r="K874" s="9"/>
      <c r="L874" s="9"/>
      <c r="M874" s="9"/>
      <c r="N874" s="9" t="str">
        <f t="shared" si="68"/>
        <v>NO</v>
      </c>
      <c r="O874" s="9" t="str">
        <f t="shared" si="69"/>
        <v>🟡</v>
      </c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9"/>
      <c r="CC874" s="9"/>
      <c r="CD874" s="9"/>
      <c r="CE874" s="9"/>
      <c r="CF874" s="9"/>
      <c r="CG874" s="9"/>
    </row>
    <row r="875" spans="1:85" ht="18" customHeight="1" x14ac:dyDescent="0.3">
      <c r="A875" s="9">
        <f t="shared" si="65"/>
        <v>874</v>
      </c>
      <c r="B875" s="9" t="str">
        <f t="shared" si="66"/>
        <v/>
      </c>
      <c r="C875" s="9"/>
      <c r="D875" s="9"/>
      <c r="E875" s="9">
        <f t="shared" si="67"/>
        <v>0</v>
      </c>
      <c r="F875" s="9"/>
      <c r="G875" s="9"/>
      <c r="H875" s="9"/>
      <c r="I875" s="9"/>
      <c r="J875" s="9"/>
      <c r="K875" s="9"/>
      <c r="L875" s="9"/>
      <c r="M875" s="9"/>
      <c r="N875" s="9" t="str">
        <f t="shared" si="68"/>
        <v>NO</v>
      </c>
      <c r="O875" s="9" t="str">
        <f t="shared" si="69"/>
        <v>🟡</v>
      </c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9"/>
      <c r="CC875" s="9"/>
      <c r="CD875" s="9"/>
      <c r="CE875" s="9"/>
      <c r="CF875" s="9"/>
      <c r="CG875" s="9"/>
    </row>
    <row r="876" spans="1:85" ht="18" customHeight="1" x14ac:dyDescent="0.3">
      <c r="A876" s="9">
        <f t="shared" si="65"/>
        <v>875</v>
      </c>
      <c r="B876" s="9" t="str">
        <f t="shared" si="66"/>
        <v/>
      </c>
      <c r="C876" s="9"/>
      <c r="D876" s="9"/>
      <c r="E876" s="9">
        <f t="shared" si="67"/>
        <v>0</v>
      </c>
      <c r="F876" s="9"/>
      <c r="G876" s="9"/>
      <c r="H876" s="9"/>
      <c r="I876" s="9"/>
      <c r="J876" s="9"/>
      <c r="K876" s="9"/>
      <c r="L876" s="9"/>
      <c r="M876" s="9"/>
      <c r="N876" s="9" t="str">
        <f t="shared" si="68"/>
        <v>NO</v>
      </c>
      <c r="O876" s="9" t="str">
        <f t="shared" si="69"/>
        <v>🟡</v>
      </c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</row>
    <row r="877" spans="1:85" ht="18" customHeight="1" x14ac:dyDescent="0.3">
      <c r="A877" s="9">
        <f t="shared" si="65"/>
        <v>876</v>
      </c>
      <c r="B877" s="9" t="str">
        <f t="shared" si="66"/>
        <v/>
      </c>
      <c r="C877" s="9"/>
      <c r="D877" s="9"/>
      <c r="E877" s="9">
        <f t="shared" si="67"/>
        <v>0</v>
      </c>
      <c r="F877" s="9"/>
      <c r="G877" s="9"/>
      <c r="H877" s="9"/>
      <c r="I877" s="9"/>
      <c r="J877" s="9"/>
      <c r="K877" s="9"/>
      <c r="L877" s="9"/>
      <c r="M877" s="9"/>
      <c r="N877" s="9" t="str">
        <f t="shared" si="68"/>
        <v>NO</v>
      </c>
      <c r="O877" s="9" t="str">
        <f t="shared" si="69"/>
        <v>🟡</v>
      </c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9"/>
      <c r="CC877" s="9"/>
      <c r="CD877" s="9"/>
      <c r="CE877" s="9"/>
      <c r="CF877" s="9"/>
      <c r="CG877" s="9"/>
    </row>
    <row r="878" spans="1:85" ht="18" customHeight="1" x14ac:dyDescent="0.3">
      <c r="A878" s="9">
        <f t="shared" si="65"/>
        <v>877</v>
      </c>
      <c r="B878" s="9" t="str">
        <f t="shared" si="66"/>
        <v/>
      </c>
      <c r="C878" s="9"/>
      <c r="D878" s="9"/>
      <c r="E878" s="9">
        <f t="shared" si="67"/>
        <v>0</v>
      </c>
      <c r="F878" s="9"/>
      <c r="G878" s="9"/>
      <c r="H878" s="9"/>
      <c r="I878" s="9"/>
      <c r="J878" s="9"/>
      <c r="K878" s="9"/>
      <c r="L878" s="9"/>
      <c r="M878" s="9"/>
      <c r="N878" s="9" t="str">
        <f t="shared" si="68"/>
        <v>NO</v>
      </c>
      <c r="O878" s="9" t="str">
        <f t="shared" si="69"/>
        <v>🟡</v>
      </c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9"/>
      <c r="CC878" s="9"/>
      <c r="CD878" s="9"/>
      <c r="CE878" s="9"/>
      <c r="CF878" s="9"/>
      <c r="CG878" s="9"/>
    </row>
    <row r="879" spans="1:85" ht="18" customHeight="1" x14ac:dyDescent="0.3">
      <c r="A879" s="9">
        <f t="shared" si="65"/>
        <v>878</v>
      </c>
      <c r="B879" s="9" t="str">
        <f t="shared" si="66"/>
        <v/>
      </c>
      <c r="C879" s="9"/>
      <c r="D879" s="9"/>
      <c r="E879" s="9">
        <f t="shared" si="67"/>
        <v>0</v>
      </c>
      <c r="F879" s="9"/>
      <c r="G879" s="9"/>
      <c r="H879" s="9"/>
      <c r="I879" s="9"/>
      <c r="J879" s="9"/>
      <c r="K879" s="9"/>
      <c r="L879" s="9"/>
      <c r="M879" s="9"/>
      <c r="N879" s="9" t="str">
        <f t="shared" si="68"/>
        <v>NO</v>
      </c>
      <c r="O879" s="9" t="str">
        <f t="shared" si="69"/>
        <v>🟡</v>
      </c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  <c r="BF879" s="9"/>
      <c r="BG879" s="9"/>
      <c r="BH879" s="9"/>
      <c r="BI879" s="9"/>
      <c r="BJ879" s="9"/>
      <c r="BK879" s="9"/>
      <c r="BL879" s="9"/>
      <c r="BM879" s="9"/>
      <c r="BN879" s="9"/>
      <c r="BO879" s="9"/>
      <c r="BP879" s="9"/>
      <c r="BQ879" s="9"/>
      <c r="BR879" s="9"/>
      <c r="BS879" s="9"/>
      <c r="BT879" s="9"/>
      <c r="BU879" s="9"/>
      <c r="BV879" s="9"/>
      <c r="BW879" s="9"/>
      <c r="BX879" s="9"/>
      <c r="BY879" s="9"/>
      <c r="BZ879" s="9"/>
      <c r="CA879" s="9"/>
      <c r="CB879" s="9"/>
      <c r="CC879" s="9"/>
      <c r="CD879" s="9"/>
      <c r="CE879" s="9"/>
      <c r="CF879" s="9"/>
      <c r="CG879" s="9"/>
    </row>
    <row r="880" spans="1:85" ht="18" customHeight="1" x14ac:dyDescent="0.3">
      <c r="A880" s="9">
        <f t="shared" si="65"/>
        <v>879</v>
      </c>
      <c r="B880" s="9" t="str">
        <f t="shared" si="66"/>
        <v/>
      </c>
      <c r="C880" s="9"/>
      <c r="D880" s="9"/>
      <c r="E880" s="9">
        <f t="shared" si="67"/>
        <v>0</v>
      </c>
      <c r="F880" s="9"/>
      <c r="G880" s="9"/>
      <c r="H880" s="9"/>
      <c r="I880" s="9"/>
      <c r="J880" s="9"/>
      <c r="K880" s="9"/>
      <c r="L880" s="9"/>
      <c r="M880" s="9"/>
      <c r="N880" s="9" t="str">
        <f t="shared" si="68"/>
        <v>NO</v>
      </c>
      <c r="O880" s="9" t="str">
        <f t="shared" si="69"/>
        <v>🟡</v>
      </c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9"/>
      <c r="BP880" s="9"/>
      <c r="BQ880" s="9"/>
      <c r="BR880" s="9"/>
      <c r="BS880" s="9"/>
      <c r="BT880" s="9"/>
      <c r="BU880" s="9"/>
      <c r="BV880" s="9"/>
      <c r="BW880" s="9"/>
      <c r="BX880" s="9"/>
      <c r="BY880" s="9"/>
      <c r="BZ880" s="9"/>
      <c r="CA880" s="9"/>
      <c r="CB880" s="9"/>
      <c r="CC880" s="9"/>
      <c r="CD880" s="9"/>
      <c r="CE880" s="9"/>
      <c r="CF880" s="9"/>
      <c r="CG880" s="9"/>
    </row>
    <row r="881" spans="1:85" ht="18" customHeight="1" x14ac:dyDescent="0.3">
      <c r="A881" s="9">
        <f t="shared" si="65"/>
        <v>880</v>
      </c>
      <c r="B881" s="9" t="str">
        <f t="shared" si="66"/>
        <v/>
      </c>
      <c r="C881" s="9"/>
      <c r="D881" s="9"/>
      <c r="E881" s="9">
        <f t="shared" si="67"/>
        <v>0</v>
      </c>
      <c r="F881" s="9"/>
      <c r="G881" s="9"/>
      <c r="H881" s="9"/>
      <c r="I881" s="9"/>
      <c r="J881" s="9"/>
      <c r="K881" s="9"/>
      <c r="L881" s="9"/>
      <c r="M881" s="9"/>
      <c r="N881" s="9" t="str">
        <f t="shared" si="68"/>
        <v>NO</v>
      </c>
      <c r="O881" s="9" t="str">
        <f t="shared" si="69"/>
        <v>🟡</v>
      </c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  <c r="BL881" s="9"/>
      <c r="BM881" s="9"/>
      <c r="BN881" s="9"/>
      <c r="BO881" s="9"/>
      <c r="BP881" s="9"/>
      <c r="BQ881" s="9"/>
      <c r="BR881" s="9"/>
      <c r="BS881" s="9"/>
      <c r="BT881" s="9"/>
      <c r="BU881" s="9"/>
      <c r="BV881" s="9"/>
      <c r="BW881" s="9"/>
      <c r="BX881" s="9"/>
      <c r="BY881" s="9"/>
      <c r="BZ881" s="9"/>
      <c r="CA881" s="9"/>
      <c r="CB881" s="9"/>
      <c r="CC881" s="9"/>
      <c r="CD881" s="9"/>
      <c r="CE881" s="9"/>
      <c r="CF881" s="9"/>
      <c r="CG881" s="9"/>
    </row>
    <row r="882" spans="1:85" ht="18" customHeight="1" x14ac:dyDescent="0.3">
      <c r="A882" s="9">
        <f t="shared" si="65"/>
        <v>881</v>
      </c>
      <c r="B882" s="9" t="str">
        <f t="shared" si="66"/>
        <v/>
      </c>
      <c r="C882" s="9"/>
      <c r="D882" s="9"/>
      <c r="E882" s="9">
        <f t="shared" si="67"/>
        <v>0</v>
      </c>
      <c r="F882" s="9"/>
      <c r="G882" s="9"/>
      <c r="H882" s="9"/>
      <c r="I882" s="9"/>
      <c r="J882" s="9"/>
      <c r="K882" s="9"/>
      <c r="L882" s="9"/>
      <c r="M882" s="9"/>
      <c r="N882" s="9" t="str">
        <f t="shared" si="68"/>
        <v>NO</v>
      </c>
      <c r="O882" s="9" t="str">
        <f t="shared" si="69"/>
        <v>🟡</v>
      </c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9"/>
      <c r="BP882" s="9"/>
      <c r="BQ882" s="9"/>
      <c r="BR882" s="9"/>
      <c r="BS882" s="9"/>
      <c r="BT882" s="9"/>
      <c r="BU882" s="9"/>
      <c r="BV882" s="9"/>
      <c r="BW882" s="9"/>
      <c r="BX882" s="9"/>
      <c r="BY882" s="9"/>
      <c r="BZ882" s="9"/>
      <c r="CA882" s="9"/>
      <c r="CB882" s="9"/>
      <c r="CC882" s="9"/>
      <c r="CD882" s="9"/>
      <c r="CE882" s="9"/>
      <c r="CF882" s="9"/>
      <c r="CG882" s="9"/>
    </row>
    <row r="883" spans="1:85" ht="18" customHeight="1" x14ac:dyDescent="0.3">
      <c r="A883" s="9">
        <f t="shared" si="65"/>
        <v>882</v>
      </c>
      <c r="B883" s="9" t="str">
        <f t="shared" si="66"/>
        <v/>
      </c>
      <c r="C883" s="9"/>
      <c r="D883" s="9"/>
      <c r="E883" s="9">
        <f t="shared" si="67"/>
        <v>0</v>
      </c>
      <c r="F883" s="9"/>
      <c r="G883" s="9"/>
      <c r="H883" s="9"/>
      <c r="I883" s="9"/>
      <c r="J883" s="9"/>
      <c r="K883" s="9"/>
      <c r="L883" s="9"/>
      <c r="M883" s="9"/>
      <c r="N883" s="9" t="str">
        <f t="shared" si="68"/>
        <v>NO</v>
      </c>
      <c r="O883" s="9" t="str">
        <f t="shared" si="69"/>
        <v>🟡</v>
      </c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  <c r="BF883" s="9"/>
      <c r="BG883" s="9"/>
      <c r="BH883" s="9"/>
      <c r="BI883" s="9"/>
      <c r="BJ883" s="9"/>
      <c r="BK883" s="9"/>
      <c r="BL883" s="9"/>
      <c r="BM883" s="9"/>
      <c r="BN883" s="9"/>
      <c r="BO883" s="9"/>
      <c r="BP883" s="9"/>
      <c r="BQ883" s="9"/>
      <c r="BR883" s="9"/>
      <c r="BS883" s="9"/>
      <c r="BT883" s="9"/>
      <c r="BU883" s="9"/>
      <c r="BV883" s="9"/>
      <c r="BW883" s="9"/>
      <c r="BX883" s="9"/>
      <c r="BY883" s="9"/>
      <c r="BZ883" s="9"/>
      <c r="CA883" s="9"/>
      <c r="CB883" s="9"/>
      <c r="CC883" s="9"/>
      <c r="CD883" s="9"/>
      <c r="CE883" s="9"/>
      <c r="CF883" s="9"/>
      <c r="CG883" s="9"/>
    </row>
    <row r="884" spans="1:85" ht="18" customHeight="1" x14ac:dyDescent="0.3">
      <c r="A884" s="9">
        <f t="shared" si="65"/>
        <v>883</v>
      </c>
      <c r="B884" s="9" t="str">
        <f t="shared" si="66"/>
        <v/>
      </c>
      <c r="C884" s="9"/>
      <c r="D884" s="9"/>
      <c r="E884" s="9">
        <f t="shared" si="67"/>
        <v>0</v>
      </c>
      <c r="F884" s="9"/>
      <c r="G884" s="9"/>
      <c r="H884" s="9"/>
      <c r="I884" s="9"/>
      <c r="J884" s="9"/>
      <c r="K884" s="9"/>
      <c r="L884" s="9"/>
      <c r="M884" s="9"/>
      <c r="N884" s="9" t="str">
        <f t="shared" si="68"/>
        <v>NO</v>
      </c>
      <c r="O884" s="9" t="str">
        <f t="shared" si="69"/>
        <v>🟡</v>
      </c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9"/>
      <c r="BP884" s="9"/>
      <c r="BQ884" s="9"/>
      <c r="BR884" s="9"/>
      <c r="BS884" s="9"/>
      <c r="BT884" s="9"/>
      <c r="BU884" s="9"/>
      <c r="BV884" s="9"/>
      <c r="BW884" s="9"/>
      <c r="BX884" s="9"/>
      <c r="BY884" s="9"/>
      <c r="BZ884" s="9"/>
      <c r="CA884" s="9"/>
      <c r="CB884" s="9"/>
      <c r="CC884" s="9"/>
      <c r="CD884" s="9"/>
      <c r="CE884" s="9"/>
      <c r="CF884" s="9"/>
      <c r="CG884" s="9"/>
    </row>
    <row r="885" spans="1:85" ht="18" customHeight="1" x14ac:dyDescent="0.3">
      <c r="A885" s="9">
        <f t="shared" si="65"/>
        <v>884</v>
      </c>
      <c r="B885" s="9" t="str">
        <f t="shared" si="66"/>
        <v/>
      </c>
      <c r="C885" s="9"/>
      <c r="D885" s="9"/>
      <c r="E885" s="9">
        <f t="shared" si="67"/>
        <v>0</v>
      </c>
      <c r="F885" s="9"/>
      <c r="G885" s="9"/>
      <c r="H885" s="9"/>
      <c r="I885" s="9"/>
      <c r="J885" s="9"/>
      <c r="K885" s="9"/>
      <c r="L885" s="9"/>
      <c r="M885" s="9"/>
      <c r="N885" s="9" t="str">
        <f t="shared" si="68"/>
        <v>NO</v>
      </c>
      <c r="O885" s="9" t="str">
        <f t="shared" si="69"/>
        <v>🟡</v>
      </c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  <c r="BF885" s="9"/>
      <c r="BG885" s="9"/>
      <c r="BH885" s="9"/>
      <c r="BI885" s="9"/>
      <c r="BJ885" s="9"/>
      <c r="BK885" s="9"/>
      <c r="BL885" s="9"/>
      <c r="BM885" s="9"/>
      <c r="BN885" s="9"/>
      <c r="BO885" s="9"/>
      <c r="BP885" s="9"/>
      <c r="BQ885" s="9"/>
      <c r="BR885" s="9"/>
      <c r="BS885" s="9"/>
      <c r="BT885" s="9"/>
      <c r="BU885" s="9"/>
      <c r="BV885" s="9"/>
      <c r="BW885" s="9"/>
      <c r="BX885" s="9"/>
      <c r="BY885" s="9"/>
      <c r="BZ885" s="9"/>
      <c r="CA885" s="9"/>
      <c r="CB885" s="9"/>
      <c r="CC885" s="9"/>
      <c r="CD885" s="9"/>
      <c r="CE885" s="9"/>
      <c r="CF885" s="9"/>
      <c r="CG885" s="9"/>
    </row>
    <row r="886" spans="1:85" ht="18" customHeight="1" x14ac:dyDescent="0.3">
      <c r="A886" s="9">
        <f t="shared" si="65"/>
        <v>885</v>
      </c>
      <c r="B886" s="9" t="str">
        <f t="shared" si="66"/>
        <v/>
      </c>
      <c r="C886" s="9"/>
      <c r="D886" s="9"/>
      <c r="E886" s="9">
        <f t="shared" si="67"/>
        <v>0</v>
      </c>
      <c r="F886" s="9"/>
      <c r="G886" s="9"/>
      <c r="H886" s="9"/>
      <c r="I886" s="9"/>
      <c r="J886" s="9"/>
      <c r="K886" s="9"/>
      <c r="L886" s="9"/>
      <c r="M886" s="9"/>
      <c r="N886" s="9" t="str">
        <f t="shared" si="68"/>
        <v>NO</v>
      </c>
      <c r="O886" s="9" t="str">
        <f t="shared" si="69"/>
        <v>🟡</v>
      </c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9"/>
      <c r="CC886" s="9"/>
      <c r="CD886" s="9"/>
      <c r="CE886" s="9"/>
      <c r="CF886" s="9"/>
      <c r="CG886" s="9"/>
    </row>
    <row r="887" spans="1:85" ht="18" customHeight="1" x14ac:dyDescent="0.3">
      <c r="A887" s="9">
        <f t="shared" si="65"/>
        <v>886</v>
      </c>
      <c r="B887" s="9" t="str">
        <f t="shared" si="66"/>
        <v/>
      </c>
      <c r="C887" s="9"/>
      <c r="D887" s="9"/>
      <c r="E887" s="9">
        <f t="shared" si="67"/>
        <v>0</v>
      </c>
      <c r="F887" s="9"/>
      <c r="G887" s="9"/>
      <c r="H887" s="9"/>
      <c r="I887" s="9"/>
      <c r="J887" s="9"/>
      <c r="K887" s="9"/>
      <c r="L887" s="9"/>
      <c r="M887" s="9"/>
      <c r="N887" s="9" t="str">
        <f t="shared" si="68"/>
        <v>NO</v>
      </c>
      <c r="O887" s="9" t="str">
        <f t="shared" si="69"/>
        <v>🟡</v>
      </c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  <c r="BF887" s="9"/>
      <c r="BG887" s="9"/>
      <c r="BH887" s="9"/>
      <c r="BI887" s="9"/>
      <c r="BJ887" s="9"/>
      <c r="BK887" s="9"/>
      <c r="BL887" s="9"/>
      <c r="BM887" s="9"/>
      <c r="BN887" s="9"/>
      <c r="BO887" s="9"/>
      <c r="BP887" s="9"/>
      <c r="BQ887" s="9"/>
      <c r="BR887" s="9"/>
      <c r="BS887" s="9"/>
      <c r="BT887" s="9"/>
      <c r="BU887" s="9"/>
      <c r="BV887" s="9"/>
      <c r="BW887" s="9"/>
      <c r="BX887" s="9"/>
      <c r="BY887" s="9"/>
      <c r="BZ887" s="9"/>
      <c r="CA887" s="9"/>
      <c r="CB887" s="9"/>
      <c r="CC887" s="9"/>
      <c r="CD887" s="9"/>
      <c r="CE887" s="9"/>
      <c r="CF887" s="9"/>
      <c r="CG887" s="9"/>
    </row>
    <row r="888" spans="1:85" ht="18" customHeight="1" x14ac:dyDescent="0.3">
      <c r="A888" s="9">
        <f t="shared" si="65"/>
        <v>887</v>
      </c>
      <c r="B888" s="9" t="str">
        <f t="shared" si="66"/>
        <v/>
      </c>
      <c r="C888" s="9"/>
      <c r="D888" s="9"/>
      <c r="E888" s="9">
        <f t="shared" si="67"/>
        <v>0</v>
      </c>
      <c r="F888" s="9"/>
      <c r="G888" s="9"/>
      <c r="H888" s="9"/>
      <c r="I888" s="9"/>
      <c r="J888" s="9"/>
      <c r="K888" s="9"/>
      <c r="L888" s="9"/>
      <c r="M888" s="9"/>
      <c r="N888" s="9" t="str">
        <f t="shared" si="68"/>
        <v>NO</v>
      </c>
      <c r="O888" s="9" t="str">
        <f t="shared" si="69"/>
        <v>🟡</v>
      </c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9"/>
      <c r="CC888" s="9"/>
      <c r="CD888" s="9"/>
      <c r="CE888" s="9"/>
      <c r="CF888" s="9"/>
      <c r="CG888" s="9"/>
    </row>
    <row r="889" spans="1:85" ht="18" customHeight="1" x14ac:dyDescent="0.3">
      <c r="A889" s="9">
        <f t="shared" si="65"/>
        <v>888</v>
      </c>
      <c r="B889" s="9" t="str">
        <f t="shared" si="66"/>
        <v/>
      </c>
      <c r="C889" s="9"/>
      <c r="D889" s="9"/>
      <c r="E889" s="9">
        <f t="shared" si="67"/>
        <v>0</v>
      </c>
      <c r="F889" s="9"/>
      <c r="G889" s="9"/>
      <c r="H889" s="9"/>
      <c r="I889" s="9"/>
      <c r="J889" s="9"/>
      <c r="K889" s="9"/>
      <c r="L889" s="9"/>
      <c r="M889" s="9"/>
      <c r="N889" s="9" t="str">
        <f t="shared" si="68"/>
        <v>NO</v>
      </c>
      <c r="O889" s="9" t="str">
        <f t="shared" si="69"/>
        <v>🟡</v>
      </c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9"/>
      <c r="CC889" s="9"/>
      <c r="CD889" s="9"/>
      <c r="CE889" s="9"/>
      <c r="CF889" s="9"/>
      <c r="CG889" s="9"/>
    </row>
    <row r="890" spans="1:85" ht="18" customHeight="1" x14ac:dyDescent="0.3">
      <c r="A890" s="9">
        <f t="shared" si="65"/>
        <v>889</v>
      </c>
      <c r="B890" s="9" t="str">
        <f t="shared" si="66"/>
        <v/>
      </c>
      <c r="C890" s="9"/>
      <c r="D890" s="9"/>
      <c r="E890" s="9">
        <f t="shared" si="67"/>
        <v>0</v>
      </c>
      <c r="F890" s="9"/>
      <c r="G890" s="9"/>
      <c r="H890" s="9"/>
      <c r="I890" s="9"/>
      <c r="J890" s="9"/>
      <c r="K890" s="9"/>
      <c r="L890" s="9"/>
      <c r="M890" s="9"/>
      <c r="N890" s="9" t="str">
        <f t="shared" si="68"/>
        <v>NO</v>
      </c>
      <c r="O890" s="9" t="str">
        <f t="shared" si="69"/>
        <v>🟡</v>
      </c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9"/>
      <c r="CC890" s="9"/>
      <c r="CD890" s="9"/>
      <c r="CE890" s="9"/>
      <c r="CF890" s="9"/>
      <c r="CG890" s="9"/>
    </row>
    <row r="891" spans="1:85" ht="18" customHeight="1" x14ac:dyDescent="0.3">
      <c r="A891" s="9">
        <f t="shared" si="65"/>
        <v>890</v>
      </c>
      <c r="B891" s="9" t="str">
        <f t="shared" si="66"/>
        <v/>
      </c>
      <c r="C891" s="9"/>
      <c r="D891" s="9"/>
      <c r="E891" s="9">
        <f t="shared" si="67"/>
        <v>0</v>
      </c>
      <c r="F891" s="9"/>
      <c r="G891" s="9"/>
      <c r="H891" s="9"/>
      <c r="I891" s="9"/>
      <c r="J891" s="9"/>
      <c r="K891" s="9"/>
      <c r="L891" s="9"/>
      <c r="M891" s="9"/>
      <c r="N891" s="9" t="str">
        <f t="shared" si="68"/>
        <v>NO</v>
      </c>
      <c r="O891" s="9" t="str">
        <f t="shared" si="69"/>
        <v>🟡</v>
      </c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9"/>
      <c r="CC891" s="9"/>
      <c r="CD891" s="9"/>
      <c r="CE891" s="9"/>
      <c r="CF891" s="9"/>
      <c r="CG891" s="9"/>
    </row>
    <row r="892" spans="1:85" ht="18" customHeight="1" x14ac:dyDescent="0.3">
      <c r="A892" s="9">
        <f t="shared" si="65"/>
        <v>891</v>
      </c>
      <c r="B892" s="9" t="str">
        <f t="shared" si="66"/>
        <v/>
      </c>
      <c r="C892" s="9"/>
      <c r="D892" s="9"/>
      <c r="E892" s="9">
        <f t="shared" si="67"/>
        <v>0</v>
      </c>
      <c r="F892" s="9"/>
      <c r="G892" s="9"/>
      <c r="H892" s="9"/>
      <c r="I892" s="9"/>
      <c r="J892" s="9"/>
      <c r="K892" s="9"/>
      <c r="L892" s="9"/>
      <c r="M892" s="9"/>
      <c r="N892" s="9" t="str">
        <f t="shared" si="68"/>
        <v>NO</v>
      </c>
      <c r="O892" s="9" t="str">
        <f t="shared" si="69"/>
        <v>🟡</v>
      </c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9"/>
      <c r="CC892" s="9"/>
      <c r="CD892" s="9"/>
      <c r="CE892" s="9"/>
      <c r="CF892" s="9"/>
      <c r="CG892" s="9"/>
    </row>
    <row r="893" spans="1:85" ht="18" customHeight="1" x14ac:dyDescent="0.3">
      <c r="A893" s="9">
        <f t="shared" si="65"/>
        <v>892</v>
      </c>
      <c r="B893" s="9" t="str">
        <f t="shared" si="66"/>
        <v/>
      </c>
      <c r="C893" s="9"/>
      <c r="D893" s="9"/>
      <c r="E893" s="9">
        <f t="shared" si="67"/>
        <v>0</v>
      </c>
      <c r="F893" s="9"/>
      <c r="G893" s="9"/>
      <c r="H893" s="9"/>
      <c r="I893" s="9"/>
      <c r="J893" s="9"/>
      <c r="K893" s="9"/>
      <c r="L893" s="9"/>
      <c r="M893" s="9"/>
      <c r="N893" s="9" t="str">
        <f t="shared" si="68"/>
        <v>NO</v>
      </c>
      <c r="O893" s="9" t="str">
        <f t="shared" si="69"/>
        <v>🟡</v>
      </c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9"/>
      <c r="CC893" s="9"/>
      <c r="CD893" s="9"/>
      <c r="CE893" s="9"/>
      <c r="CF893" s="9"/>
      <c r="CG893" s="9"/>
    </row>
    <row r="894" spans="1:85" ht="18" customHeight="1" x14ac:dyDescent="0.3">
      <c r="A894" s="9">
        <f t="shared" si="65"/>
        <v>893</v>
      </c>
      <c r="B894" s="9" t="str">
        <f t="shared" si="66"/>
        <v/>
      </c>
      <c r="C894" s="9"/>
      <c r="D894" s="9"/>
      <c r="E894" s="9">
        <f t="shared" si="67"/>
        <v>0</v>
      </c>
      <c r="F894" s="9"/>
      <c r="G894" s="9"/>
      <c r="H894" s="9"/>
      <c r="I894" s="9"/>
      <c r="J894" s="9"/>
      <c r="K894" s="9"/>
      <c r="L894" s="9"/>
      <c r="M894" s="9"/>
      <c r="N894" s="9" t="str">
        <f t="shared" si="68"/>
        <v>NO</v>
      </c>
      <c r="O894" s="9" t="str">
        <f t="shared" si="69"/>
        <v>🟡</v>
      </c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9"/>
      <c r="BP894" s="9"/>
      <c r="BQ894" s="9"/>
      <c r="BR894" s="9"/>
      <c r="BS894" s="9"/>
      <c r="BT894" s="9"/>
      <c r="BU894" s="9"/>
      <c r="BV894" s="9"/>
      <c r="BW894" s="9"/>
      <c r="BX894" s="9"/>
      <c r="BY894" s="9"/>
      <c r="BZ894" s="9"/>
      <c r="CA894" s="9"/>
      <c r="CB894" s="9"/>
      <c r="CC894" s="9"/>
      <c r="CD894" s="9"/>
      <c r="CE894" s="9"/>
      <c r="CF894" s="9"/>
      <c r="CG894" s="9"/>
    </row>
    <row r="895" spans="1:85" ht="18" customHeight="1" x14ac:dyDescent="0.3">
      <c r="A895" s="9">
        <f t="shared" si="65"/>
        <v>894</v>
      </c>
      <c r="B895" s="9" t="str">
        <f t="shared" si="66"/>
        <v/>
      </c>
      <c r="C895" s="9"/>
      <c r="D895" s="9"/>
      <c r="E895" s="9">
        <f t="shared" si="67"/>
        <v>0</v>
      </c>
      <c r="F895" s="9"/>
      <c r="G895" s="9"/>
      <c r="H895" s="9"/>
      <c r="I895" s="9"/>
      <c r="J895" s="9"/>
      <c r="K895" s="9"/>
      <c r="L895" s="9"/>
      <c r="M895" s="9"/>
      <c r="N895" s="9" t="str">
        <f t="shared" si="68"/>
        <v>NO</v>
      </c>
      <c r="O895" s="9" t="str">
        <f t="shared" si="69"/>
        <v>🟡</v>
      </c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9"/>
      <c r="CC895" s="9"/>
      <c r="CD895" s="9"/>
      <c r="CE895" s="9"/>
      <c r="CF895" s="9"/>
      <c r="CG895" s="9"/>
    </row>
    <row r="896" spans="1:85" ht="18" customHeight="1" x14ac:dyDescent="0.3">
      <c r="A896" s="9">
        <f t="shared" si="65"/>
        <v>895</v>
      </c>
      <c r="B896" s="9" t="str">
        <f t="shared" si="66"/>
        <v/>
      </c>
      <c r="C896" s="9"/>
      <c r="D896" s="9"/>
      <c r="E896" s="9">
        <f t="shared" si="67"/>
        <v>0</v>
      </c>
      <c r="F896" s="9"/>
      <c r="G896" s="9"/>
      <c r="H896" s="9"/>
      <c r="I896" s="9"/>
      <c r="J896" s="9"/>
      <c r="K896" s="9"/>
      <c r="L896" s="9"/>
      <c r="M896" s="9"/>
      <c r="N896" s="9" t="str">
        <f t="shared" si="68"/>
        <v>NO</v>
      </c>
      <c r="O896" s="9" t="str">
        <f t="shared" si="69"/>
        <v>🟡</v>
      </c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9"/>
      <c r="CC896" s="9"/>
      <c r="CD896" s="9"/>
      <c r="CE896" s="9"/>
      <c r="CF896" s="9"/>
      <c r="CG896" s="9"/>
    </row>
    <row r="897" spans="1:85" ht="18" customHeight="1" x14ac:dyDescent="0.3">
      <c r="A897" s="9">
        <f t="shared" ref="A897:A960" si="70">IF(COUNTA(C897:K897)=0,"",ROW()-1)</f>
        <v>896</v>
      </c>
      <c r="B897" s="9" t="str">
        <f t="shared" ref="B897:B960" si="71">IF($F897&lt;&gt;"",$A897,"")</f>
        <v/>
      </c>
      <c r="C897" s="9"/>
      <c r="D897" s="9"/>
      <c r="E897" s="9">
        <f t="shared" ref="E897:E960" si="72">IF(UPPER($J897)="NO","",$M897)</f>
        <v>0</v>
      </c>
      <c r="F897" s="9"/>
      <c r="G897" s="9"/>
      <c r="H897" s="9"/>
      <c r="I897" s="9"/>
      <c r="J897" s="9"/>
      <c r="K897" s="9"/>
      <c r="L897" s="9"/>
      <c r="M897" s="9"/>
      <c r="N897" s="9" t="str">
        <f t="shared" ref="N897:N960" si="73">IF(AND(UPPER($M897)="VIP",UPPER($J897)="SI",$F897&lt;&gt;""),"SI","NO")</f>
        <v>NO</v>
      </c>
      <c r="O897" s="9" t="str">
        <f t="shared" ref="O897:O960" si="74">IF(UPPER($J897)="SI","🟢",IF(UPPER($J897)="NO","🔴","🟡"))</f>
        <v>🟡</v>
      </c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9"/>
      <c r="CC897" s="9"/>
      <c r="CD897" s="9"/>
      <c r="CE897" s="9"/>
      <c r="CF897" s="9"/>
      <c r="CG897" s="9"/>
    </row>
    <row r="898" spans="1:85" ht="18" customHeight="1" x14ac:dyDescent="0.3">
      <c r="A898" s="9">
        <f t="shared" si="70"/>
        <v>897</v>
      </c>
      <c r="B898" s="9" t="str">
        <f t="shared" si="71"/>
        <v/>
      </c>
      <c r="C898" s="9"/>
      <c r="D898" s="9"/>
      <c r="E898" s="9">
        <f t="shared" si="72"/>
        <v>0</v>
      </c>
      <c r="F898" s="9"/>
      <c r="G898" s="9"/>
      <c r="H898" s="9"/>
      <c r="I898" s="9"/>
      <c r="J898" s="9"/>
      <c r="K898" s="9"/>
      <c r="L898" s="9"/>
      <c r="M898" s="9"/>
      <c r="N898" s="9" t="str">
        <f t="shared" si="73"/>
        <v>NO</v>
      </c>
      <c r="O898" s="9" t="str">
        <f t="shared" si="74"/>
        <v>🟡</v>
      </c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</row>
    <row r="899" spans="1:85" ht="18" customHeight="1" x14ac:dyDescent="0.3">
      <c r="A899" s="9">
        <f t="shared" si="70"/>
        <v>898</v>
      </c>
      <c r="B899" s="9" t="str">
        <f t="shared" si="71"/>
        <v/>
      </c>
      <c r="C899" s="9"/>
      <c r="D899" s="9"/>
      <c r="E899" s="9">
        <f t="shared" si="72"/>
        <v>0</v>
      </c>
      <c r="F899" s="9"/>
      <c r="G899" s="9"/>
      <c r="H899" s="9"/>
      <c r="I899" s="9"/>
      <c r="J899" s="9"/>
      <c r="K899" s="9"/>
      <c r="L899" s="9"/>
      <c r="M899" s="9"/>
      <c r="N899" s="9" t="str">
        <f t="shared" si="73"/>
        <v>NO</v>
      </c>
      <c r="O899" s="9" t="str">
        <f t="shared" si="74"/>
        <v>🟡</v>
      </c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9"/>
      <c r="CC899" s="9"/>
      <c r="CD899" s="9"/>
      <c r="CE899" s="9"/>
      <c r="CF899" s="9"/>
      <c r="CG899" s="9"/>
    </row>
    <row r="900" spans="1:85" ht="18" customHeight="1" x14ac:dyDescent="0.3">
      <c r="A900" s="9">
        <f t="shared" si="70"/>
        <v>899</v>
      </c>
      <c r="B900" s="9" t="str">
        <f t="shared" si="71"/>
        <v/>
      </c>
      <c r="C900" s="9"/>
      <c r="D900" s="9"/>
      <c r="E900" s="9">
        <f t="shared" si="72"/>
        <v>0</v>
      </c>
      <c r="F900" s="9"/>
      <c r="G900" s="9"/>
      <c r="H900" s="9"/>
      <c r="I900" s="9"/>
      <c r="J900" s="9"/>
      <c r="K900" s="9"/>
      <c r="L900" s="9"/>
      <c r="M900" s="9"/>
      <c r="N900" s="9" t="str">
        <f t="shared" si="73"/>
        <v>NO</v>
      </c>
      <c r="O900" s="9" t="str">
        <f t="shared" si="74"/>
        <v>🟡</v>
      </c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9"/>
      <c r="CC900" s="9"/>
      <c r="CD900" s="9"/>
      <c r="CE900" s="9"/>
      <c r="CF900" s="9"/>
      <c r="CG900" s="9"/>
    </row>
    <row r="901" spans="1:85" ht="18" customHeight="1" x14ac:dyDescent="0.3">
      <c r="A901" s="9">
        <f t="shared" si="70"/>
        <v>900</v>
      </c>
      <c r="B901" s="9" t="str">
        <f t="shared" si="71"/>
        <v/>
      </c>
      <c r="C901" s="9"/>
      <c r="D901" s="9"/>
      <c r="E901" s="9">
        <f t="shared" si="72"/>
        <v>0</v>
      </c>
      <c r="F901" s="9"/>
      <c r="G901" s="9"/>
      <c r="H901" s="9"/>
      <c r="I901" s="9"/>
      <c r="J901" s="9"/>
      <c r="K901" s="9"/>
      <c r="L901" s="9"/>
      <c r="M901" s="9"/>
      <c r="N901" s="9" t="str">
        <f t="shared" si="73"/>
        <v>NO</v>
      </c>
      <c r="O901" s="9" t="str">
        <f t="shared" si="74"/>
        <v>🟡</v>
      </c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9"/>
      <c r="CC901" s="9"/>
      <c r="CD901" s="9"/>
      <c r="CE901" s="9"/>
      <c r="CF901" s="9"/>
      <c r="CG901" s="9"/>
    </row>
    <row r="902" spans="1:85" ht="18" customHeight="1" x14ac:dyDescent="0.3">
      <c r="A902" s="9">
        <f t="shared" si="70"/>
        <v>901</v>
      </c>
      <c r="B902" s="9" t="str">
        <f t="shared" si="71"/>
        <v/>
      </c>
      <c r="C902" s="9"/>
      <c r="D902" s="9"/>
      <c r="E902" s="9">
        <f t="shared" si="72"/>
        <v>0</v>
      </c>
      <c r="F902" s="9"/>
      <c r="G902" s="9"/>
      <c r="H902" s="9"/>
      <c r="I902" s="9"/>
      <c r="J902" s="9"/>
      <c r="K902" s="9"/>
      <c r="L902" s="9"/>
      <c r="M902" s="9"/>
      <c r="N902" s="9" t="str">
        <f t="shared" si="73"/>
        <v>NO</v>
      </c>
      <c r="O902" s="9" t="str">
        <f t="shared" si="74"/>
        <v>🟡</v>
      </c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9"/>
      <c r="CF902" s="9"/>
      <c r="CG902" s="9"/>
    </row>
    <row r="903" spans="1:85" ht="18" customHeight="1" x14ac:dyDescent="0.3">
      <c r="A903" s="9">
        <f t="shared" si="70"/>
        <v>902</v>
      </c>
      <c r="B903" s="9" t="str">
        <f t="shared" si="71"/>
        <v/>
      </c>
      <c r="C903" s="9"/>
      <c r="D903" s="9"/>
      <c r="E903" s="9">
        <f t="shared" si="72"/>
        <v>0</v>
      </c>
      <c r="F903" s="9"/>
      <c r="G903" s="9"/>
      <c r="H903" s="9"/>
      <c r="I903" s="9"/>
      <c r="J903" s="9"/>
      <c r="K903" s="9"/>
      <c r="L903" s="9"/>
      <c r="M903" s="9"/>
      <c r="N903" s="9" t="str">
        <f t="shared" si="73"/>
        <v>NO</v>
      </c>
      <c r="O903" s="9" t="str">
        <f t="shared" si="74"/>
        <v>🟡</v>
      </c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9"/>
      <c r="CC903" s="9"/>
      <c r="CD903" s="9"/>
      <c r="CE903" s="9"/>
      <c r="CF903" s="9"/>
      <c r="CG903" s="9"/>
    </row>
    <row r="904" spans="1:85" ht="18" customHeight="1" x14ac:dyDescent="0.3">
      <c r="A904" s="9">
        <f t="shared" si="70"/>
        <v>903</v>
      </c>
      <c r="B904" s="9" t="str">
        <f t="shared" si="71"/>
        <v/>
      </c>
      <c r="C904" s="9"/>
      <c r="D904" s="9"/>
      <c r="E904" s="9">
        <f t="shared" si="72"/>
        <v>0</v>
      </c>
      <c r="F904" s="9"/>
      <c r="G904" s="9"/>
      <c r="H904" s="9"/>
      <c r="I904" s="9"/>
      <c r="J904" s="9"/>
      <c r="K904" s="9"/>
      <c r="L904" s="9"/>
      <c r="M904" s="9"/>
      <c r="N904" s="9" t="str">
        <f t="shared" si="73"/>
        <v>NO</v>
      </c>
      <c r="O904" s="9" t="str">
        <f t="shared" si="74"/>
        <v>🟡</v>
      </c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9"/>
      <c r="CC904" s="9"/>
      <c r="CD904" s="9"/>
      <c r="CE904" s="9"/>
      <c r="CF904" s="9"/>
      <c r="CG904" s="9"/>
    </row>
    <row r="905" spans="1:85" ht="18" customHeight="1" x14ac:dyDescent="0.3">
      <c r="A905" s="9">
        <f t="shared" si="70"/>
        <v>904</v>
      </c>
      <c r="B905" s="9" t="str">
        <f t="shared" si="71"/>
        <v/>
      </c>
      <c r="C905" s="9"/>
      <c r="D905" s="9"/>
      <c r="E905" s="9">
        <f t="shared" si="72"/>
        <v>0</v>
      </c>
      <c r="F905" s="9"/>
      <c r="G905" s="9"/>
      <c r="H905" s="9"/>
      <c r="I905" s="9"/>
      <c r="J905" s="9"/>
      <c r="K905" s="9"/>
      <c r="L905" s="9"/>
      <c r="M905" s="9"/>
      <c r="N905" s="9" t="str">
        <f t="shared" si="73"/>
        <v>NO</v>
      </c>
      <c r="O905" s="9" t="str">
        <f t="shared" si="74"/>
        <v>🟡</v>
      </c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9"/>
      <c r="CC905" s="9"/>
      <c r="CD905" s="9"/>
      <c r="CE905" s="9"/>
      <c r="CF905" s="9"/>
      <c r="CG905" s="9"/>
    </row>
    <row r="906" spans="1:85" ht="18" customHeight="1" x14ac:dyDescent="0.3">
      <c r="A906" s="9">
        <f t="shared" si="70"/>
        <v>905</v>
      </c>
      <c r="B906" s="9" t="str">
        <f t="shared" si="71"/>
        <v/>
      </c>
      <c r="C906" s="9"/>
      <c r="D906" s="9"/>
      <c r="E906" s="9">
        <f t="shared" si="72"/>
        <v>0</v>
      </c>
      <c r="F906" s="9"/>
      <c r="G906" s="9"/>
      <c r="H906" s="9"/>
      <c r="I906" s="9"/>
      <c r="J906" s="9"/>
      <c r="K906" s="9"/>
      <c r="L906" s="9"/>
      <c r="M906" s="9"/>
      <c r="N906" s="9" t="str">
        <f t="shared" si="73"/>
        <v>NO</v>
      </c>
      <c r="O906" s="9" t="str">
        <f t="shared" si="74"/>
        <v>🟡</v>
      </c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9"/>
      <c r="CC906" s="9"/>
      <c r="CD906" s="9"/>
      <c r="CE906" s="9"/>
      <c r="CF906" s="9"/>
      <c r="CG906" s="9"/>
    </row>
    <row r="907" spans="1:85" ht="18" customHeight="1" x14ac:dyDescent="0.3">
      <c r="A907" s="9">
        <f t="shared" si="70"/>
        <v>906</v>
      </c>
      <c r="B907" s="9" t="str">
        <f t="shared" si="71"/>
        <v/>
      </c>
      <c r="C907" s="9"/>
      <c r="D907" s="9"/>
      <c r="E907" s="9">
        <f t="shared" si="72"/>
        <v>0</v>
      </c>
      <c r="F907" s="9"/>
      <c r="G907" s="9"/>
      <c r="H907" s="9"/>
      <c r="I907" s="9"/>
      <c r="J907" s="9"/>
      <c r="K907" s="9"/>
      <c r="L907" s="9"/>
      <c r="M907" s="9"/>
      <c r="N907" s="9" t="str">
        <f t="shared" si="73"/>
        <v>NO</v>
      </c>
      <c r="O907" s="9" t="str">
        <f t="shared" si="74"/>
        <v>🟡</v>
      </c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9"/>
      <c r="CC907" s="9"/>
      <c r="CD907" s="9"/>
      <c r="CE907" s="9"/>
      <c r="CF907" s="9"/>
      <c r="CG907" s="9"/>
    </row>
    <row r="908" spans="1:85" ht="18" customHeight="1" x14ac:dyDescent="0.3">
      <c r="A908" s="9">
        <f t="shared" si="70"/>
        <v>907</v>
      </c>
      <c r="B908" s="9" t="str">
        <f t="shared" si="71"/>
        <v/>
      </c>
      <c r="C908" s="9"/>
      <c r="D908" s="9"/>
      <c r="E908" s="9">
        <f t="shared" si="72"/>
        <v>0</v>
      </c>
      <c r="F908" s="9"/>
      <c r="G908" s="9"/>
      <c r="H908" s="9"/>
      <c r="I908" s="9"/>
      <c r="J908" s="9"/>
      <c r="K908" s="9"/>
      <c r="L908" s="9"/>
      <c r="M908" s="9"/>
      <c r="N908" s="9" t="str">
        <f t="shared" si="73"/>
        <v>NO</v>
      </c>
      <c r="O908" s="9" t="str">
        <f t="shared" si="74"/>
        <v>🟡</v>
      </c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9"/>
      <c r="CC908" s="9"/>
      <c r="CD908" s="9"/>
      <c r="CE908" s="9"/>
      <c r="CF908" s="9"/>
      <c r="CG908" s="9"/>
    </row>
    <row r="909" spans="1:85" ht="18" customHeight="1" x14ac:dyDescent="0.3">
      <c r="A909" s="9">
        <f t="shared" si="70"/>
        <v>908</v>
      </c>
      <c r="B909" s="9" t="str">
        <f t="shared" si="71"/>
        <v/>
      </c>
      <c r="C909" s="9"/>
      <c r="D909" s="9"/>
      <c r="E909" s="9">
        <f t="shared" si="72"/>
        <v>0</v>
      </c>
      <c r="F909" s="9"/>
      <c r="G909" s="9"/>
      <c r="H909" s="9"/>
      <c r="I909" s="9"/>
      <c r="J909" s="9"/>
      <c r="K909" s="9"/>
      <c r="L909" s="9"/>
      <c r="M909" s="9"/>
      <c r="N909" s="9" t="str">
        <f t="shared" si="73"/>
        <v>NO</v>
      </c>
      <c r="O909" s="9" t="str">
        <f t="shared" si="74"/>
        <v>🟡</v>
      </c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9"/>
      <c r="CC909" s="9"/>
      <c r="CD909" s="9"/>
      <c r="CE909" s="9"/>
      <c r="CF909" s="9"/>
      <c r="CG909" s="9"/>
    </row>
    <row r="910" spans="1:85" ht="18" customHeight="1" x14ac:dyDescent="0.3">
      <c r="A910" s="9">
        <f t="shared" si="70"/>
        <v>909</v>
      </c>
      <c r="B910" s="9" t="str">
        <f t="shared" si="71"/>
        <v/>
      </c>
      <c r="C910" s="9"/>
      <c r="D910" s="9"/>
      <c r="E910" s="9">
        <f t="shared" si="72"/>
        <v>0</v>
      </c>
      <c r="F910" s="9"/>
      <c r="G910" s="9"/>
      <c r="H910" s="9"/>
      <c r="I910" s="9"/>
      <c r="J910" s="9"/>
      <c r="K910" s="9"/>
      <c r="L910" s="9"/>
      <c r="M910" s="9"/>
      <c r="N910" s="9" t="str">
        <f t="shared" si="73"/>
        <v>NO</v>
      </c>
      <c r="O910" s="9" t="str">
        <f t="shared" si="74"/>
        <v>🟡</v>
      </c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9"/>
      <c r="CC910" s="9"/>
      <c r="CD910" s="9"/>
      <c r="CE910" s="9"/>
      <c r="CF910" s="9"/>
      <c r="CG910" s="9"/>
    </row>
    <row r="911" spans="1:85" ht="18" customHeight="1" x14ac:dyDescent="0.3">
      <c r="A911" s="9">
        <f t="shared" si="70"/>
        <v>910</v>
      </c>
      <c r="B911" s="9" t="str">
        <f t="shared" si="71"/>
        <v/>
      </c>
      <c r="C911" s="9"/>
      <c r="D911" s="9"/>
      <c r="E911" s="9">
        <f t="shared" si="72"/>
        <v>0</v>
      </c>
      <c r="F911" s="9"/>
      <c r="G911" s="9"/>
      <c r="H911" s="9"/>
      <c r="I911" s="9"/>
      <c r="J911" s="9"/>
      <c r="K911" s="9"/>
      <c r="L911" s="9"/>
      <c r="M911" s="9"/>
      <c r="N911" s="9" t="str">
        <f t="shared" si="73"/>
        <v>NO</v>
      </c>
      <c r="O911" s="9" t="str">
        <f t="shared" si="74"/>
        <v>🟡</v>
      </c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9"/>
      <c r="CC911" s="9"/>
      <c r="CD911" s="9"/>
      <c r="CE911" s="9"/>
      <c r="CF911" s="9"/>
      <c r="CG911" s="9"/>
    </row>
    <row r="912" spans="1:85" ht="18" customHeight="1" x14ac:dyDescent="0.3">
      <c r="A912" s="9">
        <f t="shared" si="70"/>
        <v>911</v>
      </c>
      <c r="B912" s="9" t="str">
        <f t="shared" si="71"/>
        <v/>
      </c>
      <c r="C912" s="9"/>
      <c r="D912" s="9"/>
      <c r="E912" s="9">
        <f t="shared" si="72"/>
        <v>0</v>
      </c>
      <c r="F912" s="9"/>
      <c r="G912" s="9"/>
      <c r="H912" s="9"/>
      <c r="I912" s="9"/>
      <c r="J912" s="9"/>
      <c r="K912" s="9"/>
      <c r="L912" s="9"/>
      <c r="M912" s="9"/>
      <c r="N912" s="9" t="str">
        <f t="shared" si="73"/>
        <v>NO</v>
      </c>
      <c r="O912" s="9" t="str">
        <f t="shared" si="74"/>
        <v>🟡</v>
      </c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9"/>
      <c r="CC912" s="9"/>
      <c r="CD912" s="9"/>
      <c r="CE912" s="9"/>
      <c r="CF912" s="9"/>
      <c r="CG912" s="9"/>
    </row>
    <row r="913" spans="1:85" ht="18" customHeight="1" x14ac:dyDescent="0.3">
      <c r="A913" s="9">
        <f t="shared" si="70"/>
        <v>912</v>
      </c>
      <c r="B913" s="9" t="str">
        <f t="shared" si="71"/>
        <v/>
      </c>
      <c r="C913" s="9"/>
      <c r="D913" s="9"/>
      <c r="E913" s="9">
        <f t="shared" si="72"/>
        <v>0</v>
      </c>
      <c r="F913" s="9"/>
      <c r="G913" s="9"/>
      <c r="H913" s="9"/>
      <c r="I913" s="9"/>
      <c r="J913" s="9"/>
      <c r="K913" s="9"/>
      <c r="L913" s="9"/>
      <c r="M913" s="9"/>
      <c r="N913" s="9" t="str">
        <f t="shared" si="73"/>
        <v>NO</v>
      </c>
      <c r="O913" s="9" t="str">
        <f t="shared" si="74"/>
        <v>🟡</v>
      </c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9"/>
      <c r="CC913" s="9"/>
      <c r="CD913" s="9"/>
      <c r="CE913" s="9"/>
      <c r="CF913" s="9"/>
      <c r="CG913" s="9"/>
    </row>
    <row r="914" spans="1:85" ht="18" customHeight="1" x14ac:dyDescent="0.3">
      <c r="A914" s="9">
        <f t="shared" si="70"/>
        <v>913</v>
      </c>
      <c r="B914" s="9" t="str">
        <f t="shared" si="71"/>
        <v/>
      </c>
      <c r="C914" s="9"/>
      <c r="D914" s="9"/>
      <c r="E914" s="9">
        <f t="shared" si="72"/>
        <v>0</v>
      </c>
      <c r="F914" s="9"/>
      <c r="G914" s="9"/>
      <c r="H914" s="9"/>
      <c r="I914" s="9"/>
      <c r="J914" s="9"/>
      <c r="K914" s="9"/>
      <c r="L914" s="9"/>
      <c r="M914" s="9"/>
      <c r="N914" s="9" t="str">
        <f t="shared" si="73"/>
        <v>NO</v>
      </c>
      <c r="O914" s="9" t="str">
        <f t="shared" si="74"/>
        <v>🟡</v>
      </c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9"/>
      <c r="CC914" s="9"/>
      <c r="CD914" s="9"/>
      <c r="CE914" s="9"/>
      <c r="CF914" s="9"/>
      <c r="CG914" s="9"/>
    </row>
    <row r="915" spans="1:85" ht="18" customHeight="1" x14ac:dyDescent="0.3">
      <c r="A915" s="9">
        <f t="shared" si="70"/>
        <v>914</v>
      </c>
      <c r="B915" s="9" t="str">
        <f t="shared" si="71"/>
        <v/>
      </c>
      <c r="C915" s="9"/>
      <c r="D915" s="9"/>
      <c r="E915" s="9">
        <f t="shared" si="72"/>
        <v>0</v>
      </c>
      <c r="F915" s="9"/>
      <c r="G915" s="9"/>
      <c r="H915" s="9"/>
      <c r="I915" s="9"/>
      <c r="J915" s="9"/>
      <c r="K915" s="9"/>
      <c r="L915" s="9"/>
      <c r="M915" s="9"/>
      <c r="N915" s="9" t="str">
        <f t="shared" si="73"/>
        <v>NO</v>
      </c>
      <c r="O915" s="9" t="str">
        <f t="shared" si="74"/>
        <v>🟡</v>
      </c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</row>
    <row r="916" spans="1:85" ht="18" customHeight="1" x14ac:dyDescent="0.3">
      <c r="A916" s="9">
        <f t="shared" si="70"/>
        <v>915</v>
      </c>
      <c r="B916" s="9" t="str">
        <f t="shared" si="71"/>
        <v/>
      </c>
      <c r="C916" s="9"/>
      <c r="D916" s="9"/>
      <c r="E916" s="9">
        <f t="shared" si="72"/>
        <v>0</v>
      </c>
      <c r="F916" s="9"/>
      <c r="G916" s="9"/>
      <c r="H916" s="9"/>
      <c r="I916" s="9"/>
      <c r="J916" s="9"/>
      <c r="K916" s="9"/>
      <c r="L916" s="9"/>
      <c r="M916" s="9"/>
      <c r="N916" s="9" t="str">
        <f t="shared" si="73"/>
        <v>NO</v>
      </c>
      <c r="O916" s="9" t="str">
        <f t="shared" si="74"/>
        <v>🟡</v>
      </c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9"/>
      <c r="CC916" s="9"/>
      <c r="CD916" s="9"/>
      <c r="CE916" s="9"/>
      <c r="CF916" s="9"/>
      <c r="CG916" s="9"/>
    </row>
    <row r="917" spans="1:85" ht="18" customHeight="1" x14ac:dyDescent="0.3">
      <c r="A917" s="9">
        <f t="shared" si="70"/>
        <v>916</v>
      </c>
      <c r="B917" s="9" t="str">
        <f t="shared" si="71"/>
        <v/>
      </c>
      <c r="C917" s="9"/>
      <c r="D917" s="9"/>
      <c r="E917" s="9">
        <f t="shared" si="72"/>
        <v>0</v>
      </c>
      <c r="F917" s="9"/>
      <c r="G917" s="9"/>
      <c r="H917" s="9"/>
      <c r="I917" s="9"/>
      <c r="J917" s="9"/>
      <c r="K917" s="9"/>
      <c r="L917" s="9"/>
      <c r="M917" s="9"/>
      <c r="N917" s="9" t="str">
        <f t="shared" si="73"/>
        <v>NO</v>
      </c>
      <c r="O917" s="9" t="str">
        <f t="shared" si="74"/>
        <v>🟡</v>
      </c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9"/>
      <c r="CC917" s="9"/>
      <c r="CD917" s="9"/>
      <c r="CE917" s="9"/>
      <c r="CF917" s="9"/>
      <c r="CG917" s="9"/>
    </row>
    <row r="918" spans="1:85" ht="18" customHeight="1" x14ac:dyDescent="0.3">
      <c r="A918" s="9">
        <f t="shared" si="70"/>
        <v>917</v>
      </c>
      <c r="B918" s="9" t="str">
        <f t="shared" si="71"/>
        <v/>
      </c>
      <c r="C918" s="9"/>
      <c r="D918" s="9"/>
      <c r="E918" s="9">
        <f t="shared" si="72"/>
        <v>0</v>
      </c>
      <c r="F918" s="9"/>
      <c r="G918" s="9"/>
      <c r="H918" s="9"/>
      <c r="I918" s="9"/>
      <c r="J918" s="9"/>
      <c r="K918" s="9"/>
      <c r="L918" s="9"/>
      <c r="M918" s="9"/>
      <c r="N918" s="9" t="str">
        <f t="shared" si="73"/>
        <v>NO</v>
      </c>
      <c r="O918" s="9" t="str">
        <f t="shared" si="74"/>
        <v>🟡</v>
      </c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9"/>
      <c r="CC918" s="9"/>
      <c r="CD918" s="9"/>
      <c r="CE918" s="9"/>
      <c r="CF918" s="9"/>
      <c r="CG918" s="9"/>
    </row>
    <row r="919" spans="1:85" ht="18" customHeight="1" x14ac:dyDescent="0.3">
      <c r="A919" s="9">
        <f t="shared" si="70"/>
        <v>918</v>
      </c>
      <c r="B919" s="9" t="str">
        <f t="shared" si="71"/>
        <v/>
      </c>
      <c r="C919" s="9"/>
      <c r="D919" s="9"/>
      <c r="E919" s="9">
        <f t="shared" si="72"/>
        <v>0</v>
      </c>
      <c r="F919" s="9"/>
      <c r="G919" s="9"/>
      <c r="H919" s="9"/>
      <c r="I919" s="9"/>
      <c r="J919" s="9"/>
      <c r="K919" s="9"/>
      <c r="L919" s="9"/>
      <c r="M919" s="9"/>
      <c r="N919" s="9" t="str">
        <f t="shared" si="73"/>
        <v>NO</v>
      </c>
      <c r="O919" s="9" t="str">
        <f t="shared" si="74"/>
        <v>🟡</v>
      </c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  <c r="BL919" s="9"/>
      <c r="BM919" s="9"/>
      <c r="BN919" s="9"/>
      <c r="BO919" s="9"/>
      <c r="BP919" s="9"/>
      <c r="BQ919" s="9"/>
      <c r="BR919" s="9"/>
      <c r="BS919" s="9"/>
      <c r="BT919" s="9"/>
      <c r="BU919" s="9"/>
      <c r="BV919" s="9"/>
      <c r="BW919" s="9"/>
      <c r="BX919" s="9"/>
      <c r="BY919" s="9"/>
      <c r="BZ919" s="9"/>
      <c r="CA919" s="9"/>
      <c r="CB919" s="9"/>
      <c r="CC919" s="9"/>
      <c r="CD919" s="9"/>
      <c r="CE919" s="9"/>
      <c r="CF919" s="9"/>
      <c r="CG919" s="9"/>
    </row>
    <row r="920" spans="1:85" ht="18" customHeight="1" x14ac:dyDescent="0.3">
      <c r="A920" s="9">
        <f t="shared" si="70"/>
        <v>919</v>
      </c>
      <c r="B920" s="9" t="str">
        <f t="shared" si="71"/>
        <v/>
      </c>
      <c r="C920" s="9"/>
      <c r="D920" s="9"/>
      <c r="E920" s="9">
        <f t="shared" si="72"/>
        <v>0</v>
      </c>
      <c r="F920" s="9"/>
      <c r="G920" s="9"/>
      <c r="H920" s="9"/>
      <c r="I920" s="9"/>
      <c r="J920" s="9"/>
      <c r="K920" s="9"/>
      <c r="L920" s="9"/>
      <c r="M920" s="9"/>
      <c r="N920" s="9" t="str">
        <f t="shared" si="73"/>
        <v>NO</v>
      </c>
      <c r="O920" s="9" t="str">
        <f t="shared" si="74"/>
        <v>🟡</v>
      </c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9"/>
      <c r="BP920" s="9"/>
      <c r="BQ920" s="9"/>
      <c r="BR920" s="9"/>
      <c r="BS920" s="9"/>
      <c r="BT920" s="9"/>
      <c r="BU920" s="9"/>
      <c r="BV920" s="9"/>
      <c r="BW920" s="9"/>
      <c r="BX920" s="9"/>
      <c r="BY920" s="9"/>
      <c r="BZ920" s="9"/>
      <c r="CA920" s="9"/>
      <c r="CB920" s="9"/>
      <c r="CC920" s="9"/>
      <c r="CD920" s="9"/>
      <c r="CE920" s="9"/>
      <c r="CF920" s="9"/>
      <c r="CG920" s="9"/>
    </row>
    <row r="921" spans="1:85" ht="18" customHeight="1" x14ac:dyDescent="0.3">
      <c r="A921" s="9">
        <f t="shared" si="70"/>
        <v>920</v>
      </c>
      <c r="B921" s="9" t="str">
        <f t="shared" si="71"/>
        <v/>
      </c>
      <c r="C921" s="9"/>
      <c r="D921" s="9"/>
      <c r="E921" s="9">
        <f t="shared" si="72"/>
        <v>0</v>
      </c>
      <c r="F921" s="9"/>
      <c r="G921" s="9"/>
      <c r="H921" s="9"/>
      <c r="I921" s="9"/>
      <c r="J921" s="9"/>
      <c r="K921" s="9"/>
      <c r="L921" s="9"/>
      <c r="M921" s="9"/>
      <c r="N921" s="9" t="str">
        <f t="shared" si="73"/>
        <v>NO</v>
      </c>
      <c r="O921" s="9" t="str">
        <f t="shared" si="74"/>
        <v>🟡</v>
      </c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9"/>
      <c r="CC921" s="9"/>
      <c r="CD921" s="9"/>
      <c r="CE921" s="9"/>
      <c r="CF921" s="9"/>
      <c r="CG921" s="9"/>
    </row>
    <row r="922" spans="1:85" ht="18" customHeight="1" x14ac:dyDescent="0.3">
      <c r="A922" s="9">
        <f t="shared" si="70"/>
        <v>921</v>
      </c>
      <c r="B922" s="9" t="str">
        <f t="shared" si="71"/>
        <v/>
      </c>
      <c r="C922" s="9"/>
      <c r="D922" s="9"/>
      <c r="E922" s="9">
        <f t="shared" si="72"/>
        <v>0</v>
      </c>
      <c r="F922" s="9"/>
      <c r="G922" s="9"/>
      <c r="H922" s="9"/>
      <c r="I922" s="9"/>
      <c r="J922" s="9"/>
      <c r="K922" s="9"/>
      <c r="L922" s="9"/>
      <c r="M922" s="9"/>
      <c r="N922" s="9" t="str">
        <f t="shared" si="73"/>
        <v>NO</v>
      </c>
      <c r="O922" s="9" t="str">
        <f t="shared" si="74"/>
        <v>🟡</v>
      </c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9"/>
      <c r="BP922" s="9"/>
      <c r="BQ922" s="9"/>
      <c r="BR922" s="9"/>
      <c r="BS922" s="9"/>
      <c r="BT922" s="9"/>
      <c r="BU922" s="9"/>
      <c r="BV922" s="9"/>
      <c r="BW922" s="9"/>
      <c r="BX922" s="9"/>
      <c r="BY922" s="9"/>
      <c r="BZ922" s="9"/>
      <c r="CA922" s="9"/>
      <c r="CB922" s="9"/>
      <c r="CC922" s="9"/>
      <c r="CD922" s="9"/>
      <c r="CE922" s="9"/>
      <c r="CF922" s="9"/>
      <c r="CG922" s="9"/>
    </row>
    <row r="923" spans="1:85" ht="18" customHeight="1" x14ac:dyDescent="0.3">
      <c r="A923" s="9">
        <f t="shared" si="70"/>
        <v>922</v>
      </c>
      <c r="B923" s="9" t="str">
        <f t="shared" si="71"/>
        <v/>
      </c>
      <c r="C923" s="9"/>
      <c r="D923" s="9"/>
      <c r="E923" s="9">
        <f t="shared" si="72"/>
        <v>0</v>
      </c>
      <c r="F923" s="9"/>
      <c r="G923" s="9"/>
      <c r="H923" s="9"/>
      <c r="I923" s="9"/>
      <c r="J923" s="9"/>
      <c r="K923" s="9"/>
      <c r="L923" s="9"/>
      <c r="M923" s="9"/>
      <c r="N923" s="9" t="str">
        <f t="shared" si="73"/>
        <v>NO</v>
      </c>
      <c r="O923" s="9" t="str">
        <f t="shared" si="74"/>
        <v>🟡</v>
      </c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  <c r="BL923" s="9"/>
      <c r="BM923" s="9"/>
      <c r="BN923" s="9"/>
      <c r="BO923" s="9"/>
      <c r="BP923" s="9"/>
      <c r="BQ923" s="9"/>
      <c r="BR923" s="9"/>
      <c r="BS923" s="9"/>
      <c r="BT923" s="9"/>
      <c r="BU923" s="9"/>
      <c r="BV923" s="9"/>
      <c r="BW923" s="9"/>
      <c r="BX923" s="9"/>
      <c r="BY923" s="9"/>
      <c r="BZ923" s="9"/>
      <c r="CA923" s="9"/>
      <c r="CB923" s="9"/>
      <c r="CC923" s="9"/>
      <c r="CD923" s="9"/>
      <c r="CE923" s="9"/>
      <c r="CF923" s="9"/>
      <c r="CG923" s="9"/>
    </row>
    <row r="924" spans="1:85" ht="18" customHeight="1" x14ac:dyDescent="0.3">
      <c r="A924" s="9">
        <f t="shared" si="70"/>
        <v>923</v>
      </c>
      <c r="B924" s="9" t="str">
        <f t="shared" si="71"/>
        <v/>
      </c>
      <c r="C924" s="9"/>
      <c r="D924" s="9"/>
      <c r="E924" s="9">
        <f t="shared" si="72"/>
        <v>0</v>
      </c>
      <c r="F924" s="9"/>
      <c r="G924" s="9"/>
      <c r="H924" s="9"/>
      <c r="I924" s="9"/>
      <c r="J924" s="9"/>
      <c r="K924" s="9"/>
      <c r="L924" s="9"/>
      <c r="M924" s="9"/>
      <c r="N924" s="9" t="str">
        <f t="shared" si="73"/>
        <v>NO</v>
      </c>
      <c r="O924" s="9" t="str">
        <f t="shared" si="74"/>
        <v>🟡</v>
      </c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9"/>
      <c r="CC924" s="9"/>
      <c r="CD924" s="9"/>
      <c r="CE924" s="9"/>
      <c r="CF924" s="9"/>
      <c r="CG924" s="9"/>
    </row>
    <row r="925" spans="1:85" ht="18" customHeight="1" x14ac:dyDescent="0.3">
      <c r="A925" s="9">
        <f t="shared" si="70"/>
        <v>924</v>
      </c>
      <c r="B925" s="9" t="str">
        <f t="shared" si="71"/>
        <v/>
      </c>
      <c r="C925" s="9"/>
      <c r="D925" s="9"/>
      <c r="E925" s="9">
        <f t="shared" si="72"/>
        <v>0</v>
      </c>
      <c r="F925" s="9"/>
      <c r="G925" s="9"/>
      <c r="H925" s="9"/>
      <c r="I925" s="9"/>
      <c r="J925" s="9"/>
      <c r="K925" s="9"/>
      <c r="L925" s="9"/>
      <c r="M925" s="9"/>
      <c r="N925" s="9" t="str">
        <f t="shared" si="73"/>
        <v>NO</v>
      </c>
      <c r="O925" s="9" t="str">
        <f t="shared" si="74"/>
        <v>🟡</v>
      </c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9"/>
      <c r="CC925" s="9"/>
      <c r="CD925" s="9"/>
      <c r="CE925" s="9"/>
      <c r="CF925" s="9"/>
      <c r="CG925" s="9"/>
    </row>
    <row r="926" spans="1:85" ht="18" customHeight="1" x14ac:dyDescent="0.3">
      <c r="A926" s="9">
        <f t="shared" si="70"/>
        <v>925</v>
      </c>
      <c r="B926" s="9" t="str">
        <f t="shared" si="71"/>
        <v/>
      </c>
      <c r="C926" s="9"/>
      <c r="D926" s="9"/>
      <c r="E926" s="9">
        <f t="shared" si="72"/>
        <v>0</v>
      </c>
      <c r="F926" s="9"/>
      <c r="G926" s="9"/>
      <c r="H926" s="9"/>
      <c r="I926" s="9"/>
      <c r="J926" s="9"/>
      <c r="K926" s="9"/>
      <c r="L926" s="9"/>
      <c r="M926" s="9"/>
      <c r="N926" s="9" t="str">
        <f t="shared" si="73"/>
        <v>NO</v>
      </c>
      <c r="O926" s="9" t="str">
        <f t="shared" si="74"/>
        <v>🟡</v>
      </c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9"/>
      <c r="CC926" s="9"/>
      <c r="CD926" s="9"/>
      <c r="CE926" s="9"/>
      <c r="CF926" s="9"/>
      <c r="CG926" s="9"/>
    </row>
    <row r="927" spans="1:85" ht="18" customHeight="1" x14ac:dyDescent="0.3">
      <c r="A927" s="9">
        <f t="shared" si="70"/>
        <v>926</v>
      </c>
      <c r="B927" s="9" t="str">
        <f t="shared" si="71"/>
        <v/>
      </c>
      <c r="C927" s="9"/>
      <c r="D927" s="9"/>
      <c r="E927" s="9">
        <f t="shared" si="72"/>
        <v>0</v>
      </c>
      <c r="F927" s="9"/>
      <c r="G927" s="9"/>
      <c r="H927" s="9"/>
      <c r="I927" s="9"/>
      <c r="J927" s="9"/>
      <c r="K927" s="9"/>
      <c r="L927" s="9"/>
      <c r="M927" s="9"/>
      <c r="N927" s="9" t="str">
        <f t="shared" si="73"/>
        <v>NO</v>
      </c>
      <c r="O927" s="9" t="str">
        <f t="shared" si="74"/>
        <v>🟡</v>
      </c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</row>
    <row r="928" spans="1:85" ht="18" customHeight="1" x14ac:dyDescent="0.3">
      <c r="A928" s="9">
        <f t="shared" si="70"/>
        <v>927</v>
      </c>
      <c r="B928" s="9" t="str">
        <f t="shared" si="71"/>
        <v/>
      </c>
      <c r="C928" s="9"/>
      <c r="D928" s="9"/>
      <c r="E928" s="9">
        <f t="shared" si="72"/>
        <v>0</v>
      </c>
      <c r="F928" s="9"/>
      <c r="G928" s="9"/>
      <c r="H928" s="9"/>
      <c r="I928" s="9"/>
      <c r="J928" s="9"/>
      <c r="K928" s="9"/>
      <c r="L928" s="9"/>
      <c r="M928" s="9"/>
      <c r="N928" s="9" t="str">
        <f t="shared" si="73"/>
        <v>NO</v>
      </c>
      <c r="O928" s="9" t="str">
        <f t="shared" si="74"/>
        <v>🟡</v>
      </c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9"/>
      <c r="CC928" s="9"/>
      <c r="CD928" s="9"/>
      <c r="CE928" s="9"/>
      <c r="CF928" s="9"/>
      <c r="CG928" s="9"/>
    </row>
    <row r="929" spans="1:85" ht="18" customHeight="1" x14ac:dyDescent="0.3">
      <c r="A929" s="9">
        <f t="shared" si="70"/>
        <v>928</v>
      </c>
      <c r="B929" s="9" t="str">
        <f t="shared" si="71"/>
        <v/>
      </c>
      <c r="C929" s="9"/>
      <c r="D929" s="9"/>
      <c r="E929" s="9">
        <f t="shared" si="72"/>
        <v>0</v>
      </c>
      <c r="F929" s="9"/>
      <c r="G929" s="9"/>
      <c r="H929" s="9"/>
      <c r="I929" s="9"/>
      <c r="J929" s="9"/>
      <c r="K929" s="9"/>
      <c r="L929" s="9"/>
      <c r="M929" s="9"/>
      <c r="N929" s="9" t="str">
        <f t="shared" si="73"/>
        <v>NO</v>
      </c>
      <c r="O929" s="9" t="str">
        <f t="shared" si="74"/>
        <v>🟡</v>
      </c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  <c r="BF929" s="9"/>
      <c r="BG929" s="9"/>
      <c r="BH929" s="9"/>
      <c r="BI929" s="9"/>
      <c r="BJ929" s="9"/>
      <c r="BK929" s="9"/>
      <c r="BL929" s="9"/>
      <c r="BM929" s="9"/>
      <c r="BN929" s="9"/>
      <c r="BO929" s="9"/>
      <c r="BP929" s="9"/>
      <c r="BQ929" s="9"/>
      <c r="BR929" s="9"/>
      <c r="BS929" s="9"/>
      <c r="BT929" s="9"/>
      <c r="BU929" s="9"/>
      <c r="BV929" s="9"/>
      <c r="BW929" s="9"/>
      <c r="BX929" s="9"/>
      <c r="BY929" s="9"/>
      <c r="BZ929" s="9"/>
      <c r="CA929" s="9"/>
      <c r="CB929" s="9"/>
      <c r="CC929" s="9"/>
      <c r="CD929" s="9"/>
      <c r="CE929" s="9"/>
      <c r="CF929" s="9"/>
      <c r="CG929" s="9"/>
    </row>
    <row r="930" spans="1:85" ht="18" customHeight="1" x14ac:dyDescent="0.3">
      <c r="A930" s="9">
        <f t="shared" si="70"/>
        <v>929</v>
      </c>
      <c r="B930" s="9" t="str">
        <f t="shared" si="71"/>
        <v/>
      </c>
      <c r="C930" s="9"/>
      <c r="D930" s="9"/>
      <c r="E930" s="9">
        <f t="shared" si="72"/>
        <v>0</v>
      </c>
      <c r="F930" s="9"/>
      <c r="G930" s="9"/>
      <c r="H930" s="9"/>
      <c r="I930" s="9"/>
      <c r="J930" s="9"/>
      <c r="K930" s="9"/>
      <c r="L930" s="9"/>
      <c r="M930" s="9"/>
      <c r="N930" s="9" t="str">
        <f t="shared" si="73"/>
        <v>NO</v>
      </c>
      <c r="O930" s="9" t="str">
        <f t="shared" si="74"/>
        <v>🟡</v>
      </c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9"/>
      <c r="CC930" s="9"/>
      <c r="CD930" s="9"/>
      <c r="CE930" s="9"/>
      <c r="CF930" s="9"/>
      <c r="CG930" s="9"/>
    </row>
    <row r="931" spans="1:85" ht="18" customHeight="1" x14ac:dyDescent="0.3">
      <c r="A931" s="9">
        <f t="shared" si="70"/>
        <v>930</v>
      </c>
      <c r="B931" s="9" t="str">
        <f t="shared" si="71"/>
        <v/>
      </c>
      <c r="C931" s="9"/>
      <c r="D931" s="9"/>
      <c r="E931" s="9">
        <f t="shared" si="72"/>
        <v>0</v>
      </c>
      <c r="F931" s="9"/>
      <c r="G931" s="9"/>
      <c r="H931" s="9"/>
      <c r="I931" s="9"/>
      <c r="J931" s="9"/>
      <c r="K931" s="9"/>
      <c r="L931" s="9"/>
      <c r="M931" s="9"/>
      <c r="N931" s="9" t="str">
        <f t="shared" si="73"/>
        <v>NO</v>
      </c>
      <c r="O931" s="9" t="str">
        <f t="shared" si="74"/>
        <v>🟡</v>
      </c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9"/>
      <c r="CC931" s="9"/>
      <c r="CD931" s="9"/>
      <c r="CE931" s="9"/>
      <c r="CF931" s="9"/>
      <c r="CG931" s="9"/>
    </row>
    <row r="932" spans="1:85" ht="18" customHeight="1" x14ac:dyDescent="0.3">
      <c r="A932" s="9">
        <f t="shared" si="70"/>
        <v>931</v>
      </c>
      <c r="B932" s="9" t="str">
        <f t="shared" si="71"/>
        <v/>
      </c>
      <c r="C932" s="9"/>
      <c r="D932" s="9"/>
      <c r="E932" s="9">
        <f t="shared" si="72"/>
        <v>0</v>
      </c>
      <c r="F932" s="9"/>
      <c r="G932" s="9"/>
      <c r="H932" s="9"/>
      <c r="I932" s="9"/>
      <c r="J932" s="9"/>
      <c r="K932" s="9"/>
      <c r="L932" s="9"/>
      <c r="M932" s="9"/>
      <c r="N932" s="9" t="str">
        <f t="shared" si="73"/>
        <v>NO</v>
      </c>
      <c r="O932" s="9" t="str">
        <f t="shared" si="74"/>
        <v>🟡</v>
      </c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9"/>
      <c r="CC932" s="9"/>
      <c r="CD932" s="9"/>
      <c r="CE932" s="9"/>
      <c r="CF932" s="9"/>
      <c r="CG932" s="9"/>
    </row>
    <row r="933" spans="1:85" ht="18" customHeight="1" x14ac:dyDescent="0.3">
      <c r="A933" s="9">
        <f t="shared" si="70"/>
        <v>932</v>
      </c>
      <c r="B933" s="9" t="str">
        <f t="shared" si="71"/>
        <v/>
      </c>
      <c r="C933" s="9"/>
      <c r="D933" s="9"/>
      <c r="E933" s="9">
        <f t="shared" si="72"/>
        <v>0</v>
      </c>
      <c r="F933" s="9"/>
      <c r="G933" s="9"/>
      <c r="H933" s="9"/>
      <c r="I933" s="9"/>
      <c r="J933" s="9"/>
      <c r="K933" s="9"/>
      <c r="L933" s="9"/>
      <c r="M933" s="9"/>
      <c r="N933" s="9" t="str">
        <f t="shared" si="73"/>
        <v>NO</v>
      </c>
      <c r="O933" s="9" t="str">
        <f t="shared" si="74"/>
        <v>🟡</v>
      </c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9"/>
      <c r="CC933" s="9"/>
      <c r="CD933" s="9"/>
      <c r="CE933" s="9"/>
      <c r="CF933" s="9"/>
      <c r="CG933" s="9"/>
    </row>
    <row r="934" spans="1:85" ht="18" customHeight="1" x14ac:dyDescent="0.3">
      <c r="A934" s="9">
        <f t="shared" si="70"/>
        <v>933</v>
      </c>
      <c r="B934" s="9" t="str">
        <f t="shared" si="71"/>
        <v/>
      </c>
      <c r="C934" s="9"/>
      <c r="D934" s="9"/>
      <c r="E934" s="9">
        <f t="shared" si="72"/>
        <v>0</v>
      </c>
      <c r="F934" s="9"/>
      <c r="G934" s="9"/>
      <c r="H934" s="9"/>
      <c r="I934" s="9"/>
      <c r="J934" s="9"/>
      <c r="K934" s="9"/>
      <c r="L934" s="9"/>
      <c r="M934" s="9"/>
      <c r="N934" s="9" t="str">
        <f t="shared" si="73"/>
        <v>NO</v>
      </c>
      <c r="O934" s="9" t="str">
        <f t="shared" si="74"/>
        <v>🟡</v>
      </c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9"/>
      <c r="CC934" s="9"/>
      <c r="CD934" s="9"/>
      <c r="CE934" s="9"/>
      <c r="CF934" s="9"/>
      <c r="CG934" s="9"/>
    </row>
    <row r="935" spans="1:85" ht="18" customHeight="1" x14ac:dyDescent="0.3">
      <c r="A935" s="9">
        <f t="shared" si="70"/>
        <v>934</v>
      </c>
      <c r="B935" s="9" t="str">
        <f t="shared" si="71"/>
        <v/>
      </c>
      <c r="C935" s="9"/>
      <c r="D935" s="9"/>
      <c r="E935" s="9">
        <f t="shared" si="72"/>
        <v>0</v>
      </c>
      <c r="F935" s="9"/>
      <c r="G935" s="9"/>
      <c r="H935" s="9"/>
      <c r="I935" s="9"/>
      <c r="J935" s="9"/>
      <c r="K935" s="9"/>
      <c r="L935" s="9"/>
      <c r="M935" s="9"/>
      <c r="N935" s="9" t="str">
        <f t="shared" si="73"/>
        <v>NO</v>
      </c>
      <c r="O935" s="9" t="str">
        <f t="shared" si="74"/>
        <v>🟡</v>
      </c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9"/>
      <c r="CC935" s="9"/>
      <c r="CD935" s="9"/>
      <c r="CE935" s="9"/>
      <c r="CF935" s="9"/>
      <c r="CG935" s="9"/>
    </row>
    <row r="936" spans="1:85" ht="18" customHeight="1" x14ac:dyDescent="0.3">
      <c r="A936" s="9">
        <f t="shared" si="70"/>
        <v>935</v>
      </c>
      <c r="B936" s="9" t="str">
        <f t="shared" si="71"/>
        <v/>
      </c>
      <c r="C936" s="9"/>
      <c r="D936" s="9"/>
      <c r="E936" s="9">
        <f t="shared" si="72"/>
        <v>0</v>
      </c>
      <c r="F936" s="9"/>
      <c r="G936" s="9"/>
      <c r="H936" s="9"/>
      <c r="I936" s="9"/>
      <c r="J936" s="9"/>
      <c r="K936" s="9"/>
      <c r="L936" s="9"/>
      <c r="M936" s="9"/>
      <c r="N936" s="9" t="str">
        <f t="shared" si="73"/>
        <v>NO</v>
      </c>
      <c r="O936" s="9" t="str">
        <f t="shared" si="74"/>
        <v>🟡</v>
      </c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9"/>
      <c r="CC936" s="9"/>
      <c r="CD936" s="9"/>
      <c r="CE936" s="9"/>
      <c r="CF936" s="9"/>
      <c r="CG936" s="9"/>
    </row>
    <row r="937" spans="1:85" ht="18" customHeight="1" x14ac:dyDescent="0.3">
      <c r="A937" s="9">
        <f t="shared" si="70"/>
        <v>936</v>
      </c>
      <c r="B937" s="9" t="str">
        <f t="shared" si="71"/>
        <v/>
      </c>
      <c r="C937" s="9"/>
      <c r="D937" s="9"/>
      <c r="E937" s="9">
        <f t="shared" si="72"/>
        <v>0</v>
      </c>
      <c r="F937" s="9"/>
      <c r="G937" s="9"/>
      <c r="H937" s="9"/>
      <c r="I937" s="9"/>
      <c r="J937" s="9"/>
      <c r="K937" s="9"/>
      <c r="L937" s="9"/>
      <c r="M937" s="9"/>
      <c r="N937" s="9" t="str">
        <f t="shared" si="73"/>
        <v>NO</v>
      </c>
      <c r="O937" s="9" t="str">
        <f t="shared" si="74"/>
        <v>🟡</v>
      </c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9"/>
      <c r="CC937" s="9"/>
      <c r="CD937" s="9"/>
      <c r="CE937" s="9"/>
      <c r="CF937" s="9"/>
      <c r="CG937" s="9"/>
    </row>
    <row r="938" spans="1:85" ht="18" customHeight="1" x14ac:dyDescent="0.3">
      <c r="A938" s="9">
        <f t="shared" si="70"/>
        <v>937</v>
      </c>
      <c r="B938" s="9" t="str">
        <f t="shared" si="71"/>
        <v/>
      </c>
      <c r="C938" s="9"/>
      <c r="D938" s="9"/>
      <c r="E938" s="9">
        <f t="shared" si="72"/>
        <v>0</v>
      </c>
      <c r="F938" s="9"/>
      <c r="G938" s="9"/>
      <c r="H938" s="9"/>
      <c r="I938" s="9"/>
      <c r="J938" s="9"/>
      <c r="K938" s="9"/>
      <c r="L938" s="9"/>
      <c r="M938" s="9"/>
      <c r="N938" s="9" t="str">
        <f t="shared" si="73"/>
        <v>NO</v>
      </c>
      <c r="O938" s="9" t="str">
        <f t="shared" si="74"/>
        <v>🟡</v>
      </c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9"/>
      <c r="CC938" s="9"/>
      <c r="CD938" s="9"/>
      <c r="CE938" s="9"/>
      <c r="CF938" s="9"/>
      <c r="CG938" s="9"/>
    </row>
    <row r="939" spans="1:85" ht="18" customHeight="1" x14ac:dyDescent="0.3">
      <c r="A939" s="9">
        <f t="shared" si="70"/>
        <v>938</v>
      </c>
      <c r="B939" s="9" t="str">
        <f t="shared" si="71"/>
        <v/>
      </c>
      <c r="C939" s="9"/>
      <c r="D939" s="9"/>
      <c r="E939" s="9">
        <f t="shared" si="72"/>
        <v>0</v>
      </c>
      <c r="F939" s="9"/>
      <c r="G939" s="9"/>
      <c r="H939" s="9"/>
      <c r="I939" s="9"/>
      <c r="J939" s="9"/>
      <c r="K939" s="9"/>
      <c r="L939" s="9"/>
      <c r="M939" s="9"/>
      <c r="N939" s="9" t="str">
        <f t="shared" si="73"/>
        <v>NO</v>
      </c>
      <c r="O939" s="9" t="str">
        <f t="shared" si="74"/>
        <v>🟡</v>
      </c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9"/>
      <c r="CC939" s="9"/>
      <c r="CD939" s="9"/>
      <c r="CE939" s="9"/>
      <c r="CF939" s="9"/>
      <c r="CG939" s="9"/>
    </row>
    <row r="940" spans="1:85" ht="18" customHeight="1" x14ac:dyDescent="0.3">
      <c r="A940" s="9">
        <f t="shared" si="70"/>
        <v>939</v>
      </c>
      <c r="B940" s="9" t="str">
        <f t="shared" si="71"/>
        <v/>
      </c>
      <c r="C940" s="9"/>
      <c r="D940" s="9"/>
      <c r="E940" s="9">
        <f t="shared" si="72"/>
        <v>0</v>
      </c>
      <c r="F940" s="9"/>
      <c r="G940" s="9"/>
      <c r="H940" s="9"/>
      <c r="I940" s="9"/>
      <c r="J940" s="9"/>
      <c r="K940" s="9"/>
      <c r="L940" s="9"/>
      <c r="M940" s="9"/>
      <c r="N940" s="9" t="str">
        <f t="shared" si="73"/>
        <v>NO</v>
      </c>
      <c r="O940" s="9" t="str">
        <f t="shared" si="74"/>
        <v>🟡</v>
      </c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9"/>
      <c r="BP940" s="9"/>
      <c r="BQ940" s="9"/>
      <c r="BR940" s="9"/>
      <c r="BS940" s="9"/>
      <c r="BT940" s="9"/>
      <c r="BU940" s="9"/>
      <c r="BV940" s="9"/>
      <c r="BW940" s="9"/>
      <c r="BX940" s="9"/>
      <c r="BY940" s="9"/>
      <c r="BZ940" s="9"/>
      <c r="CA940" s="9"/>
      <c r="CB940" s="9"/>
      <c r="CC940" s="9"/>
      <c r="CD940" s="9"/>
      <c r="CE940" s="9"/>
      <c r="CF940" s="9"/>
      <c r="CG940" s="9"/>
    </row>
    <row r="941" spans="1:85" ht="18" customHeight="1" x14ac:dyDescent="0.3">
      <c r="A941" s="9">
        <f t="shared" si="70"/>
        <v>940</v>
      </c>
      <c r="B941" s="9" t="str">
        <f t="shared" si="71"/>
        <v/>
      </c>
      <c r="C941" s="9"/>
      <c r="D941" s="9"/>
      <c r="E941" s="9">
        <f t="shared" si="72"/>
        <v>0</v>
      </c>
      <c r="F941" s="9"/>
      <c r="G941" s="9"/>
      <c r="H941" s="9"/>
      <c r="I941" s="9"/>
      <c r="J941" s="9"/>
      <c r="K941" s="9"/>
      <c r="L941" s="9"/>
      <c r="M941" s="9"/>
      <c r="N941" s="9" t="str">
        <f t="shared" si="73"/>
        <v>NO</v>
      </c>
      <c r="O941" s="9" t="str">
        <f t="shared" si="74"/>
        <v>🟡</v>
      </c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  <c r="BL941" s="9"/>
      <c r="BM941" s="9"/>
      <c r="BN941" s="9"/>
      <c r="BO941" s="9"/>
      <c r="BP941" s="9"/>
      <c r="BQ941" s="9"/>
      <c r="BR941" s="9"/>
      <c r="BS941" s="9"/>
      <c r="BT941" s="9"/>
      <c r="BU941" s="9"/>
      <c r="BV941" s="9"/>
      <c r="BW941" s="9"/>
      <c r="BX941" s="9"/>
      <c r="BY941" s="9"/>
      <c r="BZ941" s="9"/>
      <c r="CA941" s="9"/>
      <c r="CB941" s="9"/>
      <c r="CC941" s="9"/>
      <c r="CD941" s="9"/>
      <c r="CE941" s="9"/>
      <c r="CF941" s="9"/>
      <c r="CG941" s="9"/>
    </row>
    <row r="942" spans="1:85" ht="18" customHeight="1" x14ac:dyDescent="0.3">
      <c r="A942" s="9">
        <f t="shared" si="70"/>
        <v>941</v>
      </c>
      <c r="B942" s="9" t="str">
        <f t="shared" si="71"/>
        <v/>
      </c>
      <c r="C942" s="9"/>
      <c r="D942" s="9"/>
      <c r="E942" s="9">
        <f t="shared" si="72"/>
        <v>0</v>
      </c>
      <c r="F942" s="9"/>
      <c r="G942" s="9"/>
      <c r="H942" s="9"/>
      <c r="I942" s="9"/>
      <c r="J942" s="9"/>
      <c r="K942" s="9"/>
      <c r="L942" s="9"/>
      <c r="M942" s="9"/>
      <c r="N942" s="9" t="str">
        <f t="shared" si="73"/>
        <v>NO</v>
      </c>
      <c r="O942" s="9" t="str">
        <f t="shared" si="74"/>
        <v>🟡</v>
      </c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9"/>
      <c r="CC942" s="9"/>
      <c r="CD942" s="9"/>
      <c r="CE942" s="9"/>
      <c r="CF942" s="9"/>
      <c r="CG942" s="9"/>
    </row>
    <row r="943" spans="1:85" ht="18" customHeight="1" x14ac:dyDescent="0.3">
      <c r="A943" s="9">
        <f t="shared" si="70"/>
        <v>942</v>
      </c>
      <c r="B943" s="9" t="str">
        <f t="shared" si="71"/>
        <v/>
      </c>
      <c r="C943" s="9"/>
      <c r="D943" s="9"/>
      <c r="E943" s="9">
        <f t="shared" si="72"/>
        <v>0</v>
      </c>
      <c r="F943" s="9"/>
      <c r="G943" s="9"/>
      <c r="H943" s="9"/>
      <c r="I943" s="9"/>
      <c r="J943" s="9"/>
      <c r="K943" s="9"/>
      <c r="L943" s="9"/>
      <c r="M943" s="9"/>
      <c r="N943" s="9" t="str">
        <f t="shared" si="73"/>
        <v>NO</v>
      </c>
      <c r="O943" s="9" t="str">
        <f t="shared" si="74"/>
        <v>🟡</v>
      </c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9"/>
      <c r="CC943" s="9"/>
      <c r="CD943" s="9"/>
      <c r="CE943" s="9"/>
      <c r="CF943" s="9"/>
      <c r="CG943" s="9"/>
    </row>
    <row r="944" spans="1:85" ht="18" customHeight="1" x14ac:dyDescent="0.3">
      <c r="A944" s="9">
        <f t="shared" si="70"/>
        <v>943</v>
      </c>
      <c r="B944" s="9" t="str">
        <f t="shared" si="71"/>
        <v/>
      </c>
      <c r="C944" s="9"/>
      <c r="D944" s="9"/>
      <c r="E944" s="9">
        <f t="shared" si="72"/>
        <v>0</v>
      </c>
      <c r="F944" s="9"/>
      <c r="G944" s="9"/>
      <c r="H944" s="9"/>
      <c r="I944" s="9"/>
      <c r="J944" s="9"/>
      <c r="K944" s="9"/>
      <c r="L944" s="9"/>
      <c r="M944" s="9"/>
      <c r="N944" s="9" t="str">
        <f t="shared" si="73"/>
        <v>NO</v>
      </c>
      <c r="O944" s="9" t="str">
        <f t="shared" si="74"/>
        <v>🟡</v>
      </c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9"/>
      <c r="BP944" s="9"/>
      <c r="BQ944" s="9"/>
      <c r="BR944" s="9"/>
      <c r="BS944" s="9"/>
      <c r="BT944" s="9"/>
      <c r="BU944" s="9"/>
      <c r="BV944" s="9"/>
      <c r="BW944" s="9"/>
      <c r="BX944" s="9"/>
      <c r="BY944" s="9"/>
      <c r="BZ944" s="9"/>
      <c r="CA944" s="9"/>
      <c r="CB944" s="9"/>
      <c r="CC944" s="9"/>
      <c r="CD944" s="9"/>
      <c r="CE944" s="9"/>
      <c r="CF944" s="9"/>
      <c r="CG944" s="9"/>
    </row>
    <row r="945" spans="1:85" ht="18" customHeight="1" x14ac:dyDescent="0.3">
      <c r="A945" s="9">
        <f t="shared" si="70"/>
        <v>944</v>
      </c>
      <c r="B945" s="9" t="str">
        <f t="shared" si="71"/>
        <v/>
      </c>
      <c r="C945" s="9"/>
      <c r="D945" s="9"/>
      <c r="E945" s="9">
        <f t="shared" si="72"/>
        <v>0</v>
      </c>
      <c r="F945" s="9"/>
      <c r="G945" s="9"/>
      <c r="H945" s="9"/>
      <c r="I945" s="9"/>
      <c r="J945" s="9"/>
      <c r="K945" s="9"/>
      <c r="L945" s="9"/>
      <c r="M945" s="9"/>
      <c r="N945" s="9" t="str">
        <f t="shared" si="73"/>
        <v>NO</v>
      </c>
      <c r="O945" s="9" t="str">
        <f t="shared" si="74"/>
        <v>🟡</v>
      </c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9"/>
      <c r="CC945" s="9"/>
      <c r="CD945" s="9"/>
      <c r="CE945" s="9"/>
      <c r="CF945" s="9"/>
      <c r="CG945" s="9"/>
    </row>
    <row r="946" spans="1:85" ht="18" customHeight="1" x14ac:dyDescent="0.3">
      <c r="A946" s="9">
        <f t="shared" si="70"/>
        <v>945</v>
      </c>
      <c r="B946" s="9" t="str">
        <f t="shared" si="71"/>
        <v/>
      </c>
      <c r="C946" s="9"/>
      <c r="D946" s="9"/>
      <c r="E946" s="9">
        <f t="shared" si="72"/>
        <v>0</v>
      </c>
      <c r="F946" s="9"/>
      <c r="G946" s="9"/>
      <c r="H946" s="9"/>
      <c r="I946" s="9"/>
      <c r="J946" s="9"/>
      <c r="K946" s="9"/>
      <c r="L946" s="9"/>
      <c r="M946" s="9"/>
      <c r="N946" s="9" t="str">
        <f t="shared" si="73"/>
        <v>NO</v>
      </c>
      <c r="O946" s="9" t="str">
        <f t="shared" si="74"/>
        <v>🟡</v>
      </c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9"/>
      <c r="CC946" s="9"/>
      <c r="CD946" s="9"/>
      <c r="CE946" s="9"/>
      <c r="CF946" s="9"/>
      <c r="CG946" s="9"/>
    </row>
    <row r="947" spans="1:85" ht="18" customHeight="1" x14ac:dyDescent="0.3">
      <c r="A947" s="9">
        <f t="shared" si="70"/>
        <v>946</v>
      </c>
      <c r="B947" s="9" t="str">
        <f t="shared" si="71"/>
        <v/>
      </c>
      <c r="C947" s="9"/>
      <c r="D947" s="9"/>
      <c r="E947" s="9">
        <f t="shared" si="72"/>
        <v>0</v>
      </c>
      <c r="F947" s="9"/>
      <c r="G947" s="9"/>
      <c r="H947" s="9"/>
      <c r="I947" s="9"/>
      <c r="J947" s="9"/>
      <c r="K947" s="9"/>
      <c r="L947" s="9"/>
      <c r="M947" s="9"/>
      <c r="N947" s="9" t="str">
        <f t="shared" si="73"/>
        <v>NO</v>
      </c>
      <c r="O947" s="9" t="str">
        <f t="shared" si="74"/>
        <v>🟡</v>
      </c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9"/>
      <c r="CC947" s="9"/>
      <c r="CD947" s="9"/>
      <c r="CE947" s="9"/>
      <c r="CF947" s="9"/>
      <c r="CG947" s="9"/>
    </row>
    <row r="948" spans="1:85" ht="18" customHeight="1" x14ac:dyDescent="0.3">
      <c r="A948" s="9">
        <f t="shared" si="70"/>
        <v>947</v>
      </c>
      <c r="B948" s="9" t="str">
        <f t="shared" si="71"/>
        <v/>
      </c>
      <c r="C948" s="9"/>
      <c r="D948" s="9"/>
      <c r="E948" s="9">
        <f t="shared" si="72"/>
        <v>0</v>
      </c>
      <c r="F948" s="9"/>
      <c r="G948" s="9"/>
      <c r="H948" s="9"/>
      <c r="I948" s="9"/>
      <c r="J948" s="9"/>
      <c r="K948" s="9"/>
      <c r="L948" s="9"/>
      <c r="M948" s="9"/>
      <c r="N948" s="9" t="str">
        <f t="shared" si="73"/>
        <v>NO</v>
      </c>
      <c r="O948" s="9" t="str">
        <f t="shared" si="74"/>
        <v>🟡</v>
      </c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9"/>
      <c r="CC948" s="9"/>
      <c r="CD948" s="9"/>
      <c r="CE948" s="9"/>
      <c r="CF948" s="9"/>
      <c r="CG948" s="9"/>
    </row>
    <row r="949" spans="1:85" ht="18" customHeight="1" x14ac:dyDescent="0.3">
      <c r="A949" s="9">
        <f t="shared" si="70"/>
        <v>948</v>
      </c>
      <c r="B949" s="9" t="str">
        <f t="shared" si="71"/>
        <v/>
      </c>
      <c r="C949" s="9"/>
      <c r="D949" s="9"/>
      <c r="E949" s="9">
        <f t="shared" si="72"/>
        <v>0</v>
      </c>
      <c r="F949" s="9"/>
      <c r="G949" s="9"/>
      <c r="H949" s="9"/>
      <c r="I949" s="9"/>
      <c r="J949" s="9"/>
      <c r="K949" s="9"/>
      <c r="L949" s="9"/>
      <c r="M949" s="9"/>
      <c r="N949" s="9" t="str">
        <f t="shared" si="73"/>
        <v>NO</v>
      </c>
      <c r="O949" s="9" t="str">
        <f t="shared" si="74"/>
        <v>🟡</v>
      </c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9"/>
      <c r="CC949" s="9"/>
      <c r="CD949" s="9"/>
      <c r="CE949" s="9"/>
      <c r="CF949" s="9"/>
      <c r="CG949" s="9"/>
    </row>
    <row r="950" spans="1:85" ht="18" customHeight="1" x14ac:dyDescent="0.3">
      <c r="A950" s="9">
        <f t="shared" si="70"/>
        <v>949</v>
      </c>
      <c r="B950" s="9" t="str">
        <f t="shared" si="71"/>
        <v/>
      </c>
      <c r="C950" s="9"/>
      <c r="D950" s="9"/>
      <c r="E950" s="9">
        <f t="shared" si="72"/>
        <v>0</v>
      </c>
      <c r="F950" s="9"/>
      <c r="G950" s="9"/>
      <c r="H950" s="9"/>
      <c r="I950" s="9"/>
      <c r="J950" s="9"/>
      <c r="K950" s="9"/>
      <c r="L950" s="9"/>
      <c r="M950" s="9"/>
      <c r="N950" s="9" t="str">
        <f t="shared" si="73"/>
        <v>NO</v>
      </c>
      <c r="O950" s="9" t="str">
        <f t="shared" si="74"/>
        <v>🟡</v>
      </c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9"/>
      <c r="CC950" s="9"/>
      <c r="CD950" s="9"/>
      <c r="CE950" s="9"/>
      <c r="CF950" s="9"/>
      <c r="CG950" s="9"/>
    </row>
    <row r="951" spans="1:85" ht="18" customHeight="1" x14ac:dyDescent="0.3">
      <c r="A951" s="9">
        <f t="shared" si="70"/>
        <v>950</v>
      </c>
      <c r="B951" s="9" t="str">
        <f t="shared" si="71"/>
        <v/>
      </c>
      <c r="C951" s="9"/>
      <c r="D951" s="9"/>
      <c r="E951" s="9">
        <f t="shared" si="72"/>
        <v>0</v>
      </c>
      <c r="F951" s="9"/>
      <c r="G951" s="9"/>
      <c r="H951" s="9"/>
      <c r="I951" s="9"/>
      <c r="J951" s="9"/>
      <c r="K951" s="9"/>
      <c r="L951" s="9"/>
      <c r="M951" s="9"/>
      <c r="N951" s="9" t="str">
        <f t="shared" si="73"/>
        <v>NO</v>
      </c>
      <c r="O951" s="9" t="str">
        <f t="shared" si="74"/>
        <v>🟡</v>
      </c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9"/>
      <c r="CC951" s="9"/>
      <c r="CD951" s="9"/>
      <c r="CE951" s="9"/>
      <c r="CF951" s="9"/>
      <c r="CG951" s="9"/>
    </row>
    <row r="952" spans="1:85" ht="18" customHeight="1" x14ac:dyDescent="0.3">
      <c r="A952" s="9">
        <f t="shared" si="70"/>
        <v>951</v>
      </c>
      <c r="B952" s="9" t="str">
        <f t="shared" si="71"/>
        <v/>
      </c>
      <c r="C952" s="9"/>
      <c r="D952" s="9"/>
      <c r="E952" s="9">
        <f t="shared" si="72"/>
        <v>0</v>
      </c>
      <c r="F952" s="9"/>
      <c r="G952" s="9"/>
      <c r="H952" s="9"/>
      <c r="I952" s="9"/>
      <c r="J952" s="9"/>
      <c r="K952" s="9"/>
      <c r="L952" s="9"/>
      <c r="M952" s="9"/>
      <c r="N952" s="9" t="str">
        <f t="shared" si="73"/>
        <v>NO</v>
      </c>
      <c r="O952" s="9" t="str">
        <f t="shared" si="74"/>
        <v>🟡</v>
      </c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9"/>
      <c r="BP952" s="9"/>
      <c r="BQ952" s="9"/>
      <c r="BR952" s="9"/>
      <c r="BS952" s="9"/>
      <c r="BT952" s="9"/>
      <c r="BU952" s="9"/>
      <c r="BV952" s="9"/>
      <c r="BW952" s="9"/>
      <c r="BX952" s="9"/>
      <c r="BY952" s="9"/>
      <c r="BZ952" s="9"/>
      <c r="CA952" s="9"/>
      <c r="CB952" s="9"/>
      <c r="CC952" s="9"/>
      <c r="CD952" s="9"/>
      <c r="CE952" s="9"/>
      <c r="CF952" s="9"/>
      <c r="CG952" s="9"/>
    </row>
    <row r="953" spans="1:85" ht="18" customHeight="1" x14ac:dyDescent="0.3">
      <c r="A953" s="9">
        <f t="shared" si="70"/>
        <v>952</v>
      </c>
      <c r="B953" s="9" t="str">
        <f t="shared" si="71"/>
        <v/>
      </c>
      <c r="C953" s="9"/>
      <c r="D953" s="9"/>
      <c r="E953" s="9">
        <f t="shared" si="72"/>
        <v>0</v>
      </c>
      <c r="F953" s="9"/>
      <c r="G953" s="9"/>
      <c r="H953" s="9"/>
      <c r="I953" s="9"/>
      <c r="J953" s="9"/>
      <c r="K953" s="9"/>
      <c r="L953" s="9"/>
      <c r="M953" s="9"/>
      <c r="N953" s="9" t="str">
        <f t="shared" si="73"/>
        <v>NO</v>
      </c>
      <c r="O953" s="9" t="str">
        <f t="shared" si="74"/>
        <v>🟡</v>
      </c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9"/>
      <c r="CC953" s="9"/>
      <c r="CD953" s="9"/>
      <c r="CE953" s="9"/>
      <c r="CF953" s="9"/>
      <c r="CG953" s="9"/>
    </row>
    <row r="954" spans="1:85" ht="18" customHeight="1" x14ac:dyDescent="0.3">
      <c r="A954" s="9">
        <f t="shared" si="70"/>
        <v>953</v>
      </c>
      <c r="B954" s="9" t="str">
        <f t="shared" si="71"/>
        <v/>
      </c>
      <c r="C954" s="9"/>
      <c r="D954" s="9"/>
      <c r="E954" s="9">
        <f t="shared" si="72"/>
        <v>0</v>
      </c>
      <c r="F954" s="9"/>
      <c r="G954" s="9"/>
      <c r="H954" s="9"/>
      <c r="I954" s="9"/>
      <c r="J954" s="9"/>
      <c r="K954" s="9"/>
      <c r="L954" s="9"/>
      <c r="M954" s="9"/>
      <c r="N954" s="9" t="str">
        <f t="shared" si="73"/>
        <v>NO</v>
      </c>
      <c r="O954" s="9" t="str">
        <f t="shared" si="74"/>
        <v>🟡</v>
      </c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9"/>
      <c r="BP954" s="9"/>
      <c r="BQ954" s="9"/>
      <c r="BR954" s="9"/>
      <c r="BS954" s="9"/>
      <c r="BT954" s="9"/>
      <c r="BU954" s="9"/>
      <c r="BV954" s="9"/>
      <c r="BW954" s="9"/>
      <c r="BX954" s="9"/>
      <c r="BY954" s="9"/>
      <c r="BZ954" s="9"/>
      <c r="CA954" s="9"/>
      <c r="CB954" s="9"/>
      <c r="CC954" s="9"/>
      <c r="CD954" s="9"/>
      <c r="CE954" s="9"/>
      <c r="CF954" s="9"/>
      <c r="CG954" s="9"/>
    </row>
    <row r="955" spans="1:85" ht="18" customHeight="1" x14ac:dyDescent="0.3">
      <c r="A955" s="9">
        <f t="shared" si="70"/>
        <v>954</v>
      </c>
      <c r="B955" s="9" t="str">
        <f t="shared" si="71"/>
        <v/>
      </c>
      <c r="C955" s="9"/>
      <c r="D955" s="9"/>
      <c r="E955" s="9">
        <f t="shared" si="72"/>
        <v>0</v>
      </c>
      <c r="F955" s="9"/>
      <c r="G955" s="9"/>
      <c r="H955" s="9"/>
      <c r="I955" s="9"/>
      <c r="J955" s="9"/>
      <c r="K955" s="9"/>
      <c r="L955" s="9"/>
      <c r="M955" s="9"/>
      <c r="N955" s="9" t="str">
        <f t="shared" si="73"/>
        <v>NO</v>
      </c>
      <c r="O955" s="9" t="str">
        <f t="shared" si="74"/>
        <v>🟡</v>
      </c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9"/>
      <c r="CC955" s="9"/>
      <c r="CD955" s="9"/>
      <c r="CE955" s="9"/>
      <c r="CF955" s="9"/>
      <c r="CG955" s="9"/>
    </row>
    <row r="956" spans="1:85" ht="18" customHeight="1" x14ac:dyDescent="0.3">
      <c r="A956" s="9">
        <f t="shared" si="70"/>
        <v>955</v>
      </c>
      <c r="B956" s="9" t="str">
        <f t="shared" si="71"/>
        <v/>
      </c>
      <c r="C956" s="9"/>
      <c r="D956" s="9"/>
      <c r="E956" s="9">
        <f t="shared" si="72"/>
        <v>0</v>
      </c>
      <c r="F956" s="9"/>
      <c r="G956" s="9"/>
      <c r="H956" s="9"/>
      <c r="I956" s="9"/>
      <c r="J956" s="9"/>
      <c r="K956" s="9"/>
      <c r="L956" s="9"/>
      <c r="M956" s="9"/>
      <c r="N956" s="9" t="str">
        <f t="shared" si="73"/>
        <v>NO</v>
      </c>
      <c r="O956" s="9" t="str">
        <f t="shared" si="74"/>
        <v>🟡</v>
      </c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9"/>
      <c r="BP956" s="9"/>
      <c r="BQ956" s="9"/>
      <c r="BR956" s="9"/>
      <c r="BS956" s="9"/>
      <c r="BT956" s="9"/>
      <c r="BU956" s="9"/>
      <c r="BV956" s="9"/>
      <c r="BW956" s="9"/>
      <c r="BX956" s="9"/>
      <c r="BY956" s="9"/>
      <c r="BZ956" s="9"/>
      <c r="CA956" s="9"/>
      <c r="CB956" s="9"/>
      <c r="CC956" s="9"/>
      <c r="CD956" s="9"/>
      <c r="CE956" s="9"/>
      <c r="CF956" s="9"/>
      <c r="CG956" s="9"/>
    </row>
    <row r="957" spans="1:85" ht="18" customHeight="1" x14ac:dyDescent="0.3">
      <c r="A957" s="9">
        <f t="shared" si="70"/>
        <v>956</v>
      </c>
      <c r="B957" s="9" t="str">
        <f t="shared" si="71"/>
        <v/>
      </c>
      <c r="C957" s="9"/>
      <c r="D957" s="9"/>
      <c r="E957" s="9">
        <f t="shared" si="72"/>
        <v>0</v>
      </c>
      <c r="F957" s="9"/>
      <c r="G957" s="9"/>
      <c r="H957" s="9"/>
      <c r="I957" s="9"/>
      <c r="J957" s="9"/>
      <c r="K957" s="9"/>
      <c r="L957" s="9"/>
      <c r="M957" s="9"/>
      <c r="N957" s="9" t="str">
        <f t="shared" si="73"/>
        <v>NO</v>
      </c>
      <c r="O957" s="9" t="str">
        <f t="shared" si="74"/>
        <v>🟡</v>
      </c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9"/>
      <c r="CC957" s="9"/>
      <c r="CD957" s="9"/>
      <c r="CE957" s="9"/>
      <c r="CF957" s="9"/>
      <c r="CG957" s="9"/>
    </row>
    <row r="958" spans="1:85" ht="18" customHeight="1" x14ac:dyDescent="0.3">
      <c r="A958" s="9">
        <f t="shared" si="70"/>
        <v>957</v>
      </c>
      <c r="B958" s="9" t="str">
        <f t="shared" si="71"/>
        <v/>
      </c>
      <c r="C958" s="9"/>
      <c r="D958" s="9"/>
      <c r="E958" s="9">
        <f t="shared" si="72"/>
        <v>0</v>
      </c>
      <c r="F958" s="9"/>
      <c r="G958" s="9"/>
      <c r="H958" s="9"/>
      <c r="I958" s="9"/>
      <c r="J958" s="9"/>
      <c r="K958" s="9"/>
      <c r="L958" s="9"/>
      <c r="M958" s="9"/>
      <c r="N958" s="9" t="str">
        <f t="shared" si="73"/>
        <v>NO</v>
      </c>
      <c r="O958" s="9" t="str">
        <f t="shared" si="74"/>
        <v>🟡</v>
      </c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9"/>
      <c r="BP958" s="9"/>
      <c r="BQ958" s="9"/>
      <c r="BR958" s="9"/>
      <c r="BS958" s="9"/>
      <c r="BT958" s="9"/>
      <c r="BU958" s="9"/>
      <c r="BV958" s="9"/>
      <c r="BW958" s="9"/>
      <c r="BX958" s="9"/>
      <c r="BY958" s="9"/>
      <c r="BZ958" s="9"/>
      <c r="CA958" s="9"/>
      <c r="CB958" s="9"/>
      <c r="CC958" s="9"/>
      <c r="CD958" s="9"/>
      <c r="CE958" s="9"/>
      <c r="CF958" s="9"/>
      <c r="CG958" s="9"/>
    </row>
    <row r="959" spans="1:85" ht="18" customHeight="1" x14ac:dyDescent="0.3">
      <c r="A959" s="9">
        <f t="shared" si="70"/>
        <v>958</v>
      </c>
      <c r="B959" s="9" t="str">
        <f t="shared" si="71"/>
        <v/>
      </c>
      <c r="C959" s="9"/>
      <c r="D959" s="9"/>
      <c r="E959" s="9">
        <f t="shared" si="72"/>
        <v>0</v>
      </c>
      <c r="F959" s="9"/>
      <c r="G959" s="9"/>
      <c r="H959" s="9"/>
      <c r="I959" s="9"/>
      <c r="J959" s="9"/>
      <c r="K959" s="9"/>
      <c r="L959" s="9"/>
      <c r="M959" s="9"/>
      <c r="N959" s="9" t="str">
        <f t="shared" si="73"/>
        <v>NO</v>
      </c>
      <c r="O959" s="9" t="str">
        <f t="shared" si="74"/>
        <v>🟡</v>
      </c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  <c r="BF959" s="9"/>
      <c r="BG959" s="9"/>
      <c r="BH959" s="9"/>
      <c r="BI959" s="9"/>
      <c r="BJ959" s="9"/>
      <c r="BK959" s="9"/>
      <c r="BL959" s="9"/>
      <c r="BM959" s="9"/>
      <c r="BN959" s="9"/>
      <c r="BO959" s="9"/>
      <c r="BP959" s="9"/>
      <c r="BQ959" s="9"/>
      <c r="BR959" s="9"/>
      <c r="BS959" s="9"/>
      <c r="BT959" s="9"/>
      <c r="BU959" s="9"/>
      <c r="BV959" s="9"/>
      <c r="BW959" s="9"/>
      <c r="BX959" s="9"/>
      <c r="BY959" s="9"/>
      <c r="BZ959" s="9"/>
      <c r="CA959" s="9"/>
      <c r="CB959" s="9"/>
      <c r="CC959" s="9"/>
      <c r="CD959" s="9"/>
      <c r="CE959" s="9"/>
      <c r="CF959" s="9"/>
      <c r="CG959" s="9"/>
    </row>
    <row r="960" spans="1:85" ht="18" customHeight="1" x14ac:dyDescent="0.3">
      <c r="A960" s="9">
        <f t="shared" si="70"/>
        <v>959</v>
      </c>
      <c r="B960" s="9" t="str">
        <f t="shared" si="71"/>
        <v/>
      </c>
      <c r="C960" s="9"/>
      <c r="D960" s="9"/>
      <c r="E960" s="9">
        <f t="shared" si="72"/>
        <v>0</v>
      </c>
      <c r="F960" s="9"/>
      <c r="G960" s="9"/>
      <c r="H960" s="9"/>
      <c r="I960" s="9"/>
      <c r="J960" s="9"/>
      <c r="K960" s="9"/>
      <c r="L960" s="9"/>
      <c r="M960" s="9"/>
      <c r="N960" s="9" t="str">
        <f t="shared" si="73"/>
        <v>NO</v>
      </c>
      <c r="O960" s="9" t="str">
        <f t="shared" si="74"/>
        <v>🟡</v>
      </c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9"/>
      <c r="BP960" s="9"/>
      <c r="BQ960" s="9"/>
      <c r="BR960" s="9"/>
      <c r="BS960" s="9"/>
      <c r="BT960" s="9"/>
      <c r="BU960" s="9"/>
      <c r="BV960" s="9"/>
      <c r="BW960" s="9"/>
      <c r="BX960" s="9"/>
      <c r="BY960" s="9"/>
      <c r="BZ960" s="9"/>
      <c r="CA960" s="9"/>
      <c r="CB960" s="9"/>
      <c r="CC960" s="9"/>
      <c r="CD960" s="9"/>
      <c r="CE960" s="9"/>
      <c r="CF960" s="9"/>
      <c r="CG960" s="9"/>
    </row>
    <row r="961" spans="1:85" ht="18" customHeight="1" x14ac:dyDescent="0.3">
      <c r="A961" s="9">
        <f t="shared" ref="A961:A1024" si="75">IF(COUNTA(C961:K961)=0,"",ROW()-1)</f>
        <v>960</v>
      </c>
      <c r="B961" s="9" t="str">
        <f t="shared" ref="B961:B1024" si="76">IF($F961&lt;&gt;"",$A961,"")</f>
        <v/>
      </c>
      <c r="C961" s="9"/>
      <c r="D961" s="9"/>
      <c r="E961" s="9">
        <f t="shared" ref="E961:E1024" si="77">IF(UPPER($J961)="NO","",$M961)</f>
        <v>0</v>
      </c>
      <c r="F961" s="9"/>
      <c r="G961" s="9"/>
      <c r="H961" s="9"/>
      <c r="I961" s="9"/>
      <c r="J961" s="9"/>
      <c r="K961" s="9"/>
      <c r="L961" s="9"/>
      <c r="M961" s="9"/>
      <c r="N961" s="9" t="str">
        <f t="shared" ref="N961:N1024" si="78">IF(AND(UPPER($M961)="VIP",UPPER($J961)="SI",$F961&lt;&gt;""),"SI","NO")</f>
        <v>NO</v>
      </c>
      <c r="O961" s="9" t="str">
        <f t="shared" ref="O961:O1024" si="79">IF(UPPER($J961)="SI","🟢",IF(UPPER($J961)="NO","🔴","🟡"))</f>
        <v>🟡</v>
      </c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  <c r="BF961" s="9"/>
      <c r="BG961" s="9"/>
      <c r="BH961" s="9"/>
      <c r="BI961" s="9"/>
      <c r="BJ961" s="9"/>
      <c r="BK961" s="9"/>
      <c r="BL961" s="9"/>
      <c r="BM961" s="9"/>
      <c r="BN961" s="9"/>
      <c r="BO961" s="9"/>
      <c r="BP961" s="9"/>
      <c r="BQ961" s="9"/>
      <c r="BR961" s="9"/>
      <c r="BS961" s="9"/>
      <c r="BT961" s="9"/>
      <c r="BU961" s="9"/>
      <c r="BV961" s="9"/>
      <c r="BW961" s="9"/>
      <c r="BX961" s="9"/>
      <c r="BY961" s="9"/>
      <c r="BZ961" s="9"/>
      <c r="CA961" s="9"/>
      <c r="CB961" s="9"/>
      <c r="CC961" s="9"/>
      <c r="CD961" s="9"/>
      <c r="CE961" s="9"/>
      <c r="CF961" s="9"/>
      <c r="CG961" s="9"/>
    </row>
    <row r="962" spans="1:85" ht="18" customHeight="1" x14ac:dyDescent="0.3">
      <c r="A962" s="9">
        <f t="shared" si="75"/>
        <v>961</v>
      </c>
      <c r="B962" s="9" t="str">
        <f t="shared" si="76"/>
        <v/>
      </c>
      <c r="C962" s="9"/>
      <c r="D962" s="9"/>
      <c r="E962" s="9">
        <f t="shared" si="77"/>
        <v>0</v>
      </c>
      <c r="F962" s="9"/>
      <c r="G962" s="9"/>
      <c r="H962" s="9"/>
      <c r="I962" s="9"/>
      <c r="J962" s="9"/>
      <c r="K962" s="9"/>
      <c r="L962" s="9"/>
      <c r="M962" s="9"/>
      <c r="N962" s="9" t="str">
        <f t="shared" si="78"/>
        <v>NO</v>
      </c>
      <c r="O962" s="9" t="str">
        <f t="shared" si="79"/>
        <v>🟡</v>
      </c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9"/>
      <c r="BP962" s="9"/>
      <c r="BQ962" s="9"/>
      <c r="BR962" s="9"/>
      <c r="BS962" s="9"/>
      <c r="BT962" s="9"/>
      <c r="BU962" s="9"/>
      <c r="BV962" s="9"/>
      <c r="BW962" s="9"/>
      <c r="BX962" s="9"/>
      <c r="BY962" s="9"/>
      <c r="BZ962" s="9"/>
      <c r="CA962" s="9"/>
      <c r="CB962" s="9"/>
      <c r="CC962" s="9"/>
      <c r="CD962" s="9"/>
      <c r="CE962" s="9"/>
      <c r="CF962" s="9"/>
      <c r="CG962" s="9"/>
    </row>
    <row r="963" spans="1:85" ht="18" customHeight="1" x14ac:dyDescent="0.3">
      <c r="A963" s="9">
        <f t="shared" si="75"/>
        <v>962</v>
      </c>
      <c r="B963" s="9" t="str">
        <f t="shared" si="76"/>
        <v/>
      </c>
      <c r="C963" s="9"/>
      <c r="D963" s="9"/>
      <c r="E963" s="9">
        <f t="shared" si="77"/>
        <v>0</v>
      </c>
      <c r="F963" s="9"/>
      <c r="G963" s="9"/>
      <c r="H963" s="9"/>
      <c r="I963" s="9"/>
      <c r="J963" s="9"/>
      <c r="K963" s="9"/>
      <c r="L963" s="9"/>
      <c r="M963" s="9"/>
      <c r="N963" s="9" t="str">
        <f t="shared" si="78"/>
        <v>NO</v>
      </c>
      <c r="O963" s="9" t="str">
        <f t="shared" si="79"/>
        <v>🟡</v>
      </c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  <c r="BF963" s="9"/>
      <c r="BG963" s="9"/>
      <c r="BH963" s="9"/>
      <c r="BI963" s="9"/>
      <c r="BJ963" s="9"/>
      <c r="BK963" s="9"/>
      <c r="BL963" s="9"/>
      <c r="BM963" s="9"/>
      <c r="BN963" s="9"/>
      <c r="BO963" s="9"/>
      <c r="BP963" s="9"/>
      <c r="BQ963" s="9"/>
      <c r="BR963" s="9"/>
      <c r="BS963" s="9"/>
      <c r="BT963" s="9"/>
      <c r="BU963" s="9"/>
      <c r="BV963" s="9"/>
      <c r="BW963" s="9"/>
      <c r="BX963" s="9"/>
      <c r="BY963" s="9"/>
      <c r="BZ963" s="9"/>
      <c r="CA963" s="9"/>
      <c r="CB963" s="9"/>
      <c r="CC963" s="9"/>
      <c r="CD963" s="9"/>
      <c r="CE963" s="9"/>
      <c r="CF963" s="9"/>
      <c r="CG963" s="9"/>
    </row>
    <row r="964" spans="1:85" ht="18" customHeight="1" x14ac:dyDescent="0.3">
      <c r="A964" s="9">
        <f t="shared" si="75"/>
        <v>963</v>
      </c>
      <c r="B964" s="9" t="str">
        <f t="shared" si="76"/>
        <v/>
      </c>
      <c r="C964" s="9"/>
      <c r="D964" s="9"/>
      <c r="E964" s="9">
        <f t="shared" si="77"/>
        <v>0</v>
      </c>
      <c r="F964" s="9"/>
      <c r="G964" s="9"/>
      <c r="H964" s="9"/>
      <c r="I964" s="9"/>
      <c r="J964" s="9"/>
      <c r="K964" s="9"/>
      <c r="L964" s="9"/>
      <c r="M964" s="9"/>
      <c r="N964" s="9" t="str">
        <f t="shared" si="78"/>
        <v>NO</v>
      </c>
      <c r="O964" s="9" t="str">
        <f t="shared" si="79"/>
        <v>🟡</v>
      </c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9"/>
      <c r="BP964" s="9"/>
      <c r="BQ964" s="9"/>
      <c r="BR964" s="9"/>
      <c r="BS964" s="9"/>
      <c r="BT964" s="9"/>
      <c r="BU964" s="9"/>
      <c r="BV964" s="9"/>
      <c r="BW964" s="9"/>
      <c r="BX964" s="9"/>
      <c r="BY964" s="9"/>
      <c r="BZ964" s="9"/>
      <c r="CA964" s="9"/>
      <c r="CB964" s="9"/>
      <c r="CC964" s="9"/>
      <c r="CD964" s="9"/>
      <c r="CE964" s="9"/>
      <c r="CF964" s="9"/>
      <c r="CG964" s="9"/>
    </row>
    <row r="965" spans="1:85" ht="18" customHeight="1" x14ac:dyDescent="0.3">
      <c r="A965" s="9">
        <f t="shared" si="75"/>
        <v>964</v>
      </c>
      <c r="B965" s="9" t="str">
        <f t="shared" si="76"/>
        <v/>
      </c>
      <c r="C965" s="9"/>
      <c r="D965" s="9"/>
      <c r="E965" s="9">
        <f t="shared" si="77"/>
        <v>0</v>
      </c>
      <c r="F965" s="9"/>
      <c r="G965" s="9"/>
      <c r="H965" s="9"/>
      <c r="I965" s="9"/>
      <c r="J965" s="9"/>
      <c r="K965" s="9"/>
      <c r="L965" s="9"/>
      <c r="M965" s="9"/>
      <c r="N965" s="9" t="str">
        <f t="shared" si="78"/>
        <v>NO</v>
      </c>
      <c r="O965" s="9" t="str">
        <f t="shared" si="79"/>
        <v>🟡</v>
      </c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  <c r="BF965" s="9"/>
      <c r="BG965" s="9"/>
      <c r="BH965" s="9"/>
      <c r="BI965" s="9"/>
      <c r="BJ965" s="9"/>
      <c r="BK965" s="9"/>
      <c r="BL965" s="9"/>
      <c r="BM965" s="9"/>
      <c r="BN965" s="9"/>
      <c r="BO965" s="9"/>
      <c r="BP965" s="9"/>
      <c r="BQ965" s="9"/>
      <c r="BR965" s="9"/>
      <c r="BS965" s="9"/>
      <c r="BT965" s="9"/>
      <c r="BU965" s="9"/>
      <c r="BV965" s="9"/>
      <c r="BW965" s="9"/>
      <c r="BX965" s="9"/>
      <c r="BY965" s="9"/>
      <c r="BZ965" s="9"/>
      <c r="CA965" s="9"/>
      <c r="CB965" s="9"/>
      <c r="CC965" s="9"/>
      <c r="CD965" s="9"/>
      <c r="CE965" s="9"/>
      <c r="CF965" s="9"/>
      <c r="CG965" s="9"/>
    </row>
    <row r="966" spans="1:85" ht="18" customHeight="1" x14ac:dyDescent="0.3">
      <c r="A966" s="9">
        <f t="shared" si="75"/>
        <v>965</v>
      </c>
      <c r="B966" s="9" t="str">
        <f t="shared" si="76"/>
        <v/>
      </c>
      <c r="C966" s="9"/>
      <c r="D966" s="9"/>
      <c r="E966" s="9">
        <f t="shared" si="77"/>
        <v>0</v>
      </c>
      <c r="F966" s="9"/>
      <c r="G966" s="9"/>
      <c r="H966" s="9"/>
      <c r="I966" s="9"/>
      <c r="J966" s="9"/>
      <c r="K966" s="9"/>
      <c r="L966" s="9"/>
      <c r="M966" s="9"/>
      <c r="N966" s="9" t="str">
        <f t="shared" si="78"/>
        <v>NO</v>
      </c>
      <c r="O966" s="9" t="str">
        <f t="shared" si="79"/>
        <v>🟡</v>
      </c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9"/>
      <c r="BP966" s="9"/>
      <c r="BQ966" s="9"/>
      <c r="BR966" s="9"/>
      <c r="BS966" s="9"/>
      <c r="BT966" s="9"/>
      <c r="BU966" s="9"/>
      <c r="BV966" s="9"/>
      <c r="BW966" s="9"/>
      <c r="BX966" s="9"/>
      <c r="BY966" s="9"/>
      <c r="BZ966" s="9"/>
      <c r="CA966" s="9"/>
      <c r="CB966" s="9"/>
      <c r="CC966" s="9"/>
      <c r="CD966" s="9"/>
      <c r="CE966" s="9"/>
      <c r="CF966" s="9"/>
      <c r="CG966" s="9"/>
    </row>
    <row r="967" spans="1:85" ht="18" customHeight="1" x14ac:dyDescent="0.3">
      <c r="A967" s="9">
        <f t="shared" si="75"/>
        <v>966</v>
      </c>
      <c r="B967" s="9" t="str">
        <f t="shared" si="76"/>
        <v/>
      </c>
      <c r="C967" s="9"/>
      <c r="D967" s="9"/>
      <c r="E967" s="9">
        <f t="shared" si="77"/>
        <v>0</v>
      </c>
      <c r="F967" s="9"/>
      <c r="G967" s="9"/>
      <c r="H967" s="9"/>
      <c r="I967" s="9"/>
      <c r="J967" s="9"/>
      <c r="K967" s="9"/>
      <c r="L967" s="9"/>
      <c r="M967" s="9"/>
      <c r="N967" s="9" t="str">
        <f t="shared" si="78"/>
        <v>NO</v>
      </c>
      <c r="O967" s="9" t="str">
        <f t="shared" si="79"/>
        <v>🟡</v>
      </c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  <c r="BF967" s="9"/>
      <c r="BG967" s="9"/>
      <c r="BH967" s="9"/>
      <c r="BI967" s="9"/>
      <c r="BJ967" s="9"/>
      <c r="BK967" s="9"/>
      <c r="BL967" s="9"/>
      <c r="BM967" s="9"/>
      <c r="BN967" s="9"/>
      <c r="BO967" s="9"/>
      <c r="BP967" s="9"/>
      <c r="BQ967" s="9"/>
      <c r="BR967" s="9"/>
      <c r="BS967" s="9"/>
      <c r="BT967" s="9"/>
      <c r="BU967" s="9"/>
      <c r="BV967" s="9"/>
      <c r="BW967" s="9"/>
      <c r="BX967" s="9"/>
      <c r="BY967" s="9"/>
      <c r="BZ967" s="9"/>
      <c r="CA967" s="9"/>
      <c r="CB967" s="9"/>
      <c r="CC967" s="9"/>
      <c r="CD967" s="9"/>
      <c r="CE967" s="9"/>
      <c r="CF967" s="9"/>
      <c r="CG967" s="9"/>
    </row>
    <row r="968" spans="1:85" ht="18" customHeight="1" x14ac:dyDescent="0.3">
      <c r="A968" s="9">
        <f t="shared" si="75"/>
        <v>967</v>
      </c>
      <c r="B968" s="9" t="str">
        <f t="shared" si="76"/>
        <v/>
      </c>
      <c r="C968" s="9"/>
      <c r="D968" s="9"/>
      <c r="E968" s="9">
        <f t="shared" si="77"/>
        <v>0</v>
      </c>
      <c r="F968" s="9"/>
      <c r="G968" s="9"/>
      <c r="H968" s="9"/>
      <c r="I968" s="9"/>
      <c r="J968" s="9"/>
      <c r="K968" s="9"/>
      <c r="L968" s="9"/>
      <c r="M968" s="9"/>
      <c r="N968" s="9" t="str">
        <f t="shared" si="78"/>
        <v>NO</v>
      </c>
      <c r="O968" s="9" t="str">
        <f t="shared" si="79"/>
        <v>🟡</v>
      </c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9"/>
      <c r="BP968" s="9"/>
      <c r="BQ968" s="9"/>
      <c r="BR968" s="9"/>
      <c r="BS968" s="9"/>
      <c r="BT968" s="9"/>
      <c r="BU968" s="9"/>
      <c r="BV968" s="9"/>
      <c r="BW968" s="9"/>
      <c r="BX968" s="9"/>
      <c r="BY968" s="9"/>
      <c r="BZ968" s="9"/>
      <c r="CA968" s="9"/>
      <c r="CB968" s="9"/>
      <c r="CC968" s="9"/>
      <c r="CD968" s="9"/>
      <c r="CE968" s="9"/>
      <c r="CF968" s="9"/>
      <c r="CG968" s="9"/>
    </row>
    <row r="969" spans="1:85" ht="18" customHeight="1" x14ac:dyDescent="0.3">
      <c r="A969" s="9">
        <f t="shared" si="75"/>
        <v>968</v>
      </c>
      <c r="B969" s="9" t="str">
        <f t="shared" si="76"/>
        <v/>
      </c>
      <c r="C969" s="9"/>
      <c r="D969" s="9"/>
      <c r="E969" s="9">
        <f t="shared" si="77"/>
        <v>0</v>
      </c>
      <c r="F969" s="9"/>
      <c r="G969" s="9"/>
      <c r="H969" s="9"/>
      <c r="I969" s="9"/>
      <c r="J969" s="9"/>
      <c r="K969" s="9"/>
      <c r="L969" s="9"/>
      <c r="M969" s="9"/>
      <c r="N969" s="9" t="str">
        <f t="shared" si="78"/>
        <v>NO</v>
      </c>
      <c r="O969" s="9" t="str">
        <f t="shared" si="79"/>
        <v>🟡</v>
      </c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  <c r="BF969" s="9"/>
      <c r="BG969" s="9"/>
      <c r="BH969" s="9"/>
      <c r="BI969" s="9"/>
      <c r="BJ969" s="9"/>
      <c r="BK969" s="9"/>
      <c r="BL969" s="9"/>
      <c r="BM969" s="9"/>
      <c r="BN969" s="9"/>
      <c r="BO969" s="9"/>
      <c r="BP969" s="9"/>
      <c r="BQ969" s="9"/>
      <c r="BR969" s="9"/>
      <c r="BS969" s="9"/>
      <c r="BT969" s="9"/>
      <c r="BU969" s="9"/>
      <c r="BV969" s="9"/>
      <c r="BW969" s="9"/>
      <c r="BX969" s="9"/>
      <c r="BY969" s="9"/>
      <c r="BZ969" s="9"/>
      <c r="CA969" s="9"/>
      <c r="CB969" s="9"/>
      <c r="CC969" s="9"/>
      <c r="CD969" s="9"/>
      <c r="CE969" s="9"/>
      <c r="CF969" s="9"/>
      <c r="CG969" s="9"/>
    </row>
    <row r="970" spans="1:85" ht="18" customHeight="1" x14ac:dyDescent="0.3">
      <c r="A970" s="9">
        <f t="shared" si="75"/>
        <v>969</v>
      </c>
      <c r="B970" s="9" t="str">
        <f t="shared" si="76"/>
        <v/>
      </c>
      <c r="C970" s="9"/>
      <c r="D970" s="9"/>
      <c r="E970" s="9">
        <f t="shared" si="77"/>
        <v>0</v>
      </c>
      <c r="F970" s="9"/>
      <c r="G970" s="9"/>
      <c r="H970" s="9"/>
      <c r="I970" s="9"/>
      <c r="J970" s="9"/>
      <c r="K970" s="9"/>
      <c r="L970" s="9"/>
      <c r="M970" s="9"/>
      <c r="N970" s="9" t="str">
        <f t="shared" si="78"/>
        <v>NO</v>
      </c>
      <c r="O970" s="9" t="str">
        <f t="shared" si="79"/>
        <v>🟡</v>
      </c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9"/>
      <c r="BP970" s="9"/>
      <c r="BQ970" s="9"/>
      <c r="BR970" s="9"/>
      <c r="BS970" s="9"/>
      <c r="BT970" s="9"/>
      <c r="BU970" s="9"/>
      <c r="BV970" s="9"/>
      <c r="BW970" s="9"/>
      <c r="BX970" s="9"/>
      <c r="BY970" s="9"/>
      <c r="BZ970" s="9"/>
      <c r="CA970" s="9"/>
      <c r="CB970" s="9"/>
      <c r="CC970" s="9"/>
      <c r="CD970" s="9"/>
      <c r="CE970" s="9"/>
      <c r="CF970" s="9"/>
      <c r="CG970" s="9"/>
    </row>
    <row r="971" spans="1:85" ht="18" customHeight="1" x14ac:dyDescent="0.3">
      <c r="A971" s="9">
        <f t="shared" si="75"/>
        <v>970</v>
      </c>
      <c r="B971" s="9" t="str">
        <f t="shared" si="76"/>
        <v/>
      </c>
      <c r="C971" s="9"/>
      <c r="D971" s="9"/>
      <c r="E971" s="9">
        <f t="shared" si="77"/>
        <v>0</v>
      </c>
      <c r="F971" s="9"/>
      <c r="G971" s="9"/>
      <c r="H971" s="9"/>
      <c r="I971" s="9"/>
      <c r="J971" s="9"/>
      <c r="K971" s="9"/>
      <c r="L971" s="9"/>
      <c r="M971" s="9"/>
      <c r="N971" s="9" t="str">
        <f t="shared" si="78"/>
        <v>NO</v>
      </c>
      <c r="O971" s="9" t="str">
        <f t="shared" si="79"/>
        <v>🟡</v>
      </c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  <c r="BF971" s="9"/>
      <c r="BG971" s="9"/>
      <c r="BH971" s="9"/>
      <c r="BI971" s="9"/>
      <c r="BJ971" s="9"/>
      <c r="BK971" s="9"/>
      <c r="BL971" s="9"/>
      <c r="BM971" s="9"/>
      <c r="BN971" s="9"/>
      <c r="BO971" s="9"/>
      <c r="BP971" s="9"/>
      <c r="BQ971" s="9"/>
      <c r="BR971" s="9"/>
      <c r="BS971" s="9"/>
      <c r="BT971" s="9"/>
      <c r="BU971" s="9"/>
      <c r="BV971" s="9"/>
      <c r="BW971" s="9"/>
      <c r="BX971" s="9"/>
      <c r="BY971" s="9"/>
      <c r="BZ971" s="9"/>
      <c r="CA971" s="9"/>
      <c r="CB971" s="9"/>
      <c r="CC971" s="9"/>
      <c r="CD971" s="9"/>
      <c r="CE971" s="9"/>
      <c r="CF971" s="9"/>
      <c r="CG971" s="9"/>
    </row>
    <row r="972" spans="1:85" ht="18" customHeight="1" x14ac:dyDescent="0.3">
      <c r="A972" s="9">
        <f t="shared" si="75"/>
        <v>971</v>
      </c>
      <c r="B972" s="9" t="str">
        <f t="shared" si="76"/>
        <v/>
      </c>
      <c r="C972" s="9"/>
      <c r="D972" s="9"/>
      <c r="E972" s="9">
        <f t="shared" si="77"/>
        <v>0</v>
      </c>
      <c r="F972" s="9"/>
      <c r="G972" s="9"/>
      <c r="H972" s="9"/>
      <c r="I972" s="9"/>
      <c r="J972" s="9"/>
      <c r="K972" s="9"/>
      <c r="L972" s="9"/>
      <c r="M972" s="9"/>
      <c r="N972" s="9" t="str">
        <f t="shared" si="78"/>
        <v>NO</v>
      </c>
      <c r="O972" s="9" t="str">
        <f t="shared" si="79"/>
        <v>🟡</v>
      </c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9"/>
      <c r="BP972" s="9"/>
      <c r="BQ972" s="9"/>
      <c r="BR972" s="9"/>
      <c r="BS972" s="9"/>
      <c r="BT972" s="9"/>
      <c r="BU972" s="9"/>
      <c r="BV972" s="9"/>
      <c r="BW972" s="9"/>
      <c r="BX972" s="9"/>
      <c r="BY972" s="9"/>
      <c r="BZ972" s="9"/>
      <c r="CA972" s="9"/>
      <c r="CB972" s="9"/>
      <c r="CC972" s="9"/>
      <c r="CD972" s="9"/>
      <c r="CE972" s="9"/>
      <c r="CF972" s="9"/>
      <c r="CG972" s="9"/>
    </row>
    <row r="973" spans="1:85" ht="18" customHeight="1" x14ac:dyDescent="0.3">
      <c r="A973" s="9">
        <f t="shared" si="75"/>
        <v>972</v>
      </c>
      <c r="B973" s="9" t="str">
        <f t="shared" si="76"/>
        <v/>
      </c>
      <c r="C973" s="9"/>
      <c r="D973" s="9"/>
      <c r="E973" s="9">
        <f t="shared" si="77"/>
        <v>0</v>
      </c>
      <c r="F973" s="9"/>
      <c r="G973" s="9"/>
      <c r="H973" s="9"/>
      <c r="I973" s="9"/>
      <c r="J973" s="9"/>
      <c r="K973" s="9"/>
      <c r="L973" s="9"/>
      <c r="M973" s="9"/>
      <c r="N973" s="9" t="str">
        <f t="shared" si="78"/>
        <v>NO</v>
      </c>
      <c r="O973" s="9" t="str">
        <f t="shared" si="79"/>
        <v>🟡</v>
      </c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  <c r="BF973" s="9"/>
      <c r="BG973" s="9"/>
      <c r="BH973" s="9"/>
      <c r="BI973" s="9"/>
      <c r="BJ973" s="9"/>
      <c r="BK973" s="9"/>
      <c r="BL973" s="9"/>
      <c r="BM973" s="9"/>
      <c r="BN973" s="9"/>
      <c r="BO973" s="9"/>
      <c r="BP973" s="9"/>
      <c r="BQ973" s="9"/>
      <c r="BR973" s="9"/>
      <c r="BS973" s="9"/>
      <c r="BT973" s="9"/>
      <c r="BU973" s="9"/>
      <c r="BV973" s="9"/>
      <c r="BW973" s="9"/>
      <c r="BX973" s="9"/>
      <c r="BY973" s="9"/>
      <c r="BZ973" s="9"/>
      <c r="CA973" s="9"/>
      <c r="CB973" s="9"/>
      <c r="CC973" s="9"/>
      <c r="CD973" s="9"/>
      <c r="CE973" s="9"/>
      <c r="CF973" s="9"/>
      <c r="CG973" s="9"/>
    </row>
    <row r="974" spans="1:85" ht="18" customHeight="1" x14ac:dyDescent="0.3">
      <c r="A974" s="9">
        <f t="shared" si="75"/>
        <v>973</v>
      </c>
      <c r="B974" s="9" t="str">
        <f t="shared" si="76"/>
        <v/>
      </c>
      <c r="C974" s="9"/>
      <c r="D974" s="9"/>
      <c r="E974" s="9">
        <f t="shared" si="77"/>
        <v>0</v>
      </c>
      <c r="F974" s="9"/>
      <c r="G974" s="9"/>
      <c r="H974" s="9"/>
      <c r="I974" s="9"/>
      <c r="J974" s="9"/>
      <c r="K974" s="9"/>
      <c r="L974" s="9"/>
      <c r="M974" s="9"/>
      <c r="N974" s="9" t="str">
        <f t="shared" si="78"/>
        <v>NO</v>
      </c>
      <c r="O974" s="9" t="str">
        <f t="shared" si="79"/>
        <v>🟡</v>
      </c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9"/>
      <c r="BP974" s="9"/>
      <c r="BQ974" s="9"/>
      <c r="BR974" s="9"/>
      <c r="BS974" s="9"/>
      <c r="BT974" s="9"/>
      <c r="BU974" s="9"/>
      <c r="BV974" s="9"/>
      <c r="BW974" s="9"/>
      <c r="BX974" s="9"/>
      <c r="BY974" s="9"/>
      <c r="BZ974" s="9"/>
      <c r="CA974" s="9"/>
      <c r="CB974" s="9"/>
      <c r="CC974" s="9"/>
      <c r="CD974" s="9"/>
      <c r="CE974" s="9"/>
      <c r="CF974" s="9"/>
      <c r="CG974" s="9"/>
    </row>
    <row r="975" spans="1:85" ht="18" customHeight="1" x14ac:dyDescent="0.3">
      <c r="A975" s="9">
        <f t="shared" si="75"/>
        <v>974</v>
      </c>
      <c r="B975" s="9" t="str">
        <f t="shared" si="76"/>
        <v/>
      </c>
      <c r="C975" s="9"/>
      <c r="D975" s="9"/>
      <c r="E975" s="9">
        <f t="shared" si="77"/>
        <v>0</v>
      </c>
      <c r="F975" s="9"/>
      <c r="G975" s="9"/>
      <c r="H975" s="9"/>
      <c r="I975" s="9"/>
      <c r="J975" s="9"/>
      <c r="K975" s="9"/>
      <c r="L975" s="9"/>
      <c r="M975" s="9"/>
      <c r="N975" s="9" t="str">
        <f t="shared" si="78"/>
        <v>NO</v>
      </c>
      <c r="O975" s="9" t="str">
        <f t="shared" si="79"/>
        <v>🟡</v>
      </c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  <c r="BF975" s="9"/>
      <c r="BG975" s="9"/>
      <c r="BH975" s="9"/>
      <c r="BI975" s="9"/>
      <c r="BJ975" s="9"/>
      <c r="BK975" s="9"/>
      <c r="BL975" s="9"/>
      <c r="BM975" s="9"/>
      <c r="BN975" s="9"/>
      <c r="BO975" s="9"/>
      <c r="BP975" s="9"/>
      <c r="BQ975" s="9"/>
      <c r="BR975" s="9"/>
      <c r="BS975" s="9"/>
      <c r="BT975" s="9"/>
      <c r="BU975" s="9"/>
      <c r="BV975" s="9"/>
      <c r="BW975" s="9"/>
      <c r="BX975" s="9"/>
      <c r="BY975" s="9"/>
      <c r="BZ975" s="9"/>
      <c r="CA975" s="9"/>
      <c r="CB975" s="9"/>
      <c r="CC975" s="9"/>
      <c r="CD975" s="9"/>
      <c r="CE975" s="9"/>
      <c r="CF975" s="9"/>
      <c r="CG975" s="9"/>
    </row>
    <row r="976" spans="1:85" ht="18" customHeight="1" x14ac:dyDescent="0.3">
      <c r="A976" s="9">
        <f t="shared" si="75"/>
        <v>975</v>
      </c>
      <c r="B976" s="9" t="str">
        <f t="shared" si="76"/>
        <v/>
      </c>
      <c r="C976" s="9"/>
      <c r="D976" s="9"/>
      <c r="E976" s="9">
        <f t="shared" si="77"/>
        <v>0</v>
      </c>
      <c r="F976" s="9"/>
      <c r="G976" s="9"/>
      <c r="H976" s="9"/>
      <c r="I976" s="9"/>
      <c r="J976" s="9"/>
      <c r="K976" s="9"/>
      <c r="L976" s="9"/>
      <c r="M976" s="9"/>
      <c r="N976" s="9" t="str">
        <f t="shared" si="78"/>
        <v>NO</v>
      </c>
      <c r="O976" s="9" t="str">
        <f t="shared" si="79"/>
        <v>🟡</v>
      </c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9"/>
      <c r="BT976" s="9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9"/>
      <c r="CF976" s="9"/>
      <c r="CG976" s="9"/>
    </row>
    <row r="977" spans="1:85" ht="18" customHeight="1" x14ac:dyDescent="0.3">
      <c r="A977" s="9">
        <f t="shared" si="75"/>
        <v>976</v>
      </c>
      <c r="B977" s="9" t="str">
        <f t="shared" si="76"/>
        <v/>
      </c>
      <c r="C977" s="9"/>
      <c r="D977" s="9"/>
      <c r="E977" s="9">
        <f t="shared" si="77"/>
        <v>0</v>
      </c>
      <c r="F977" s="9"/>
      <c r="G977" s="9"/>
      <c r="H977" s="9"/>
      <c r="I977" s="9"/>
      <c r="J977" s="9"/>
      <c r="K977" s="9"/>
      <c r="L977" s="9"/>
      <c r="M977" s="9"/>
      <c r="N977" s="9" t="str">
        <f t="shared" si="78"/>
        <v>NO</v>
      </c>
      <c r="O977" s="9" t="str">
        <f t="shared" si="79"/>
        <v>🟡</v>
      </c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  <c r="BF977" s="9"/>
      <c r="BG977" s="9"/>
      <c r="BH977" s="9"/>
      <c r="BI977" s="9"/>
      <c r="BJ977" s="9"/>
      <c r="BK977" s="9"/>
      <c r="BL977" s="9"/>
      <c r="BM977" s="9"/>
      <c r="BN977" s="9"/>
      <c r="BO977" s="9"/>
      <c r="BP977" s="9"/>
      <c r="BQ977" s="9"/>
      <c r="BR977" s="9"/>
      <c r="BS977" s="9"/>
      <c r="BT977" s="9"/>
      <c r="BU977" s="9"/>
      <c r="BV977" s="9"/>
      <c r="BW977" s="9"/>
      <c r="BX977" s="9"/>
      <c r="BY977" s="9"/>
      <c r="BZ977" s="9"/>
      <c r="CA977" s="9"/>
      <c r="CB977" s="9"/>
      <c r="CC977" s="9"/>
      <c r="CD977" s="9"/>
      <c r="CE977" s="9"/>
      <c r="CF977" s="9"/>
      <c r="CG977" s="9"/>
    </row>
    <row r="978" spans="1:85" ht="18" customHeight="1" x14ac:dyDescent="0.3">
      <c r="A978" s="9">
        <f t="shared" si="75"/>
        <v>977</v>
      </c>
      <c r="B978" s="9" t="str">
        <f t="shared" si="76"/>
        <v/>
      </c>
      <c r="C978" s="9"/>
      <c r="D978" s="9"/>
      <c r="E978" s="9">
        <f t="shared" si="77"/>
        <v>0</v>
      </c>
      <c r="F978" s="9"/>
      <c r="G978" s="9"/>
      <c r="H978" s="9"/>
      <c r="I978" s="9"/>
      <c r="J978" s="9"/>
      <c r="K978" s="9"/>
      <c r="L978" s="9"/>
      <c r="M978" s="9"/>
      <c r="N978" s="9" t="str">
        <f t="shared" si="78"/>
        <v>NO</v>
      </c>
      <c r="O978" s="9" t="str">
        <f t="shared" si="79"/>
        <v>🟡</v>
      </c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9"/>
      <c r="BP978" s="9"/>
      <c r="BQ978" s="9"/>
      <c r="BR978" s="9"/>
      <c r="BS978" s="9"/>
      <c r="BT978" s="9"/>
      <c r="BU978" s="9"/>
      <c r="BV978" s="9"/>
      <c r="BW978" s="9"/>
      <c r="BX978" s="9"/>
      <c r="BY978" s="9"/>
      <c r="BZ978" s="9"/>
      <c r="CA978" s="9"/>
      <c r="CB978" s="9"/>
      <c r="CC978" s="9"/>
      <c r="CD978" s="9"/>
      <c r="CE978" s="9"/>
      <c r="CF978" s="9"/>
      <c r="CG978" s="9"/>
    </row>
    <row r="979" spans="1:85" ht="18" customHeight="1" x14ac:dyDescent="0.3">
      <c r="A979" s="9">
        <f t="shared" si="75"/>
        <v>978</v>
      </c>
      <c r="B979" s="9" t="str">
        <f t="shared" si="76"/>
        <v/>
      </c>
      <c r="C979" s="9"/>
      <c r="D979" s="9"/>
      <c r="E979" s="9">
        <f t="shared" si="77"/>
        <v>0</v>
      </c>
      <c r="F979" s="9"/>
      <c r="G979" s="9"/>
      <c r="H979" s="9"/>
      <c r="I979" s="9"/>
      <c r="J979" s="9"/>
      <c r="K979" s="9"/>
      <c r="L979" s="9"/>
      <c r="M979" s="9"/>
      <c r="N979" s="9" t="str">
        <f t="shared" si="78"/>
        <v>NO</v>
      </c>
      <c r="O979" s="9" t="str">
        <f t="shared" si="79"/>
        <v>🟡</v>
      </c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  <c r="BF979" s="9"/>
      <c r="BG979" s="9"/>
      <c r="BH979" s="9"/>
      <c r="BI979" s="9"/>
      <c r="BJ979" s="9"/>
      <c r="BK979" s="9"/>
      <c r="BL979" s="9"/>
      <c r="BM979" s="9"/>
      <c r="BN979" s="9"/>
      <c r="BO979" s="9"/>
      <c r="BP979" s="9"/>
      <c r="BQ979" s="9"/>
      <c r="BR979" s="9"/>
      <c r="BS979" s="9"/>
      <c r="BT979" s="9"/>
      <c r="BU979" s="9"/>
      <c r="BV979" s="9"/>
      <c r="BW979" s="9"/>
      <c r="BX979" s="9"/>
      <c r="BY979" s="9"/>
      <c r="BZ979" s="9"/>
      <c r="CA979" s="9"/>
      <c r="CB979" s="9"/>
      <c r="CC979" s="9"/>
      <c r="CD979" s="9"/>
      <c r="CE979" s="9"/>
      <c r="CF979" s="9"/>
      <c r="CG979" s="9"/>
    </row>
    <row r="980" spans="1:85" ht="18" customHeight="1" x14ac:dyDescent="0.3">
      <c r="A980" s="9">
        <f t="shared" si="75"/>
        <v>979</v>
      </c>
      <c r="B980" s="9" t="str">
        <f t="shared" si="76"/>
        <v/>
      </c>
      <c r="C980" s="9"/>
      <c r="D980" s="9"/>
      <c r="E980" s="9">
        <f t="shared" si="77"/>
        <v>0</v>
      </c>
      <c r="F980" s="9"/>
      <c r="G980" s="9"/>
      <c r="H980" s="9"/>
      <c r="I980" s="9"/>
      <c r="J980" s="9"/>
      <c r="K980" s="9"/>
      <c r="L980" s="9"/>
      <c r="M980" s="9"/>
      <c r="N980" s="9" t="str">
        <f t="shared" si="78"/>
        <v>NO</v>
      </c>
      <c r="O980" s="9" t="str">
        <f t="shared" si="79"/>
        <v>🟡</v>
      </c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9"/>
      <c r="BP980" s="9"/>
      <c r="BQ980" s="9"/>
      <c r="BR980" s="9"/>
      <c r="BS980" s="9"/>
      <c r="BT980" s="9"/>
      <c r="BU980" s="9"/>
      <c r="BV980" s="9"/>
      <c r="BW980" s="9"/>
      <c r="BX980" s="9"/>
      <c r="BY980" s="9"/>
      <c r="BZ980" s="9"/>
      <c r="CA980" s="9"/>
      <c r="CB980" s="9"/>
      <c r="CC980" s="9"/>
      <c r="CD980" s="9"/>
      <c r="CE980" s="9"/>
      <c r="CF980" s="9"/>
      <c r="CG980" s="9"/>
    </row>
    <row r="981" spans="1:85" ht="18" customHeight="1" x14ac:dyDescent="0.3">
      <c r="A981" s="9">
        <f t="shared" si="75"/>
        <v>980</v>
      </c>
      <c r="B981" s="9" t="str">
        <f t="shared" si="76"/>
        <v/>
      </c>
      <c r="C981" s="9"/>
      <c r="D981" s="9"/>
      <c r="E981" s="9">
        <f t="shared" si="77"/>
        <v>0</v>
      </c>
      <c r="F981" s="9"/>
      <c r="G981" s="9"/>
      <c r="H981" s="9"/>
      <c r="I981" s="9"/>
      <c r="J981" s="9"/>
      <c r="K981" s="9"/>
      <c r="L981" s="9"/>
      <c r="M981" s="9"/>
      <c r="N981" s="9" t="str">
        <f t="shared" si="78"/>
        <v>NO</v>
      </c>
      <c r="O981" s="9" t="str">
        <f t="shared" si="79"/>
        <v>🟡</v>
      </c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9"/>
      <c r="BD981" s="9"/>
      <c r="BE981" s="9"/>
      <c r="BF981" s="9"/>
      <c r="BG981" s="9"/>
      <c r="BH981" s="9"/>
      <c r="BI981" s="9"/>
      <c r="BJ981" s="9"/>
      <c r="BK981" s="9"/>
      <c r="BL981" s="9"/>
      <c r="BM981" s="9"/>
      <c r="BN981" s="9"/>
      <c r="BO981" s="9"/>
      <c r="BP981" s="9"/>
      <c r="BQ981" s="9"/>
      <c r="BR981" s="9"/>
      <c r="BS981" s="9"/>
      <c r="BT981" s="9"/>
      <c r="BU981" s="9"/>
      <c r="BV981" s="9"/>
      <c r="BW981" s="9"/>
      <c r="BX981" s="9"/>
      <c r="BY981" s="9"/>
      <c r="BZ981" s="9"/>
      <c r="CA981" s="9"/>
      <c r="CB981" s="9"/>
      <c r="CC981" s="9"/>
      <c r="CD981" s="9"/>
      <c r="CE981" s="9"/>
      <c r="CF981" s="9"/>
      <c r="CG981" s="9"/>
    </row>
    <row r="982" spans="1:85" ht="18" customHeight="1" x14ac:dyDescent="0.3">
      <c r="A982" s="9">
        <f t="shared" si="75"/>
        <v>981</v>
      </c>
      <c r="B982" s="9" t="str">
        <f t="shared" si="76"/>
        <v/>
      </c>
      <c r="C982" s="9"/>
      <c r="D982" s="9"/>
      <c r="E982" s="9">
        <f t="shared" si="77"/>
        <v>0</v>
      </c>
      <c r="F982" s="9"/>
      <c r="G982" s="9"/>
      <c r="H982" s="9"/>
      <c r="I982" s="9"/>
      <c r="J982" s="9"/>
      <c r="K982" s="9"/>
      <c r="L982" s="9"/>
      <c r="M982" s="9"/>
      <c r="N982" s="9" t="str">
        <f t="shared" si="78"/>
        <v>NO</v>
      </c>
      <c r="O982" s="9" t="str">
        <f t="shared" si="79"/>
        <v>🟡</v>
      </c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  <c r="BF982" s="9"/>
      <c r="BG982" s="9"/>
      <c r="BH982" s="9"/>
      <c r="BI982" s="9"/>
      <c r="BJ982" s="9"/>
      <c r="BK982" s="9"/>
      <c r="BL982" s="9"/>
      <c r="BM982" s="9"/>
      <c r="BN982" s="9"/>
      <c r="BO982" s="9"/>
      <c r="BP982" s="9"/>
      <c r="BQ982" s="9"/>
      <c r="BR982" s="9"/>
      <c r="BS982" s="9"/>
      <c r="BT982" s="9"/>
      <c r="BU982" s="9"/>
      <c r="BV982" s="9"/>
      <c r="BW982" s="9"/>
      <c r="BX982" s="9"/>
      <c r="BY982" s="9"/>
      <c r="BZ982" s="9"/>
      <c r="CA982" s="9"/>
      <c r="CB982" s="9"/>
      <c r="CC982" s="9"/>
      <c r="CD982" s="9"/>
      <c r="CE982" s="9"/>
      <c r="CF982" s="9"/>
      <c r="CG982" s="9"/>
    </row>
    <row r="983" spans="1:85" ht="18" customHeight="1" x14ac:dyDescent="0.3">
      <c r="A983" s="9">
        <f t="shared" si="75"/>
        <v>982</v>
      </c>
      <c r="B983" s="9" t="str">
        <f t="shared" si="76"/>
        <v/>
      </c>
      <c r="C983" s="9"/>
      <c r="D983" s="9"/>
      <c r="E983" s="9">
        <f t="shared" si="77"/>
        <v>0</v>
      </c>
      <c r="F983" s="9"/>
      <c r="G983" s="9"/>
      <c r="H983" s="9"/>
      <c r="I983" s="9"/>
      <c r="J983" s="9"/>
      <c r="K983" s="9"/>
      <c r="L983" s="9"/>
      <c r="M983" s="9"/>
      <c r="N983" s="9" t="str">
        <f t="shared" si="78"/>
        <v>NO</v>
      </c>
      <c r="O983" s="9" t="str">
        <f t="shared" si="79"/>
        <v>🟡</v>
      </c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9"/>
      <c r="BD983" s="9"/>
      <c r="BE983" s="9"/>
      <c r="BF983" s="9"/>
      <c r="BG983" s="9"/>
      <c r="BH983" s="9"/>
      <c r="BI983" s="9"/>
      <c r="BJ983" s="9"/>
      <c r="BK983" s="9"/>
      <c r="BL983" s="9"/>
      <c r="BM983" s="9"/>
      <c r="BN983" s="9"/>
      <c r="BO983" s="9"/>
      <c r="BP983" s="9"/>
      <c r="BQ983" s="9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9"/>
      <c r="CC983" s="9"/>
      <c r="CD983" s="9"/>
      <c r="CE983" s="9"/>
      <c r="CF983" s="9"/>
      <c r="CG983" s="9"/>
    </row>
    <row r="984" spans="1:85" ht="18" customHeight="1" x14ac:dyDescent="0.3">
      <c r="A984" s="9">
        <f t="shared" si="75"/>
        <v>983</v>
      </c>
      <c r="B984" s="9" t="str">
        <f t="shared" si="76"/>
        <v/>
      </c>
      <c r="C984" s="9"/>
      <c r="D984" s="9"/>
      <c r="E984" s="9">
        <f t="shared" si="77"/>
        <v>0</v>
      </c>
      <c r="F984" s="9"/>
      <c r="G984" s="9"/>
      <c r="H984" s="9"/>
      <c r="I984" s="9"/>
      <c r="J984" s="9"/>
      <c r="K984" s="9"/>
      <c r="L984" s="9"/>
      <c r="M984" s="9"/>
      <c r="N984" s="9" t="str">
        <f t="shared" si="78"/>
        <v>NO</v>
      </c>
      <c r="O984" s="9" t="str">
        <f t="shared" si="79"/>
        <v>🟡</v>
      </c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  <c r="BF984" s="9"/>
      <c r="BG984" s="9"/>
      <c r="BH984" s="9"/>
      <c r="BI984" s="9"/>
      <c r="BJ984" s="9"/>
      <c r="BK984" s="9"/>
      <c r="BL984" s="9"/>
      <c r="BM984" s="9"/>
      <c r="BN984" s="9"/>
      <c r="BO984" s="9"/>
      <c r="BP984" s="9"/>
      <c r="BQ984" s="9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9"/>
      <c r="CC984" s="9"/>
      <c r="CD984" s="9"/>
      <c r="CE984" s="9"/>
      <c r="CF984" s="9"/>
      <c r="CG984" s="9"/>
    </row>
    <row r="985" spans="1:85" ht="18" customHeight="1" x14ac:dyDescent="0.3">
      <c r="A985" s="9">
        <f t="shared" si="75"/>
        <v>984</v>
      </c>
      <c r="B985" s="9" t="str">
        <f t="shared" si="76"/>
        <v/>
      </c>
      <c r="C985" s="9"/>
      <c r="D985" s="9"/>
      <c r="E985" s="9">
        <f t="shared" si="77"/>
        <v>0</v>
      </c>
      <c r="F985" s="9"/>
      <c r="G985" s="9"/>
      <c r="H985" s="9"/>
      <c r="I985" s="9"/>
      <c r="J985" s="9"/>
      <c r="K985" s="9"/>
      <c r="L985" s="9"/>
      <c r="M985" s="9"/>
      <c r="N985" s="9" t="str">
        <f t="shared" si="78"/>
        <v>NO</v>
      </c>
      <c r="O985" s="9" t="str">
        <f t="shared" si="79"/>
        <v>🟡</v>
      </c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9"/>
      <c r="BD985" s="9"/>
      <c r="BE985" s="9"/>
      <c r="BF985" s="9"/>
      <c r="BG985" s="9"/>
      <c r="BH985" s="9"/>
      <c r="BI985" s="9"/>
      <c r="BJ985" s="9"/>
      <c r="BK985" s="9"/>
      <c r="BL985" s="9"/>
      <c r="BM985" s="9"/>
      <c r="BN985" s="9"/>
      <c r="BO985" s="9"/>
      <c r="BP985" s="9"/>
      <c r="BQ985" s="9"/>
      <c r="BR985" s="9"/>
      <c r="BS985" s="9"/>
      <c r="BT985" s="9"/>
      <c r="BU985" s="9"/>
      <c r="BV985" s="9"/>
      <c r="BW985" s="9"/>
      <c r="BX985" s="9"/>
      <c r="BY985" s="9"/>
      <c r="BZ985" s="9"/>
      <c r="CA985" s="9"/>
      <c r="CB985" s="9"/>
      <c r="CC985" s="9"/>
      <c r="CD985" s="9"/>
      <c r="CE985" s="9"/>
      <c r="CF985" s="9"/>
      <c r="CG985" s="9"/>
    </row>
    <row r="986" spans="1:85" ht="18" customHeight="1" x14ac:dyDescent="0.3">
      <c r="A986" s="9">
        <f t="shared" si="75"/>
        <v>985</v>
      </c>
      <c r="B986" s="9" t="str">
        <f t="shared" si="76"/>
        <v/>
      </c>
      <c r="C986" s="9"/>
      <c r="D986" s="9"/>
      <c r="E986" s="9">
        <f t="shared" si="77"/>
        <v>0</v>
      </c>
      <c r="F986" s="9"/>
      <c r="G986" s="9"/>
      <c r="H986" s="9"/>
      <c r="I986" s="9"/>
      <c r="J986" s="9"/>
      <c r="K986" s="9"/>
      <c r="L986" s="9"/>
      <c r="M986" s="9"/>
      <c r="N986" s="9" t="str">
        <f t="shared" si="78"/>
        <v>NO</v>
      </c>
      <c r="O986" s="9" t="str">
        <f t="shared" si="79"/>
        <v>🟡</v>
      </c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  <c r="BF986" s="9"/>
      <c r="BG986" s="9"/>
      <c r="BH986" s="9"/>
      <c r="BI986" s="9"/>
      <c r="BJ986" s="9"/>
      <c r="BK986" s="9"/>
      <c r="BL986" s="9"/>
      <c r="BM986" s="9"/>
      <c r="BN986" s="9"/>
      <c r="BO986" s="9"/>
      <c r="BP986" s="9"/>
      <c r="BQ986" s="9"/>
      <c r="BR986" s="9"/>
      <c r="BS986" s="9"/>
      <c r="BT986" s="9"/>
      <c r="BU986" s="9"/>
      <c r="BV986" s="9"/>
      <c r="BW986" s="9"/>
      <c r="BX986" s="9"/>
      <c r="BY986" s="9"/>
      <c r="BZ986" s="9"/>
      <c r="CA986" s="9"/>
      <c r="CB986" s="9"/>
      <c r="CC986" s="9"/>
      <c r="CD986" s="9"/>
      <c r="CE986" s="9"/>
      <c r="CF986" s="9"/>
      <c r="CG986" s="9"/>
    </row>
    <row r="987" spans="1:85" ht="18" customHeight="1" x14ac:dyDescent="0.3">
      <c r="A987" s="9">
        <f t="shared" si="75"/>
        <v>986</v>
      </c>
      <c r="B987" s="9" t="str">
        <f t="shared" si="76"/>
        <v/>
      </c>
      <c r="C987" s="9"/>
      <c r="D987" s="9"/>
      <c r="E987" s="9">
        <f t="shared" si="77"/>
        <v>0</v>
      </c>
      <c r="F987" s="9"/>
      <c r="G987" s="9"/>
      <c r="H987" s="9"/>
      <c r="I987" s="9"/>
      <c r="J987" s="9"/>
      <c r="K987" s="9"/>
      <c r="L987" s="9"/>
      <c r="M987" s="9"/>
      <c r="N987" s="9" t="str">
        <f t="shared" si="78"/>
        <v>NO</v>
      </c>
      <c r="O987" s="9" t="str">
        <f t="shared" si="79"/>
        <v>🟡</v>
      </c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9"/>
      <c r="BD987" s="9"/>
      <c r="BE987" s="9"/>
      <c r="BF987" s="9"/>
      <c r="BG987" s="9"/>
      <c r="BH987" s="9"/>
      <c r="BI987" s="9"/>
      <c r="BJ987" s="9"/>
      <c r="BK987" s="9"/>
      <c r="BL987" s="9"/>
      <c r="BM987" s="9"/>
      <c r="BN987" s="9"/>
      <c r="BO987" s="9"/>
      <c r="BP987" s="9"/>
      <c r="BQ987" s="9"/>
      <c r="BR987" s="9"/>
      <c r="BS987" s="9"/>
      <c r="BT987" s="9"/>
      <c r="BU987" s="9"/>
      <c r="BV987" s="9"/>
      <c r="BW987" s="9"/>
      <c r="BX987" s="9"/>
      <c r="BY987" s="9"/>
      <c r="BZ987" s="9"/>
      <c r="CA987" s="9"/>
      <c r="CB987" s="9"/>
      <c r="CC987" s="9"/>
      <c r="CD987" s="9"/>
      <c r="CE987" s="9"/>
      <c r="CF987" s="9"/>
      <c r="CG987" s="9"/>
    </row>
    <row r="988" spans="1:85" ht="18" customHeight="1" x14ac:dyDescent="0.3">
      <c r="A988" s="9">
        <f t="shared" si="75"/>
        <v>987</v>
      </c>
      <c r="B988" s="9" t="str">
        <f t="shared" si="76"/>
        <v/>
      </c>
      <c r="C988" s="9"/>
      <c r="D988" s="9"/>
      <c r="E988" s="9">
        <f t="shared" si="77"/>
        <v>0</v>
      </c>
      <c r="F988" s="9"/>
      <c r="G988" s="9"/>
      <c r="H988" s="9"/>
      <c r="I988" s="9"/>
      <c r="J988" s="9"/>
      <c r="K988" s="9"/>
      <c r="L988" s="9"/>
      <c r="M988" s="9"/>
      <c r="N988" s="9" t="str">
        <f t="shared" si="78"/>
        <v>NO</v>
      </c>
      <c r="O988" s="9" t="str">
        <f t="shared" si="79"/>
        <v>🟡</v>
      </c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  <c r="BF988" s="9"/>
      <c r="BG988" s="9"/>
      <c r="BH988" s="9"/>
      <c r="BI988" s="9"/>
      <c r="BJ988" s="9"/>
      <c r="BK988" s="9"/>
      <c r="BL988" s="9"/>
      <c r="BM988" s="9"/>
      <c r="BN988" s="9"/>
      <c r="BO988" s="9"/>
      <c r="BP988" s="9"/>
      <c r="BQ988" s="9"/>
      <c r="BR988" s="9"/>
      <c r="BS988" s="9"/>
      <c r="BT988" s="9"/>
      <c r="BU988" s="9"/>
      <c r="BV988" s="9"/>
      <c r="BW988" s="9"/>
      <c r="BX988" s="9"/>
      <c r="BY988" s="9"/>
      <c r="BZ988" s="9"/>
      <c r="CA988" s="9"/>
      <c r="CB988" s="9"/>
      <c r="CC988" s="9"/>
      <c r="CD988" s="9"/>
      <c r="CE988" s="9"/>
      <c r="CF988" s="9"/>
      <c r="CG988" s="9"/>
    </row>
    <row r="989" spans="1:85" ht="18" customHeight="1" x14ac:dyDescent="0.3">
      <c r="A989" s="9">
        <f t="shared" si="75"/>
        <v>988</v>
      </c>
      <c r="B989" s="9" t="str">
        <f t="shared" si="76"/>
        <v/>
      </c>
      <c r="C989" s="9"/>
      <c r="D989" s="9"/>
      <c r="E989" s="9">
        <f t="shared" si="77"/>
        <v>0</v>
      </c>
      <c r="F989" s="9"/>
      <c r="G989" s="9"/>
      <c r="H989" s="9"/>
      <c r="I989" s="9"/>
      <c r="J989" s="9"/>
      <c r="K989" s="9"/>
      <c r="L989" s="9"/>
      <c r="M989" s="9"/>
      <c r="N989" s="9" t="str">
        <f t="shared" si="78"/>
        <v>NO</v>
      </c>
      <c r="O989" s="9" t="str">
        <f t="shared" si="79"/>
        <v>🟡</v>
      </c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9"/>
      <c r="BD989" s="9"/>
      <c r="BE989" s="9"/>
      <c r="BF989" s="9"/>
      <c r="BG989" s="9"/>
      <c r="BH989" s="9"/>
      <c r="BI989" s="9"/>
      <c r="BJ989" s="9"/>
      <c r="BK989" s="9"/>
      <c r="BL989" s="9"/>
      <c r="BM989" s="9"/>
      <c r="BN989" s="9"/>
      <c r="BO989" s="9"/>
      <c r="BP989" s="9"/>
      <c r="BQ989" s="9"/>
      <c r="BR989" s="9"/>
      <c r="BS989" s="9"/>
      <c r="BT989" s="9"/>
      <c r="BU989" s="9"/>
      <c r="BV989" s="9"/>
      <c r="BW989" s="9"/>
      <c r="BX989" s="9"/>
      <c r="BY989" s="9"/>
      <c r="BZ989" s="9"/>
      <c r="CA989" s="9"/>
      <c r="CB989" s="9"/>
      <c r="CC989" s="9"/>
      <c r="CD989" s="9"/>
      <c r="CE989" s="9"/>
      <c r="CF989" s="9"/>
      <c r="CG989" s="9"/>
    </row>
    <row r="990" spans="1:85" ht="18" customHeight="1" x14ac:dyDescent="0.3">
      <c r="A990" s="9">
        <f t="shared" si="75"/>
        <v>989</v>
      </c>
      <c r="B990" s="9" t="str">
        <f t="shared" si="76"/>
        <v/>
      </c>
      <c r="C990" s="9"/>
      <c r="D990" s="9"/>
      <c r="E990" s="9">
        <f t="shared" si="77"/>
        <v>0</v>
      </c>
      <c r="F990" s="9"/>
      <c r="G990" s="9"/>
      <c r="H990" s="9"/>
      <c r="I990" s="9"/>
      <c r="J990" s="9"/>
      <c r="K990" s="9"/>
      <c r="L990" s="9"/>
      <c r="M990" s="9"/>
      <c r="N990" s="9" t="str">
        <f t="shared" si="78"/>
        <v>NO</v>
      </c>
      <c r="O990" s="9" t="str">
        <f t="shared" si="79"/>
        <v>🟡</v>
      </c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  <c r="BF990" s="9"/>
      <c r="BG990" s="9"/>
      <c r="BH990" s="9"/>
      <c r="BI990" s="9"/>
      <c r="BJ990" s="9"/>
      <c r="BK990" s="9"/>
      <c r="BL990" s="9"/>
      <c r="BM990" s="9"/>
      <c r="BN990" s="9"/>
      <c r="BO990" s="9"/>
      <c r="BP990" s="9"/>
      <c r="BQ990" s="9"/>
      <c r="BR990" s="9"/>
      <c r="BS990" s="9"/>
      <c r="BT990" s="9"/>
      <c r="BU990" s="9"/>
      <c r="BV990" s="9"/>
      <c r="BW990" s="9"/>
      <c r="BX990" s="9"/>
      <c r="BY990" s="9"/>
      <c r="BZ990" s="9"/>
      <c r="CA990" s="9"/>
      <c r="CB990" s="9"/>
      <c r="CC990" s="9"/>
      <c r="CD990" s="9"/>
      <c r="CE990" s="9"/>
      <c r="CF990" s="9"/>
      <c r="CG990" s="9"/>
    </row>
    <row r="991" spans="1:85" ht="18" customHeight="1" x14ac:dyDescent="0.3">
      <c r="A991" s="9">
        <f t="shared" si="75"/>
        <v>990</v>
      </c>
      <c r="B991" s="9" t="str">
        <f t="shared" si="76"/>
        <v/>
      </c>
      <c r="C991" s="9"/>
      <c r="D991" s="9"/>
      <c r="E991" s="9">
        <f t="shared" si="77"/>
        <v>0</v>
      </c>
      <c r="F991" s="9"/>
      <c r="G991" s="9"/>
      <c r="H991" s="9"/>
      <c r="I991" s="9"/>
      <c r="J991" s="9"/>
      <c r="K991" s="9"/>
      <c r="L991" s="9"/>
      <c r="M991" s="9"/>
      <c r="N991" s="9" t="str">
        <f t="shared" si="78"/>
        <v>NO</v>
      </c>
      <c r="O991" s="9" t="str">
        <f t="shared" si="79"/>
        <v>🟡</v>
      </c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9"/>
      <c r="BD991" s="9"/>
      <c r="BE991" s="9"/>
      <c r="BF991" s="9"/>
      <c r="BG991" s="9"/>
      <c r="BH991" s="9"/>
      <c r="BI991" s="9"/>
      <c r="BJ991" s="9"/>
      <c r="BK991" s="9"/>
      <c r="BL991" s="9"/>
      <c r="BM991" s="9"/>
      <c r="BN991" s="9"/>
      <c r="BO991" s="9"/>
      <c r="BP991" s="9"/>
      <c r="BQ991" s="9"/>
      <c r="BR991" s="9"/>
      <c r="BS991" s="9"/>
      <c r="BT991" s="9"/>
      <c r="BU991" s="9"/>
      <c r="BV991" s="9"/>
      <c r="BW991" s="9"/>
      <c r="BX991" s="9"/>
      <c r="BY991" s="9"/>
      <c r="BZ991" s="9"/>
      <c r="CA991" s="9"/>
      <c r="CB991" s="9"/>
      <c r="CC991" s="9"/>
      <c r="CD991" s="9"/>
      <c r="CE991" s="9"/>
      <c r="CF991" s="9"/>
      <c r="CG991" s="9"/>
    </row>
    <row r="992" spans="1:85" ht="18" customHeight="1" x14ac:dyDescent="0.3">
      <c r="A992" s="9">
        <f t="shared" si="75"/>
        <v>991</v>
      </c>
      <c r="B992" s="9" t="str">
        <f t="shared" si="76"/>
        <v/>
      </c>
      <c r="C992" s="9"/>
      <c r="D992" s="9"/>
      <c r="E992" s="9">
        <f t="shared" si="77"/>
        <v>0</v>
      </c>
      <c r="F992" s="9"/>
      <c r="G992" s="9"/>
      <c r="H992" s="9"/>
      <c r="I992" s="9"/>
      <c r="J992" s="9"/>
      <c r="K992" s="9"/>
      <c r="L992" s="9"/>
      <c r="M992" s="9"/>
      <c r="N992" s="9" t="str">
        <f t="shared" si="78"/>
        <v>NO</v>
      </c>
      <c r="O992" s="9" t="str">
        <f t="shared" si="79"/>
        <v>🟡</v>
      </c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  <c r="BF992" s="9"/>
      <c r="BG992" s="9"/>
      <c r="BH992" s="9"/>
      <c r="BI992" s="9"/>
      <c r="BJ992" s="9"/>
      <c r="BK992" s="9"/>
      <c r="BL992" s="9"/>
      <c r="BM992" s="9"/>
      <c r="BN992" s="9"/>
      <c r="BO992" s="9"/>
      <c r="BP992" s="9"/>
      <c r="BQ992" s="9"/>
      <c r="BR992" s="9"/>
      <c r="BS992" s="9"/>
      <c r="BT992" s="9"/>
      <c r="BU992" s="9"/>
      <c r="BV992" s="9"/>
      <c r="BW992" s="9"/>
      <c r="BX992" s="9"/>
      <c r="BY992" s="9"/>
      <c r="BZ992" s="9"/>
      <c r="CA992" s="9"/>
      <c r="CB992" s="9"/>
      <c r="CC992" s="9"/>
      <c r="CD992" s="9"/>
      <c r="CE992" s="9"/>
      <c r="CF992" s="9"/>
      <c r="CG992" s="9"/>
    </row>
    <row r="993" spans="1:85" ht="18" customHeight="1" x14ac:dyDescent="0.3">
      <c r="A993" s="9">
        <f t="shared" si="75"/>
        <v>992</v>
      </c>
      <c r="B993" s="9" t="str">
        <f t="shared" si="76"/>
        <v/>
      </c>
      <c r="C993" s="9"/>
      <c r="D993" s="9"/>
      <c r="E993" s="9">
        <f t="shared" si="77"/>
        <v>0</v>
      </c>
      <c r="F993" s="9"/>
      <c r="G993" s="9"/>
      <c r="H993" s="9"/>
      <c r="I993" s="9"/>
      <c r="J993" s="9"/>
      <c r="K993" s="9"/>
      <c r="L993" s="9"/>
      <c r="M993" s="9"/>
      <c r="N993" s="9" t="str">
        <f t="shared" si="78"/>
        <v>NO</v>
      </c>
      <c r="O993" s="9" t="str">
        <f t="shared" si="79"/>
        <v>🟡</v>
      </c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9"/>
      <c r="BD993" s="9"/>
      <c r="BE993" s="9"/>
      <c r="BF993" s="9"/>
      <c r="BG993" s="9"/>
      <c r="BH993" s="9"/>
      <c r="BI993" s="9"/>
      <c r="BJ993" s="9"/>
      <c r="BK993" s="9"/>
      <c r="BL993" s="9"/>
      <c r="BM993" s="9"/>
      <c r="BN993" s="9"/>
      <c r="BO993" s="9"/>
      <c r="BP993" s="9"/>
      <c r="BQ993" s="9"/>
      <c r="BR993" s="9"/>
      <c r="BS993" s="9"/>
      <c r="BT993" s="9"/>
      <c r="BU993" s="9"/>
      <c r="BV993" s="9"/>
      <c r="BW993" s="9"/>
      <c r="BX993" s="9"/>
      <c r="BY993" s="9"/>
      <c r="BZ993" s="9"/>
      <c r="CA993" s="9"/>
      <c r="CB993" s="9"/>
      <c r="CC993" s="9"/>
      <c r="CD993" s="9"/>
      <c r="CE993" s="9"/>
      <c r="CF993" s="9"/>
      <c r="CG993" s="9"/>
    </row>
    <row r="994" spans="1:85" ht="18" customHeight="1" x14ac:dyDescent="0.3">
      <c r="A994" s="9">
        <f t="shared" si="75"/>
        <v>993</v>
      </c>
      <c r="B994" s="9" t="str">
        <f t="shared" si="76"/>
        <v/>
      </c>
      <c r="C994" s="9"/>
      <c r="D994" s="9"/>
      <c r="E994" s="9">
        <f t="shared" si="77"/>
        <v>0</v>
      </c>
      <c r="F994" s="9"/>
      <c r="G994" s="9"/>
      <c r="H994" s="9"/>
      <c r="I994" s="9"/>
      <c r="J994" s="9"/>
      <c r="K994" s="9"/>
      <c r="L994" s="9"/>
      <c r="M994" s="9"/>
      <c r="N994" s="9" t="str">
        <f t="shared" si="78"/>
        <v>NO</v>
      </c>
      <c r="O994" s="9" t="str">
        <f t="shared" si="79"/>
        <v>🟡</v>
      </c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  <c r="BF994" s="9"/>
      <c r="BG994" s="9"/>
      <c r="BH994" s="9"/>
      <c r="BI994" s="9"/>
      <c r="BJ994" s="9"/>
      <c r="BK994" s="9"/>
      <c r="BL994" s="9"/>
      <c r="BM994" s="9"/>
      <c r="BN994" s="9"/>
      <c r="BO994" s="9"/>
      <c r="BP994" s="9"/>
      <c r="BQ994" s="9"/>
      <c r="BR994" s="9"/>
      <c r="BS994" s="9"/>
      <c r="BT994" s="9"/>
      <c r="BU994" s="9"/>
      <c r="BV994" s="9"/>
      <c r="BW994" s="9"/>
      <c r="BX994" s="9"/>
      <c r="BY994" s="9"/>
      <c r="BZ994" s="9"/>
      <c r="CA994" s="9"/>
      <c r="CB994" s="9"/>
      <c r="CC994" s="9"/>
      <c r="CD994" s="9"/>
      <c r="CE994" s="9"/>
      <c r="CF994" s="9"/>
      <c r="CG994" s="9"/>
    </row>
    <row r="995" spans="1:85" ht="18" customHeight="1" x14ac:dyDescent="0.3">
      <c r="A995" s="9">
        <f t="shared" si="75"/>
        <v>994</v>
      </c>
      <c r="B995" s="9" t="str">
        <f t="shared" si="76"/>
        <v/>
      </c>
      <c r="C995" s="9"/>
      <c r="D995" s="9"/>
      <c r="E995" s="9">
        <f t="shared" si="77"/>
        <v>0</v>
      </c>
      <c r="F995" s="9"/>
      <c r="G995" s="9"/>
      <c r="H995" s="9"/>
      <c r="I995" s="9"/>
      <c r="J995" s="9"/>
      <c r="K995" s="9"/>
      <c r="L995" s="9"/>
      <c r="M995" s="9"/>
      <c r="N995" s="9" t="str">
        <f t="shared" si="78"/>
        <v>NO</v>
      </c>
      <c r="O995" s="9" t="str">
        <f t="shared" si="79"/>
        <v>🟡</v>
      </c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9"/>
      <c r="BD995" s="9"/>
      <c r="BE995" s="9"/>
      <c r="BF995" s="9"/>
      <c r="BG995" s="9"/>
      <c r="BH995" s="9"/>
      <c r="BI995" s="9"/>
      <c r="BJ995" s="9"/>
      <c r="BK995" s="9"/>
      <c r="BL995" s="9"/>
      <c r="BM995" s="9"/>
      <c r="BN995" s="9"/>
      <c r="BO995" s="9"/>
      <c r="BP995" s="9"/>
      <c r="BQ995" s="9"/>
      <c r="BR995" s="9"/>
      <c r="BS995" s="9"/>
      <c r="BT995" s="9"/>
      <c r="BU995" s="9"/>
      <c r="BV995" s="9"/>
      <c r="BW995" s="9"/>
      <c r="BX995" s="9"/>
      <c r="BY995" s="9"/>
      <c r="BZ995" s="9"/>
      <c r="CA995" s="9"/>
      <c r="CB995" s="9"/>
      <c r="CC995" s="9"/>
      <c r="CD995" s="9"/>
      <c r="CE995" s="9"/>
      <c r="CF995" s="9"/>
      <c r="CG995" s="9"/>
    </row>
    <row r="996" spans="1:85" ht="18" customHeight="1" x14ac:dyDescent="0.3">
      <c r="A996" s="9">
        <f t="shared" si="75"/>
        <v>995</v>
      </c>
      <c r="B996" s="9" t="str">
        <f t="shared" si="76"/>
        <v/>
      </c>
      <c r="C996" s="9"/>
      <c r="D996" s="9"/>
      <c r="E996" s="9">
        <f t="shared" si="77"/>
        <v>0</v>
      </c>
      <c r="F996" s="9"/>
      <c r="G996" s="9"/>
      <c r="H996" s="9"/>
      <c r="I996" s="9"/>
      <c r="J996" s="9"/>
      <c r="K996" s="9"/>
      <c r="L996" s="9"/>
      <c r="M996" s="9"/>
      <c r="N996" s="9" t="str">
        <f t="shared" si="78"/>
        <v>NO</v>
      </c>
      <c r="O996" s="9" t="str">
        <f t="shared" si="79"/>
        <v>🟡</v>
      </c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  <c r="BF996" s="9"/>
      <c r="BG996" s="9"/>
      <c r="BH996" s="9"/>
      <c r="BI996" s="9"/>
      <c r="BJ996" s="9"/>
      <c r="BK996" s="9"/>
      <c r="BL996" s="9"/>
      <c r="BM996" s="9"/>
      <c r="BN996" s="9"/>
      <c r="BO996" s="9"/>
      <c r="BP996" s="9"/>
      <c r="BQ996" s="9"/>
      <c r="BR996" s="9"/>
      <c r="BS996" s="9"/>
      <c r="BT996" s="9"/>
      <c r="BU996" s="9"/>
      <c r="BV996" s="9"/>
      <c r="BW996" s="9"/>
      <c r="BX996" s="9"/>
      <c r="BY996" s="9"/>
      <c r="BZ996" s="9"/>
      <c r="CA996" s="9"/>
      <c r="CB996" s="9"/>
      <c r="CC996" s="9"/>
      <c r="CD996" s="9"/>
      <c r="CE996" s="9"/>
      <c r="CF996" s="9"/>
      <c r="CG996" s="9"/>
    </row>
    <row r="997" spans="1:85" ht="18" customHeight="1" x14ac:dyDescent="0.3">
      <c r="A997" s="9">
        <f t="shared" si="75"/>
        <v>996</v>
      </c>
      <c r="B997" s="9" t="str">
        <f t="shared" si="76"/>
        <v/>
      </c>
      <c r="C997" s="9"/>
      <c r="D997" s="9"/>
      <c r="E997" s="9">
        <f t="shared" si="77"/>
        <v>0</v>
      </c>
      <c r="F997" s="9"/>
      <c r="G997" s="9"/>
      <c r="H997" s="9"/>
      <c r="I997" s="9"/>
      <c r="J997" s="9"/>
      <c r="K997" s="9"/>
      <c r="L997" s="9"/>
      <c r="M997" s="9"/>
      <c r="N997" s="9" t="str">
        <f t="shared" si="78"/>
        <v>NO</v>
      </c>
      <c r="O997" s="9" t="str">
        <f t="shared" si="79"/>
        <v>🟡</v>
      </c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9"/>
      <c r="BD997" s="9"/>
      <c r="BE997" s="9"/>
      <c r="BF997" s="9"/>
      <c r="BG997" s="9"/>
      <c r="BH997" s="9"/>
      <c r="BI997" s="9"/>
      <c r="BJ997" s="9"/>
      <c r="BK997" s="9"/>
      <c r="BL997" s="9"/>
      <c r="BM997" s="9"/>
      <c r="BN997" s="9"/>
      <c r="BO997" s="9"/>
      <c r="BP997" s="9"/>
      <c r="BQ997" s="9"/>
      <c r="BR997" s="9"/>
      <c r="BS997" s="9"/>
      <c r="BT997" s="9"/>
      <c r="BU997" s="9"/>
      <c r="BV997" s="9"/>
      <c r="BW997" s="9"/>
      <c r="BX997" s="9"/>
      <c r="BY997" s="9"/>
      <c r="BZ997" s="9"/>
      <c r="CA997" s="9"/>
      <c r="CB997" s="9"/>
      <c r="CC997" s="9"/>
      <c r="CD997" s="9"/>
      <c r="CE997" s="9"/>
      <c r="CF997" s="9"/>
      <c r="CG997" s="9"/>
    </row>
    <row r="998" spans="1:85" ht="18" customHeight="1" x14ac:dyDescent="0.3">
      <c r="A998" s="9">
        <f t="shared" si="75"/>
        <v>997</v>
      </c>
      <c r="B998" s="9" t="str">
        <f t="shared" si="76"/>
        <v/>
      </c>
      <c r="C998" s="9"/>
      <c r="D998" s="9"/>
      <c r="E998" s="9">
        <f t="shared" si="77"/>
        <v>0</v>
      </c>
      <c r="F998" s="9"/>
      <c r="G998" s="9"/>
      <c r="H998" s="9"/>
      <c r="I998" s="9"/>
      <c r="J998" s="9"/>
      <c r="K998" s="9"/>
      <c r="L998" s="9"/>
      <c r="M998" s="9"/>
      <c r="N998" s="9" t="str">
        <f t="shared" si="78"/>
        <v>NO</v>
      </c>
      <c r="O998" s="9" t="str">
        <f t="shared" si="79"/>
        <v>🟡</v>
      </c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  <c r="BF998" s="9"/>
      <c r="BG998" s="9"/>
      <c r="BH998" s="9"/>
      <c r="BI998" s="9"/>
      <c r="BJ998" s="9"/>
      <c r="BK998" s="9"/>
      <c r="BL998" s="9"/>
      <c r="BM998" s="9"/>
      <c r="BN998" s="9"/>
      <c r="BO998" s="9"/>
      <c r="BP998" s="9"/>
      <c r="BQ998" s="9"/>
      <c r="BR998" s="9"/>
      <c r="BS998" s="9"/>
      <c r="BT998" s="9"/>
      <c r="BU998" s="9"/>
      <c r="BV998" s="9"/>
      <c r="BW998" s="9"/>
      <c r="BX998" s="9"/>
      <c r="BY998" s="9"/>
      <c r="BZ998" s="9"/>
      <c r="CA998" s="9"/>
      <c r="CB998" s="9"/>
      <c r="CC998" s="9"/>
      <c r="CD998" s="9"/>
      <c r="CE998" s="9"/>
      <c r="CF998" s="9"/>
      <c r="CG998" s="9"/>
    </row>
    <row r="999" spans="1:85" ht="18" customHeight="1" x14ac:dyDescent="0.3">
      <c r="A999" s="9">
        <f t="shared" si="75"/>
        <v>998</v>
      </c>
      <c r="B999" s="9" t="str">
        <f t="shared" si="76"/>
        <v/>
      </c>
      <c r="C999" s="9"/>
      <c r="D999" s="9"/>
      <c r="E999" s="9">
        <f t="shared" si="77"/>
        <v>0</v>
      </c>
      <c r="F999" s="9"/>
      <c r="G999" s="9"/>
      <c r="H999" s="9"/>
      <c r="I999" s="9"/>
      <c r="J999" s="9"/>
      <c r="K999" s="9"/>
      <c r="L999" s="9"/>
      <c r="M999" s="9"/>
      <c r="N999" s="9" t="str">
        <f t="shared" si="78"/>
        <v>NO</v>
      </c>
      <c r="O999" s="9" t="str">
        <f t="shared" si="79"/>
        <v>🟡</v>
      </c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9"/>
      <c r="BD999" s="9"/>
      <c r="BE999" s="9"/>
      <c r="BF999" s="9"/>
      <c r="BG999" s="9"/>
      <c r="BH999" s="9"/>
      <c r="BI999" s="9"/>
      <c r="BJ999" s="9"/>
      <c r="BK999" s="9"/>
      <c r="BL999" s="9"/>
      <c r="BM999" s="9"/>
      <c r="BN999" s="9"/>
      <c r="BO999" s="9"/>
      <c r="BP999" s="9"/>
      <c r="BQ999" s="9"/>
      <c r="BR999" s="9"/>
      <c r="BS999" s="9"/>
      <c r="BT999" s="9"/>
      <c r="BU999" s="9"/>
      <c r="BV999" s="9"/>
      <c r="BW999" s="9"/>
      <c r="BX999" s="9"/>
      <c r="BY999" s="9"/>
      <c r="BZ999" s="9"/>
      <c r="CA999" s="9"/>
      <c r="CB999" s="9"/>
      <c r="CC999" s="9"/>
      <c r="CD999" s="9"/>
      <c r="CE999" s="9"/>
      <c r="CF999" s="9"/>
      <c r="CG999" s="9"/>
    </row>
    <row r="1000" spans="1:85" ht="18" customHeight="1" x14ac:dyDescent="0.3">
      <c r="A1000" s="9">
        <f t="shared" si="75"/>
        <v>999</v>
      </c>
      <c r="B1000" s="9" t="str">
        <f t="shared" si="76"/>
        <v/>
      </c>
      <c r="C1000" s="9"/>
      <c r="D1000" s="9"/>
      <c r="E1000" s="9">
        <f t="shared" si="77"/>
        <v>0</v>
      </c>
      <c r="F1000" s="9"/>
      <c r="G1000" s="9"/>
      <c r="H1000" s="9"/>
      <c r="I1000" s="9"/>
      <c r="J1000" s="9"/>
      <c r="K1000" s="9"/>
      <c r="L1000" s="9"/>
      <c r="M1000" s="9"/>
      <c r="N1000" s="9" t="str">
        <f t="shared" si="78"/>
        <v>NO</v>
      </c>
      <c r="O1000" s="9" t="str">
        <f t="shared" si="79"/>
        <v>🟡</v>
      </c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  <c r="BF1000" s="9"/>
      <c r="BG1000" s="9"/>
      <c r="BH1000" s="9"/>
      <c r="BI1000" s="9"/>
      <c r="BJ1000" s="9"/>
      <c r="BK1000" s="9"/>
      <c r="BL1000" s="9"/>
      <c r="BM1000" s="9"/>
      <c r="BN1000" s="9"/>
      <c r="BO1000" s="9"/>
      <c r="BP1000" s="9"/>
      <c r="BQ1000" s="9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9"/>
      <c r="CC1000" s="9"/>
      <c r="CD1000" s="9"/>
      <c r="CE1000" s="9"/>
      <c r="CF1000" s="9"/>
      <c r="CG1000" s="9"/>
    </row>
    <row r="1001" spans="1:85" ht="18" customHeight="1" x14ac:dyDescent="0.3">
      <c r="A1001" s="9">
        <f t="shared" si="75"/>
        <v>1000</v>
      </c>
      <c r="B1001" s="9" t="str">
        <f t="shared" si="76"/>
        <v/>
      </c>
      <c r="C1001" s="9"/>
      <c r="D1001" s="9"/>
      <c r="E1001" s="9">
        <f t="shared" si="77"/>
        <v>0</v>
      </c>
      <c r="F1001" s="9"/>
      <c r="G1001" s="9"/>
      <c r="H1001" s="9"/>
      <c r="I1001" s="9"/>
      <c r="J1001" s="9"/>
      <c r="K1001" s="9"/>
      <c r="L1001" s="9"/>
      <c r="M1001" s="9"/>
      <c r="N1001" s="9" t="str">
        <f t="shared" si="78"/>
        <v>NO</v>
      </c>
      <c r="O1001" s="9" t="str">
        <f t="shared" si="79"/>
        <v>🟡</v>
      </c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9"/>
      <c r="BD1001" s="9"/>
      <c r="BE1001" s="9"/>
      <c r="BF1001" s="9"/>
      <c r="BG1001" s="9"/>
      <c r="BH1001" s="9"/>
      <c r="BI1001" s="9"/>
      <c r="BJ1001" s="9"/>
      <c r="BK1001" s="9"/>
      <c r="BL1001" s="9"/>
      <c r="BM1001" s="9"/>
      <c r="BN1001" s="9"/>
      <c r="BO1001" s="9"/>
      <c r="BP1001" s="9"/>
      <c r="BQ1001" s="9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9"/>
      <c r="CC1001" s="9"/>
      <c r="CD1001" s="9"/>
      <c r="CE1001" s="9"/>
      <c r="CF1001" s="9"/>
      <c r="CG1001" s="9"/>
    </row>
    <row r="1002" spans="1:85" ht="18" customHeight="1" x14ac:dyDescent="0.3">
      <c r="A1002" s="9">
        <f t="shared" si="75"/>
        <v>1001</v>
      </c>
      <c r="B1002" s="9" t="str">
        <f t="shared" si="76"/>
        <v/>
      </c>
      <c r="C1002" s="9"/>
      <c r="D1002" s="9"/>
      <c r="E1002" s="9">
        <f t="shared" si="77"/>
        <v>0</v>
      </c>
      <c r="F1002" s="9"/>
      <c r="G1002" s="9"/>
      <c r="H1002" s="9"/>
      <c r="I1002" s="9"/>
      <c r="J1002" s="9"/>
      <c r="K1002" s="9"/>
      <c r="L1002" s="9"/>
      <c r="M1002" s="9"/>
      <c r="N1002" s="9" t="str">
        <f t="shared" si="78"/>
        <v>NO</v>
      </c>
      <c r="O1002" s="9" t="str">
        <f t="shared" si="79"/>
        <v>🟡</v>
      </c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  <c r="BF1002" s="9"/>
      <c r="BG1002" s="9"/>
      <c r="BH1002" s="9"/>
      <c r="BI1002" s="9"/>
      <c r="BJ1002" s="9"/>
      <c r="BK1002" s="9"/>
      <c r="BL1002" s="9"/>
      <c r="BM1002" s="9"/>
      <c r="BN1002" s="9"/>
      <c r="BO1002" s="9"/>
      <c r="BP1002" s="9"/>
      <c r="BQ1002" s="9"/>
      <c r="BR1002" s="9"/>
      <c r="BS1002" s="9"/>
      <c r="BT1002" s="9"/>
      <c r="BU1002" s="9"/>
      <c r="BV1002" s="9"/>
      <c r="BW1002" s="9"/>
      <c r="BX1002" s="9"/>
      <c r="BY1002" s="9"/>
      <c r="BZ1002" s="9"/>
      <c r="CA1002" s="9"/>
      <c r="CB1002" s="9"/>
      <c r="CC1002" s="9"/>
      <c r="CD1002" s="9"/>
      <c r="CE1002" s="9"/>
      <c r="CF1002" s="9"/>
      <c r="CG1002" s="9"/>
    </row>
    <row r="1003" spans="1:85" ht="18" customHeight="1" x14ac:dyDescent="0.3">
      <c r="A1003" s="9">
        <f t="shared" si="75"/>
        <v>1002</v>
      </c>
      <c r="B1003" s="9" t="str">
        <f t="shared" si="76"/>
        <v/>
      </c>
      <c r="C1003" s="9"/>
      <c r="D1003" s="9"/>
      <c r="E1003" s="9">
        <f t="shared" si="77"/>
        <v>0</v>
      </c>
      <c r="F1003" s="9"/>
      <c r="G1003" s="9"/>
      <c r="H1003" s="9"/>
      <c r="I1003" s="9"/>
      <c r="J1003" s="9"/>
      <c r="K1003" s="9"/>
      <c r="L1003" s="9"/>
      <c r="M1003" s="9"/>
      <c r="N1003" s="9" t="str">
        <f t="shared" si="78"/>
        <v>NO</v>
      </c>
      <c r="O1003" s="9" t="str">
        <f t="shared" si="79"/>
        <v>🟡</v>
      </c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9"/>
      <c r="BD1003" s="9"/>
      <c r="BE1003" s="9"/>
      <c r="BF1003" s="9"/>
      <c r="BG1003" s="9"/>
      <c r="BH1003" s="9"/>
      <c r="BI1003" s="9"/>
      <c r="BJ1003" s="9"/>
      <c r="BK1003" s="9"/>
      <c r="BL1003" s="9"/>
      <c r="BM1003" s="9"/>
      <c r="BN1003" s="9"/>
      <c r="BO1003" s="9"/>
      <c r="BP1003" s="9"/>
      <c r="BQ1003" s="9"/>
      <c r="BR1003" s="9"/>
      <c r="BS1003" s="9"/>
      <c r="BT1003" s="9"/>
      <c r="BU1003" s="9"/>
      <c r="BV1003" s="9"/>
      <c r="BW1003" s="9"/>
      <c r="BX1003" s="9"/>
      <c r="BY1003" s="9"/>
      <c r="BZ1003" s="9"/>
      <c r="CA1003" s="9"/>
      <c r="CB1003" s="9"/>
      <c r="CC1003" s="9"/>
      <c r="CD1003" s="9"/>
      <c r="CE1003" s="9"/>
      <c r="CF1003" s="9"/>
      <c r="CG1003" s="9"/>
    </row>
    <row r="1004" spans="1:85" ht="18" customHeight="1" x14ac:dyDescent="0.3">
      <c r="A1004" s="9">
        <f t="shared" si="75"/>
        <v>1003</v>
      </c>
      <c r="B1004" s="9" t="str">
        <f t="shared" si="76"/>
        <v/>
      </c>
      <c r="C1004" s="9"/>
      <c r="D1004" s="9"/>
      <c r="E1004" s="9">
        <f t="shared" si="77"/>
        <v>0</v>
      </c>
      <c r="F1004" s="9"/>
      <c r="G1004" s="9"/>
      <c r="H1004" s="9"/>
      <c r="I1004" s="9"/>
      <c r="J1004" s="9"/>
      <c r="K1004" s="9"/>
      <c r="L1004" s="9"/>
      <c r="M1004" s="9"/>
      <c r="N1004" s="9" t="str">
        <f t="shared" si="78"/>
        <v>NO</v>
      </c>
      <c r="O1004" s="9" t="str">
        <f t="shared" si="79"/>
        <v>🟡</v>
      </c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9"/>
      <c r="BD1004" s="9"/>
      <c r="BE1004" s="9"/>
      <c r="BF1004" s="9"/>
      <c r="BG1004" s="9"/>
      <c r="BH1004" s="9"/>
      <c r="BI1004" s="9"/>
      <c r="BJ1004" s="9"/>
      <c r="BK1004" s="9"/>
      <c r="BL1004" s="9"/>
      <c r="BM1004" s="9"/>
      <c r="BN1004" s="9"/>
      <c r="BO1004" s="9"/>
      <c r="BP1004" s="9"/>
      <c r="BQ1004" s="9"/>
      <c r="BR1004" s="9"/>
      <c r="BS1004" s="9"/>
      <c r="BT1004" s="9"/>
      <c r="BU1004" s="9"/>
      <c r="BV1004" s="9"/>
      <c r="BW1004" s="9"/>
      <c r="BX1004" s="9"/>
      <c r="BY1004" s="9"/>
      <c r="BZ1004" s="9"/>
      <c r="CA1004" s="9"/>
      <c r="CB1004" s="9"/>
      <c r="CC1004" s="9"/>
      <c r="CD1004" s="9"/>
      <c r="CE1004" s="9"/>
      <c r="CF1004" s="9"/>
      <c r="CG1004" s="9"/>
    </row>
    <row r="1005" spans="1:85" ht="18" customHeight="1" x14ac:dyDescent="0.3">
      <c r="A1005" s="9">
        <f t="shared" si="75"/>
        <v>1004</v>
      </c>
      <c r="B1005" s="9" t="str">
        <f t="shared" si="76"/>
        <v/>
      </c>
      <c r="C1005" s="9"/>
      <c r="D1005" s="9"/>
      <c r="E1005" s="9">
        <f t="shared" si="77"/>
        <v>0</v>
      </c>
      <c r="F1005" s="9"/>
      <c r="G1005" s="9"/>
      <c r="H1005" s="9"/>
      <c r="I1005" s="9"/>
      <c r="J1005" s="9"/>
      <c r="K1005" s="9"/>
      <c r="L1005" s="9"/>
      <c r="M1005" s="9"/>
      <c r="N1005" s="9" t="str">
        <f t="shared" si="78"/>
        <v>NO</v>
      </c>
      <c r="O1005" s="9" t="str">
        <f t="shared" si="79"/>
        <v>🟡</v>
      </c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9"/>
      <c r="BD1005" s="9"/>
      <c r="BE1005" s="9"/>
      <c r="BF1005" s="9"/>
      <c r="BG1005" s="9"/>
      <c r="BH1005" s="9"/>
      <c r="BI1005" s="9"/>
      <c r="BJ1005" s="9"/>
      <c r="BK1005" s="9"/>
      <c r="BL1005" s="9"/>
      <c r="BM1005" s="9"/>
      <c r="BN1005" s="9"/>
      <c r="BO1005" s="9"/>
      <c r="BP1005" s="9"/>
      <c r="BQ1005" s="9"/>
      <c r="BR1005" s="9"/>
      <c r="BS1005" s="9"/>
      <c r="BT1005" s="9"/>
      <c r="BU1005" s="9"/>
      <c r="BV1005" s="9"/>
      <c r="BW1005" s="9"/>
      <c r="BX1005" s="9"/>
      <c r="BY1005" s="9"/>
      <c r="BZ1005" s="9"/>
      <c r="CA1005" s="9"/>
      <c r="CB1005" s="9"/>
      <c r="CC1005" s="9"/>
      <c r="CD1005" s="9"/>
      <c r="CE1005" s="9"/>
      <c r="CF1005" s="9"/>
      <c r="CG1005" s="9"/>
    </row>
    <row r="1006" spans="1:85" ht="18" customHeight="1" x14ac:dyDescent="0.3">
      <c r="A1006" s="9">
        <f t="shared" si="75"/>
        <v>1005</v>
      </c>
      <c r="B1006" s="9" t="str">
        <f t="shared" si="76"/>
        <v/>
      </c>
      <c r="C1006" s="9"/>
      <c r="D1006" s="9"/>
      <c r="E1006" s="9">
        <f t="shared" si="77"/>
        <v>0</v>
      </c>
      <c r="F1006" s="9"/>
      <c r="G1006" s="9"/>
      <c r="H1006" s="9"/>
      <c r="I1006" s="9"/>
      <c r="J1006" s="9"/>
      <c r="K1006" s="9"/>
      <c r="L1006" s="9"/>
      <c r="M1006" s="9"/>
      <c r="N1006" s="9" t="str">
        <f t="shared" si="78"/>
        <v>NO</v>
      </c>
      <c r="O1006" s="9" t="str">
        <f t="shared" si="79"/>
        <v>🟡</v>
      </c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9"/>
      <c r="BD1006" s="9"/>
      <c r="BE1006" s="9"/>
      <c r="BF1006" s="9"/>
      <c r="BG1006" s="9"/>
      <c r="BH1006" s="9"/>
      <c r="BI1006" s="9"/>
      <c r="BJ1006" s="9"/>
      <c r="BK1006" s="9"/>
      <c r="BL1006" s="9"/>
      <c r="BM1006" s="9"/>
      <c r="BN1006" s="9"/>
      <c r="BO1006" s="9"/>
      <c r="BP1006" s="9"/>
      <c r="BQ1006" s="9"/>
      <c r="BR1006" s="9"/>
      <c r="BS1006" s="9"/>
      <c r="BT1006" s="9"/>
      <c r="BU1006" s="9"/>
      <c r="BV1006" s="9"/>
      <c r="BW1006" s="9"/>
      <c r="BX1006" s="9"/>
      <c r="BY1006" s="9"/>
      <c r="BZ1006" s="9"/>
      <c r="CA1006" s="9"/>
      <c r="CB1006" s="9"/>
      <c r="CC1006" s="9"/>
      <c r="CD1006" s="9"/>
      <c r="CE1006" s="9"/>
      <c r="CF1006" s="9"/>
      <c r="CG1006" s="9"/>
    </row>
    <row r="1007" spans="1:85" ht="18" customHeight="1" x14ac:dyDescent="0.3">
      <c r="A1007" s="9">
        <f t="shared" si="75"/>
        <v>1006</v>
      </c>
      <c r="B1007" s="9" t="str">
        <f t="shared" si="76"/>
        <v/>
      </c>
      <c r="C1007" s="9"/>
      <c r="D1007" s="9"/>
      <c r="E1007" s="9">
        <f t="shared" si="77"/>
        <v>0</v>
      </c>
      <c r="F1007" s="9"/>
      <c r="G1007" s="9"/>
      <c r="H1007" s="9"/>
      <c r="I1007" s="9"/>
      <c r="J1007" s="9"/>
      <c r="K1007" s="9"/>
      <c r="L1007" s="9"/>
      <c r="M1007" s="9"/>
      <c r="N1007" s="9" t="str">
        <f t="shared" si="78"/>
        <v>NO</v>
      </c>
      <c r="O1007" s="9" t="str">
        <f t="shared" si="79"/>
        <v>🟡</v>
      </c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9"/>
      <c r="BD1007" s="9"/>
      <c r="BE1007" s="9"/>
      <c r="BF1007" s="9"/>
      <c r="BG1007" s="9"/>
      <c r="BH1007" s="9"/>
      <c r="BI1007" s="9"/>
      <c r="BJ1007" s="9"/>
      <c r="BK1007" s="9"/>
      <c r="BL1007" s="9"/>
      <c r="BM1007" s="9"/>
      <c r="BN1007" s="9"/>
      <c r="BO1007" s="9"/>
      <c r="BP1007" s="9"/>
      <c r="BQ1007" s="9"/>
      <c r="BR1007" s="9"/>
      <c r="BS1007" s="9"/>
      <c r="BT1007" s="9"/>
      <c r="BU1007" s="9"/>
      <c r="BV1007" s="9"/>
      <c r="BW1007" s="9"/>
      <c r="BX1007" s="9"/>
      <c r="BY1007" s="9"/>
      <c r="BZ1007" s="9"/>
      <c r="CA1007" s="9"/>
      <c r="CB1007" s="9"/>
      <c r="CC1007" s="9"/>
      <c r="CD1007" s="9"/>
      <c r="CE1007" s="9"/>
      <c r="CF1007" s="9"/>
      <c r="CG1007" s="9"/>
    </row>
    <row r="1008" spans="1:85" ht="18" customHeight="1" x14ac:dyDescent="0.3">
      <c r="A1008" s="9">
        <f t="shared" si="75"/>
        <v>1007</v>
      </c>
      <c r="B1008" s="9" t="str">
        <f t="shared" si="76"/>
        <v/>
      </c>
      <c r="C1008" s="9"/>
      <c r="D1008" s="9"/>
      <c r="E1008" s="9">
        <f t="shared" si="77"/>
        <v>0</v>
      </c>
      <c r="F1008" s="9"/>
      <c r="G1008" s="9"/>
      <c r="H1008" s="9"/>
      <c r="I1008" s="9"/>
      <c r="J1008" s="9"/>
      <c r="K1008" s="9"/>
      <c r="L1008" s="9"/>
      <c r="M1008" s="9"/>
      <c r="N1008" s="9" t="str">
        <f t="shared" si="78"/>
        <v>NO</v>
      </c>
      <c r="O1008" s="9" t="str">
        <f t="shared" si="79"/>
        <v>🟡</v>
      </c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9"/>
      <c r="BD1008" s="9"/>
      <c r="BE1008" s="9"/>
      <c r="BF1008" s="9"/>
      <c r="BG1008" s="9"/>
      <c r="BH1008" s="9"/>
      <c r="BI1008" s="9"/>
      <c r="BJ1008" s="9"/>
      <c r="BK1008" s="9"/>
      <c r="BL1008" s="9"/>
      <c r="BM1008" s="9"/>
      <c r="BN1008" s="9"/>
      <c r="BO1008" s="9"/>
      <c r="BP1008" s="9"/>
      <c r="BQ1008" s="9"/>
      <c r="BR1008" s="9"/>
      <c r="BS1008" s="9"/>
      <c r="BT1008" s="9"/>
      <c r="BU1008" s="9"/>
      <c r="BV1008" s="9"/>
      <c r="BW1008" s="9"/>
      <c r="BX1008" s="9"/>
      <c r="BY1008" s="9"/>
      <c r="BZ1008" s="9"/>
      <c r="CA1008" s="9"/>
      <c r="CB1008" s="9"/>
      <c r="CC1008" s="9"/>
      <c r="CD1008" s="9"/>
      <c r="CE1008" s="9"/>
      <c r="CF1008" s="9"/>
      <c r="CG1008" s="9"/>
    </row>
    <row r="1009" spans="1:85" ht="18" customHeight="1" x14ac:dyDescent="0.3">
      <c r="A1009" s="9">
        <f t="shared" si="75"/>
        <v>1008</v>
      </c>
      <c r="B1009" s="9" t="str">
        <f t="shared" si="76"/>
        <v/>
      </c>
      <c r="C1009" s="9"/>
      <c r="D1009" s="9"/>
      <c r="E1009" s="9">
        <f t="shared" si="77"/>
        <v>0</v>
      </c>
      <c r="F1009" s="9"/>
      <c r="G1009" s="9"/>
      <c r="H1009" s="9"/>
      <c r="I1009" s="9"/>
      <c r="J1009" s="9"/>
      <c r="K1009" s="9"/>
      <c r="L1009" s="9"/>
      <c r="M1009" s="9"/>
      <c r="N1009" s="9" t="str">
        <f t="shared" si="78"/>
        <v>NO</v>
      </c>
      <c r="O1009" s="9" t="str">
        <f t="shared" si="79"/>
        <v>🟡</v>
      </c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9"/>
      <c r="BD1009" s="9"/>
      <c r="BE1009" s="9"/>
      <c r="BF1009" s="9"/>
      <c r="BG1009" s="9"/>
      <c r="BH1009" s="9"/>
      <c r="BI1009" s="9"/>
      <c r="BJ1009" s="9"/>
      <c r="BK1009" s="9"/>
      <c r="BL1009" s="9"/>
      <c r="BM1009" s="9"/>
      <c r="BN1009" s="9"/>
      <c r="BO1009" s="9"/>
      <c r="BP1009" s="9"/>
      <c r="BQ1009" s="9"/>
      <c r="BR1009" s="9"/>
      <c r="BS1009" s="9"/>
      <c r="BT1009" s="9"/>
      <c r="BU1009" s="9"/>
      <c r="BV1009" s="9"/>
      <c r="BW1009" s="9"/>
      <c r="BX1009" s="9"/>
      <c r="BY1009" s="9"/>
      <c r="BZ1009" s="9"/>
      <c r="CA1009" s="9"/>
      <c r="CB1009" s="9"/>
      <c r="CC1009" s="9"/>
      <c r="CD1009" s="9"/>
      <c r="CE1009" s="9"/>
      <c r="CF1009" s="9"/>
      <c r="CG1009" s="9"/>
    </row>
    <row r="1010" spans="1:85" ht="18" customHeight="1" x14ac:dyDescent="0.3">
      <c r="A1010" s="9">
        <f t="shared" si="75"/>
        <v>1009</v>
      </c>
      <c r="B1010" s="9" t="str">
        <f t="shared" si="76"/>
        <v/>
      </c>
      <c r="C1010" s="9"/>
      <c r="D1010" s="9"/>
      <c r="E1010" s="9">
        <f t="shared" si="77"/>
        <v>0</v>
      </c>
      <c r="F1010" s="9"/>
      <c r="G1010" s="9"/>
      <c r="H1010" s="9"/>
      <c r="I1010" s="9"/>
      <c r="J1010" s="9"/>
      <c r="K1010" s="9"/>
      <c r="L1010" s="9"/>
      <c r="M1010" s="9"/>
      <c r="N1010" s="9" t="str">
        <f t="shared" si="78"/>
        <v>NO</v>
      </c>
      <c r="O1010" s="9" t="str">
        <f t="shared" si="79"/>
        <v>🟡</v>
      </c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9"/>
      <c r="BD1010" s="9"/>
      <c r="BE1010" s="9"/>
      <c r="BF1010" s="9"/>
      <c r="BG1010" s="9"/>
      <c r="BH1010" s="9"/>
      <c r="BI1010" s="9"/>
      <c r="BJ1010" s="9"/>
      <c r="BK1010" s="9"/>
      <c r="BL1010" s="9"/>
      <c r="BM1010" s="9"/>
      <c r="BN1010" s="9"/>
      <c r="BO1010" s="9"/>
      <c r="BP1010" s="9"/>
      <c r="BQ1010" s="9"/>
      <c r="BR1010" s="9"/>
      <c r="BS1010" s="9"/>
      <c r="BT1010" s="9"/>
      <c r="BU1010" s="9"/>
      <c r="BV1010" s="9"/>
      <c r="BW1010" s="9"/>
      <c r="BX1010" s="9"/>
      <c r="BY1010" s="9"/>
      <c r="BZ1010" s="9"/>
      <c r="CA1010" s="9"/>
      <c r="CB1010" s="9"/>
      <c r="CC1010" s="9"/>
      <c r="CD1010" s="9"/>
      <c r="CE1010" s="9"/>
      <c r="CF1010" s="9"/>
      <c r="CG1010" s="9"/>
    </row>
    <row r="1011" spans="1:85" ht="18" customHeight="1" x14ac:dyDescent="0.3">
      <c r="A1011" s="9">
        <f t="shared" si="75"/>
        <v>1010</v>
      </c>
      <c r="B1011" s="9" t="str">
        <f t="shared" si="76"/>
        <v/>
      </c>
      <c r="C1011" s="9"/>
      <c r="D1011" s="9"/>
      <c r="E1011" s="9">
        <f t="shared" si="77"/>
        <v>0</v>
      </c>
      <c r="F1011" s="9"/>
      <c r="G1011" s="9"/>
      <c r="H1011" s="9"/>
      <c r="I1011" s="9"/>
      <c r="J1011" s="9"/>
      <c r="K1011" s="9"/>
      <c r="L1011" s="9"/>
      <c r="M1011" s="9"/>
      <c r="N1011" s="9" t="str">
        <f t="shared" si="78"/>
        <v>NO</v>
      </c>
      <c r="O1011" s="9" t="str">
        <f t="shared" si="79"/>
        <v>🟡</v>
      </c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9"/>
      <c r="BD1011" s="9"/>
      <c r="BE1011" s="9"/>
      <c r="BF1011" s="9"/>
      <c r="BG1011" s="9"/>
      <c r="BH1011" s="9"/>
      <c r="BI1011" s="9"/>
      <c r="BJ1011" s="9"/>
      <c r="BK1011" s="9"/>
      <c r="BL1011" s="9"/>
      <c r="BM1011" s="9"/>
      <c r="BN1011" s="9"/>
      <c r="BO1011" s="9"/>
      <c r="BP1011" s="9"/>
      <c r="BQ1011" s="9"/>
      <c r="BR1011" s="9"/>
      <c r="BS1011" s="9"/>
      <c r="BT1011" s="9"/>
      <c r="BU1011" s="9"/>
      <c r="BV1011" s="9"/>
      <c r="BW1011" s="9"/>
      <c r="BX1011" s="9"/>
      <c r="BY1011" s="9"/>
      <c r="BZ1011" s="9"/>
      <c r="CA1011" s="9"/>
      <c r="CB1011" s="9"/>
      <c r="CC1011" s="9"/>
      <c r="CD1011" s="9"/>
      <c r="CE1011" s="9"/>
      <c r="CF1011" s="9"/>
      <c r="CG1011" s="9"/>
    </row>
    <row r="1012" spans="1:85" ht="18" customHeight="1" x14ac:dyDescent="0.3">
      <c r="A1012" s="9">
        <f t="shared" si="75"/>
        <v>1011</v>
      </c>
      <c r="B1012" s="9" t="str">
        <f t="shared" si="76"/>
        <v/>
      </c>
      <c r="C1012" s="9"/>
      <c r="D1012" s="9"/>
      <c r="E1012" s="9">
        <f t="shared" si="77"/>
        <v>0</v>
      </c>
      <c r="F1012" s="9"/>
      <c r="G1012" s="9"/>
      <c r="H1012" s="9"/>
      <c r="I1012" s="9"/>
      <c r="J1012" s="9"/>
      <c r="K1012" s="9"/>
      <c r="L1012" s="9"/>
      <c r="M1012" s="9"/>
      <c r="N1012" s="9" t="str">
        <f t="shared" si="78"/>
        <v>NO</v>
      </c>
      <c r="O1012" s="9" t="str">
        <f t="shared" si="79"/>
        <v>🟡</v>
      </c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9"/>
      <c r="BD1012" s="9"/>
      <c r="BE1012" s="9"/>
      <c r="BF1012" s="9"/>
      <c r="BG1012" s="9"/>
      <c r="BH1012" s="9"/>
      <c r="BI1012" s="9"/>
      <c r="BJ1012" s="9"/>
      <c r="BK1012" s="9"/>
      <c r="BL1012" s="9"/>
      <c r="BM1012" s="9"/>
      <c r="BN1012" s="9"/>
      <c r="BO1012" s="9"/>
      <c r="BP1012" s="9"/>
      <c r="BQ1012" s="9"/>
      <c r="BR1012" s="9"/>
      <c r="BS1012" s="9"/>
      <c r="BT1012" s="9"/>
      <c r="BU1012" s="9"/>
      <c r="BV1012" s="9"/>
      <c r="BW1012" s="9"/>
      <c r="BX1012" s="9"/>
      <c r="BY1012" s="9"/>
      <c r="BZ1012" s="9"/>
      <c r="CA1012" s="9"/>
      <c r="CB1012" s="9"/>
      <c r="CC1012" s="9"/>
      <c r="CD1012" s="9"/>
      <c r="CE1012" s="9"/>
      <c r="CF1012" s="9"/>
      <c r="CG1012" s="9"/>
    </row>
    <row r="1013" spans="1:85" ht="18" customHeight="1" x14ac:dyDescent="0.3">
      <c r="A1013" s="9">
        <f t="shared" si="75"/>
        <v>1012</v>
      </c>
      <c r="B1013" s="9" t="str">
        <f t="shared" si="76"/>
        <v/>
      </c>
      <c r="C1013" s="9"/>
      <c r="D1013" s="9"/>
      <c r="E1013" s="9">
        <f t="shared" si="77"/>
        <v>0</v>
      </c>
      <c r="F1013" s="9"/>
      <c r="G1013" s="9"/>
      <c r="H1013" s="9"/>
      <c r="I1013" s="9"/>
      <c r="J1013" s="9"/>
      <c r="K1013" s="9"/>
      <c r="L1013" s="9"/>
      <c r="M1013" s="9"/>
      <c r="N1013" s="9" t="str">
        <f t="shared" si="78"/>
        <v>NO</v>
      </c>
      <c r="O1013" s="9" t="str">
        <f t="shared" si="79"/>
        <v>🟡</v>
      </c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  <c r="BF1013" s="9"/>
      <c r="BG1013" s="9"/>
      <c r="BH1013" s="9"/>
      <c r="BI1013" s="9"/>
      <c r="BJ1013" s="9"/>
      <c r="BK1013" s="9"/>
      <c r="BL1013" s="9"/>
      <c r="BM1013" s="9"/>
      <c r="BN1013" s="9"/>
      <c r="BO1013" s="9"/>
      <c r="BP1013" s="9"/>
      <c r="BQ1013" s="9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9"/>
      <c r="CC1013" s="9"/>
      <c r="CD1013" s="9"/>
      <c r="CE1013" s="9"/>
      <c r="CF1013" s="9"/>
      <c r="CG1013" s="9"/>
    </row>
    <row r="1014" spans="1:85" ht="18" customHeight="1" x14ac:dyDescent="0.3">
      <c r="A1014" s="9">
        <f t="shared" si="75"/>
        <v>1013</v>
      </c>
      <c r="B1014" s="9" t="str">
        <f t="shared" si="76"/>
        <v/>
      </c>
      <c r="C1014" s="9"/>
      <c r="D1014" s="9"/>
      <c r="E1014" s="9">
        <f t="shared" si="77"/>
        <v>0</v>
      </c>
      <c r="F1014" s="9"/>
      <c r="G1014" s="9"/>
      <c r="H1014" s="9"/>
      <c r="I1014" s="9"/>
      <c r="J1014" s="9"/>
      <c r="K1014" s="9"/>
      <c r="L1014" s="9"/>
      <c r="M1014" s="9"/>
      <c r="N1014" s="9" t="str">
        <f t="shared" si="78"/>
        <v>NO</v>
      </c>
      <c r="O1014" s="9" t="str">
        <f t="shared" si="79"/>
        <v>🟡</v>
      </c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9"/>
      <c r="BD1014" s="9"/>
      <c r="BE1014" s="9"/>
      <c r="BF1014" s="9"/>
      <c r="BG1014" s="9"/>
      <c r="BH1014" s="9"/>
      <c r="BI1014" s="9"/>
      <c r="BJ1014" s="9"/>
      <c r="BK1014" s="9"/>
      <c r="BL1014" s="9"/>
      <c r="BM1014" s="9"/>
      <c r="BN1014" s="9"/>
      <c r="BO1014" s="9"/>
      <c r="BP1014" s="9"/>
      <c r="BQ1014" s="9"/>
      <c r="BR1014" s="9"/>
      <c r="BS1014" s="9"/>
      <c r="BT1014" s="9"/>
      <c r="BU1014" s="9"/>
      <c r="BV1014" s="9"/>
      <c r="BW1014" s="9"/>
      <c r="BX1014" s="9"/>
      <c r="BY1014" s="9"/>
      <c r="BZ1014" s="9"/>
      <c r="CA1014" s="9"/>
      <c r="CB1014" s="9"/>
      <c r="CC1014" s="9"/>
      <c r="CD1014" s="9"/>
      <c r="CE1014" s="9"/>
      <c r="CF1014" s="9"/>
      <c r="CG1014" s="9"/>
    </row>
    <row r="1015" spans="1:85" ht="18" customHeight="1" x14ac:dyDescent="0.3">
      <c r="A1015" s="9">
        <f t="shared" si="75"/>
        <v>1014</v>
      </c>
      <c r="B1015" s="9" t="str">
        <f t="shared" si="76"/>
        <v/>
      </c>
      <c r="C1015" s="9"/>
      <c r="D1015" s="9"/>
      <c r="E1015" s="9">
        <f t="shared" si="77"/>
        <v>0</v>
      </c>
      <c r="F1015" s="9"/>
      <c r="G1015" s="9"/>
      <c r="H1015" s="9"/>
      <c r="I1015" s="9"/>
      <c r="J1015" s="9"/>
      <c r="K1015" s="9"/>
      <c r="L1015" s="9"/>
      <c r="M1015" s="9"/>
      <c r="N1015" s="9" t="str">
        <f t="shared" si="78"/>
        <v>NO</v>
      </c>
      <c r="O1015" s="9" t="str">
        <f t="shared" si="79"/>
        <v>🟡</v>
      </c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9"/>
      <c r="BD1015" s="9"/>
      <c r="BE1015" s="9"/>
      <c r="BF1015" s="9"/>
      <c r="BG1015" s="9"/>
      <c r="BH1015" s="9"/>
      <c r="BI1015" s="9"/>
      <c r="BJ1015" s="9"/>
      <c r="BK1015" s="9"/>
      <c r="BL1015" s="9"/>
      <c r="BM1015" s="9"/>
      <c r="BN1015" s="9"/>
      <c r="BO1015" s="9"/>
      <c r="BP1015" s="9"/>
      <c r="BQ1015" s="9"/>
      <c r="BR1015" s="9"/>
      <c r="BS1015" s="9"/>
      <c r="BT1015" s="9"/>
      <c r="BU1015" s="9"/>
      <c r="BV1015" s="9"/>
      <c r="BW1015" s="9"/>
      <c r="BX1015" s="9"/>
      <c r="BY1015" s="9"/>
      <c r="BZ1015" s="9"/>
      <c r="CA1015" s="9"/>
      <c r="CB1015" s="9"/>
      <c r="CC1015" s="9"/>
      <c r="CD1015" s="9"/>
      <c r="CE1015" s="9"/>
      <c r="CF1015" s="9"/>
      <c r="CG1015" s="9"/>
    </row>
    <row r="1016" spans="1:85" ht="18" customHeight="1" x14ac:dyDescent="0.3">
      <c r="A1016" s="9">
        <f t="shared" si="75"/>
        <v>1015</v>
      </c>
      <c r="B1016" s="9" t="str">
        <f t="shared" si="76"/>
        <v/>
      </c>
      <c r="C1016" s="9"/>
      <c r="D1016" s="9"/>
      <c r="E1016" s="9">
        <f t="shared" si="77"/>
        <v>0</v>
      </c>
      <c r="F1016" s="9"/>
      <c r="G1016" s="9"/>
      <c r="H1016" s="9"/>
      <c r="I1016" s="9"/>
      <c r="J1016" s="9"/>
      <c r="K1016" s="9"/>
      <c r="L1016" s="9"/>
      <c r="M1016" s="9"/>
      <c r="N1016" s="9" t="str">
        <f t="shared" si="78"/>
        <v>NO</v>
      </c>
      <c r="O1016" s="9" t="str">
        <f t="shared" si="79"/>
        <v>🟡</v>
      </c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9"/>
      <c r="BD1016" s="9"/>
      <c r="BE1016" s="9"/>
      <c r="BF1016" s="9"/>
      <c r="BG1016" s="9"/>
      <c r="BH1016" s="9"/>
      <c r="BI1016" s="9"/>
      <c r="BJ1016" s="9"/>
      <c r="BK1016" s="9"/>
      <c r="BL1016" s="9"/>
      <c r="BM1016" s="9"/>
      <c r="BN1016" s="9"/>
      <c r="BO1016" s="9"/>
      <c r="BP1016" s="9"/>
      <c r="BQ1016" s="9"/>
      <c r="BR1016" s="9"/>
      <c r="BS1016" s="9"/>
      <c r="BT1016" s="9"/>
      <c r="BU1016" s="9"/>
      <c r="BV1016" s="9"/>
      <c r="BW1016" s="9"/>
      <c r="BX1016" s="9"/>
      <c r="BY1016" s="9"/>
      <c r="BZ1016" s="9"/>
      <c r="CA1016" s="9"/>
      <c r="CB1016" s="9"/>
      <c r="CC1016" s="9"/>
      <c r="CD1016" s="9"/>
      <c r="CE1016" s="9"/>
      <c r="CF1016" s="9"/>
      <c r="CG1016" s="9"/>
    </row>
    <row r="1017" spans="1:85" ht="18" customHeight="1" x14ac:dyDescent="0.3">
      <c r="A1017" s="9">
        <f t="shared" si="75"/>
        <v>1016</v>
      </c>
      <c r="B1017" s="9" t="str">
        <f t="shared" si="76"/>
        <v/>
      </c>
      <c r="C1017" s="9"/>
      <c r="D1017" s="9"/>
      <c r="E1017" s="9">
        <f t="shared" si="77"/>
        <v>0</v>
      </c>
      <c r="F1017" s="9"/>
      <c r="G1017" s="9"/>
      <c r="H1017" s="9"/>
      <c r="I1017" s="9"/>
      <c r="J1017" s="9"/>
      <c r="K1017" s="9"/>
      <c r="L1017" s="9"/>
      <c r="M1017" s="9"/>
      <c r="N1017" s="9" t="str">
        <f t="shared" si="78"/>
        <v>NO</v>
      </c>
      <c r="O1017" s="9" t="str">
        <f t="shared" si="79"/>
        <v>🟡</v>
      </c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  <c r="BA1017" s="9"/>
      <c r="BB1017" s="9"/>
      <c r="BC1017" s="9"/>
      <c r="BD1017" s="9"/>
      <c r="BE1017" s="9"/>
      <c r="BF1017" s="9"/>
      <c r="BG1017" s="9"/>
      <c r="BH1017" s="9"/>
      <c r="BI1017" s="9"/>
      <c r="BJ1017" s="9"/>
      <c r="BK1017" s="9"/>
      <c r="BL1017" s="9"/>
      <c r="BM1017" s="9"/>
      <c r="BN1017" s="9"/>
      <c r="BO1017" s="9"/>
      <c r="BP1017" s="9"/>
      <c r="BQ1017" s="9"/>
      <c r="BR1017" s="9"/>
      <c r="BS1017" s="9"/>
      <c r="BT1017" s="9"/>
      <c r="BU1017" s="9"/>
      <c r="BV1017" s="9"/>
      <c r="BW1017" s="9"/>
      <c r="BX1017" s="9"/>
      <c r="BY1017" s="9"/>
      <c r="BZ1017" s="9"/>
      <c r="CA1017" s="9"/>
      <c r="CB1017" s="9"/>
      <c r="CC1017" s="9"/>
      <c r="CD1017" s="9"/>
      <c r="CE1017" s="9"/>
      <c r="CF1017" s="9"/>
      <c r="CG1017" s="9"/>
    </row>
    <row r="1018" spans="1:85" ht="18" customHeight="1" x14ac:dyDescent="0.3">
      <c r="A1018" s="9">
        <f t="shared" si="75"/>
        <v>1017</v>
      </c>
      <c r="B1018" s="9" t="str">
        <f t="shared" si="76"/>
        <v/>
      </c>
      <c r="C1018" s="9"/>
      <c r="D1018" s="9"/>
      <c r="E1018" s="9">
        <f t="shared" si="77"/>
        <v>0</v>
      </c>
      <c r="F1018" s="9"/>
      <c r="G1018" s="9"/>
      <c r="H1018" s="9"/>
      <c r="I1018" s="9"/>
      <c r="J1018" s="9"/>
      <c r="K1018" s="9"/>
      <c r="L1018" s="9"/>
      <c r="M1018" s="9"/>
      <c r="N1018" s="9" t="str">
        <f t="shared" si="78"/>
        <v>NO</v>
      </c>
      <c r="O1018" s="9" t="str">
        <f t="shared" si="79"/>
        <v>🟡</v>
      </c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9"/>
      <c r="BD1018" s="9"/>
      <c r="BE1018" s="9"/>
      <c r="BF1018" s="9"/>
      <c r="BG1018" s="9"/>
      <c r="BH1018" s="9"/>
      <c r="BI1018" s="9"/>
      <c r="BJ1018" s="9"/>
      <c r="BK1018" s="9"/>
      <c r="BL1018" s="9"/>
      <c r="BM1018" s="9"/>
      <c r="BN1018" s="9"/>
      <c r="BO1018" s="9"/>
      <c r="BP1018" s="9"/>
      <c r="BQ1018" s="9"/>
      <c r="BR1018" s="9"/>
      <c r="BS1018" s="9"/>
      <c r="BT1018" s="9"/>
      <c r="BU1018" s="9"/>
      <c r="BV1018" s="9"/>
      <c r="BW1018" s="9"/>
      <c r="BX1018" s="9"/>
      <c r="BY1018" s="9"/>
      <c r="BZ1018" s="9"/>
      <c r="CA1018" s="9"/>
      <c r="CB1018" s="9"/>
      <c r="CC1018" s="9"/>
      <c r="CD1018" s="9"/>
      <c r="CE1018" s="9"/>
      <c r="CF1018" s="9"/>
      <c r="CG1018" s="9"/>
    </row>
    <row r="1019" spans="1:85" ht="18" customHeight="1" x14ac:dyDescent="0.3">
      <c r="A1019" s="9">
        <f t="shared" si="75"/>
        <v>1018</v>
      </c>
      <c r="B1019" s="9" t="str">
        <f t="shared" si="76"/>
        <v/>
      </c>
      <c r="C1019" s="9"/>
      <c r="D1019" s="9"/>
      <c r="E1019" s="9">
        <f t="shared" si="77"/>
        <v>0</v>
      </c>
      <c r="F1019" s="9"/>
      <c r="G1019" s="9"/>
      <c r="H1019" s="9"/>
      <c r="I1019" s="9"/>
      <c r="J1019" s="9"/>
      <c r="K1019" s="9"/>
      <c r="L1019" s="9"/>
      <c r="M1019" s="9"/>
      <c r="N1019" s="9" t="str">
        <f t="shared" si="78"/>
        <v>NO</v>
      </c>
      <c r="O1019" s="9" t="str">
        <f t="shared" si="79"/>
        <v>🟡</v>
      </c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9"/>
      <c r="BD1019" s="9"/>
      <c r="BE1019" s="9"/>
      <c r="BF1019" s="9"/>
      <c r="BG1019" s="9"/>
      <c r="BH1019" s="9"/>
      <c r="BI1019" s="9"/>
      <c r="BJ1019" s="9"/>
      <c r="BK1019" s="9"/>
      <c r="BL1019" s="9"/>
      <c r="BM1019" s="9"/>
      <c r="BN1019" s="9"/>
      <c r="BO1019" s="9"/>
      <c r="BP1019" s="9"/>
      <c r="BQ1019" s="9"/>
      <c r="BR1019" s="9"/>
      <c r="BS1019" s="9"/>
      <c r="BT1019" s="9"/>
      <c r="BU1019" s="9"/>
      <c r="BV1019" s="9"/>
      <c r="BW1019" s="9"/>
      <c r="BX1019" s="9"/>
      <c r="BY1019" s="9"/>
      <c r="BZ1019" s="9"/>
      <c r="CA1019" s="9"/>
      <c r="CB1019" s="9"/>
      <c r="CC1019" s="9"/>
      <c r="CD1019" s="9"/>
      <c r="CE1019" s="9"/>
      <c r="CF1019" s="9"/>
      <c r="CG1019" s="9"/>
    </row>
    <row r="1020" spans="1:85" ht="18" customHeight="1" x14ac:dyDescent="0.3">
      <c r="A1020" s="9">
        <f t="shared" si="75"/>
        <v>1019</v>
      </c>
      <c r="B1020" s="9" t="str">
        <f t="shared" si="76"/>
        <v/>
      </c>
      <c r="C1020" s="9"/>
      <c r="D1020" s="9"/>
      <c r="E1020" s="9">
        <f t="shared" si="77"/>
        <v>0</v>
      </c>
      <c r="F1020" s="9"/>
      <c r="G1020" s="9"/>
      <c r="H1020" s="9"/>
      <c r="I1020" s="9"/>
      <c r="J1020" s="9"/>
      <c r="K1020" s="9"/>
      <c r="L1020" s="9"/>
      <c r="M1020" s="9"/>
      <c r="N1020" s="9" t="str">
        <f t="shared" si="78"/>
        <v>NO</v>
      </c>
      <c r="O1020" s="9" t="str">
        <f t="shared" si="79"/>
        <v>🟡</v>
      </c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9"/>
      <c r="BD1020" s="9"/>
      <c r="BE1020" s="9"/>
      <c r="BF1020" s="9"/>
      <c r="BG1020" s="9"/>
      <c r="BH1020" s="9"/>
      <c r="BI1020" s="9"/>
      <c r="BJ1020" s="9"/>
      <c r="BK1020" s="9"/>
      <c r="BL1020" s="9"/>
      <c r="BM1020" s="9"/>
      <c r="BN1020" s="9"/>
      <c r="BO1020" s="9"/>
      <c r="BP1020" s="9"/>
      <c r="BQ1020" s="9"/>
      <c r="BR1020" s="9"/>
      <c r="BS1020" s="9"/>
      <c r="BT1020" s="9"/>
      <c r="BU1020" s="9"/>
      <c r="BV1020" s="9"/>
      <c r="BW1020" s="9"/>
      <c r="BX1020" s="9"/>
      <c r="BY1020" s="9"/>
      <c r="BZ1020" s="9"/>
      <c r="CA1020" s="9"/>
      <c r="CB1020" s="9"/>
      <c r="CC1020" s="9"/>
      <c r="CD1020" s="9"/>
      <c r="CE1020" s="9"/>
      <c r="CF1020" s="9"/>
      <c r="CG1020" s="9"/>
    </row>
    <row r="1021" spans="1:85" ht="18" customHeight="1" x14ac:dyDescent="0.3">
      <c r="A1021" s="9">
        <f t="shared" si="75"/>
        <v>1020</v>
      </c>
      <c r="B1021" s="9" t="str">
        <f t="shared" si="76"/>
        <v/>
      </c>
      <c r="C1021" s="9"/>
      <c r="D1021" s="9"/>
      <c r="E1021" s="9">
        <f t="shared" si="77"/>
        <v>0</v>
      </c>
      <c r="F1021" s="9"/>
      <c r="G1021" s="9"/>
      <c r="H1021" s="9"/>
      <c r="I1021" s="9"/>
      <c r="J1021" s="9"/>
      <c r="K1021" s="9"/>
      <c r="L1021" s="9"/>
      <c r="M1021" s="9"/>
      <c r="N1021" s="9" t="str">
        <f t="shared" si="78"/>
        <v>NO</v>
      </c>
      <c r="O1021" s="9" t="str">
        <f t="shared" si="79"/>
        <v>🟡</v>
      </c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9"/>
      <c r="BD1021" s="9"/>
      <c r="BE1021" s="9"/>
      <c r="BF1021" s="9"/>
      <c r="BG1021" s="9"/>
      <c r="BH1021" s="9"/>
      <c r="BI1021" s="9"/>
      <c r="BJ1021" s="9"/>
      <c r="BK1021" s="9"/>
      <c r="BL1021" s="9"/>
      <c r="BM1021" s="9"/>
      <c r="BN1021" s="9"/>
      <c r="BO1021" s="9"/>
      <c r="BP1021" s="9"/>
      <c r="BQ1021" s="9"/>
      <c r="BR1021" s="9"/>
      <c r="BS1021" s="9"/>
      <c r="BT1021" s="9"/>
      <c r="BU1021" s="9"/>
      <c r="BV1021" s="9"/>
      <c r="BW1021" s="9"/>
      <c r="BX1021" s="9"/>
      <c r="BY1021" s="9"/>
      <c r="BZ1021" s="9"/>
      <c r="CA1021" s="9"/>
      <c r="CB1021" s="9"/>
      <c r="CC1021" s="9"/>
      <c r="CD1021" s="9"/>
      <c r="CE1021" s="9"/>
      <c r="CF1021" s="9"/>
      <c r="CG1021" s="9"/>
    </row>
    <row r="1022" spans="1:85" ht="18" customHeight="1" x14ac:dyDescent="0.3">
      <c r="A1022" s="9">
        <f t="shared" si="75"/>
        <v>1021</v>
      </c>
      <c r="B1022" s="9" t="str">
        <f t="shared" si="76"/>
        <v/>
      </c>
      <c r="C1022" s="9"/>
      <c r="D1022" s="9"/>
      <c r="E1022" s="9">
        <f t="shared" si="77"/>
        <v>0</v>
      </c>
      <c r="F1022" s="9"/>
      <c r="G1022" s="9"/>
      <c r="H1022" s="9"/>
      <c r="I1022" s="9"/>
      <c r="J1022" s="9"/>
      <c r="K1022" s="9"/>
      <c r="L1022" s="9"/>
      <c r="M1022" s="9"/>
      <c r="N1022" s="9" t="str">
        <f t="shared" si="78"/>
        <v>NO</v>
      </c>
      <c r="O1022" s="9" t="str">
        <f t="shared" si="79"/>
        <v>🟡</v>
      </c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9"/>
      <c r="BD1022" s="9"/>
      <c r="BE1022" s="9"/>
      <c r="BF1022" s="9"/>
      <c r="BG1022" s="9"/>
      <c r="BH1022" s="9"/>
      <c r="BI1022" s="9"/>
      <c r="BJ1022" s="9"/>
      <c r="BK1022" s="9"/>
      <c r="BL1022" s="9"/>
      <c r="BM1022" s="9"/>
      <c r="BN1022" s="9"/>
      <c r="BO1022" s="9"/>
      <c r="BP1022" s="9"/>
      <c r="BQ1022" s="9"/>
      <c r="BR1022" s="9"/>
      <c r="BS1022" s="9"/>
      <c r="BT1022" s="9"/>
      <c r="BU1022" s="9"/>
      <c r="BV1022" s="9"/>
      <c r="BW1022" s="9"/>
      <c r="BX1022" s="9"/>
      <c r="BY1022" s="9"/>
      <c r="BZ1022" s="9"/>
      <c r="CA1022" s="9"/>
      <c r="CB1022" s="9"/>
      <c r="CC1022" s="9"/>
      <c r="CD1022" s="9"/>
      <c r="CE1022" s="9"/>
      <c r="CF1022" s="9"/>
      <c r="CG1022" s="9"/>
    </row>
    <row r="1023" spans="1:85" ht="18" customHeight="1" x14ac:dyDescent="0.3">
      <c r="A1023" s="9">
        <f t="shared" si="75"/>
        <v>1022</v>
      </c>
      <c r="B1023" s="9" t="str">
        <f t="shared" si="76"/>
        <v/>
      </c>
      <c r="C1023" s="9"/>
      <c r="D1023" s="9"/>
      <c r="E1023" s="9">
        <f t="shared" si="77"/>
        <v>0</v>
      </c>
      <c r="F1023" s="9"/>
      <c r="G1023" s="9"/>
      <c r="H1023" s="9"/>
      <c r="I1023" s="9"/>
      <c r="J1023" s="9"/>
      <c r="K1023" s="9"/>
      <c r="L1023" s="9"/>
      <c r="M1023" s="9"/>
      <c r="N1023" s="9" t="str">
        <f t="shared" si="78"/>
        <v>NO</v>
      </c>
      <c r="O1023" s="9" t="str">
        <f t="shared" si="79"/>
        <v>🟡</v>
      </c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  <c r="BF1023" s="9"/>
      <c r="BG1023" s="9"/>
      <c r="BH1023" s="9"/>
      <c r="BI1023" s="9"/>
      <c r="BJ1023" s="9"/>
      <c r="BK1023" s="9"/>
      <c r="BL1023" s="9"/>
      <c r="BM1023" s="9"/>
      <c r="BN1023" s="9"/>
      <c r="BO1023" s="9"/>
      <c r="BP1023" s="9"/>
      <c r="BQ1023" s="9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9"/>
      <c r="CC1023" s="9"/>
      <c r="CD1023" s="9"/>
      <c r="CE1023" s="9"/>
      <c r="CF1023" s="9"/>
      <c r="CG1023" s="9"/>
    </row>
    <row r="1024" spans="1:85" ht="18" customHeight="1" x14ac:dyDescent="0.3">
      <c r="A1024" s="9">
        <f t="shared" si="75"/>
        <v>1023</v>
      </c>
      <c r="B1024" s="9" t="str">
        <f t="shared" si="76"/>
        <v/>
      </c>
      <c r="C1024" s="9"/>
      <c r="D1024" s="9"/>
      <c r="E1024" s="9">
        <f t="shared" si="77"/>
        <v>0</v>
      </c>
      <c r="F1024" s="9"/>
      <c r="G1024" s="9"/>
      <c r="H1024" s="9"/>
      <c r="I1024" s="9"/>
      <c r="J1024" s="9"/>
      <c r="K1024" s="9"/>
      <c r="L1024" s="9"/>
      <c r="M1024" s="9"/>
      <c r="N1024" s="9" t="str">
        <f t="shared" si="78"/>
        <v>NO</v>
      </c>
      <c r="O1024" s="9" t="str">
        <f t="shared" si="79"/>
        <v>🟡</v>
      </c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9"/>
      <c r="BD1024" s="9"/>
      <c r="BE1024" s="9"/>
      <c r="BF1024" s="9"/>
      <c r="BG1024" s="9"/>
      <c r="BH1024" s="9"/>
      <c r="BI1024" s="9"/>
      <c r="BJ1024" s="9"/>
      <c r="BK1024" s="9"/>
      <c r="BL1024" s="9"/>
      <c r="BM1024" s="9"/>
      <c r="BN1024" s="9"/>
      <c r="BO1024" s="9"/>
      <c r="BP1024" s="9"/>
      <c r="BQ1024" s="9"/>
      <c r="BR1024" s="9"/>
      <c r="BS1024" s="9"/>
      <c r="BT1024" s="9"/>
      <c r="BU1024" s="9"/>
      <c r="BV1024" s="9"/>
      <c r="BW1024" s="9"/>
      <c r="BX1024" s="9"/>
      <c r="BY1024" s="9"/>
      <c r="BZ1024" s="9"/>
      <c r="CA1024" s="9"/>
      <c r="CB1024" s="9"/>
      <c r="CC1024" s="9"/>
      <c r="CD1024" s="9"/>
      <c r="CE1024" s="9"/>
      <c r="CF1024" s="9"/>
      <c r="CG1024" s="9"/>
    </row>
    <row r="1025" spans="1:85" ht="18" customHeight="1" x14ac:dyDescent="0.3">
      <c r="A1025" s="9">
        <f t="shared" ref="A1025:A1088" si="80">IF(COUNTA(C1025:K1025)=0,"",ROW()-1)</f>
        <v>1024</v>
      </c>
      <c r="B1025" s="9" t="str">
        <f t="shared" ref="B1025:B1088" si="81">IF($F1025&lt;&gt;"",$A1025,"")</f>
        <v/>
      </c>
      <c r="C1025" s="9"/>
      <c r="D1025" s="9"/>
      <c r="E1025" s="9">
        <f t="shared" ref="E1025:E1088" si="82">IF(UPPER($J1025)="NO","",$M1025)</f>
        <v>0</v>
      </c>
      <c r="F1025" s="9"/>
      <c r="G1025" s="9"/>
      <c r="H1025" s="9"/>
      <c r="I1025" s="9"/>
      <c r="J1025" s="9"/>
      <c r="K1025" s="9"/>
      <c r="L1025" s="9"/>
      <c r="M1025" s="9"/>
      <c r="N1025" s="9" t="str">
        <f t="shared" ref="N1025:N1088" si="83">IF(AND(UPPER($M1025)="VIP",UPPER($J1025)="SI",$F1025&lt;&gt;""),"SI","NO")</f>
        <v>NO</v>
      </c>
      <c r="O1025" s="9" t="str">
        <f t="shared" ref="O1025:O1088" si="84">IF(UPPER($J1025)="SI","🟢",IF(UPPER($J1025)="NO","🔴","🟡"))</f>
        <v>🟡</v>
      </c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  <c r="BA1025" s="9"/>
      <c r="BB1025" s="9"/>
      <c r="BC1025" s="9"/>
      <c r="BD1025" s="9"/>
      <c r="BE1025" s="9"/>
      <c r="BF1025" s="9"/>
      <c r="BG1025" s="9"/>
      <c r="BH1025" s="9"/>
      <c r="BI1025" s="9"/>
      <c r="BJ1025" s="9"/>
      <c r="BK1025" s="9"/>
      <c r="BL1025" s="9"/>
      <c r="BM1025" s="9"/>
      <c r="BN1025" s="9"/>
      <c r="BO1025" s="9"/>
      <c r="BP1025" s="9"/>
      <c r="BQ1025" s="9"/>
      <c r="BR1025" s="9"/>
      <c r="BS1025" s="9"/>
      <c r="BT1025" s="9"/>
      <c r="BU1025" s="9"/>
      <c r="BV1025" s="9"/>
      <c r="BW1025" s="9"/>
      <c r="BX1025" s="9"/>
      <c r="BY1025" s="9"/>
      <c r="BZ1025" s="9"/>
      <c r="CA1025" s="9"/>
      <c r="CB1025" s="9"/>
      <c r="CC1025" s="9"/>
      <c r="CD1025" s="9"/>
      <c r="CE1025" s="9"/>
      <c r="CF1025" s="9"/>
      <c r="CG1025" s="9"/>
    </row>
    <row r="1026" spans="1:85" ht="18" customHeight="1" x14ac:dyDescent="0.3">
      <c r="A1026" s="9">
        <f t="shared" si="80"/>
        <v>1025</v>
      </c>
      <c r="B1026" s="9" t="str">
        <f t="shared" si="81"/>
        <v/>
      </c>
      <c r="C1026" s="9"/>
      <c r="D1026" s="9"/>
      <c r="E1026" s="9">
        <f t="shared" si="82"/>
        <v>0</v>
      </c>
      <c r="F1026" s="9"/>
      <c r="G1026" s="9"/>
      <c r="H1026" s="9"/>
      <c r="I1026" s="9"/>
      <c r="J1026" s="9"/>
      <c r="K1026" s="9"/>
      <c r="L1026" s="9"/>
      <c r="M1026" s="9"/>
      <c r="N1026" s="9" t="str">
        <f t="shared" si="83"/>
        <v>NO</v>
      </c>
      <c r="O1026" s="9" t="str">
        <f t="shared" si="84"/>
        <v>🟡</v>
      </c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9"/>
      <c r="BD1026" s="9"/>
      <c r="BE1026" s="9"/>
      <c r="BF1026" s="9"/>
      <c r="BG1026" s="9"/>
      <c r="BH1026" s="9"/>
      <c r="BI1026" s="9"/>
      <c r="BJ1026" s="9"/>
      <c r="BK1026" s="9"/>
      <c r="BL1026" s="9"/>
      <c r="BM1026" s="9"/>
      <c r="BN1026" s="9"/>
      <c r="BO1026" s="9"/>
      <c r="BP1026" s="9"/>
      <c r="BQ1026" s="9"/>
      <c r="BR1026" s="9"/>
      <c r="BS1026" s="9"/>
      <c r="BT1026" s="9"/>
      <c r="BU1026" s="9"/>
      <c r="BV1026" s="9"/>
      <c r="BW1026" s="9"/>
      <c r="BX1026" s="9"/>
      <c r="BY1026" s="9"/>
      <c r="BZ1026" s="9"/>
      <c r="CA1026" s="9"/>
      <c r="CB1026" s="9"/>
      <c r="CC1026" s="9"/>
      <c r="CD1026" s="9"/>
      <c r="CE1026" s="9"/>
      <c r="CF1026" s="9"/>
      <c r="CG1026" s="9"/>
    </row>
    <row r="1027" spans="1:85" ht="18" customHeight="1" x14ac:dyDescent="0.3">
      <c r="A1027" s="9">
        <f t="shared" si="80"/>
        <v>1026</v>
      </c>
      <c r="B1027" s="9" t="str">
        <f t="shared" si="81"/>
        <v/>
      </c>
      <c r="C1027" s="9"/>
      <c r="D1027" s="9"/>
      <c r="E1027" s="9">
        <f t="shared" si="82"/>
        <v>0</v>
      </c>
      <c r="F1027" s="9"/>
      <c r="G1027" s="9"/>
      <c r="H1027" s="9"/>
      <c r="I1027" s="9"/>
      <c r="J1027" s="9"/>
      <c r="K1027" s="9"/>
      <c r="L1027" s="9"/>
      <c r="M1027" s="9"/>
      <c r="N1027" s="9" t="str">
        <f t="shared" si="83"/>
        <v>NO</v>
      </c>
      <c r="O1027" s="9" t="str">
        <f t="shared" si="84"/>
        <v>🟡</v>
      </c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9"/>
      <c r="BD1027" s="9"/>
      <c r="BE1027" s="9"/>
      <c r="BF1027" s="9"/>
      <c r="BG1027" s="9"/>
      <c r="BH1027" s="9"/>
      <c r="BI1027" s="9"/>
      <c r="BJ1027" s="9"/>
      <c r="BK1027" s="9"/>
      <c r="BL1027" s="9"/>
      <c r="BM1027" s="9"/>
      <c r="BN1027" s="9"/>
      <c r="BO1027" s="9"/>
      <c r="BP1027" s="9"/>
      <c r="BQ1027" s="9"/>
      <c r="BR1027" s="9"/>
      <c r="BS1027" s="9"/>
      <c r="BT1027" s="9"/>
      <c r="BU1027" s="9"/>
      <c r="BV1027" s="9"/>
      <c r="BW1027" s="9"/>
      <c r="BX1027" s="9"/>
      <c r="BY1027" s="9"/>
      <c r="BZ1027" s="9"/>
      <c r="CA1027" s="9"/>
      <c r="CB1027" s="9"/>
      <c r="CC1027" s="9"/>
      <c r="CD1027" s="9"/>
      <c r="CE1027" s="9"/>
      <c r="CF1027" s="9"/>
      <c r="CG1027" s="9"/>
    </row>
    <row r="1028" spans="1:85" ht="18" customHeight="1" x14ac:dyDescent="0.3">
      <c r="A1028" s="9">
        <f t="shared" si="80"/>
        <v>1027</v>
      </c>
      <c r="B1028" s="9" t="str">
        <f t="shared" si="81"/>
        <v/>
      </c>
      <c r="C1028" s="9"/>
      <c r="D1028" s="9"/>
      <c r="E1028" s="9">
        <f t="shared" si="82"/>
        <v>0</v>
      </c>
      <c r="F1028" s="9"/>
      <c r="G1028" s="9"/>
      <c r="H1028" s="9"/>
      <c r="I1028" s="9"/>
      <c r="J1028" s="9"/>
      <c r="K1028" s="9"/>
      <c r="L1028" s="9"/>
      <c r="M1028" s="9"/>
      <c r="N1028" s="9" t="str">
        <f t="shared" si="83"/>
        <v>NO</v>
      </c>
      <c r="O1028" s="9" t="str">
        <f t="shared" si="84"/>
        <v>🟡</v>
      </c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9"/>
      <c r="BD1028" s="9"/>
      <c r="BE1028" s="9"/>
      <c r="BF1028" s="9"/>
      <c r="BG1028" s="9"/>
      <c r="BH1028" s="9"/>
      <c r="BI1028" s="9"/>
      <c r="BJ1028" s="9"/>
      <c r="BK1028" s="9"/>
      <c r="BL1028" s="9"/>
      <c r="BM1028" s="9"/>
      <c r="BN1028" s="9"/>
      <c r="BO1028" s="9"/>
      <c r="BP1028" s="9"/>
      <c r="BQ1028" s="9"/>
      <c r="BR1028" s="9"/>
      <c r="BS1028" s="9"/>
      <c r="BT1028" s="9"/>
      <c r="BU1028" s="9"/>
      <c r="BV1028" s="9"/>
      <c r="BW1028" s="9"/>
      <c r="BX1028" s="9"/>
      <c r="BY1028" s="9"/>
      <c r="BZ1028" s="9"/>
      <c r="CA1028" s="9"/>
      <c r="CB1028" s="9"/>
      <c r="CC1028" s="9"/>
      <c r="CD1028" s="9"/>
      <c r="CE1028" s="9"/>
      <c r="CF1028" s="9"/>
      <c r="CG1028" s="9"/>
    </row>
    <row r="1029" spans="1:85" ht="18" customHeight="1" x14ac:dyDescent="0.3">
      <c r="A1029" s="9">
        <f t="shared" si="80"/>
        <v>1028</v>
      </c>
      <c r="B1029" s="9" t="str">
        <f t="shared" si="81"/>
        <v/>
      </c>
      <c r="C1029" s="9"/>
      <c r="D1029" s="9"/>
      <c r="E1029" s="9">
        <f t="shared" si="82"/>
        <v>0</v>
      </c>
      <c r="F1029" s="9"/>
      <c r="G1029" s="9"/>
      <c r="H1029" s="9"/>
      <c r="I1029" s="9"/>
      <c r="J1029" s="9"/>
      <c r="K1029" s="9"/>
      <c r="L1029" s="9"/>
      <c r="M1029" s="9"/>
      <c r="N1029" s="9" t="str">
        <f t="shared" si="83"/>
        <v>NO</v>
      </c>
      <c r="O1029" s="9" t="str">
        <f t="shared" si="84"/>
        <v>🟡</v>
      </c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  <c r="BF1029" s="9"/>
      <c r="BG1029" s="9"/>
      <c r="BH1029" s="9"/>
      <c r="BI1029" s="9"/>
      <c r="BJ1029" s="9"/>
      <c r="BK1029" s="9"/>
      <c r="BL1029" s="9"/>
      <c r="BM1029" s="9"/>
      <c r="BN1029" s="9"/>
      <c r="BO1029" s="9"/>
      <c r="BP1029" s="9"/>
      <c r="BQ1029" s="9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9"/>
      <c r="CC1029" s="9"/>
      <c r="CD1029" s="9"/>
      <c r="CE1029" s="9"/>
      <c r="CF1029" s="9"/>
      <c r="CG1029" s="9"/>
    </row>
    <row r="1030" spans="1:85" ht="18" customHeight="1" x14ac:dyDescent="0.3">
      <c r="A1030" s="9">
        <f t="shared" si="80"/>
        <v>1029</v>
      </c>
      <c r="B1030" s="9" t="str">
        <f t="shared" si="81"/>
        <v/>
      </c>
      <c r="C1030" s="9"/>
      <c r="D1030" s="9"/>
      <c r="E1030" s="9">
        <f t="shared" si="82"/>
        <v>0</v>
      </c>
      <c r="F1030" s="9"/>
      <c r="G1030" s="9"/>
      <c r="H1030" s="9"/>
      <c r="I1030" s="9"/>
      <c r="J1030" s="9"/>
      <c r="K1030" s="9"/>
      <c r="L1030" s="9"/>
      <c r="M1030" s="9"/>
      <c r="N1030" s="9" t="str">
        <f t="shared" si="83"/>
        <v>NO</v>
      </c>
      <c r="O1030" s="9" t="str">
        <f t="shared" si="84"/>
        <v>🟡</v>
      </c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9"/>
      <c r="BD1030" s="9"/>
      <c r="BE1030" s="9"/>
      <c r="BF1030" s="9"/>
      <c r="BG1030" s="9"/>
      <c r="BH1030" s="9"/>
      <c r="BI1030" s="9"/>
      <c r="BJ1030" s="9"/>
      <c r="BK1030" s="9"/>
      <c r="BL1030" s="9"/>
      <c r="BM1030" s="9"/>
      <c r="BN1030" s="9"/>
      <c r="BO1030" s="9"/>
      <c r="BP1030" s="9"/>
      <c r="BQ1030" s="9"/>
      <c r="BR1030" s="9"/>
      <c r="BS1030" s="9"/>
      <c r="BT1030" s="9"/>
      <c r="BU1030" s="9"/>
      <c r="BV1030" s="9"/>
      <c r="BW1030" s="9"/>
      <c r="BX1030" s="9"/>
      <c r="BY1030" s="9"/>
      <c r="BZ1030" s="9"/>
      <c r="CA1030" s="9"/>
      <c r="CB1030" s="9"/>
      <c r="CC1030" s="9"/>
      <c r="CD1030" s="9"/>
      <c r="CE1030" s="9"/>
      <c r="CF1030" s="9"/>
      <c r="CG1030" s="9"/>
    </row>
    <row r="1031" spans="1:85" ht="18" customHeight="1" x14ac:dyDescent="0.3">
      <c r="A1031" s="9">
        <f t="shared" si="80"/>
        <v>1030</v>
      </c>
      <c r="B1031" s="9" t="str">
        <f t="shared" si="81"/>
        <v/>
      </c>
      <c r="C1031" s="9"/>
      <c r="D1031" s="9"/>
      <c r="E1031" s="9">
        <f t="shared" si="82"/>
        <v>0</v>
      </c>
      <c r="F1031" s="9"/>
      <c r="G1031" s="9"/>
      <c r="H1031" s="9"/>
      <c r="I1031" s="9"/>
      <c r="J1031" s="9"/>
      <c r="K1031" s="9"/>
      <c r="L1031" s="9"/>
      <c r="M1031" s="9"/>
      <c r="N1031" s="9" t="str">
        <f t="shared" si="83"/>
        <v>NO</v>
      </c>
      <c r="O1031" s="9" t="str">
        <f t="shared" si="84"/>
        <v>🟡</v>
      </c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9"/>
      <c r="BD1031" s="9"/>
      <c r="BE1031" s="9"/>
      <c r="BF1031" s="9"/>
      <c r="BG1031" s="9"/>
      <c r="BH1031" s="9"/>
      <c r="BI1031" s="9"/>
      <c r="BJ1031" s="9"/>
      <c r="BK1031" s="9"/>
      <c r="BL1031" s="9"/>
      <c r="BM1031" s="9"/>
      <c r="BN1031" s="9"/>
      <c r="BO1031" s="9"/>
      <c r="BP1031" s="9"/>
      <c r="BQ1031" s="9"/>
      <c r="BR1031" s="9"/>
      <c r="BS1031" s="9"/>
      <c r="BT1031" s="9"/>
      <c r="BU1031" s="9"/>
      <c r="BV1031" s="9"/>
      <c r="BW1031" s="9"/>
      <c r="BX1031" s="9"/>
      <c r="BY1031" s="9"/>
      <c r="BZ1031" s="9"/>
      <c r="CA1031" s="9"/>
      <c r="CB1031" s="9"/>
      <c r="CC1031" s="9"/>
      <c r="CD1031" s="9"/>
      <c r="CE1031" s="9"/>
      <c r="CF1031" s="9"/>
      <c r="CG1031" s="9"/>
    </row>
    <row r="1032" spans="1:85" ht="18" customHeight="1" x14ac:dyDescent="0.3">
      <c r="A1032" s="9">
        <f t="shared" si="80"/>
        <v>1031</v>
      </c>
      <c r="B1032" s="9" t="str">
        <f t="shared" si="81"/>
        <v/>
      </c>
      <c r="C1032" s="9"/>
      <c r="D1032" s="9"/>
      <c r="E1032" s="9">
        <f t="shared" si="82"/>
        <v>0</v>
      </c>
      <c r="F1032" s="9"/>
      <c r="G1032" s="9"/>
      <c r="H1032" s="9"/>
      <c r="I1032" s="9"/>
      <c r="J1032" s="9"/>
      <c r="K1032" s="9"/>
      <c r="L1032" s="9"/>
      <c r="M1032" s="9"/>
      <c r="N1032" s="9" t="str">
        <f t="shared" si="83"/>
        <v>NO</v>
      </c>
      <c r="O1032" s="9" t="str">
        <f t="shared" si="84"/>
        <v>🟡</v>
      </c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9"/>
      <c r="BD1032" s="9"/>
      <c r="BE1032" s="9"/>
      <c r="BF1032" s="9"/>
      <c r="BG1032" s="9"/>
      <c r="BH1032" s="9"/>
      <c r="BI1032" s="9"/>
      <c r="BJ1032" s="9"/>
      <c r="BK1032" s="9"/>
      <c r="BL1032" s="9"/>
      <c r="BM1032" s="9"/>
      <c r="BN1032" s="9"/>
      <c r="BO1032" s="9"/>
      <c r="BP1032" s="9"/>
      <c r="BQ1032" s="9"/>
      <c r="BR1032" s="9"/>
      <c r="BS1032" s="9"/>
      <c r="BT1032" s="9"/>
      <c r="BU1032" s="9"/>
      <c r="BV1032" s="9"/>
      <c r="BW1032" s="9"/>
      <c r="BX1032" s="9"/>
      <c r="BY1032" s="9"/>
      <c r="BZ1032" s="9"/>
      <c r="CA1032" s="9"/>
      <c r="CB1032" s="9"/>
      <c r="CC1032" s="9"/>
      <c r="CD1032" s="9"/>
      <c r="CE1032" s="9"/>
      <c r="CF1032" s="9"/>
      <c r="CG1032" s="9"/>
    </row>
    <row r="1033" spans="1:85" ht="18" customHeight="1" x14ac:dyDescent="0.3">
      <c r="A1033" s="9">
        <f t="shared" si="80"/>
        <v>1032</v>
      </c>
      <c r="B1033" s="9" t="str">
        <f t="shared" si="81"/>
        <v/>
      </c>
      <c r="C1033" s="9"/>
      <c r="D1033" s="9"/>
      <c r="E1033" s="9">
        <f t="shared" si="82"/>
        <v>0</v>
      </c>
      <c r="F1033" s="9"/>
      <c r="G1033" s="9"/>
      <c r="H1033" s="9"/>
      <c r="I1033" s="9"/>
      <c r="J1033" s="9"/>
      <c r="K1033" s="9"/>
      <c r="L1033" s="9"/>
      <c r="M1033" s="9"/>
      <c r="N1033" s="9" t="str">
        <f t="shared" si="83"/>
        <v>NO</v>
      </c>
      <c r="O1033" s="9" t="str">
        <f t="shared" si="84"/>
        <v>🟡</v>
      </c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  <c r="BA1033" s="9"/>
      <c r="BB1033" s="9"/>
      <c r="BC1033" s="9"/>
      <c r="BD1033" s="9"/>
      <c r="BE1033" s="9"/>
      <c r="BF1033" s="9"/>
      <c r="BG1033" s="9"/>
      <c r="BH1033" s="9"/>
      <c r="BI1033" s="9"/>
      <c r="BJ1033" s="9"/>
      <c r="BK1033" s="9"/>
      <c r="BL1033" s="9"/>
      <c r="BM1033" s="9"/>
      <c r="BN1033" s="9"/>
      <c r="BO1033" s="9"/>
      <c r="BP1033" s="9"/>
      <c r="BQ1033" s="9"/>
      <c r="BR1033" s="9"/>
      <c r="BS1033" s="9"/>
      <c r="BT1033" s="9"/>
      <c r="BU1033" s="9"/>
      <c r="BV1033" s="9"/>
      <c r="BW1033" s="9"/>
      <c r="BX1033" s="9"/>
      <c r="BY1033" s="9"/>
      <c r="BZ1033" s="9"/>
      <c r="CA1033" s="9"/>
      <c r="CB1033" s="9"/>
      <c r="CC1033" s="9"/>
      <c r="CD1033" s="9"/>
      <c r="CE1033" s="9"/>
      <c r="CF1033" s="9"/>
      <c r="CG1033" s="9"/>
    </row>
    <row r="1034" spans="1:85" ht="18" customHeight="1" x14ac:dyDescent="0.3">
      <c r="A1034" s="9">
        <f t="shared" si="80"/>
        <v>1033</v>
      </c>
      <c r="B1034" s="9" t="str">
        <f t="shared" si="81"/>
        <v/>
      </c>
      <c r="C1034" s="9"/>
      <c r="D1034" s="9"/>
      <c r="E1034" s="9">
        <f t="shared" si="82"/>
        <v>0</v>
      </c>
      <c r="F1034" s="9"/>
      <c r="G1034" s="9"/>
      <c r="H1034" s="9"/>
      <c r="I1034" s="9"/>
      <c r="J1034" s="9"/>
      <c r="K1034" s="9"/>
      <c r="L1034" s="9"/>
      <c r="M1034" s="9"/>
      <c r="N1034" s="9" t="str">
        <f t="shared" si="83"/>
        <v>NO</v>
      </c>
      <c r="O1034" s="9" t="str">
        <f t="shared" si="84"/>
        <v>🟡</v>
      </c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9"/>
      <c r="BD1034" s="9"/>
      <c r="BE1034" s="9"/>
      <c r="BF1034" s="9"/>
      <c r="BG1034" s="9"/>
      <c r="BH1034" s="9"/>
      <c r="BI1034" s="9"/>
      <c r="BJ1034" s="9"/>
      <c r="BK1034" s="9"/>
      <c r="BL1034" s="9"/>
      <c r="BM1034" s="9"/>
      <c r="BN1034" s="9"/>
      <c r="BO1034" s="9"/>
      <c r="BP1034" s="9"/>
      <c r="BQ1034" s="9"/>
      <c r="BR1034" s="9"/>
      <c r="BS1034" s="9"/>
      <c r="BT1034" s="9"/>
      <c r="BU1034" s="9"/>
      <c r="BV1034" s="9"/>
      <c r="BW1034" s="9"/>
      <c r="BX1034" s="9"/>
      <c r="BY1034" s="9"/>
      <c r="BZ1034" s="9"/>
      <c r="CA1034" s="9"/>
      <c r="CB1034" s="9"/>
      <c r="CC1034" s="9"/>
      <c r="CD1034" s="9"/>
      <c r="CE1034" s="9"/>
      <c r="CF1034" s="9"/>
      <c r="CG1034" s="9"/>
    </row>
    <row r="1035" spans="1:85" ht="18" customHeight="1" x14ac:dyDescent="0.3">
      <c r="A1035" s="9">
        <f t="shared" si="80"/>
        <v>1034</v>
      </c>
      <c r="B1035" s="9" t="str">
        <f t="shared" si="81"/>
        <v/>
      </c>
      <c r="C1035" s="9"/>
      <c r="D1035" s="9"/>
      <c r="E1035" s="9">
        <f t="shared" si="82"/>
        <v>0</v>
      </c>
      <c r="F1035" s="9"/>
      <c r="G1035" s="9"/>
      <c r="H1035" s="9"/>
      <c r="I1035" s="9"/>
      <c r="J1035" s="9"/>
      <c r="K1035" s="9"/>
      <c r="L1035" s="9"/>
      <c r="M1035" s="9"/>
      <c r="N1035" s="9" t="str">
        <f t="shared" si="83"/>
        <v>NO</v>
      </c>
      <c r="O1035" s="9" t="str">
        <f t="shared" si="84"/>
        <v>🟡</v>
      </c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9"/>
      <c r="BD1035" s="9"/>
      <c r="BE1035" s="9"/>
      <c r="BF1035" s="9"/>
      <c r="BG1035" s="9"/>
      <c r="BH1035" s="9"/>
      <c r="BI1035" s="9"/>
      <c r="BJ1035" s="9"/>
      <c r="BK1035" s="9"/>
      <c r="BL1035" s="9"/>
      <c r="BM1035" s="9"/>
      <c r="BN1035" s="9"/>
      <c r="BO1035" s="9"/>
      <c r="BP1035" s="9"/>
      <c r="BQ1035" s="9"/>
      <c r="BR1035" s="9"/>
      <c r="BS1035" s="9"/>
      <c r="BT1035" s="9"/>
      <c r="BU1035" s="9"/>
      <c r="BV1035" s="9"/>
      <c r="BW1035" s="9"/>
      <c r="BX1035" s="9"/>
      <c r="BY1035" s="9"/>
      <c r="BZ1035" s="9"/>
      <c r="CA1035" s="9"/>
      <c r="CB1035" s="9"/>
      <c r="CC1035" s="9"/>
      <c r="CD1035" s="9"/>
      <c r="CE1035" s="9"/>
      <c r="CF1035" s="9"/>
      <c r="CG1035" s="9"/>
    </row>
    <row r="1036" spans="1:85" ht="18" customHeight="1" x14ac:dyDescent="0.3">
      <c r="A1036" s="9">
        <f t="shared" si="80"/>
        <v>1035</v>
      </c>
      <c r="B1036" s="9" t="str">
        <f t="shared" si="81"/>
        <v/>
      </c>
      <c r="C1036" s="9"/>
      <c r="D1036" s="9"/>
      <c r="E1036" s="9">
        <f t="shared" si="82"/>
        <v>0</v>
      </c>
      <c r="F1036" s="9"/>
      <c r="G1036" s="9"/>
      <c r="H1036" s="9"/>
      <c r="I1036" s="9"/>
      <c r="J1036" s="9"/>
      <c r="K1036" s="9"/>
      <c r="L1036" s="9"/>
      <c r="M1036" s="9"/>
      <c r="N1036" s="9" t="str">
        <f t="shared" si="83"/>
        <v>NO</v>
      </c>
      <c r="O1036" s="9" t="str">
        <f t="shared" si="84"/>
        <v>🟡</v>
      </c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9"/>
      <c r="BD1036" s="9"/>
      <c r="BE1036" s="9"/>
      <c r="BF1036" s="9"/>
      <c r="BG1036" s="9"/>
      <c r="BH1036" s="9"/>
      <c r="BI1036" s="9"/>
      <c r="BJ1036" s="9"/>
      <c r="BK1036" s="9"/>
      <c r="BL1036" s="9"/>
      <c r="BM1036" s="9"/>
      <c r="BN1036" s="9"/>
      <c r="BO1036" s="9"/>
      <c r="BP1036" s="9"/>
      <c r="BQ1036" s="9"/>
      <c r="BR1036" s="9"/>
      <c r="BS1036" s="9"/>
      <c r="BT1036" s="9"/>
      <c r="BU1036" s="9"/>
      <c r="BV1036" s="9"/>
      <c r="BW1036" s="9"/>
      <c r="BX1036" s="9"/>
      <c r="BY1036" s="9"/>
      <c r="BZ1036" s="9"/>
      <c r="CA1036" s="9"/>
      <c r="CB1036" s="9"/>
      <c r="CC1036" s="9"/>
      <c r="CD1036" s="9"/>
      <c r="CE1036" s="9"/>
      <c r="CF1036" s="9"/>
      <c r="CG1036" s="9"/>
    </row>
    <row r="1037" spans="1:85" ht="18" customHeight="1" x14ac:dyDescent="0.3">
      <c r="A1037" s="9">
        <f t="shared" si="80"/>
        <v>1036</v>
      </c>
      <c r="B1037" s="9" t="str">
        <f t="shared" si="81"/>
        <v/>
      </c>
      <c r="C1037" s="9"/>
      <c r="D1037" s="9"/>
      <c r="E1037" s="9">
        <f t="shared" si="82"/>
        <v>0</v>
      </c>
      <c r="F1037" s="9"/>
      <c r="G1037" s="9"/>
      <c r="H1037" s="9"/>
      <c r="I1037" s="9"/>
      <c r="J1037" s="9"/>
      <c r="K1037" s="9"/>
      <c r="L1037" s="9"/>
      <c r="M1037" s="9"/>
      <c r="N1037" s="9" t="str">
        <f t="shared" si="83"/>
        <v>NO</v>
      </c>
      <c r="O1037" s="9" t="str">
        <f t="shared" si="84"/>
        <v>🟡</v>
      </c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9"/>
      <c r="BD1037" s="9"/>
      <c r="BE1037" s="9"/>
      <c r="BF1037" s="9"/>
      <c r="BG1037" s="9"/>
      <c r="BH1037" s="9"/>
      <c r="BI1037" s="9"/>
      <c r="BJ1037" s="9"/>
      <c r="BK1037" s="9"/>
      <c r="BL1037" s="9"/>
      <c r="BM1037" s="9"/>
      <c r="BN1037" s="9"/>
      <c r="BO1037" s="9"/>
      <c r="BP1037" s="9"/>
      <c r="BQ1037" s="9"/>
      <c r="BR1037" s="9"/>
      <c r="BS1037" s="9"/>
      <c r="BT1037" s="9"/>
      <c r="BU1037" s="9"/>
      <c r="BV1037" s="9"/>
      <c r="BW1037" s="9"/>
      <c r="BX1037" s="9"/>
      <c r="BY1037" s="9"/>
      <c r="BZ1037" s="9"/>
      <c r="CA1037" s="9"/>
      <c r="CB1037" s="9"/>
      <c r="CC1037" s="9"/>
      <c r="CD1037" s="9"/>
      <c r="CE1037" s="9"/>
      <c r="CF1037" s="9"/>
      <c r="CG1037" s="9"/>
    </row>
    <row r="1038" spans="1:85" ht="18" customHeight="1" x14ac:dyDescent="0.3">
      <c r="A1038" s="9">
        <f t="shared" si="80"/>
        <v>1037</v>
      </c>
      <c r="B1038" s="9" t="str">
        <f t="shared" si="81"/>
        <v/>
      </c>
      <c r="C1038" s="9"/>
      <c r="D1038" s="9"/>
      <c r="E1038" s="9">
        <f t="shared" si="82"/>
        <v>0</v>
      </c>
      <c r="F1038" s="9"/>
      <c r="G1038" s="9"/>
      <c r="H1038" s="9"/>
      <c r="I1038" s="9"/>
      <c r="J1038" s="9"/>
      <c r="K1038" s="9"/>
      <c r="L1038" s="9"/>
      <c r="M1038" s="9"/>
      <c r="N1038" s="9" t="str">
        <f t="shared" si="83"/>
        <v>NO</v>
      </c>
      <c r="O1038" s="9" t="str">
        <f t="shared" si="84"/>
        <v>🟡</v>
      </c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9"/>
      <c r="BD1038" s="9"/>
      <c r="BE1038" s="9"/>
      <c r="BF1038" s="9"/>
      <c r="BG1038" s="9"/>
      <c r="BH1038" s="9"/>
      <c r="BI1038" s="9"/>
      <c r="BJ1038" s="9"/>
      <c r="BK1038" s="9"/>
      <c r="BL1038" s="9"/>
      <c r="BM1038" s="9"/>
      <c r="BN1038" s="9"/>
      <c r="BO1038" s="9"/>
      <c r="BP1038" s="9"/>
      <c r="BQ1038" s="9"/>
      <c r="BR1038" s="9"/>
      <c r="BS1038" s="9"/>
      <c r="BT1038" s="9"/>
      <c r="BU1038" s="9"/>
      <c r="BV1038" s="9"/>
      <c r="BW1038" s="9"/>
      <c r="BX1038" s="9"/>
      <c r="BY1038" s="9"/>
      <c r="BZ1038" s="9"/>
      <c r="CA1038" s="9"/>
      <c r="CB1038" s="9"/>
      <c r="CC1038" s="9"/>
      <c r="CD1038" s="9"/>
      <c r="CE1038" s="9"/>
      <c r="CF1038" s="9"/>
      <c r="CG1038" s="9"/>
    </row>
    <row r="1039" spans="1:85" ht="18" customHeight="1" x14ac:dyDescent="0.3">
      <c r="A1039" s="9">
        <f t="shared" si="80"/>
        <v>1038</v>
      </c>
      <c r="B1039" s="9" t="str">
        <f t="shared" si="81"/>
        <v/>
      </c>
      <c r="C1039" s="9"/>
      <c r="D1039" s="9"/>
      <c r="E1039" s="9">
        <f t="shared" si="82"/>
        <v>0</v>
      </c>
      <c r="F1039" s="9"/>
      <c r="G1039" s="9"/>
      <c r="H1039" s="9"/>
      <c r="I1039" s="9"/>
      <c r="J1039" s="9"/>
      <c r="K1039" s="9"/>
      <c r="L1039" s="9"/>
      <c r="M1039" s="9"/>
      <c r="N1039" s="9" t="str">
        <f t="shared" si="83"/>
        <v>NO</v>
      </c>
      <c r="O1039" s="9" t="str">
        <f t="shared" si="84"/>
        <v>🟡</v>
      </c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9"/>
      <c r="BD1039" s="9"/>
      <c r="BE1039" s="9"/>
      <c r="BF1039" s="9"/>
      <c r="BG1039" s="9"/>
      <c r="BH1039" s="9"/>
      <c r="BI1039" s="9"/>
      <c r="BJ1039" s="9"/>
      <c r="BK1039" s="9"/>
      <c r="BL1039" s="9"/>
      <c r="BM1039" s="9"/>
      <c r="BN1039" s="9"/>
      <c r="BO1039" s="9"/>
      <c r="BP1039" s="9"/>
      <c r="BQ1039" s="9"/>
      <c r="BR1039" s="9"/>
      <c r="BS1039" s="9"/>
      <c r="BT1039" s="9"/>
      <c r="BU1039" s="9"/>
      <c r="BV1039" s="9"/>
      <c r="BW1039" s="9"/>
      <c r="BX1039" s="9"/>
      <c r="BY1039" s="9"/>
      <c r="BZ1039" s="9"/>
      <c r="CA1039" s="9"/>
      <c r="CB1039" s="9"/>
      <c r="CC1039" s="9"/>
      <c r="CD1039" s="9"/>
      <c r="CE1039" s="9"/>
      <c r="CF1039" s="9"/>
      <c r="CG1039" s="9"/>
    </row>
    <row r="1040" spans="1:85" ht="18" customHeight="1" x14ac:dyDescent="0.3">
      <c r="A1040" s="9">
        <f t="shared" si="80"/>
        <v>1039</v>
      </c>
      <c r="B1040" s="9" t="str">
        <f t="shared" si="81"/>
        <v/>
      </c>
      <c r="C1040" s="9"/>
      <c r="D1040" s="9"/>
      <c r="E1040" s="9">
        <f t="shared" si="82"/>
        <v>0</v>
      </c>
      <c r="F1040" s="9"/>
      <c r="G1040" s="9"/>
      <c r="H1040" s="9"/>
      <c r="I1040" s="9"/>
      <c r="J1040" s="9"/>
      <c r="K1040" s="9"/>
      <c r="L1040" s="9"/>
      <c r="M1040" s="9"/>
      <c r="N1040" s="9" t="str">
        <f t="shared" si="83"/>
        <v>NO</v>
      </c>
      <c r="O1040" s="9" t="str">
        <f t="shared" si="84"/>
        <v>🟡</v>
      </c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9"/>
      <c r="BD1040" s="9"/>
      <c r="BE1040" s="9"/>
      <c r="BF1040" s="9"/>
      <c r="BG1040" s="9"/>
      <c r="BH1040" s="9"/>
      <c r="BI1040" s="9"/>
      <c r="BJ1040" s="9"/>
      <c r="BK1040" s="9"/>
      <c r="BL1040" s="9"/>
      <c r="BM1040" s="9"/>
      <c r="BN1040" s="9"/>
      <c r="BO1040" s="9"/>
      <c r="BP1040" s="9"/>
      <c r="BQ1040" s="9"/>
      <c r="BR1040" s="9"/>
      <c r="BS1040" s="9"/>
      <c r="BT1040" s="9"/>
      <c r="BU1040" s="9"/>
      <c r="BV1040" s="9"/>
      <c r="BW1040" s="9"/>
      <c r="BX1040" s="9"/>
      <c r="BY1040" s="9"/>
      <c r="BZ1040" s="9"/>
      <c r="CA1040" s="9"/>
      <c r="CB1040" s="9"/>
      <c r="CC1040" s="9"/>
      <c r="CD1040" s="9"/>
      <c r="CE1040" s="9"/>
      <c r="CF1040" s="9"/>
      <c r="CG1040" s="9"/>
    </row>
    <row r="1041" spans="1:85" ht="18" customHeight="1" x14ac:dyDescent="0.3">
      <c r="A1041" s="9">
        <f t="shared" si="80"/>
        <v>1040</v>
      </c>
      <c r="B1041" s="9" t="str">
        <f t="shared" si="81"/>
        <v/>
      </c>
      <c r="C1041" s="9"/>
      <c r="D1041" s="9"/>
      <c r="E1041" s="9">
        <f t="shared" si="82"/>
        <v>0</v>
      </c>
      <c r="F1041" s="9"/>
      <c r="G1041" s="9"/>
      <c r="H1041" s="9"/>
      <c r="I1041" s="9"/>
      <c r="J1041" s="9"/>
      <c r="K1041" s="9"/>
      <c r="L1041" s="9"/>
      <c r="M1041" s="9"/>
      <c r="N1041" s="9" t="str">
        <f t="shared" si="83"/>
        <v>NO</v>
      </c>
      <c r="O1041" s="9" t="str">
        <f t="shared" si="84"/>
        <v>🟡</v>
      </c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  <c r="BA1041" s="9"/>
      <c r="BB1041" s="9"/>
      <c r="BC1041" s="9"/>
      <c r="BD1041" s="9"/>
      <c r="BE1041" s="9"/>
      <c r="BF1041" s="9"/>
      <c r="BG1041" s="9"/>
      <c r="BH1041" s="9"/>
      <c r="BI1041" s="9"/>
      <c r="BJ1041" s="9"/>
      <c r="BK1041" s="9"/>
      <c r="BL1041" s="9"/>
      <c r="BM1041" s="9"/>
      <c r="BN1041" s="9"/>
      <c r="BO1041" s="9"/>
      <c r="BP1041" s="9"/>
      <c r="BQ1041" s="9"/>
      <c r="BR1041" s="9"/>
      <c r="BS1041" s="9"/>
      <c r="BT1041" s="9"/>
      <c r="BU1041" s="9"/>
      <c r="BV1041" s="9"/>
      <c r="BW1041" s="9"/>
      <c r="BX1041" s="9"/>
      <c r="BY1041" s="9"/>
      <c r="BZ1041" s="9"/>
      <c r="CA1041" s="9"/>
      <c r="CB1041" s="9"/>
      <c r="CC1041" s="9"/>
      <c r="CD1041" s="9"/>
      <c r="CE1041" s="9"/>
      <c r="CF1041" s="9"/>
      <c r="CG1041" s="9"/>
    </row>
    <row r="1042" spans="1:85" ht="18" customHeight="1" x14ac:dyDescent="0.3">
      <c r="A1042" s="9">
        <f t="shared" si="80"/>
        <v>1041</v>
      </c>
      <c r="B1042" s="9" t="str">
        <f t="shared" si="81"/>
        <v/>
      </c>
      <c r="C1042" s="9"/>
      <c r="D1042" s="9"/>
      <c r="E1042" s="9">
        <f t="shared" si="82"/>
        <v>0</v>
      </c>
      <c r="F1042" s="9"/>
      <c r="G1042" s="9"/>
      <c r="H1042" s="9"/>
      <c r="I1042" s="9"/>
      <c r="J1042" s="9"/>
      <c r="K1042" s="9"/>
      <c r="L1042" s="9"/>
      <c r="M1042" s="9"/>
      <c r="N1042" s="9" t="str">
        <f t="shared" si="83"/>
        <v>NO</v>
      </c>
      <c r="O1042" s="9" t="str">
        <f t="shared" si="84"/>
        <v>🟡</v>
      </c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9"/>
      <c r="BD1042" s="9"/>
      <c r="BE1042" s="9"/>
      <c r="BF1042" s="9"/>
      <c r="BG1042" s="9"/>
      <c r="BH1042" s="9"/>
      <c r="BI1042" s="9"/>
      <c r="BJ1042" s="9"/>
      <c r="BK1042" s="9"/>
      <c r="BL1042" s="9"/>
      <c r="BM1042" s="9"/>
      <c r="BN1042" s="9"/>
      <c r="BO1042" s="9"/>
      <c r="BP1042" s="9"/>
      <c r="BQ1042" s="9"/>
      <c r="BR1042" s="9"/>
      <c r="BS1042" s="9"/>
      <c r="BT1042" s="9"/>
      <c r="BU1042" s="9"/>
      <c r="BV1042" s="9"/>
      <c r="BW1042" s="9"/>
      <c r="BX1042" s="9"/>
      <c r="BY1042" s="9"/>
      <c r="BZ1042" s="9"/>
      <c r="CA1042" s="9"/>
      <c r="CB1042" s="9"/>
      <c r="CC1042" s="9"/>
      <c r="CD1042" s="9"/>
      <c r="CE1042" s="9"/>
      <c r="CF1042" s="9"/>
      <c r="CG1042" s="9"/>
    </row>
    <row r="1043" spans="1:85" ht="18" customHeight="1" x14ac:dyDescent="0.3">
      <c r="A1043" s="9">
        <f t="shared" si="80"/>
        <v>1042</v>
      </c>
      <c r="B1043" s="9" t="str">
        <f t="shared" si="81"/>
        <v/>
      </c>
      <c r="C1043" s="9"/>
      <c r="D1043" s="9"/>
      <c r="E1043" s="9">
        <f t="shared" si="82"/>
        <v>0</v>
      </c>
      <c r="F1043" s="9"/>
      <c r="G1043" s="9"/>
      <c r="H1043" s="9"/>
      <c r="I1043" s="9"/>
      <c r="J1043" s="9"/>
      <c r="K1043" s="9"/>
      <c r="L1043" s="9"/>
      <c r="M1043" s="9"/>
      <c r="N1043" s="9" t="str">
        <f t="shared" si="83"/>
        <v>NO</v>
      </c>
      <c r="O1043" s="9" t="str">
        <f t="shared" si="84"/>
        <v>🟡</v>
      </c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9"/>
      <c r="BD1043" s="9"/>
      <c r="BE1043" s="9"/>
      <c r="BF1043" s="9"/>
      <c r="BG1043" s="9"/>
      <c r="BH1043" s="9"/>
      <c r="BI1043" s="9"/>
      <c r="BJ1043" s="9"/>
      <c r="BK1043" s="9"/>
      <c r="BL1043" s="9"/>
      <c r="BM1043" s="9"/>
      <c r="BN1043" s="9"/>
      <c r="BO1043" s="9"/>
      <c r="BP1043" s="9"/>
      <c r="BQ1043" s="9"/>
      <c r="BR1043" s="9"/>
      <c r="BS1043" s="9"/>
      <c r="BT1043" s="9"/>
      <c r="BU1043" s="9"/>
      <c r="BV1043" s="9"/>
      <c r="BW1043" s="9"/>
      <c r="BX1043" s="9"/>
      <c r="BY1043" s="9"/>
      <c r="BZ1043" s="9"/>
      <c r="CA1043" s="9"/>
      <c r="CB1043" s="9"/>
      <c r="CC1043" s="9"/>
      <c r="CD1043" s="9"/>
      <c r="CE1043" s="9"/>
      <c r="CF1043" s="9"/>
      <c r="CG1043" s="9"/>
    </row>
    <row r="1044" spans="1:85" ht="18" customHeight="1" x14ac:dyDescent="0.3">
      <c r="A1044" s="9">
        <f t="shared" si="80"/>
        <v>1043</v>
      </c>
      <c r="B1044" s="9" t="str">
        <f t="shared" si="81"/>
        <v/>
      </c>
      <c r="C1044" s="9"/>
      <c r="D1044" s="9"/>
      <c r="E1044" s="9">
        <f t="shared" si="82"/>
        <v>0</v>
      </c>
      <c r="F1044" s="9"/>
      <c r="G1044" s="9"/>
      <c r="H1044" s="9"/>
      <c r="I1044" s="9"/>
      <c r="J1044" s="9"/>
      <c r="K1044" s="9"/>
      <c r="L1044" s="9"/>
      <c r="M1044" s="9"/>
      <c r="N1044" s="9" t="str">
        <f t="shared" si="83"/>
        <v>NO</v>
      </c>
      <c r="O1044" s="9" t="str">
        <f t="shared" si="84"/>
        <v>🟡</v>
      </c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9"/>
      <c r="BD1044" s="9"/>
      <c r="BE1044" s="9"/>
      <c r="BF1044" s="9"/>
      <c r="BG1044" s="9"/>
      <c r="BH1044" s="9"/>
      <c r="BI1044" s="9"/>
      <c r="BJ1044" s="9"/>
      <c r="BK1044" s="9"/>
      <c r="BL1044" s="9"/>
      <c r="BM1044" s="9"/>
      <c r="BN1044" s="9"/>
      <c r="BO1044" s="9"/>
      <c r="BP1044" s="9"/>
      <c r="BQ1044" s="9"/>
      <c r="BR1044" s="9"/>
      <c r="BS1044" s="9"/>
      <c r="BT1044" s="9"/>
      <c r="BU1044" s="9"/>
      <c r="BV1044" s="9"/>
      <c r="BW1044" s="9"/>
      <c r="BX1044" s="9"/>
      <c r="BY1044" s="9"/>
      <c r="BZ1044" s="9"/>
      <c r="CA1044" s="9"/>
      <c r="CB1044" s="9"/>
      <c r="CC1044" s="9"/>
      <c r="CD1044" s="9"/>
      <c r="CE1044" s="9"/>
      <c r="CF1044" s="9"/>
      <c r="CG1044" s="9"/>
    </row>
    <row r="1045" spans="1:85" ht="18" customHeight="1" x14ac:dyDescent="0.3">
      <c r="A1045" s="9">
        <f t="shared" si="80"/>
        <v>1044</v>
      </c>
      <c r="B1045" s="9" t="str">
        <f t="shared" si="81"/>
        <v/>
      </c>
      <c r="C1045" s="9"/>
      <c r="D1045" s="9"/>
      <c r="E1045" s="9">
        <f t="shared" si="82"/>
        <v>0</v>
      </c>
      <c r="F1045" s="9"/>
      <c r="G1045" s="9"/>
      <c r="H1045" s="9"/>
      <c r="I1045" s="9"/>
      <c r="J1045" s="9"/>
      <c r="K1045" s="9"/>
      <c r="L1045" s="9"/>
      <c r="M1045" s="9"/>
      <c r="N1045" s="9" t="str">
        <f t="shared" si="83"/>
        <v>NO</v>
      </c>
      <c r="O1045" s="9" t="str">
        <f t="shared" si="84"/>
        <v>🟡</v>
      </c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9"/>
      <c r="BD1045" s="9"/>
      <c r="BE1045" s="9"/>
      <c r="BF1045" s="9"/>
      <c r="BG1045" s="9"/>
      <c r="BH1045" s="9"/>
      <c r="BI1045" s="9"/>
      <c r="BJ1045" s="9"/>
      <c r="BK1045" s="9"/>
      <c r="BL1045" s="9"/>
      <c r="BM1045" s="9"/>
      <c r="BN1045" s="9"/>
      <c r="BO1045" s="9"/>
      <c r="BP1045" s="9"/>
      <c r="BQ1045" s="9"/>
      <c r="BR1045" s="9"/>
      <c r="BS1045" s="9"/>
      <c r="BT1045" s="9"/>
      <c r="BU1045" s="9"/>
      <c r="BV1045" s="9"/>
      <c r="BW1045" s="9"/>
      <c r="BX1045" s="9"/>
      <c r="BY1045" s="9"/>
      <c r="BZ1045" s="9"/>
      <c r="CA1045" s="9"/>
      <c r="CB1045" s="9"/>
      <c r="CC1045" s="9"/>
      <c r="CD1045" s="9"/>
      <c r="CE1045" s="9"/>
      <c r="CF1045" s="9"/>
      <c r="CG1045" s="9"/>
    </row>
    <row r="1046" spans="1:85" ht="18" customHeight="1" x14ac:dyDescent="0.3">
      <c r="A1046" s="9">
        <f t="shared" si="80"/>
        <v>1045</v>
      </c>
      <c r="B1046" s="9" t="str">
        <f t="shared" si="81"/>
        <v/>
      </c>
      <c r="C1046" s="9"/>
      <c r="D1046" s="9"/>
      <c r="E1046" s="9">
        <f t="shared" si="82"/>
        <v>0</v>
      </c>
      <c r="F1046" s="9"/>
      <c r="G1046" s="9"/>
      <c r="H1046" s="9"/>
      <c r="I1046" s="9"/>
      <c r="J1046" s="9"/>
      <c r="K1046" s="9"/>
      <c r="L1046" s="9"/>
      <c r="M1046" s="9"/>
      <c r="N1046" s="9" t="str">
        <f t="shared" si="83"/>
        <v>NO</v>
      </c>
      <c r="O1046" s="9" t="str">
        <f t="shared" si="84"/>
        <v>🟡</v>
      </c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9"/>
      <c r="BD1046" s="9"/>
      <c r="BE1046" s="9"/>
      <c r="BF1046" s="9"/>
      <c r="BG1046" s="9"/>
      <c r="BH1046" s="9"/>
      <c r="BI1046" s="9"/>
      <c r="BJ1046" s="9"/>
      <c r="BK1046" s="9"/>
      <c r="BL1046" s="9"/>
      <c r="BM1046" s="9"/>
      <c r="BN1046" s="9"/>
      <c r="BO1046" s="9"/>
      <c r="BP1046" s="9"/>
      <c r="BQ1046" s="9"/>
      <c r="BR1046" s="9"/>
      <c r="BS1046" s="9"/>
      <c r="BT1046" s="9"/>
      <c r="BU1046" s="9"/>
      <c r="BV1046" s="9"/>
      <c r="BW1046" s="9"/>
      <c r="BX1046" s="9"/>
      <c r="BY1046" s="9"/>
      <c r="BZ1046" s="9"/>
      <c r="CA1046" s="9"/>
      <c r="CB1046" s="9"/>
      <c r="CC1046" s="9"/>
      <c r="CD1046" s="9"/>
      <c r="CE1046" s="9"/>
      <c r="CF1046" s="9"/>
      <c r="CG1046" s="9"/>
    </row>
    <row r="1047" spans="1:85" ht="18" customHeight="1" x14ac:dyDescent="0.3">
      <c r="A1047" s="9">
        <f t="shared" si="80"/>
        <v>1046</v>
      </c>
      <c r="B1047" s="9" t="str">
        <f t="shared" si="81"/>
        <v/>
      </c>
      <c r="C1047" s="9"/>
      <c r="D1047" s="9"/>
      <c r="E1047" s="9">
        <f t="shared" si="82"/>
        <v>0</v>
      </c>
      <c r="F1047" s="9"/>
      <c r="G1047" s="9"/>
      <c r="H1047" s="9"/>
      <c r="I1047" s="9"/>
      <c r="J1047" s="9"/>
      <c r="K1047" s="9"/>
      <c r="L1047" s="9"/>
      <c r="M1047" s="9"/>
      <c r="N1047" s="9" t="str">
        <f t="shared" si="83"/>
        <v>NO</v>
      </c>
      <c r="O1047" s="9" t="str">
        <f t="shared" si="84"/>
        <v>🟡</v>
      </c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9"/>
      <c r="BD1047" s="9"/>
      <c r="BE1047" s="9"/>
      <c r="BF1047" s="9"/>
      <c r="BG1047" s="9"/>
      <c r="BH1047" s="9"/>
      <c r="BI1047" s="9"/>
      <c r="BJ1047" s="9"/>
      <c r="BK1047" s="9"/>
      <c r="BL1047" s="9"/>
      <c r="BM1047" s="9"/>
      <c r="BN1047" s="9"/>
      <c r="BO1047" s="9"/>
      <c r="BP1047" s="9"/>
      <c r="BQ1047" s="9"/>
      <c r="BR1047" s="9"/>
      <c r="BS1047" s="9"/>
      <c r="BT1047" s="9"/>
      <c r="BU1047" s="9"/>
      <c r="BV1047" s="9"/>
      <c r="BW1047" s="9"/>
      <c r="BX1047" s="9"/>
      <c r="BY1047" s="9"/>
      <c r="BZ1047" s="9"/>
      <c r="CA1047" s="9"/>
      <c r="CB1047" s="9"/>
      <c r="CC1047" s="9"/>
      <c r="CD1047" s="9"/>
      <c r="CE1047" s="9"/>
      <c r="CF1047" s="9"/>
      <c r="CG1047" s="9"/>
    </row>
    <row r="1048" spans="1:85" ht="18" customHeight="1" x14ac:dyDescent="0.3">
      <c r="A1048" s="9">
        <f t="shared" si="80"/>
        <v>1047</v>
      </c>
      <c r="B1048" s="9" t="str">
        <f t="shared" si="81"/>
        <v/>
      </c>
      <c r="C1048" s="9"/>
      <c r="D1048" s="9"/>
      <c r="E1048" s="9">
        <f t="shared" si="82"/>
        <v>0</v>
      </c>
      <c r="F1048" s="9"/>
      <c r="G1048" s="9"/>
      <c r="H1048" s="9"/>
      <c r="I1048" s="9"/>
      <c r="J1048" s="9"/>
      <c r="K1048" s="9"/>
      <c r="L1048" s="9"/>
      <c r="M1048" s="9"/>
      <c r="N1048" s="9" t="str">
        <f t="shared" si="83"/>
        <v>NO</v>
      </c>
      <c r="O1048" s="9" t="str">
        <f t="shared" si="84"/>
        <v>🟡</v>
      </c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9"/>
      <c r="BD1048" s="9"/>
      <c r="BE1048" s="9"/>
      <c r="BF1048" s="9"/>
      <c r="BG1048" s="9"/>
      <c r="BH1048" s="9"/>
      <c r="BI1048" s="9"/>
      <c r="BJ1048" s="9"/>
      <c r="BK1048" s="9"/>
      <c r="BL1048" s="9"/>
      <c r="BM1048" s="9"/>
      <c r="BN1048" s="9"/>
      <c r="BO1048" s="9"/>
      <c r="BP1048" s="9"/>
      <c r="BQ1048" s="9"/>
      <c r="BR1048" s="9"/>
      <c r="BS1048" s="9"/>
      <c r="BT1048" s="9"/>
      <c r="BU1048" s="9"/>
      <c r="BV1048" s="9"/>
      <c r="BW1048" s="9"/>
      <c r="BX1048" s="9"/>
      <c r="BY1048" s="9"/>
      <c r="BZ1048" s="9"/>
      <c r="CA1048" s="9"/>
      <c r="CB1048" s="9"/>
      <c r="CC1048" s="9"/>
      <c r="CD1048" s="9"/>
      <c r="CE1048" s="9"/>
      <c r="CF1048" s="9"/>
      <c r="CG1048" s="9"/>
    </row>
    <row r="1049" spans="1:85" ht="18" customHeight="1" x14ac:dyDescent="0.3">
      <c r="A1049" s="9">
        <f t="shared" si="80"/>
        <v>1048</v>
      </c>
      <c r="B1049" s="9" t="str">
        <f t="shared" si="81"/>
        <v/>
      </c>
      <c r="C1049" s="9"/>
      <c r="D1049" s="9"/>
      <c r="E1049" s="9">
        <f t="shared" si="82"/>
        <v>0</v>
      </c>
      <c r="F1049" s="9"/>
      <c r="G1049" s="9"/>
      <c r="H1049" s="9"/>
      <c r="I1049" s="9"/>
      <c r="J1049" s="9"/>
      <c r="K1049" s="9"/>
      <c r="L1049" s="9"/>
      <c r="M1049" s="9"/>
      <c r="N1049" s="9" t="str">
        <f t="shared" si="83"/>
        <v>NO</v>
      </c>
      <c r="O1049" s="9" t="str">
        <f t="shared" si="84"/>
        <v>🟡</v>
      </c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  <c r="BA1049" s="9"/>
      <c r="BB1049" s="9"/>
      <c r="BC1049" s="9"/>
      <c r="BD1049" s="9"/>
      <c r="BE1049" s="9"/>
      <c r="BF1049" s="9"/>
      <c r="BG1049" s="9"/>
      <c r="BH1049" s="9"/>
      <c r="BI1049" s="9"/>
      <c r="BJ1049" s="9"/>
      <c r="BK1049" s="9"/>
      <c r="BL1049" s="9"/>
      <c r="BM1049" s="9"/>
      <c r="BN1049" s="9"/>
      <c r="BO1049" s="9"/>
      <c r="BP1049" s="9"/>
      <c r="BQ1049" s="9"/>
      <c r="BR1049" s="9"/>
      <c r="BS1049" s="9"/>
      <c r="BT1049" s="9"/>
      <c r="BU1049" s="9"/>
      <c r="BV1049" s="9"/>
      <c r="BW1049" s="9"/>
      <c r="BX1049" s="9"/>
      <c r="BY1049" s="9"/>
      <c r="BZ1049" s="9"/>
      <c r="CA1049" s="9"/>
      <c r="CB1049" s="9"/>
      <c r="CC1049" s="9"/>
      <c r="CD1049" s="9"/>
      <c r="CE1049" s="9"/>
      <c r="CF1049" s="9"/>
      <c r="CG1049" s="9"/>
    </row>
    <row r="1050" spans="1:85" ht="18" customHeight="1" x14ac:dyDescent="0.3">
      <c r="A1050" s="9">
        <f t="shared" si="80"/>
        <v>1049</v>
      </c>
      <c r="B1050" s="9" t="str">
        <f t="shared" si="81"/>
        <v/>
      </c>
      <c r="C1050" s="9"/>
      <c r="D1050" s="9"/>
      <c r="E1050" s="9">
        <f t="shared" si="82"/>
        <v>0</v>
      </c>
      <c r="F1050" s="9"/>
      <c r="G1050" s="9"/>
      <c r="H1050" s="9"/>
      <c r="I1050" s="9"/>
      <c r="J1050" s="9"/>
      <c r="K1050" s="9"/>
      <c r="L1050" s="9"/>
      <c r="M1050" s="9"/>
      <c r="N1050" s="9" t="str">
        <f t="shared" si="83"/>
        <v>NO</v>
      </c>
      <c r="O1050" s="9" t="str">
        <f t="shared" si="84"/>
        <v>🟡</v>
      </c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9"/>
      <c r="BH1050" s="9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9"/>
      <c r="BT1050" s="9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9"/>
      <c r="CF1050" s="9"/>
      <c r="CG1050" s="9"/>
    </row>
    <row r="1051" spans="1:85" ht="18" customHeight="1" x14ac:dyDescent="0.3">
      <c r="A1051" s="9">
        <f t="shared" si="80"/>
        <v>1050</v>
      </c>
      <c r="B1051" s="9" t="str">
        <f t="shared" si="81"/>
        <v/>
      </c>
      <c r="C1051" s="9"/>
      <c r="D1051" s="9"/>
      <c r="E1051" s="9">
        <f t="shared" si="82"/>
        <v>0</v>
      </c>
      <c r="F1051" s="9"/>
      <c r="G1051" s="9"/>
      <c r="H1051" s="9"/>
      <c r="I1051" s="9"/>
      <c r="J1051" s="9"/>
      <c r="K1051" s="9"/>
      <c r="L1051" s="9"/>
      <c r="M1051" s="9"/>
      <c r="N1051" s="9" t="str">
        <f t="shared" si="83"/>
        <v>NO</v>
      </c>
      <c r="O1051" s="9" t="str">
        <f t="shared" si="84"/>
        <v>🟡</v>
      </c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  <c r="BA1051" s="9"/>
      <c r="BB1051" s="9"/>
      <c r="BC1051" s="9"/>
      <c r="BD1051" s="9"/>
      <c r="BE1051" s="9"/>
      <c r="BF1051" s="9"/>
      <c r="BG1051" s="9"/>
      <c r="BH1051" s="9"/>
      <c r="BI1051" s="9"/>
      <c r="BJ1051" s="9"/>
      <c r="BK1051" s="9"/>
      <c r="BL1051" s="9"/>
      <c r="BM1051" s="9"/>
      <c r="BN1051" s="9"/>
      <c r="BO1051" s="9"/>
      <c r="BP1051" s="9"/>
      <c r="BQ1051" s="9"/>
      <c r="BR1051" s="9"/>
      <c r="BS1051" s="9"/>
      <c r="BT1051" s="9"/>
      <c r="BU1051" s="9"/>
      <c r="BV1051" s="9"/>
      <c r="BW1051" s="9"/>
      <c r="BX1051" s="9"/>
      <c r="BY1051" s="9"/>
      <c r="BZ1051" s="9"/>
      <c r="CA1051" s="9"/>
      <c r="CB1051" s="9"/>
      <c r="CC1051" s="9"/>
      <c r="CD1051" s="9"/>
      <c r="CE1051" s="9"/>
      <c r="CF1051" s="9"/>
      <c r="CG1051" s="9"/>
    </row>
    <row r="1052" spans="1:85" ht="18" customHeight="1" x14ac:dyDescent="0.3">
      <c r="A1052" s="9">
        <f t="shared" si="80"/>
        <v>1051</v>
      </c>
      <c r="B1052" s="9" t="str">
        <f t="shared" si="81"/>
        <v/>
      </c>
      <c r="C1052" s="9"/>
      <c r="D1052" s="9"/>
      <c r="E1052" s="9">
        <f t="shared" si="82"/>
        <v>0</v>
      </c>
      <c r="F1052" s="9"/>
      <c r="G1052" s="9"/>
      <c r="H1052" s="9"/>
      <c r="I1052" s="9"/>
      <c r="J1052" s="9"/>
      <c r="K1052" s="9"/>
      <c r="L1052" s="9"/>
      <c r="M1052" s="9"/>
      <c r="N1052" s="9" t="str">
        <f t="shared" si="83"/>
        <v>NO</v>
      </c>
      <c r="O1052" s="9" t="str">
        <f t="shared" si="84"/>
        <v>🟡</v>
      </c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  <c r="BA1052" s="9"/>
      <c r="BB1052" s="9"/>
      <c r="BC1052" s="9"/>
      <c r="BD1052" s="9"/>
      <c r="BE1052" s="9"/>
      <c r="BF1052" s="9"/>
      <c r="BG1052" s="9"/>
      <c r="BH1052" s="9"/>
      <c r="BI1052" s="9"/>
      <c r="BJ1052" s="9"/>
      <c r="BK1052" s="9"/>
      <c r="BL1052" s="9"/>
      <c r="BM1052" s="9"/>
      <c r="BN1052" s="9"/>
      <c r="BO1052" s="9"/>
      <c r="BP1052" s="9"/>
      <c r="BQ1052" s="9"/>
      <c r="BR1052" s="9"/>
      <c r="BS1052" s="9"/>
      <c r="BT1052" s="9"/>
      <c r="BU1052" s="9"/>
      <c r="BV1052" s="9"/>
      <c r="BW1052" s="9"/>
      <c r="BX1052" s="9"/>
      <c r="BY1052" s="9"/>
      <c r="BZ1052" s="9"/>
      <c r="CA1052" s="9"/>
      <c r="CB1052" s="9"/>
      <c r="CC1052" s="9"/>
      <c r="CD1052" s="9"/>
      <c r="CE1052" s="9"/>
      <c r="CF1052" s="9"/>
      <c r="CG1052" s="9"/>
    </row>
    <row r="1053" spans="1:85" ht="18" customHeight="1" x14ac:dyDescent="0.3">
      <c r="A1053" s="9">
        <f t="shared" si="80"/>
        <v>1052</v>
      </c>
      <c r="B1053" s="9" t="str">
        <f t="shared" si="81"/>
        <v/>
      </c>
      <c r="C1053" s="9"/>
      <c r="D1053" s="9"/>
      <c r="E1053" s="9">
        <f t="shared" si="82"/>
        <v>0</v>
      </c>
      <c r="F1053" s="9"/>
      <c r="G1053" s="9"/>
      <c r="H1053" s="9"/>
      <c r="I1053" s="9"/>
      <c r="J1053" s="9"/>
      <c r="K1053" s="9"/>
      <c r="L1053" s="9"/>
      <c r="M1053" s="9"/>
      <c r="N1053" s="9" t="str">
        <f t="shared" si="83"/>
        <v>NO</v>
      </c>
      <c r="O1053" s="9" t="str">
        <f t="shared" si="84"/>
        <v>🟡</v>
      </c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  <c r="BA1053" s="9"/>
      <c r="BB1053" s="9"/>
      <c r="BC1053" s="9"/>
      <c r="BD1053" s="9"/>
      <c r="BE1053" s="9"/>
      <c r="BF1053" s="9"/>
      <c r="BG1053" s="9"/>
      <c r="BH1053" s="9"/>
      <c r="BI1053" s="9"/>
      <c r="BJ1053" s="9"/>
      <c r="BK1053" s="9"/>
      <c r="BL1053" s="9"/>
      <c r="BM1053" s="9"/>
      <c r="BN1053" s="9"/>
      <c r="BO1053" s="9"/>
      <c r="BP1053" s="9"/>
      <c r="BQ1053" s="9"/>
      <c r="BR1053" s="9"/>
      <c r="BS1053" s="9"/>
      <c r="BT1053" s="9"/>
      <c r="BU1053" s="9"/>
      <c r="BV1053" s="9"/>
      <c r="BW1053" s="9"/>
      <c r="BX1053" s="9"/>
      <c r="BY1053" s="9"/>
      <c r="BZ1053" s="9"/>
      <c r="CA1053" s="9"/>
      <c r="CB1053" s="9"/>
      <c r="CC1053" s="9"/>
      <c r="CD1053" s="9"/>
      <c r="CE1053" s="9"/>
      <c r="CF1053" s="9"/>
      <c r="CG1053" s="9"/>
    </row>
    <row r="1054" spans="1:85" ht="18" customHeight="1" x14ac:dyDescent="0.3">
      <c r="A1054" s="9">
        <f t="shared" si="80"/>
        <v>1053</v>
      </c>
      <c r="B1054" s="9" t="str">
        <f t="shared" si="81"/>
        <v/>
      </c>
      <c r="C1054" s="9"/>
      <c r="D1054" s="9"/>
      <c r="E1054" s="9">
        <f t="shared" si="82"/>
        <v>0</v>
      </c>
      <c r="F1054" s="9"/>
      <c r="G1054" s="9"/>
      <c r="H1054" s="9"/>
      <c r="I1054" s="9"/>
      <c r="J1054" s="9"/>
      <c r="K1054" s="9"/>
      <c r="L1054" s="9"/>
      <c r="M1054" s="9"/>
      <c r="N1054" s="9" t="str">
        <f t="shared" si="83"/>
        <v>NO</v>
      </c>
      <c r="O1054" s="9" t="str">
        <f t="shared" si="84"/>
        <v>🟡</v>
      </c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  <c r="BA1054" s="9"/>
      <c r="BB1054" s="9"/>
      <c r="BC1054" s="9"/>
      <c r="BD1054" s="9"/>
      <c r="BE1054" s="9"/>
      <c r="BF1054" s="9"/>
      <c r="BG1054" s="9"/>
      <c r="BH1054" s="9"/>
      <c r="BI1054" s="9"/>
      <c r="BJ1054" s="9"/>
      <c r="BK1054" s="9"/>
      <c r="BL1054" s="9"/>
      <c r="BM1054" s="9"/>
      <c r="BN1054" s="9"/>
      <c r="BO1054" s="9"/>
      <c r="BP1054" s="9"/>
      <c r="BQ1054" s="9"/>
      <c r="BR1054" s="9"/>
      <c r="BS1054" s="9"/>
      <c r="BT1054" s="9"/>
      <c r="BU1054" s="9"/>
      <c r="BV1054" s="9"/>
      <c r="BW1054" s="9"/>
      <c r="BX1054" s="9"/>
      <c r="BY1054" s="9"/>
      <c r="BZ1054" s="9"/>
      <c r="CA1054" s="9"/>
      <c r="CB1054" s="9"/>
      <c r="CC1054" s="9"/>
      <c r="CD1054" s="9"/>
      <c r="CE1054" s="9"/>
      <c r="CF1054" s="9"/>
      <c r="CG1054" s="9"/>
    </row>
    <row r="1055" spans="1:85" ht="18" customHeight="1" x14ac:dyDescent="0.3">
      <c r="A1055" s="9">
        <f t="shared" si="80"/>
        <v>1054</v>
      </c>
      <c r="B1055" s="9" t="str">
        <f t="shared" si="81"/>
        <v/>
      </c>
      <c r="C1055" s="9"/>
      <c r="D1055" s="9"/>
      <c r="E1055" s="9">
        <f t="shared" si="82"/>
        <v>0</v>
      </c>
      <c r="F1055" s="9"/>
      <c r="G1055" s="9"/>
      <c r="H1055" s="9"/>
      <c r="I1055" s="9"/>
      <c r="J1055" s="9"/>
      <c r="K1055" s="9"/>
      <c r="L1055" s="9"/>
      <c r="M1055" s="9"/>
      <c r="N1055" s="9" t="str">
        <f t="shared" si="83"/>
        <v>NO</v>
      </c>
      <c r="O1055" s="9" t="str">
        <f t="shared" si="84"/>
        <v>🟡</v>
      </c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  <c r="BA1055" s="9"/>
      <c r="BB1055" s="9"/>
      <c r="BC1055" s="9"/>
      <c r="BD1055" s="9"/>
      <c r="BE1055" s="9"/>
      <c r="BF1055" s="9"/>
      <c r="BG1055" s="9"/>
      <c r="BH1055" s="9"/>
      <c r="BI1055" s="9"/>
      <c r="BJ1055" s="9"/>
      <c r="BK1055" s="9"/>
      <c r="BL1055" s="9"/>
      <c r="BM1055" s="9"/>
      <c r="BN1055" s="9"/>
      <c r="BO1055" s="9"/>
      <c r="BP1055" s="9"/>
      <c r="BQ1055" s="9"/>
      <c r="BR1055" s="9"/>
      <c r="BS1055" s="9"/>
      <c r="BT1055" s="9"/>
      <c r="BU1055" s="9"/>
      <c r="BV1055" s="9"/>
      <c r="BW1055" s="9"/>
      <c r="BX1055" s="9"/>
      <c r="BY1055" s="9"/>
      <c r="BZ1055" s="9"/>
      <c r="CA1055" s="9"/>
      <c r="CB1055" s="9"/>
      <c r="CC1055" s="9"/>
      <c r="CD1055" s="9"/>
      <c r="CE1055" s="9"/>
      <c r="CF1055" s="9"/>
      <c r="CG1055" s="9"/>
    </row>
    <row r="1056" spans="1:85" ht="18" customHeight="1" x14ac:dyDescent="0.3">
      <c r="A1056" s="9">
        <f t="shared" si="80"/>
        <v>1055</v>
      </c>
      <c r="B1056" s="9" t="str">
        <f t="shared" si="81"/>
        <v/>
      </c>
      <c r="C1056" s="9"/>
      <c r="D1056" s="9"/>
      <c r="E1056" s="9">
        <f t="shared" si="82"/>
        <v>0</v>
      </c>
      <c r="F1056" s="9"/>
      <c r="G1056" s="9"/>
      <c r="H1056" s="9"/>
      <c r="I1056" s="9"/>
      <c r="J1056" s="9"/>
      <c r="K1056" s="9"/>
      <c r="L1056" s="9"/>
      <c r="M1056" s="9"/>
      <c r="N1056" s="9" t="str">
        <f t="shared" si="83"/>
        <v>NO</v>
      </c>
      <c r="O1056" s="9" t="str">
        <f t="shared" si="84"/>
        <v>🟡</v>
      </c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  <c r="BA1056" s="9"/>
      <c r="BB1056" s="9"/>
      <c r="BC1056" s="9"/>
      <c r="BD1056" s="9"/>
      <c r="BE1056" s="9"/>
      <c r="BF1056" s="9"/>
      <c r="BG1056" s="9"/>
      <c r="BH1056" s="9"/>
      <c r="BI1056" s="9"/>
      <c r="BJ1056" s="9"/>
      <c r="BK1056" s="9"/>
      <c r="BL1056" s="9"/>
      <c r="BM1056" s="9"/>
      <c r="BN1056" s="9"/>
      <c r="BO1056" s="9"/>
      <c r="BP1056" s="9"/>
      <c r="BQ1056" s="9"/>
      <c r="BR1056" s="9"/>
      <c r="BS1056" s="9"/>
      <c r="BT1056" s="9"/>
      <c r="BU1056" s="9"/>
      <c r="BV1056" s="9"/>
      <c r="BW1056" s="9"/>
      <c r="BX1056" s="9"/>
      <c r="BY1056" s="9"/>
      <c r="BZ1056" s="9"/>
      <c r="CA1056" s="9"/>
      <c r="CB1056" s="9"/>
      <c r="CC1056" s="9"/>
      <c r="CD1056" s="9"/>
      <c r="CE1056" s="9"/>
      <c r="CF1056" s="9"/>
      <c r="CG1056" s="9"/>
    </row>
    <row r="1057" spans="1:85" ht="18" customHeight="1" x14ac:dyDescent="0.3">
      <c r="A1057" s="9">
        <f t="shared" si="80"/>
        <v>1056</v>
      </c>
      <c r="B1057" s="9" t="str">
        <f t="shared" si="81"/>
        <v/>
      </c>
      <c r="C1057" s="9"/>
      <c r="D1057" s="9"/>
      <c r="E1057" s="9">
        <f t="shared" si="82"/>
        <v>0</v>
      </c>
      <c r="F1057" s="9"/>
      <c r="G1057" s="9"/>
      <c r="H1057" s="9"/>
      <c r="I1057" s="9"/>
      <c r="J1057" s="9"/>
      <c r="K1057" s="9"/>
      <c r="L1057" s="9"/>
      <c r="M1057" s="9"/>
      <c r="N1057" s="9" t="str">
        <f t="shared" si="83"/>
        <v>NO</v>
      </c>
      <c r="O1057" s="9" t="str">
        <f t="shared" si="84"/>
        <v>🟡</v>
      </c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  <c r="BA1057" s="9"/>
      <c r="BB1057" s="9"/>
      <c r="BC1057" s="9"/>
      <c r="BD1057" s="9"/>
      <c r="BE1057" s="9"/>
      <c r="BF1057" s="9"/>
      <c r="BG1057" s="9"/>
      <c r="BH1057" s="9"/>
      <c r="BI1057" s="9"/>
      <c r="BJ1057" s="9"/>
      <c r="BK1057" s="9"/>
      <c r="BL1057" s="9"/>
      <c r="BM1057" s="9"/>
      <c r="BN1057" s="9"/>
      <c r="BO1057" s="9"/>
      <c r="BP1057" s="9"/>
      <c r="BQ1057" s="9"/>
      <c r="BR1057" s="9"/>
      <c r="BS1057" s="9"/>
      <c r="BT1057" s="9"/>
      <c r="BU1057" s="9"/>
      <c r="BV1057" s="9"/>
      <c r="BW1057" s="9"/>
      <c r="BX1057" s="9"/>
      <c r="BY1057" s="9"/>
      <c r="BZ1057" s="9"/>
      <c r="CA1057" s="9"/>
      <c r="CB1057" s="9"/>
      <c r="CC1057" s="9"/>
      <c r="CD1057" s="9"/>
      <c r="CE1057" s="9"/>
      <c r="CF1057" s="9"/>
      <c r="CG1057" s="9"/>
    </row>
    <row r="1058" spans="1:85" ht="18" customHeight="1" x14ac:dyDescent="0.3">
      <c r="A1058" s="9">
        <f t="shared" si="80"/>
        <v>1057</v>
      </c>
      <c r="B1058" s="9" t="str">
        <f t="shared" si="81"/>
        <v/>
      </c>
      <c r="C1058" s="9"/>
      <c r="D1058" s="9"/>
      <c r="E1058" s="9">
        <f t="shared" si="82"/>
        <v>0</v>
      </c>
      <c r="F1058" s="9"/>
      <c r="G1058" s="9"/>
      <c r="H1058" s="9"/>
      <c r="I1058" s="9"/>
      <c r="J1058" s="9"/>
      <c r="K1058" s="9"/>
      <c r="L1058" s="9"/>
      <c r="M1058" s="9"/>
      <c r="N1058" s="9" t="str">
        <f t="shared" si="83"/>
        <v>NO</v>
      </c>
      <c r="O1058" s="9" t="str">
        <f t="shared" si="84"/>
        <v>🟡</v>
      </c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  <c r="BA1058" s="9"/>
      <c r="BB1058" s="9"/>
      <c r="BC1058" s="9"/>
      <c r="BD1058" s="9"/>
      <c r="BE1058" s="9"/>
      <c r="BF1058" s="9"/>
      <c r="BG1058" s="9"/>
      <c r="BH1058" s="9"/>
      <c r="BI1058" s="9"/>
      <c r="BJ1058" s="9"/>
      <c r="BK1058" s="9"/>
      <c r="BL1058" s="9"/>
      <c r="BM1058" s="9"/>
      <c r="BN1058" s="9"/>
      <c r="BO1058" s="9"/>
      <c r="BP1058" s="9"/>
      <c r="BQ1058" s="9"/>
      <c r="BR1058" s="9"/>
      <c r="BS1058" s="9"/>
      <c r="BT1058" s="9"/>
      <c r="BU1058" s="9"/>
      <c r="BV1058" s="9"/>
      <c r="BW1058" s="9"/>
      <c r="BX1058" s="9"/>
      <c r="BY1058" s="9"/>
      <c r="BZ1058" s="9"/>
      <c r="CA1058" s="9"/>
      <c r="CB1058" s="9"/>
      <c r="CC1058" s="9"/>
      <c r="CD1058" s="9"/>
      <c r="CE1058" s="9"/>
      <c r="CF1058" s="9"/>
      <c r="CG1058" s="9"/>
    </row>
    <row r="1059" spans="1:85" ht="18" customHeight="1" x14ac:dyDescent="0.3">
      <c r="A1059" s="9">
        <f t="shared" si="80"/>
        <v>1058</v>
      </c>
      <c r="B1059" s="9" t="str">
        <f t="shared" si="81"/>
        <v/>
      </c>
      <c r="C1059" s="9"/>
      <c r="D1059" s="9"/>
      <c r="E1059" s="9">
        <f t="shared" si="82"/>
        <v>0</v>
      </c>
      <c r="F1059" s="9"/>
      <c r="G1059" s="9"/>
      <c r="H1059" s="9"/>
      <c r="I1059" s="9"/>
      <c r="J1059" s="9"/>
      <c r="K1059" s="9"/>
      <c r="L1059" s="9"/>
      <c r="M1059" s="9"/>
      <c r="N1059" s="9" t="str">
        <f t="shared" si="83"/>
        <v>NO</v>
      </c>
      <c r="O1059" s="9" t="str">
        <f t="shared" si="84"/>
        <v>🟡</v>
      </c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  <c r="BA1059" s="9"/>
      <c r="BB1059" s="9"/>
      <c r="BC1059" s="9"/>
      <c r="BD1059" s="9"/>
      <c r="BE1059" s="9"/>
      <c r="BF1059" s="9"/>
      <c r="BG1059" s="9"/>
      <c r="BH1059" s="9"/>
      <c r="BI1059" s="9"/>
      <c r="BJ1059" s="9"/>
      <c r="BK1059" s="9"/>
      <c r="BL1059" s="9"/>
      <c r="BM1059" s="9"/>
      <c r="BN1059" s="9"/>
      <c r="BO1059" s="9"/>
      <c r="BP1059" s="9"/>
      <c r="BQ1059" s="9"/>
      <c r="BR1059" s="9"/>
      <c r="BS1059" s="9"/>
      <c r="BT1059" s="9"/>
      <c r="BU1059" s="9"/>
      <c r="BV1059" s="9"/>
      <c r="BW1059" s="9"/>
      <c r="BX1059" s="9"/>
      <c r="BY1059" s="9"/>
      <c r="BZ1059" s="9"/>
      <c r="CA1059" s="9"/>
      <c r="CB1059" s="9"/>
      <c r="CC1059" s="9"/>
      <c r="CD1059" s="9"/>
      <c r="CE1059" s="9"/>
      <c r="CF1059" s="9"/>
      <c r="CG1059" s="9"/>
    </row>
    <row r="1060" spans="1:85" ht="18" customHeight="1" x14ac:dyDescent="0.3">
      <c r="A1060" s="9">
        <f t="shared" si="80"/>
        <v>1059</v>
      </c>
      <c r="B1060" s="9" t="str">
        <f t="shared" si="81"/>
        <v/>
      </c>
      <c r="C1060" s="9"/>
      <c r="D1060" s="9"/>
      <c r="E1060" s="9">
        <f t="shared" si="82"/>
        <v>0</v>
      </c>
      <c r="F1060" s="9"/>
      <c r="G1060" s="9"/>
      <c r="H1060" s="9"/>
      <c r="I1060" s="9"/>
      <c r="J1060" s="9"/>
      <c r="K1060" s="9"/>
      <c r="L1060" s="9"/>
      <c r="M1060" s="9"/>
      <c r="N1060" s="9" t="str">
        <f t="shared" si="83"/>
        <v>NO</v>
      </c>
      <c r="O1060" s="9" t="str">
        <f t="shared" si="84"/>
        <v>🟡</v>
      </c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  <c r="BA1060" s="9"/>
      <c r="BB1060" s="9"/>
      <c r="BC1060" s="9"/>
      <c r="BD1060" s="9"/>
      <c r="BE1060" s="9"/>
      <c r="BF1060" s="9"/>
      <c r="BG1060" s="9"/>
      <c r="BH1060" s="9"/>
      <c r="BI1060" s="9"/>
      <c r="BJ1060" s="9"/>
      <c r="BK1060" s="9"/>
      <c r="BL1060" s="9"/>
      <c r="BM1060" s="9"/>
      <c r="BN1060" s="9"/>
      <c r="BO1060" s="9"/>
      <c r="BP1060" s="9"/>
      <c r="BQ1060" s="9"/>
      <c r="BR1060" s="9"/>
      <c r="BS1060" s="9"/>
      <c r="BT1060" s="9"/>
      <c r="BU1060" s="9"/>
      <c r="BV1060" s="9"/>
      <c r="BW1060" s="9"/>
      <c r="BX1060" s="9"/>
      <c r="BY1060" s="9"/>
      <c r="BZ1060" s="9"/>
      <c r="CA1060" s="9"/>
      <c r="CB1060" s="9"/>
      <c r="CC1060" s="9"/>
      <c r="CD1060" s="9"/>
      <c r="CE1060" s="9"/>
      <c r="CF1060" s="9"/>
      <c r="CG1060" s="9"/>
    </row>
    <row r="1061" spans="1:85" ht="18" customHeight="1" x14ac:dyDescent="0.3">
      <c r="A1061" s="9">
        <f t="shared" si="80"/>
        <v>1060</v>
      </c>
      <c r="B1061" s="9" t="str">
        <f t="shared" si="81"/>
        <v/>
      </c>
      <c r="C1061" s="9"/>
      <c r="D1061" s="9"/>
      <c r="E1061" s="9">
        <f t="shared" si="82"/>
        <v>0</v>
      </c>
      <c r="F1061" s="9"/>
      <c r="G1061" s="9"/>
      <c r="H1061" s="9"/>
      <c r="I1061" s="9"/>
      <c r="J1061" s="9"/>
      <c r="K1061" s="9"/>
      <c r="L1061" s="9"/>
      <c r="M1061" s="9"/>
      <c r="N1061" s="9" t="str">
        <f t="shared" si="83"/>
        <v>NO</v>
      </c>
      <c r="O1061" s="9" t="str">
        <f t="shared" si="84"/>
        <v>🟡</v>
      </c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  <c r="BA1061" s="9"/>
      <c r="BB1061" s="9"/>
      <c r="BC1061" s="9"/>
      <c r="BD1061" s="9"/>
      <c r="BE1061" s="9"/>
      <c r="BF1061" s="9"/>
      <c r="BG1061" s="9"/>
      <c r="BH1061" s="9"/>
      <c r="BI1061" s="9"/>
      <c r="BJ1061" s="9"/>
      <c r="BK1061" s="9"/>
      <c r="BL1061" s="9"/>
      <c r="BM1061" s="9"/>
      <c r="BN1061" s="9"/>
      <c r="BO1061" s="9"/>
      <c r="BP1061" s="9"/>
      <c r="BQ1061" s="9"/>
      <c r="BR1061" s="9"/>
      <c r="BS1061" s="9"/>
      <c r="BT1061" s="9"/>
      <c r="BU1061" s="9"/>
      <c r="BV1061" s="9"/>
      <c r="BW1061" s="9"/>
      <c r="BX1061" s="9"/>
      <c r="BY1061" s="9"/>
      <c r="BZ1061" s="9"/>
      <c r="CA1061" s="9"/>
      <c r="CB1061" s="9"/>
      <c r="CC1061" s="9"/>
      <c r="CD1061" s="9"/>
      <c r="CE1061" s="9"/>
      <c r="CF1061" s="9"/>
      <c r="CG1061" s="9"/>
    </row>
    <row r="1062" spans="1:85" ht="18" customHeight="1" x14ac:dyDescent="0.3">
      <c r="A1062" s="9">
        <f t="shared" si="80"/>
        <v>1061</v>
      </c>
      <c r="B1062" s="9" t="str">
        <f t="shared" si="81"/>
        <v/>
      </c>
      <c r="C1062" s="9"/>
      <c r="D1062" s="9"/>
      <c r="E1062" s="9">
        <f t="shared" si="82"/>
        <v>0</v>
      </c>
      <c r="F1062" s="9"/>
      <c r="G1062" s="9"/>
      <c r="H1062" s="9"/>
      <c r="I1062" s="9"/>
      <c r="J1062" s="9"/>
      <c r="K1062" s="9"/>
      <c r="L1062" s="9"/>
      <c r="M1062" s="9"/>
      <c r="N1062" s="9" t="str">
        <f t="shared" si="83"/>
        <v>NO</v>
      </c>
      <c r="O1062" s="9" t="str">
        <f t="shared" si="84"/>
        <v>🟡</v>
      </c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  <c r="BA1062" s="9"/>
      <c r="BB1062" s="9"/>
      <c r="BC1062" s="9"/>
      <c r="BD1062" s="9"/>
      <c r="BE1062" s="9"/>
      <c r="BF1062" s="9"/>
      <c r="BG1062" s="9"/>
      <c r="BH1062" s="9"/>
      <c r="BI1062" s="9"/>
      <c r="BJ1062" s="9"/>
      <c r="BK1062" s="9"/>
      <c r="BL1062" s="9"/>
      <c r="BM1062" s="9"/>
      <c r="BN1062" s="9"/>
      <c r="BO1062" s="9"/>
      <c r="BP1062" s="9"/>
      <c r="BQ1062" s="9"/>
      <c r="BR1062" s="9"/>
      <c r="BS1062" s="9"/>
      <c r="BT1062" s="9"/>
      <c r="BU1062" s="9"/>
      <c r="BV1062" s="9"/>
      <c r="BW1062" s="9"/>
      <c r="BX1062" s="9"/>
      <c r="BY1062" s="9"/>
      <c r="BZ1062" s="9"/>
      <c r="CA1062" s="9"/>
      <c r="CB1062" s="9"/>
      <c r="CC1062" s="9"/>
      <c r="CD1062" s="9"/>
      <c r="CE1062" s="9"/>
      <c r="CF1062" s="9"/>
      <c r="CG1062" s="9"/>
    </row>
    <row r="1063" spans="1:85" ht="18" customHeight="1" x14ac:dyDescent="0.3">
      <c r="A1063" s="9">
        <f t="shared" si="80"/>
        <v>1062</v>
      </c>
      <c r="B1063" s="9" t="str">
        <f t="shared" si="81"/>
        <v/>
      </c>
      <c r="C1063" s="9"/>
      <c r="D1063" s="9"/>
      <c r="E1063" s="9">
        <f t="shared" si="82"/>
        <v>0</v>
      </c>
      <c r="F1063" s="9"/>
      <c r="G1063" s="9"/>
      <c r="H1063" s="9"/>
      <c r="I1063" s="9"/>
      <c r="J1063" s="9"/>
      <c r="K1063" s="9"/>
      <c r="L1063" s="9"/>
      <c r="M1063" s="9"/>
      <c r="N1063" s="9" t="str">
        <f t="shared" si="83"/>
        <v>NO</v>
      </c>
      <c r="O1063" s="9" t="str">
        <f t="shared" si="84"/>
        <v>🟡</v>
      </c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  <c r="BA1063" s="9"/>
      <c r="BB1063" s="9"/>
      <c r="BC1063" s="9"/>
      <c r="BD1063" s="9"/>
      <c r="BE1063" s="9"/>
      <c r="BF1063" s="9"/>
      <c r="BG1063" s="9"/>
      <c r="BH1063" s="9"/>
      <c r="BI1063" s="9"/>
      <c r="BJ1063" s="9"/>
      <c r="BK1063" s="9"/>
      <c r="BL1063" s="9"/>
      <c r="BM1063" s="9"/>
      <c r="BN1063" s="9"/>
      <c r="BO1063" s="9"/>
      <c r="BP1063" s="9"/>
      <c r="BQ1063" s="9"/>
      <c r="BR1063" s="9"/>
      <c r="BS1063" s="9"/>
      <c r="BT1063" s="9"/>
      <c r="BU1063" s="9"/>
      <c r="BV1063" s="9"/>
      <c r="BW1063" s="9"/>
      <c r="BX1063" s="9"/>
      <c r="BY1063" s="9"/>
      <c r="BZ1063" s="9"/>
      <c r="CA1063" s="9"/>
      <c r="CB1063" s="9"/>
      <c r="CC1063" s="9"/>
      <c r="CD1063" s="9"/>
      <c r="CE1063" s="9"/>
      <c r="CF1063" s="9"/>
      <c r="CG1063" s="9"/>
    </row>
    <row r="1064" spans="1:85" ht="18" customHeight="1" x14ac:dyDescent="0.3">
      <c r="A1064" s="9">
        <f t="shared" si="80"/>
        <v>1063</v>
      </c>
      <c r="B1064" s="9" t="str">
        <f t="shared" si="81"/>
        <v/>
      </c>
      <c r="C1064" s="9"/>
      <c r="D1064" s="9"/>
      <c r="E1064" s="9">
        <f t="shared" si="82"/>
        <v>0</v>
      </c>
      <c r="F1064" s="9"/>
      <c r="G1064" s="9"/>
      <c r="H1064" s="9"/>
      <c r="I1064" s="9"/>
      <c r="J1064" s="9"/>
      <c r="K1064" s="9"/>
      <c r="L1064" s="9"/>
      <c r="M1064" s="9"/>
      <c r="N1064" s="9" t="str">
        <f t="shared" si="83"/>
        <v>NO</v>
      </c>
      <c r="O1064" s="9" t="str">
        <f t="shared" si="84"/>
        <v>🟡</v>
      </c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  <c r="BA1064" s="9"/>
      <c r="BB1064" s="9"/>
      <c r="BC1064" s="9"/>
      <c r="BD1064" s="9"/>
      <c r="BE1064" s="9"/>
      <c r="BF1064" s="9"/>
      <c r="BG1064" s="9"/>
      <c r="BH1064" s="9"/>
      <c r="BI1064" s="9"/>
      <c r="BJ1064" s="9"/>
      <c r="BK1064" s="9"/>
      <c r="BL1064" s="9"/>
      <c r="BM1064" s="9"/>
      <c r="BN1064" s="9"/>
      <c r="BO1064" s="9"/>
      <c r="BP1064" s="9"/>
      <c r="BQ1064" s="9"/>
      <c r="BR1064" s="9"/>
      <c r="BS1064" s="9"/>
      <c r="BT1064" s="9"/>
      <c r="BU1064" s="9"/>
      <c r="BV1064" s="9"/>
      <c r="BW1064" s="9"/>
      <c r="BX1064" s="9"/>
      <c r="BY1064" s="9"/>
      <c r="BZ1064" s="9"/>
      <c r="CA1064" s="9"/>
      <c r="CB1064" s="9"/>
      <c r="CC1064" s="9"/>
      <c r="CD1064" s="9"/>
      <c r="CE1064" s="9"/>
      <c r="CF1064" s="9"/>
      <c r="CG1064" s="9"/>
    </row>
    <row r="1065" spans="1:85" ht="18" customHeight="1" x14ac:dyDescent="0.3">
      <c r="A1065" s="9">
        <f t="shared" si="80"/>
        <v>1064</v>
      </c>
      <c r="B1065" s="9" t="str">
        <f t="shared" si="81"/>
        <v/>
      </c>
      <c r="C1065" s="9"/>
      <c r="D1065" s="9"/>
      <c r="E1065" s="9">
        <f t="shared" si="82"/>
        <v>0</v>
      </c>
      <c r="F1065" s="9"/>
      <c r="G1065" s="9"/>
      <c r="H1065" s="9"/>
      <c r="I1065" s="9"/>
      <c r="J1065" s="9"/>
      <c r="K1065" s="9"/>
      <c r="L1065" s="9"/>
      <c r="M1065" s="9"/>
      <c r="N1065" s="9" t="str">
        <f t="shared" si="83"/>
        <v>NO</v>
      </c>
      <c r="O1065" s="9" t="str">
        <f t="shared" si="84"/>
        <v>🟡</v>
      </c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  <c r="BA1065" s="9"/>
      <c r="BB1065" s="9"/>
      <c r="BC1065" s="9"/>
      <c r="BD1065" s="9"/>
      <c r="BE1065" s="9"/>
      <c r="BF1065" s="9"/>
      <c r="BG1065" s="9"/>
      <c r="BH1065" s="9"/>
      <c r="BI1065" s="9"/>
      <c r="BJ1065" s="9"/>
      <c r="BK1065" s="9"/>
      <c r="BL1065" s="9"/>
      <c r="BM1065" s="9"/>
      <c r="BN1065" s="9"/>
      <c r="BO1065" s="9"/>
      <c r="BP1065" s="9"/>
      <c r="BQ1065" s="9"/>
      <c r="BR1065" s="9"/>
      <c r="BS1065" s="9"/>
      <c r="BT1065" s="9"/>
      <c r="BU1065" s="9"/>
      <c r="BV1065" s="9"/>
      <c r="BW1065" s="9"/>
      <c r="BX1065" s="9"/>
      <c r="BY1065" s="9"/>
      <c r="BZ1065" s="9"/>
      <c r="CA1065" s="9"/>
      <c r="CB1065" s="9"/>
      <c r="CC1065" s="9"/>
      <c r="CD1065" s="9"/>
      <c r="CE1065" s="9"/>
      <c r="CF1065" s="9"/>
      <c r="CG1065" s="9"/>
    </row>
    <row r="1066" spans="1:85" ht="18" customHeight="1" x14ac:dyDescent="0.3">
      <c r="A1066" s="9">
        <f t="shared" si="80"/>
        <v>1065</v>
      </c>
      <c r="B1066" s="9" t="str">
        <f t="shared" si="81"/>
        <v/>
      </c>
      <c r="C1066" s="9"/>
      <c r="D1066" s="9"/>
      <c r="E1066" s="9">
        <f t="shared" si="82"/>
        <v>0</v>
      </c>
      <c r="F1066" s="9"/>
      <c r="G1066" s="9"/>
      <c r="H1066" s="9"/>
      <c r="I1066" s="9"/>
      <c r="J1066" s="9"/>
      <c r="K1066" s="9"/>
      <c r="L1066" s="9"/>
      <c r="M1066" s="9"/>
      <c r="N1066" s="9" t="str">
        <f t="shared" si="83"/>
        <v>NO</v>
      </c>
      <c r="O1066" s="9" t="str">
        <f t="shared" si="84"/>
        <v>🟡</v>
      </c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  <c r="BA1066" s="9"/>
      <c r="BB1066" s="9"/>
      <c r="BC1066" s="9"/>
      <c r="BD1066" s="9"/>
      <c r="BE1066" s="9"/>
      <c r="BF1066" s="9"/>
      <c r="BG1066" s="9"/>
      <c r="BH1066" s="9"/>
      <c r="BI1066" s="9"/>
      <c r="BJ1066" s="9"/>
      <c r="BK1066" s="9"/>
      <c r="BL1066" s="9"/>
      <c r="BM1066" s="9"/>
      <c r="BN1066" s="9"/>
      <c r="BO1066" s="9"/>
      <c r="BP1066" s="9"/>
      <c r="BQ1066" s="9"/>
      <c r="BR1066" s="9"/>
      <c r="BS1066" s="9"/>
      <c r="BT1066" s="9"/>
      <c r="BU1066" s="9"/>
      <c r="BV1066" s="9"/>
      <c r="BW1066" s="9"/>
      <c r="BX1066" s="9"/>
      <c r="BY1066" s="9"/>
      <c r="BZ1066" s="9"/>
      <c r="CA1066" s="9"/>
      <c r="CB1066" s="9"/>
      <c r="CC1066" s="9"/>
      <c r="CD1066" s="9"/>
      <c r="CE1066" s="9"/>
      <c r="CF1066" s="9"/>
      <c r="CG1066" s="9"/>
    </row>
    <row r="1067" spans="1:85" ht="18" customHeight="1" x14ac:dyDescent="0.3">
      <c r="A1067" s="9">
        <f t="shared" si="80"/>
        <v>1066</v>
      </c>
      <c r="B1067" s="9" t="str">
        <f t="shared" si="81"/>
        <v/>
      </c>
      <c r="C1067" s="9"/>
      <c r="D1067" s="9"/>
      <c r="E1067" s="9">
        <f t="shared" si="82"/>
        <v>0</v>
      </c>
      <c r="F1067" s="9"/>
      <c r="G1067" s="9"/>
      <c r="H1067" s="9"/>
      <c r="I1067" s="9"/>
      <c r="J1067" s="9"/>
      <c r="K1067" s="9"/>
      <c r="L1067" s="9"/>
      <c r="M1067" s="9"/>
      <c r="N1067" s="9" t="str">
        <f t="shared" si="83"/>
        <v>NO</v>
      </c>
      <c r="O1067" s="9" t="str">
        <f t="shared" si="84"/>
        <v>🟡</v>
      </c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  <c r="BA1067" s="9"/>
      <c r="BB1067" s="9"/>
      <c r="BC1067" s="9"/>
      <c r="BD1067" s="9"/>
      <c r="BE1067" s="9"/>
      <c r="BF1067" s="9"/>
      <c r="BG1067" s="9"/>
      <c r="BH1067" s="9"/>
      <c r="BI1067" s="9"/>
      <c r="BJ1067" s="9"/>
      <c r="BK1067" s="9"/>
      <c r="BL1067" s="9"/>
      <c r="BM1067" s="9"/>
      <c r="BN1067" s="9"/>
      <c r="BO1067" s="9"/>
      <c r="BP1067" s="9"/>
      <c r="BQ1067" s="9"/>
      <c r="BR1067" s="9"/>
      <c r="BS1067" s="9"/>
      <c r="BT1067" s="9"/>
      <c r="BU1067" s="9"/>
      <c r="BV1067" s="9"/>
      <c r="BW1067" s="9"/>
      <c r="BX1067" s="9"/>
      <c r="BY1067" s="9"/>
      <c r="BZ1067" s="9"/>
      <c r="CA1067" s="9"/>
      <c r="CB1067" s="9"/>
      <c r="CC1067" s="9"/>
      <c r="CD1067" s="9"/>
      <c r="CE1067" s="9"/>
      <c r="CF1067" s="9"/>
      <c r="CG1067" s="9"/>
    </row>
    <row r="1068" spans="1:85" ht="18" customHeight="1" x14ac:dyDescent="0.3">
      <c r="A1068" s="9">
        <f t="shared" si="80"/>
        <v>1067</v>
      </c>
      <c r="B1068" s="9" t="str">
        <f t="shared" si="81"/>
        <v/>
      </c>
      <c r="C1068" s="9"/>
      <c r="D1068" s="9"/>
      <c r="E1068" s="9">
        <f t="shared" si="82"/>
        <v>0</v>
      </c>
      <c r="F1068" s="9"/>
      <c r="G1068" s="9"/>
      <c r="H1068" s="9"/>
      <c r="I1068" s="9"/>
      <c r="J1068" s="9"/>
      <c r="K1068" s="9"/>
      <c r="L1068" s="9"/>
      <c r="M1068" s="9"/>
      <c r="N1068" s="9" t="str">
        <f t="shared" si="83"/>
        <v>NO</v>
      </c>
      <c r="O1068" s="9" t="str">
        <f t="shared" si="84"/>
        <v>🟡</v>
      </c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  <c r="BA1068" s="9"/>
      <c r="BB1068" s="9"/>
      <c r="BC1068" s="9"/>
      <c r="BD1068" s="9"/>
      <c r="BE1068" s="9"/>
      <c r="BF1068" s="9"/>
      <c r="BG1068" s="9"/>
      <c r="BH1068" s="9"/>
      <c r="BI1068" s="9"/>
      <c r="BJ1068" s="9"/>
      <c r="BK1068" s="9"/>
      <c r="BL1068" s="9"/>
      <c r="BM1068" s="9"/>
      <c r="BN1068" s="9"/>
      <c r="BO1068" s="9"/>
      <c r="BP1068" s="9"/>
      <c r="BQ1068" s="9"/>
      <c r="BR1068" s="9"/>
      <c r="BS1068" s="9"/>
      <c r="BT1068" s="9"/>
      <c r="BU1068" s="9"/>
      <c r="BV1068" s="9"/>
      <c r="BW1068" s="9"/>
      <c r="BX1068" s="9"/>
      <c r="BY1068" s="9"/>
      <c r="BZ1068" s="9"/>
      <c r="CA1068" s="9"/>
      <c r="CB1068" s="9"/>
      <c r="CC1068" s="9"/>
      <c r="CD1068" s="9"/>
      <c r="CE1068" s="9"/>
      <c r="CF1068" s="9"/>
      <c r="CG1068" s="9"/>
    </row>
    <row r="1069" spans="1:85" ht="18" customHeight="1" x14ac:dyDescent="0.3">
      <c r="A1069" s="9">
        <f t="shared" si="80"/>
        <v>1068</v>
      </c>
      <c r="B1069" s="9" t="str">
        <f t="shared" si="81"/>
        <v/>
      </c>
      <c r="C1069" s="9"/>
      <c r="D1069" s="9"/>
      <c r="E1069" s="9">
        <f t="shared" si="82"/>
        <v>0</v>
      </c>
      <c r="F1069" s="9"/>
      <c r="G1069" s="9"/>
      <c r="H1069" s="9"/>
      <c r="I1069" s="9"/>
      <c r="J1069" s="9"/>
      <c r="K1069" s="9"/>
      <c r="L1069" s="9"/>
      <c r="M1069" s="9"/>
      <c r="N1069" s="9" t="str">
        <f t="shared" si="83"/>
        <v>NO</v>
      </c>
      <c r="O1069" s="9" t="str">
        <f t="shared" si="84"/>
        <v>🟡</v>
      </c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  <c r="BA1069" s="9"/>
      <c r="BB1069" s="9"/>
      <c r="BC1069" s="9"/>
      <c r="BD1069" s="9"/>
      <c r="BE1069" s="9"/>
      <c r="BF1069" s="9"/>
      <c r="BG1069" s="9"/>
      <c r="BH1069" s="9"/>
      <c r="BI1069" s="9"/>
      <c r="BJ1069" s="9"/>
      <c r="BK1069" s="9"/>
      <c r="BL1069" s="9"/>
      <c r="BM1069" s="9"/>
      <c r="BN1069" s="9"/>
      <c r="BO1069" s="9"/>
      <c r="BP1069" s="9"/>
      <c r="BQ1069" s="9"/>
      <c r="BR1069" s="9"/>
      <c r="BS1069" s="9"/>
      <c r="BT1069" s="9"/>
      <c r="BU1069" s="9"/>
      <c r="BV1069" s="9"/>
      <c r="BW1069" s="9"/>
      <c r="BX1069" s="9"/>
      <c r="BY1069" s="9"/>
      <c r="BZ1069" s="9"/>
      <c r="CA1069" s="9"/>
      <c r="CB1069" s="9"/>
      <c r="CC1069" s="9"/>
      <c r="CD1069" s="9"/>
      <c r="CE1069" s="9"/>
      <c r="CF1069" s="9"/>
      <c r="CG1069" s="9"/>
    </row>
    <row r="1070" spans="1:85" ht="18" customHeight="1" x14ac:dyDescent="0.3">
      <c r="A1070" s="9">
        <f t="shared" si="80"/>
        <v>1069</v>
      </c>
      <c r="B1070" s="9" t="str">
        <f t="shared" si="81"/>
        <v/>
      </c>
      <c r="C1070" s="9"/>
      <c r="D1070" s="9"/>
      <c r="E1070" s="9">
        <f t="shared" si="82"/>
        <v>0</v>
      </c>
      <c r="F1070" s="9"/>
      <c r="G1070" s="9"/>
      <c r="H1070" s="9"/>
      <c r="I1070" s="9"/>
      <c r="J1070" s="9"/>
      <c r="K1070" s="9"/>
      <c r="L1070" s="9"/>
      <c r="M1070" s="9"/>
      <c r="N1070" s="9" t="str">
        <f t="shared" si="83"/>
        <v>NO</v>
      </c>
      <c r="O1070" s="9" t="str">
        <f t="shared" si="84"/>
        <v>🟡</v>
      </c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  <c r="BA1070" s="9"/>
      <c r="BB1070" s="9"/>
      <c r="BC1070" s="9"/>
      <c r="BD1070" s="9"/>
      <c r="BE1070" s="9"/>
      <c r="BF1070" s="9"/>
      <c r="BG1070" s="9"/>
      <c r="BH1070" s="9"/>
      <c r="BI1070" s="9"/>
      <c r="BJ1070" s="9"/>
      <c r="BK1070" s="9"/>
      <c r="BL1070" s="9"/>
      <c r="BM1070" s="9"/>
      <c r="BN1070" s="9"/>
      <c r="BO1070" s="9"/>
      <c r="BP1070" s="9"/>
      <c r="BQ1070" s="9"/>
      <c r="BR1070" s="9"/>
      <c r="BS1070" s="9"/>
      <c r="BT1070" s="9"/>
      <c r="BU1070" s="9"/>
      <c r="BV1070" s="9"/>
      <c r="BW1070" s="9"/>
      <c r="BX1070" s="9"/>
      <c r="BY1070" s="9"/>
      <c r="BZ1070" s="9"/>
      <c r="CA1070" s="9"/>
      <c r="CB1070" s="9"/>
      <c r="CC1070" s="9"/>
      <c r="CD1070" s="9"/>
      <c r="CE1070" s="9"/>
      <c r="CF1070" s="9"/>
      <c r="CG1070" s="9"/>
    </row>
    <row r="1071" spans="1:85" ht="18" customHeight="1" x14ac:dyDescent="0.3">
      <c r="A1071" s="9">
        <f t="shared" si="80"/>
        <v>1070</v>
      </c>
      <c r="B1071" s="9" t="str">
        <f t="shared" si="81"/>
        <v/>
      </c>
      <c r="C1071" s="9"/>
      <c r="D1071" s="9"/>
      <c r="E1071" s="9">
        <f t="shared" si="82"/>
        <v>0</v>
      </c>
      <c r="F1071" s="9"/>
      <c r="G1071" s="9"/>
      <c r="H1071" s="9"/>
      <c r="I1071" s="9"/>
      <c r="J1071" s="9"/>
      <c r="K1071" s="9"/>
      <c r="L1071" s="9"/>
      <c r="M1071" s="9"/>
      <c r="N1071" s="9" t="str">
        <f t="shared" si="83"/>
        <v>NO</v>
      </c>
      <c r="O1071" s="9" t="str">
        <f t="shared" si="84"/>
        <v>🟡</v>
      </c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  <c r="BA1071" s="9"/>
      <c r="BB1071" s="9"/>
      <c r="BC1071" s="9"/>
      <c r="BD1071" s="9"/>
      <c r="BE1071" s="9"/>
      <c r="BF1071" s="9"/>
      <c r="BG1071" s="9"/>
      <c r="BH1071" s="9"/>
      <c r="BI1071" s="9"/>
      <c r="BJ1071" s="9"/>
      <c r="BK1071" s="9"/>
      <c r="BL1071" s="9"/>
      <c r="BM1071" s="9"/>
      <c r="BN1071" s="9"/>
      <c r="BO1071" s="9"/>
      <c r="BP1071" s="9"/>
      <c r="BQ1071" s="9"/>
      <c r="BR1071" s="9"/>
      <c r="BS1071" s="9"/>
      <c r="BT1071" s="9"/>
      <c r="BU1071" s="9"/>
      <c r="BV1071" s="9"/>
      <c r="BW1071" s="9"/>
      <c r="BX1071" s="9"/>
      <c r="BY1071" s="9"/>
      <c r="BZ1071" s="9"/>
      <c r="CA1071" s="9"/>
      <c r="CB1071" s="9"/>
      <c r="CC1071" s="9"/>
      <c r="CD1071" s="9"/>
      <c r="CE1071" s="9"/>
      <c r="CF1071" s="9"/>
      <c r="CG1071" s="9"/>
    </row>
    <row r="1072" spans="1:85" ht="18" customHeight="1" x14ac:dyDescent="0.3">
      <c r="A1072" s="9">
        <f t="shared" si="80"/>
        <v>1071</v>
      </c>
      <c r="B1072" s="9" t="str">
        <f t="shared" si="81"/>
        <v/>
      </c>
      <c r="C1072" s="9"/>
      <c r="D1072" s="9"/>
      <c r="E1072" s="9">
        <f t="shared" si="82"/>
        <v>0</v>
      </c>
      <c r="F1072" s="9"/>
      <c r="G1072" s="9"/>
      <c r="H1072" s="9"/>
      <c r="I1072" s="9"/>
      <c r="J1072" s="9"/>
      <c r="K1072" s="9"/>
      <c r="L1072" s="9"/>
      <c r="M1072" s="9"/>
      <c r="N1072" s="9" t="str">
        <f t="shared" si="83"/>
        <v>NO</v>
      </c>
      <c r="O1072" s="9" t="str">
        <f t="shared" si="84"/>
        <v>🟡</v>
      </c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  <c r="BA1072" s="9"/>
      <c r="BB1072" s="9"/>
      <c r="BC1072" s="9"/>
      <c r="BD1072" s="9"/>
      <c r="BE1072" s="9"/>
      <c r="BF1072" s="9"/>
      <c r="BG1072" s="9"/>
      <c r="BH1072" s="9"/>
      <c r="BI1072" s="9"/>
      <c r="BJ1072" s="9"/>
      <c r="BK1072" s="9"/>
      <c r="BL1072" s="9"/>
      <c r="BM1072" s="9"/>
      <c r="BN1072" s="9"/>
      <c r="BO1072" s="9"/>
      <c r="BP1072" s="9"/>
      <c r="BQ1072" s="9"/>
      <c r="BR1072" s="9"/>
      <c r="BS1072" s="9"/>
      <c r="BT1072" s="9"/>
      <c r="BU1072" s="9"/>
      <c r="BV1072" s="9"/>
      <c r="BW1072" s="9"/>
      <c r="BX1072" s="9"/>
      <c r="BY1072" s="9"/>
      <c r="BZ1072" s="9"/>
      <c r="CA1072" s="9"/>
      <c r="CB1072" s="9"/>
      <c r="CC1072" s="9"/>
      <c r="CD1072" s="9"/>
      <c r="CE1072" s="9"/>
      <c r="CF1072" s="9"/>
      <c r="CG1072" s="9"/>
    </row>
    <row r="1073" spans="1:85" ht="18" customHeight="1" x14ac:dyDescent="0.3">
      <c r="A1073" s="9">
        <f t="shared" si="80"/>
        <v>1072</v>
      </c>
      <c r="B1073" s="9" t="str">
        <f t="shared" si="81"/>
        <v/>
      </c>
      <c r="C1073" s="9"/>
      <c r="D1073" s="9"/>
      <c r="E1073" s="9">
        <f t="shared" si="82"/>
        <v>0</v>
      </c>
      <c r="F1073" s="9"/>
      <c r="G1073" s="9"/>
      <c r="H1073" s="9"/>
      <c r="I1073" s="9"/>
      <c r="J1073" s="9"/>
      <c r="K1073" s="9"/>
      <c r="L1073" s="9"/>
      <c r="M1073" s="9"/>
      <c r="N1073" s="9" t="str">
        <f t="shared" si="83"/>
        <v>NO</v>
      </c>
      <c r="O1073" s="9" t="str">
        <f t="shared" si="84"/>
        <v>🟡</v>
      </c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  <c r="BA1073" s="9"/>
      <c r="BB1073" s="9"/>
      <c r="BC1073" s="9"/>
      <c r="BD1073" s="9"/>
      <c r="BE1073" s="9"/>
      <c r="BF1073" s="9"/>
      <c r="BG1073" s="9"/>
      <c r="BH1073" s="9"/>
      <c r="BI1073" s="9"/>
      <c r="BJ1073" s="9"/>
      <c r="BK1073" s="9"/>
      <c r="BL1073" s="9"/>
      <c r="BM1073" s="9"/>
      <c r="BN1073" s="9"/>
      <c r="BO1073" s="9"/>
      <c r="BP1073" s="9"/>
      <c r="BQ1073" s="9"/>
      <c r="BR1073" s="9"/>
      <c r="BS1073" s="9"/>
      <c r="BT1073" s="9"/>
      <c r="BU1073" s="9"/>
      <c r="BV1073" s="9"/>
      <c r="BW1073" s="9"/>
      <c r="BX1073" s="9"/>
      <c r="BY1073" s="9"/>
      <c r="BZ1073" s="9"/>
      <c r="CA1073" s="9"/>
      <c r="CB1073" s="9"/>
      <c r="CC1073" s="9"/>
      <c r="CD1073" s="9"/>
      <c r="CE1073" s="9"/>
      <c r="CF1073" s="9"/>
      <c r="CG1073" s="9"/>
    </row>
    <row r="1074" spans="1:85" ht="18" customHeight="1" x14ac:dyDescent="0.3">
      <c r="A1074" s="9">
        <f t="shared" si="80"/>
        <v>1073</v>
      </c>
      <c r="B1074" s="9" t="str">
        <f t="shared" si="81"/>
        <v/>
      </c>
      <c r="C1074" s="9"/>
      <c r="D1074" s="9"/>
      <c r="E1074" s="9">
        <f t="shared" si="82"/>
        <v>0</v>
      </c>
      <c r="F1074" s="9"/>
      <c r="G1074" s="9"/>
      <c r="H1074" s="9"/>
      <c r="I1074" s="9"/>
      <c r="J1074" s="9"/>
      <c r="K1074" s="9"/>
      <c r="L1074" s="9"/>
      <c r="M1074" s="9"/>
      <c r="N1074" s="9" t="str">
        <f t="shared" si="83"/>
        <v>NO</v>
      </c>
      <c r="O1074" s="9" t="str">
        <f t="shared" si="84"/>
        <v>🟡</v>
      </c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  <c r="BA1074" s="9"/>
      <c r="BB1074" s="9"/>
      <c r="BC1074" s="9"/>
      <c r="BD1074" s="9"/>
      <c r="BE1074" s="9"/>
      <c r="BF1074" s="9"/>
      <c r="BG1074" s="9"/>
      <c r="BH1074" s="9"/>
      <c r="BI1074" s="9"/>
      <c r="BJ1074" s="9"/>
      <c r="BK1074" s="9"/>
      <c r="BL1074" s="9"/>
      <c r="BM1074" s="9"/>
      <c r="BN1074" s="9"/>
      <c r="BO1074" s="9"/>
      <c r="BP1074" s="9"/>
      <c r="BQ1074" s="9"/>
      <c r="BR1074" s="9"/>
      <c r="BS1074" s="9"/>
      <c r="BT1074" s="9"/>
      <c r="BU1074" s="9"/>
      <c r="BV1074" s="9"/>
      <c r="BW1074" s="9"/>
      <c r="BX1074" s="9"/>
      <c r="BY1074" s="9"/>
      <c r="BZ1074" s="9"/>
      <c r="CA1074" s="9"/>
      <c r="CB1074" s="9"/>
      <c r="CC1074" s="9"/>
      <c r="CD1074" s="9"/>
      <c r="CE1074" s="9"/>
      <c r="CF1074" s="9"/>
      <c r="CG1074" s="9"/>
    </row>
    <row r="1075" spans="1:85" ht="18" customHeight="1" x14ac:dyDescent="0.3">
      <c r="A1075" s="9">
        <f t="shared" si="80"/>
        <v>1074</v>
      </c>
      <c r="B1075" s="9" t="str">
        <f t="shared" si="81"/>
        <v/>
      </c>
      <c r="C1075" s="9"/>
      <c r="D1075" s="9"/>
      <c r="E1075" s="9">
        <f t="shared" si="82"/>
        <v>0</v>
      </c>
      <c r="F1075" s="9"/>
      <c r="G1075" s="9"/>
      <c r="H1075" s="9"/>
      <c r="I1075" s="9"/>
      <c r="J1075" s="9"/>
      <c r="K1075" s="9"/>
      <c r="L1075" s="9"/>
      <c r="M1075" s="9"/>
      <c r="N1075" s="9" t="str">
        <f t="shared" si="83"/>
        <v>NO</v>
      </c>
      <c r="O1075" s="9" t="str">
        <f t="shared" si="84"/>
        <v>🟡</v>
      </c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  <c r="BA1075" s="9"/>
      <c r="BB1075" s="9"/>
      <c r="BC1075" s="9"/>
      <c r="BD1075" s="9"/>
      <c r="BE1075" s="9"/>
      <c r="BF1075" s="9"/>
      <c r="BG1075" s="9"/>
      <c r="BH1075" s="9"/>
      <c r="BI1075" s="9"/>
      <c r="BJ1075" s="9"/>
      <c r="BK1075" s="9"/>
      <c r="BL1075" s="9"/>
      <c r="BM1075" s="9"/>
      <c r="BN1075" s="9"/>
      <c r="BO1075" s="9"/>
      <c r="BP1075" s="9"/>
      <c r="BQ1075" s="9"/>
      <c r="BR1075" s="9"/>
      <c r="BS1075" s="9"/>
      <c r="BT1075" s="9"/>
      <c r="BU1075" s="9"/>
      <c r="BV1075" s="9"/>
      <c r="BW1075" s="9"/>
      <c r="BX1075" s="9"/>
      <c r="BY1075" s="9"/>
      <c r="BZ1075" s="9"/>
      <c r="CA1075" s="9"/>
      <c r="CB1075" s="9"/>
      <c r="CC1075" s="9"/>
      <c r="CD1075" s="9"/>
      <c r="CE1075" s="9"/>
      <c r="CF1075" s="9"/>
      <c r="CG1075" s="9"/>
    </row>
    <row r="1076" spans="1:85" ht="18" customHeight="1" x14ac:dyDescent="0.3">
      <c r="A1076" s="9">
        <f t="shared" si="80"/>
        <v>1075</v>
      </c>
      <c r="B1076" s="9" t="str">
        <f t="shared" si="81"/>
        <v/>
      </c>
      <c r="C1076" s="9"/>
      <c r="D1076" s="9"/>
      <c r="E1076" s="9">
        <f t="shared" si="82"/>
        <v>0</v>
      </c>
      <c r="F1076" s="9"/>
      <c r="G1076" s="9"/>
      <c r="H1076" s="9"/>
      <c r="I1076" s="9"/>
      <c r="J1076" s="9"/>
      <c r="K1076" s="9"/>
      <c r="L1076" s="9"/>
      <c r="M1076" s="9"/>
      <c r="N1076" s="9" t="str">
        <f t="shared" si="83"/>
        <v>NO</v>
      </c>
      <c r="O1076" s="9" t="str">
        <f t="shared" si="84"/>
        <v>🟡</v>
      </c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  <c r="BA1076" s="9"/>
      <c r="BB1076" s="9"/>
      <c r="BC1076" s="9"/>
      <c r="BD1076" s="9"/>
      <c r="BE1076" s="9"/>
      <c r="BF1076" s="9"/>
      <c r="BG1076" s="9"/>
      <c r="BH1076" s="9"/>
      <c r="BI1076" s="9"/>
      <c r="BJ1076" s="9"/>
      <c r="BK1076" s="9"/>
      <c r="BL1076" s="9"/>
      <c r="BM1076" s="9"/>
      <c r="BN1076" s="9"/>
      <c r="BO1076" s="9"/>
      <c r="BP1076" s="9"/>
      <c r="BQ1076" s="9"/>
      <c r="BR1076" s="9"/>
      <c r="BS1076" s="9"/>
      <c r="BT1076" s="9"/>
      <c r="BU1076" s="9"/>
      <c r="BV1076" s="9"/>
      <c r="BW1076" s="9"/>
      <c r="BX1076" s="9"/>
      <c r="BY1076" s="9"/>
      <c r="BZ1076" s="9"/>
      <c r="CA1076" s="9"/>
      <c r="CB1076" s="9"/>
      <c r="CC1076" s="9"/>
      <c r="CD1076" s="9"/>
      <c r="CE1076" s="9"/>
      <c r="CF1076" s="9"/>
      <c r="CG1076" s="9"/>
    </row>
    <row r="1077" spans="1:85" ht="18" customHeight="1" x14ac:dyDescent="0.3">
      <c r="A1077" s="9">
        <f t="shared" si="80"/>
        <v>1076</v>
      </c>
      <c r="B1077" s="9" t="str">
        <f t="shared" si="81"/>
        <v/>
      </c>
      <c r="C1077" s="9"/>
      <c r="D1077" s="9"/>
      <c r="E1077" s="9">
        <f t="shared" si="82"/>
        <v>0</v>
      </c>
      <c r="F1077" s="9"/>
      <c r="G1077" s="9"/>
      <c r="H1077" s="9"/>
      <c r="I1077" s="9"/>
      <c r="J1077" s="9"/>
      <c r="K1077" s="9"/>
      <c r="L1077" s="9"/>
      <c r="M1077" s="9"/>
      <c r="N1077" s="9" t="str">
        <f t="shared" si="83"/>
        <v>NO</v>
      </c>
      <c r="O1077" s="9" t="str">
        <f t="shared" si="84"/>
        <v>🟡</v>
      </c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  <c r="BA1077" s="9"/>
      <c r="BB1077" s="9"/>
      <c r="BC1077" s="9"/>
      <c r="BD1077" s="9"/>
      <c r="BE1077" s="9"/>
      <c r="BF1077" s="9"/>
      <c r="BG1077" s="9"/>
      <c r="BH1077" s="9"/>
      <c r="BI1077" s="9"/>
      <c r="BJ1077" s="9"/>
      <c r="BK1077" s="9"/>
      <c r="BL1077" s="9"/>
      <c r="BM1077" s="9"/>
      <c r="BN1077" s="9"/>
      <c r="BO1077" s="9"/>
      <c r="BP1077" s="9"/>
      <c r="BQ1077" s="9"/>
      <c r="BR1077" s="9"/>
      <c r="BS1077" s="9"/>
      <c r="BT1077" s="9"/>
      <c r="BU1077" s="9"/>
      <c r="BV1077" s="9"/>
      <c r="BW1077" s="9"/>
      <c r="BX1077" s="9"/>
      <c r="BY1077" s="9"/>
      <c r="BZ1077" s="9"/>
      <c r="CA1077" s="9"/>
      <c r="CB1077" s="9"/>
      <c r="CC1077" s="9"/>
      <c r="CD1077" s="9"/>
      <c r="CE1077" s="9"/>
      <c r="CF1077" s="9"/>
      <c r="CG1077" s="9"/>
    </row>
    <row r="1078" spans="1:85" ht="18" customHeight="1" x14ac:dyDescent="0.3">
      <c r="A1078" s="9">
        <f t="shared" si="80"/>
        <v>1077</v>
      </c>
      <c r="B1078" s="9" t="str">
        <f t="shared" si="81"/>
        <v/>
      </c>
      <c r="C1078" s="9"/>
      <c r="D1078" s="9"/>
      <c r="E1078" s="9">
        <f t="shared" si="82"/>
        <v>0</v>
      </c>
      <c r="F1078" s="9"/>
      <c r="G1078" s="9"/>
      <c r="H1078" s="9"/>
      <c r="I1078" s="9"/>
      <c r="J1078" s="9"/>
      <c r="K1078" s="9"/>
      <c r="L1078" s="9"/>
      <c r="M1078" s="9"/>
      <c r="N1078" s="9" t="str">
        <f t="shared" si="83"/>
        <v>NO</v>
      </c>
      <c r="O1078" s="9" t="str">
        <f t="shared" si="84"/>
        <v>🟡</v>
      </c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  <c r="BA1078" s="9"/>
      <c r="BB1078" s="9"/>
      <c r="BC1078" s="9"/>
      <c r="BD1078" s="9"/>
      <c r="BE1078" s="9"/>
      <c r="BF1078" s="9"/>
      <c r="BG1078" s="9"/>
      <c r="BH1078" s="9"/>
      <c r="BI1078" s="9"/>
      <c r="BJ1078" s="9"/>
      <c r="BK1078" s="9"/>
      <c r="BL1078" s="9"/>
      <c r="BM1078" s="9"/>
      <c r="BN1078" s="9"/>
      <c r="BO1078" s="9"/>
      <c r="BP1078" s="9"/>
      <c r="BQ1078" s="9"/>
      <c r="BR1078" s="9"/>
      <c r="BS1078" s="9"/>
      <c r="BT1078" s="9"/>
      <c r="BU1078" s="9"/>
      <c r="BV1078" s="9"/>
      <c r="BW1078" s="9"/>
      <c r="BX1078" s="9"/>
      <c r="BY1078" s="9"/>
      <c r="BZ1078" s="9"/>
      <c r="CA1078" s="9"/>
      <c r="CB1078" s="9"/>
      <c r="CC1078" s="9"/>
      <c r="CD1078" s="9"/>
      <c r="CE1078" s="9"/>
      <c r="CF1078" s="9"/>
      <c r="CG1078" s="9"/>
    </row>
    <row r="1079" spans="1:85" ht="18" customHeight="1" x14ac:dyDescent="0.3">
      <c r="A1079" s="9">
        <f t="shared" si="80"/>
        <v>1078</v>
      </c>
      <c r="B1079" s="9" t="str">
        <f t="shared" si="81"/>
        <v/>
      </c>
      <c r="C1079" s="9"/>
      <c r="D1079" s="9"/>
      <c r="E1079" s="9">
        <f t="shared" si="82"/>
        <v>0</v>
      </c>
      <c r="F1079" s="9"/>
      <c r="G1079" s="9"/>
      <c r="H1079" s="9"/>
      <c r="I1079" s="9"/>
      <c r="J1079" s="9"/>
      <c r="K1079" s="9"/>
      <c r="L1079" s="9"/>
      <c r="M1079" s="9"/>
      <c r="N1079" s="9" t="str">
        <f t="shared" si="83"/>
        <v>NO</v>
      </c>
      <c r="O1079" s="9" t="str">
        <f t="shared" si="84"/>
        <v>🟡</v>
      </c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  <c r="BA1079" s="9"/>
      <c r="BB1079" s="9"/>
      <c r="BC1079" s="9"/>
      <c r="BD1079" s="9"/>
      <c r="BE1079" s="9"/>
      <c r="BF1079" s="9"/>
      <c r="BG1079" s="9"/>
      <c r="BH1079" s="9"/>
      <c r="BI1079" s="9"/>
      <c r="BJ1079" s="9"/>
      <c r="BK1079" s="9"/>
      <c r="BL1079" s="9"/>
      <c r="BM1079" s="9"/>
      <c r="BN1079" s="9"/>
      <c r="BO1079" s="9"/>
      <c r="BP1079" s="9"/>
      <c r="BQ1079" s="9"/>
      <c r="BR1079" s="9"/>
      <c r="BS1079" s="9"/>
      <c r="BT1079" s="9"/>
      <c r="BU1079" s="9"/>
      <c r="BV1079" s="9"/>
      <c r="BW1079" s="9"/>
      <c r="BX1079" s="9"/>
      <c r="BY1079" s="9"/>
      <c r="BZ1079" s="9"/>
      <c r="CA1079" s="9"/>
      <c r="CB1079" s="9"/>
      <c r="CC1079" s="9"/>
      <c r="CD1079" s="9"/>
      <c r="CE1079" s="9"/>
      <c r="CF1079" s="9"/>
      <c r="CG1079" s="9"/>
    </row>
    <row r="1080" spans="1:85" ht="18" customHeight="1" x14ac:dyDescent="0.3">
      <c r="A1080" s="9">
        <f t="shared" si="80"/>
        <v>1079</v>
      </c>
      <c r="B1080" s="9" t="str">
        <f t="shared" si="81"/>
        <v/>
      </c>
      <c r="C1080" s="9"/>
      <c r="D1080" s="9"/>
      <c r="E1080" s="9">
        <f t="shared" si="82"/>
        <v>0</v>
      </c>
      <c r="F1080" s="9"/>
      <c r="G1080" s="9"/>
      <c r="H1080" s="9"/>
      <c r="I1080" s="9"/>
      <c r="J1080" s="9"/>
      <c r="K1080" s="9"/>
      <c r="L1080" s="9"/>
      <c r="M1080" s="9"/>
      <c r="N1080" s="9" t="str">
        <f t="shared" si="83"/>
        <v>NO</v>
      </c>
      <c r="O1080" s="9" t="str">
        <f t="shared" si="84"/>
        <v>🟡</v>
      </c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  <c r="BA1080" s="9"/>
      <c r="BB1080" s="9"/>
      <c r="BC1080" s="9"/>
      <c r="BD1080" s="9"/>
      <c r="BE1080" s="9"/>
      <c r="BF1080" s="9"/>
      <c r="BG1080" s="9"/>
      <c r="BH1080" s="9"/>
      <c r="BI1080" s="9"/>
      <c r="BJ1080" s="9"/>
      <c r="BK1080" s="9"/>
      <c r="BL1080" s="9"/>
      <c r="BM1080" s="9"/>
      <c r="BN1080" s="9"/>
      <c r="BO1080" s="9"/>
      <c r="BP1080" s="9"/>
      <c r="BQ1080" s="9"/>
      <c r="BR1080" s="9"/>
      <c r="BS1080" s="9"/>
      <c r="BT1080" s="9"/>
      <c r="BU1080" s="9"/>
      <c r="BV1080" s="9"/>
      <c r="BW1080" s="9"/>
      <c r="BX1080" s="9"/>
      <c r="BY1080" s="9"/>
      <c r="BZ1080" s="9"/>
      <c r="CA1080" s="9"/>
      <c r="CB1080" s="9"/>
      <c r="CC1080" s="9"/>
      <c r="CD1080" s="9"/>
      <c r="CE1080" s="9"/>
      <c r="CF1080" s="9"/>
      <c r="CG1080" s="9"/>
    </row>
    <row r="1081" spans="1:85" ht="18" customHeight="1" x14ac:dyDescent="0.3">
      <c r="A1081" s="9">
        <f t="shared" si="80"/>
        <v>1080</v>
      </c>
      <c r="B1081" s="9" t="str">
        <f t="shared" si="81"/>
        <v/>
      </c>
      <c r="C1081" s="9"/>
      <c r="D1081" s="9"/>
      <c r="E1081" s="9">
        <f t="shared" si="82"/>
        <v>0</v>
      </c>
      <c r="F1081" s="9"/>
      <c r="G1081" s="9"/>
      <c r="H1081" s="9"/>
      <c r="I1081" s="9"/>
      <c r="J1081" s="9"/>
      <c r="K1081" s="9"/>
      <c r="L1081" s="9"/>
      <c r="M1081" s="9"/>
      <c r="N1081" s="9" t="str">
        <f t="shared" si="83"/>
        <v>NO</v>
      </c>
      <c r="O1081" s="9" t="str">
        <f t="shared" si="84"/>
        <v>🟡</v>
      </c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  <c r="BA1081" s="9"/>
      <c r="BB1081" s="9"/>
      <c r="BC1081" s="9"/>
      <c r="BD1081" s="9"/>
      <c r="BE1081" s="9"/>
      <c r="BF1081" s="9"/>
      <c r="BG1081" s="9"/>
      <c r="BH1081" s="9"/>
      <c r="BI1081" s="9"/>
      <c r="BJ1081" s="9"/>
      <c r="BK1081" s="9"/>
      <c r="BL1081" s="9"/>
      <c r="BM1081" s="9"/>
      <c r="BN1081" s="9"/>
      <c r="BO1081" s="9"/>
      <c r="BP1081" s="9"/>
      <c r="BQ1081" s="9"/>
      <c r="BR1081" s="9"/>
      <c r="BS1081" s="9"/>
      <c r="BT1081" s="9"/>
      <c r="BU1081" s="9"/>
      <c r="BV1081" s="9"/>
      <c r="BW1081" s="9"/>
      <c r="BX1081" s="9"/>
      <c r="BY1081" s="9"/>
      <c r="BZ1081" s="9"/>
      <c r="CA1081" s="9"/>
      <c r="CB1081" s="9"/>
      <c r="CC1081" s="9"/>
      <c r="CD1081" s="9"/>
      <c r="CE1081" s="9"/>
      <c r="CF1081" s="9"/>
      <c r="CG1081" s="9"/>
    </row>
    <row r="1082" spans="1:85" ht="18" customHeight="1" x14ac:dyDescent="0.3">
      <c r="A1082" s="9">
        <f t="shared" si="80"/>
        <v>1081</v>
      </c>
      <c r="B1082" s="9" t="str">
        <f t="shared" si="81"/>
        <v/>
      </c>
      <c r="C1082" s="9"/>
      <c r="D1082" s="9"/>
      <c r="E1082" s="9">
        <f t="shared" si="82"/>
        <v>0</v>
      </c>
      <c r="F1082" s="9"/>
      <c r="G1082" s="9"/>
      <c r="H1082" s="9"/>
      <c r="I1082" s="9"/>
      <c r="J1082" s="9"/>
      <c r="K1082" s="9"/>
      <c r="L1082" s="9"/>
      <c r="M1082" s="9"/>
      <c r="N1082" s="9" t="str">
        <f t="shared" si="83"/>
        <v>NO</v>
      </c>
      <c r="O1082" s="9" t="str">
        <f t="shared" si="84"/>
        <v>🟡</v>
      </c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  <c r="BA1082" s="9"/>
      <c r="BB1082" s="9"/>
      <c r="BC1082" s="9"/>
      <c r="BD1082" s="9"/>
      <c r="BE1082" s="9"/>
      <c r="BF1082" s="9"/>
      <c r="BG1082" s="9"/>
      <c r="BH1082" s="9"/>
      <c r="BI1082" s="9"/>
      <c r="BJ1082" s="9"/>
      <c r="BK1082" s="9"/>
      <c r="BL1082" s="9"/>
      <c r="BM1082" s="9"/>
      <c r="BN1082" s="9"/>
      <c r="BO1082" s="9"/>
      <c r="BP1082" s="9"/>
      <c r="BQ1082" s="9"/>
      <c r="BR1082" s="9"/>
      <c r="BS1082" s="9"/>
      <c r="BT1082" s="9"/>
      <c r="BU1082" s="9"/>
      <c r="BV1082" s="9"/>
      <c r="BW1082" s="9"/>
      <c r="BX1082" s="9"/>
      <c r="BY1082" s="9"/>
      <c r="BZ1082" s="9"/>
      <c r="CA1082" s="9"/>
      <c r="CB1082" s="9"/>
      <c r="CC1082" s="9"/>
      <c r="CD1082" s="9"/>
      <c r="CE1082" s="9"/>
      <c r="CF1082" s="9"/>
      <c r="CG1082" s="9"/>
    </row>
    <row r="1083" spans="1:85" ht="18" customHeight="1" x14ac:dyDescent="0.3">
      <c r="A1083" s="9">
        <f t="shared" si="80"/>
        <v>1082</v>
      </c>
      <c r="B1083" s="9" t="str">
        <f t="shared" si="81"/>
        <v/>
      </c>
      <c r="C1083" s="9"/>
      <c r="D1083" s="9"/>
      <c r="E1083" s="9">
        <f t="shared" si="82"/>
        <v>0</v>
      </c>
      <c r="F1083" s="9"/>
      <c r="G1083" s="9"/>
      <c r="H1083" s="9"/>
      <c r="I1083" s="9"/>
      <c r="J1083" s="9"/>
      <c r="K1083" s="9"/>
      <c r="L1083" s="9"/>
      <c r="M1083" s="9"/>
      <c r="N1083" s="9" t="str">
        <f t="shared" si="83"/>
        <v>NO</v>
      </c>
      <c r="O1083" s="9" t="str">
        <f t="shared" si="84"/>
        <v>🟡</v>
      </c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  <c r="BA1083" s="9"/>
      <c r="BB1083" s="9"/>
      <c r="BC1083" s="9"/>
      <c r="BD1083" s="9"/>
      <c r="BE1083" s="9"/>
      <c r="BF1083" s="9"/>
      <c r="BG1083" s="9"/>
      <c r="BH1083" s="9"/>
      <c r="BI1083" s="9"/>
      <c r="BJ1083" s="9"/>
      <c r="BK1083" s="9"/>
      <c r="BL1083" s="9"/>
      <c r="BM1083" s="9"/>
      <c r="BN1083" s="9"/>
      <c r="BO1083" s="9"/>
      <c r="BP1083" s="9"/>
      <c r="BQ1083" s="9"/>
      <c r="BR1083" s="9"/>
      <c r="BS1083" s="9"/>
      <c r="BT1083" s="9"/>
      <c r="BU1083" s="9"/>
      <c r="BV1083" s="9"/>
      <c r="BW1083" s="9"/>
      <c r="BX1083" s="9"/>
      <c r="BY1083" s="9"/>
      <c r="BZ1083" s="9"/>
      <c r="CA1083" s="9"/>
      <c r="CB1083" s="9"/>
      <c r="CC1083" s="9"/>
      <c r="CD1083" s="9"/>
      <c r="CE1083" s="9"/>
      <c r="CF1083" s="9"/>
      <c r="CG1083" s="9"/>
    </row>
    <row r="1084" spans="1:85" ht="18" customHeight="1" x14ac:dyDescent="0.3">
      <c r="A1084" s="9">
        <f t="shared" si="80"/>
        <v>1083</v>
      </c>
      <c r="B1084" s="9" t="str">
        <f t="shared" si="81"/>
        <v/>
      </c>
      <c r="C1084" s="9"/>
      <c r="D1084" s="9"/>
      <c r="E1084" s="9">
        <f t="shared" si="82"/>
        <v>0</v>
      </c>
      <c r="F1084" s="9"/>
      <c r="G1084" s="9"/>
      <c r="H1084" s="9"/>
      <c r="I1084" s="9"/>
      <c r="J1084" s="9"/>
      <c r="K1084" s="9"/>
      <c r="L1084" s="9"/>
      <c r="M1084" s="9"/>
      <c r="N1084" s="9" t="str">
        <f t="shared" si="83"/>
        <v>NO</v>
      </c>
      <c r="O1084" s="9" t="str">
        <f t="shared" si="84"/>
        <v>🟡</v>
      </c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  <c r="BA1084" s="9"/>
      <c r="BB1084" s="9"/>
      <c r="BC1084" s="9"/>
      <c r="BD1084" s="9"/>
      <c r="BE1084" s="9"/>
      <c r="BF1084" s="9"/>
      <c r="BG1084" s="9"/>
      <c r="BH1084" s="9"/>
      <c r="BI1084" s="9"/>
      <c r="BJ1084" s="9"/>
      <c r="BK1084" s="9"/>
      <c r="BL1084" s="9"/>
      <c r="BM1084" s="9"/>
      <c r="BN1084" s="9"/>
      <c r="BO1084" s="9"/>
      <c r="BP1084" s="9"/>
      <c r="BQ1084" s="9"/>
      <c r="BR1084" s="9"/>
      <c r="BS1084" s="9"/>
      <c r="BT1084" s="9"/>
      <c r="BU1084" s="9"/>
      <c r="BV1084" s="9"/>
      <c r="BW1084" s="9"/>
      <c r="BX1084" s="9"/>
      <c r="BY1084" s="9"/>
      <c r="BZ1084" s="9"/>
      <c r="CA1084" s="9"/>
      <c r="CB1084" s="9"/>
      <c r="CC1084" s="9"/>
      <c r="CD1084" s="9"/>
      <c r="CE1084" s="9"/>
      <c r="CF1084" s="9"/>
      <c r="CG1084" s="9"/>
    </row>
    <row r="1085" spans="1:85" ht="18" customHeight="1" x14ac:dyDescent="0.3">
      <c r="A1085" s="9">
        <f t="shared" si="80"/>
        <v>1084</v>
      </c>
      <c r="B1085" s="9" t="str">
        <f t="shared" si="81"/>
        <v/>
      </c>
      <c r="C1085" s="9"/>
      <c r="D1085" s="9"/>
      <c r="E1085" s="9">
        <f t="shared" si="82"/>
        <v>0</v>
      </c>
      <c r="F1085" s="9"/>
      <c r="G1085" s="9"/>
      <c r="H1085" s="9"/>
      <c r="I1085" s="9"/>
      <c r="J1085" s="9"/>
      <c r="K1085" s="9"/>
      <c r="L1085" s="9"/>
      <c r="M1085" s="9"/>
      <c r="N1085" s="9" t="str">
        <f t="shared" si="83"/>
        <v>NO</v>
      </c>
      <c r="O1085" s="9" t="str">
        <f t="shared" si="84"/>
        <v>🟡</v>
      </c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  <c r="BA1085" s="9"/>
      <c r="BB1085" s="9"/>
      <c r="BC1085" s="9"/>
      <c r="BD1085" s="9"/>
      <c r="BE1085" s="9"/>
      <c r="BF1085" s="9"/>
      <c r="BG1085" s="9"/>
      <c r="BH1085" s="9"/>
      <c r="BI1085" s="9"/>
      <c r="BJ1085" s="9"/>
      <c r="BK1085" s="9"/>
      <c r="BL1085" s="9"/>
      <c r="BM1085" s="9"/>
      <c r="BN1085" s="9"/>
      <c r="BO1085" s="9"/>
      <c r="BP1085" s="9"/>
      <c r="BQ1085" s="9"/>
      <c r="BR1085" s="9"/>
      <c r="BS1085" s="9"/>
      <c r="BT1085" s="9"/>
      <c r="BU1085" s="9"/>
      <c r="BV1085" s="9"/>
      <c r="BW1085" s="9"/>
      <c r="BX1085" s="9"/>
      <c r="BY1085" s="9"/>
      <c r="BZ1085" s="9"/>
      <c r="CA1085" s="9"/>
      <c r="CB1085" s="9"/>
      <c r="CC1085" s="9"/>
      <c r="CD1085" s="9"/>
      <c r="CE1085" s="9"/>
      <c r="CF1085" s="9"/>
      <c r="CG1085" s="9"/>
    </row>
    <row r="1086" spans="1:85" ht="18" customHeight="1" x14ac:dyDescent="0.3">
      <c r="A1086" s="9">
        <f t="shared" si="80"/>
        <v>1085</v>
      </c>
      <c r="B1086" s="9" t="str">
        <f t="shared" si="81"/>
        <v/>
      </c>
      <c r="C1086" s="9"/>
      <c r="D1086" s="9"/>
      <c r="E1086" s="9">
        <f t="shared" si="82"/>
        <v>0</v>
      </c>
      <c r="F1086" s="9"/>
      <c r="G1086" s="9"/>
      <c r="H1086" s="9"/>
      <c r="I1086" s="9"/>
      <c r="J1086" s="9"/>
      <c r="K1086" s="9"/>
      <c r="L1086" s="9"/>
      <c r="M1086" s="9"/>
      <c r="N1086" s="9" t="str">
        <f t="shared" si="83"/>
        <v>NO</v>
      </c>
      <c r="O1086" s="9" t="str">
        <f t="shared" si="84"/>
        <v>🟡</v>
      </c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  <c r="BA1086" s="9"/>
      <c r="BB1086" s="9"/>
      <c r="BC1086" s="9"/>
      <c r="BD1086" s="9"/>
      <c r="BE1086" s="9"/>
      <c r="BF1086" s="9"/>
      <c r="BG1086" s="9"/>
      <c r="BH1086" s="9"/>
      <c r="BI1086" s="9"/>
      <c r="BJ1086" s="9"/>
      <c r="BK1086" s="9"/>
      <c r="BL1086" s="9"/>
      <c r="BM1086" s="9"/>
      <c r="BN1086" s="9"/>
      <c r="BO1086" s="9"/>
      <c r="BP1086" s="9"/>
      <c r="BQ1086" s="9"/>
      <c r="BR1086" s="9"/>
      <c r="BS1086" s="9"/>
      <c r="BT1086" s="9"/>
      <c r="BU1086" s="9"/>
      <c r="BV1086" s="9"/>
      <c r="BW1086" s="9"/>
      <c r="BX1086" s="9"/>
      <c r="BY1086" s="9"/>
      <c r="BZ1086" s="9"/>
      <c r="CA1086" s="9"/>
      <c r="CB1086" s="9"/>
      <c r="CC1086" s="9"/>
      <c r="CD1086" s="9"/>
      <c r="CE1086" s="9"/>
      <c r="CF1086" s="9"/>
      <c r="CG1086" s="9"/>
    </row>
    <row r="1087" spans="1:85" ht="18" customHeight="1" x14ac:dyDescent="0.3">
      <c r="A1087" s="9">
        <f t="shared" si="80"/>
        <v>1086</v>
      </c>
      <c r="B1087" s="9" t="str">
        <f t="shared" si="81"/>
        <v/>
      </c>
      <c r="C1087" s="9"/>
      <c r="D1087" s="9"/>
      <c r="E1087" s="9">
        <f t="shared" si="82"/>
        <v>0</v>
      </c>
      <c r="F1087" s="9"/>
      <c r="G1087" s="9"/>
      <c r="H1087" s="9"/>
      <c r="I1087" s="9"/>
      <c r="J1087" s="9"/>
      <c r="K1087" s="9"/>
      <c r="L1087" s="9"/>
      <c r="M1087" s="9"/>
      <c r="N1087" s="9" t="str">
        <f t="shared" si="83"/>
        <v>NO</v>
      </c>
      <c r="O1087" s="9" t="str">
        <f t="shared" si="84"/>
        <v>🟡</v>
      </c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  <c r="BA1087" s="9"/>
      <c r="BB1087" s="9"/>
      <c r="BC1087" s="9"/>
      <c r="BD1087" s="9"/>
      <c r="BE1087" s="9"/>
      <c r="BF1087" s="9"/>
      <c r="BG1087" s="9"/>
      <c r="BH1087" s="9"/>
      <c r="BI1087" s="9"/>
      <c r="BJ1087" s="9"/>
      <c r="BK1087" s="9"/>
      <c r="BL1087" s="9"/>
      <c r="BM1087" s="9"/>
      <c r="BN1087" s="9"/>
      <c r="BO1087" s="9"/>
      <c r="BP1087" s="9"/>
      <c r="BQ1087" s="9"/>
      <c r="BR1087" s="9"/>
      <c r="BS1087" s="9"/>
      <c r="BT1087" s="9"/>
      <c r="BU1087" s="9"/>
      <c r="BV1087" s="9"/>
      <c r="BW1087" s="9"/>
      <c r="BX1087" s="9"/>
      <c r="BY1087" s="9"/>
      <c r="BZ1087" s="9"/>
      <c r="CA1087" s="9"/>
      <c r="CB1087" s="9"/>
      <c r="CC1087" s="9"/>
      <c r="CD1087" s="9"/>
      <c r="CE1087" s="9"/>
      <c r="CF1087" s="9"/>
      <c r="CG1087" s="9"/>
    </row>
    <row r="1088" spans="1:85" ht="18" customHeight="1" x14ac:dyDescent="0.3">
      <c r="A1088" s="9">
        <f t="shared" si="80"/>
        <v>1087</v>
      </c>
      <c r="B1088" s="9" t="str">
        <f t="shared" si="81"/>
        <v/>
      </c>
      <c r="C1088" s="9"/>
      <c r="D1088" s="9"/>
      <c r="E1088" s="9">
        <f t="shared" si="82"/>
        <v>0</v>
      </c>
      <c r="F1088" s="9"/>
      <c r="G1088" s="9"/>
      <c r="H1088" s="9"/>
      <c r="I1088" s="9"/>
      <c r="J1088" s="9"/>
      <c r="K1088" s="9"/>
      <c r="L1088" s="9"/>
      <c r="M1088" s="9"/>
      <c r="N1088" s="9" t="str">
        <f t="shared" si="83"/>
        <v>NO</v>
      </c>
      <c r="O1088" s="9" t="str">
        <f t="shared" si="84"/>
        <v>🟡</v>
      </c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  <c r="BA1088" s="9"/>
      <c r="BB1088" s="9"/>
      <c r="BC1088" s="9"/>
      <c r="BD1088" s="9"/>
      <c r="BE1088" s="9"/>
      <c r="BF1088" s="9"/>
      <c r="BG1088" s="9"/>
      <c r="BH1088" s="9"/>
      <c r="BI1088" s="9"/>
      <c r="BJ1088" s="9"/>
      <c r="BK1088" s="9"/>
      <c r="BL1088" s="9"/>
      <c r="BM1088" s="9"/>
      <c r="BN1088" s="9"/>
      <c r="BO1088" s="9"/>
      <c r="BP1088" s="9"/>
      <c r="BQ1088" s="9"/>
      <c r="BR1088" s="9"/>
      <c r="BS1088" s="9"/>
      <c r="BT1088" s="9"/>
      <c r="BU1088" s="9"/>
      <c r="BV1088" s="9"/>
      <c r="BW1088" s="9"/>
      <c r="BX1088" s="9"/>
      <c r="BY1088" s="9"/>
      <c r="BZ1088" s="9"/>
      <c r="CA1088" s="9"/>
      <c r="CB1088" s="9"/>
      <c r="CC1088" s="9"/>
      <c r="CD1088" s="9"/>
      <c r="CE1088" s="9"/>
      <c r="CF1088" s="9"/>
      <c r="CG1088" s="9"/>
    </row>
    <row r="1089" spans="1:85" ht="18" customHeight="1" x14ac:dyDescent="0.3">
      <c r="A1089" s="9">
        <f t="shared" ref="A1089:A1152" si="85">IF(COUNTA(C1089:K1089)=0,"",ROW()-1)</f>
        <v>1088</v>
      </c>
      <c r="B1089" s="9" t="str">
        <f t="shared" ref="B1089:B1152" si="86">IF($F1089&lt;&gt;"",$A1089,"")</f>
        <v/>
      </c>
      <c r="C1089" s="9"/>
      <c r="D1089" s="9"/>
      <c r="E1089" s="9">
        <f t="shared" ref="E1089:E1152" si="87">IF(UPPER($J1089)="NO","",$M1089)</f>
        <v>0</v>
      </c>
      <c r="F1089" s="9"/>
      <c r="G1089" s="9"/>
      <c r="H1089" s="9"/>
      <c r="I1089" s="9"/>
      <c r="J1089" s="9"/>
      <c r="K1089" s="9"/>
      <c r="L1089" s="9"/>
      <c r="M1089" s="9"/>
      <c r="N1089" s="9" t="str">
        <f t="shared" ref="N1089:N1152" si="88">IF(AND(UPPER($M1089)="VIP",UPPER($J1089)="SI",$F1089&lt;&gt;""),"SI","NO")</f>
        <v>NO</v>
      </c>
      <c r="O1089" s="9" t="str">
        <f t="shared" ref="O1089:O1152" si="89">IF(UPPER($J1089)="SI","🟢",IF(UPPER($J1089)="NO","🔴","🟡"))</f>
        <v>🟡</v>
      </c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  <c r="BA1089" s="9"/>
      <c r="BB1089" s="9"/>
      <c r="BC1089" s="9"/>
      <c r="BD1089" s="9"/>
      <c r="BE1089" s="9"/>
      <c r="BF1089" s="9"/>
      <c r="BG1089" s="9"/>
      <c r="BH1089" s="9"/>
      <c r="BI1089" s="9"/>
      <c r="BJ1089" s="9"/>
      <c r="BK1089" s="9"/>
      <c r="BL1089" s="9"/>
      <c r="BM1089" s="9"/>
      <c r="BN1089" s="9"/>
      <c r="BO1089" s="9"/>
      <c r="BP1089" s="9"/>
      <c r="BQ1089" s="9"/>
      <c r="BR1089" s="9"/>
      <c r="BS1089" s="9"/>
      <c r="BT1089" s="9"/>
      <c r="BU1089" s="9"/>
      <c r="BV1089" s="9"/>
      <c r="BW1089" s="9"/>
      <c r="BX1089" s="9"/>
      <c r="BY1089" s="9"/>
      <c r="BZ1089" s="9"/>
      <c r="CA1089" s="9"/>
      <c r="CB1089" s="9"/>
      <c r="CC1089" s="9"/>
      <c r="CD1089" s="9"/>
      <c r="CE1089" s="9"/>
      <c r="CF1089" s="9"/>
      <c r="CG1089" s="9"/>
    </row>
    <row r="1090" spans="1:85" ht="18" customHeight="1" x14ac:dyDescent="0.3">
      <c r="A1090" s="9">
        <f t="shared" si="85"/>
        <v>1089</v>
      </c>
      <c r="B1090" s="9" t="str">
        <f t="shared" si="86"/>
        <v/>
      </c>
      <c r="C1090" s="9"/>
      <c r="D1090" s="9"/>
      <c r="E1090" s="9">
        <f t="shared" si="87"/>
        <v>0</v>
      </c>
      <c r="F1090" s="9"/>
      <c r="G1090" s="9"/>
      <c r="H1090" s="9"/>
      <c r="I1090" s="9"/>
      <c r="J1090" s="9"/>
      <c r="K1090" s="9"/>
      <c r="L1090" s="9"/>
      <c r="M1090" s="9"/>
      <c r="N1090" s="9" t="str">
        <f t="shared" si="88"/>
        <v>NO</v>
      </c>
      <c r="O1090" s="9" t="str">
        <f t="shared" si="89"/>
        <v>🟡</v>
      </c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  <c r="BA1090" s="9"/>
      <c r="BB1090" s="9"/>
      <c r="BC1090" s="9"/>
      <c r="BD1090" s="9"/>
      <c r="BE1090" s="9"/>
      <c r="BF1090" s="9"/>
      <c r="BG1090" s="9"/>
      <c r="BH1090" s="9"/>
      <c r="BI1090" s="9"/>
      <c r="BJ1090" s="9"/>
      <c r="BK1090" s="9"/>
      <c r="BL1090" s="9"/>
      <c r="BM1090" s="9"/>
      <c r="BN1090" s="9"/>
      <c r="BO1090" s="9"/>
      <c r="BP1090" s="9"/>
      <c r="BQ1090" s="9"/>
      <c r="BR1090" s="9"/>
      <c r="BS1090" s="9"/>
      <c r="BT1090" s="9"/>
      <c r="BU1090" s="9"/>
      <c r="BV1090" s="9"/>
      <c r="BW1090" s="9"/>
      <c r="BX1090" s="9"/>
      <c r="BY1090" s="9"/>
      <c r="BZ1090" s="9"/>
      <c r="CA1090" s="9"/>
      <c r="CB1090" s="9"/>
      <c r="CC1090" s="9"/>
      <c r="CD1090" s="9"/>
      <c r="CE1090" s="9"/>
      <c r="CF1090" s="9"/>
      <c r="CG1090" s="9"/>
    </row>
    <row r="1091" spans="1:85" ht="18" customHeight="1" x14ac:dyDescent="0.3">
      <c r="A1091" s="9">
        <f t="shared" si="85"/>
        <v>1090</v>
      </c>
      <c r="B1091" s="9" t="str">
        <f t="shared" si="86"/>
        <v/>
      </c>
      <c r="C1091" s="9"/>
      <c r="D1091" s="9"/>
      <c r="E1091" s="9">
        <f t="shared" si="87"/>
        <v>0</v>
      </c>
      <c r="F1091" s="9"/>
      <c r="G1091" s="9"/>
      <c r="H1091" s="9"/>
      <c r="I1091" s="9"/>
      <c r="J1091" s="9"/>
      <c r="K1091" s="9"/>
      <c r="L1091" s="9"/>
      <c r="M1091" s="9"/>
      <c r="N1091" s="9" t="str">
        <f t="shared" si="88"/>
        <v>NO</v>
      </c>
      <c r="O1091" s="9" t="str">
        <f t="shared" si="89"/>
        <v>🟡</v>
      </c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  <c r="BA1091" s="9"/>
      <c r="BB1091" s="9"/>
      <c r="BC1091" s="9"/>
      <c r="BD1091" s="9"/>
      <c r="BE1091" s="9"/>
      <c r="BF1091" s="9"/>
      <c r="BG1091" s="9"/>
      <c r="BH1091" s="9"/>
      <c r="BI1091" s="9"/>
      <c r="BJ1091" s="9"/>
      <c r="BK1091" s="9"/>
      <c r="BL1091" s="9"/>
      <c r="BM1091" s="9"/>
      <c r="BN1091" s="9"/>
      <c r="BO1091" s="9"/>
      <c r="BP1091" s="9"/>
      <c r="BQ1091" s="9"/>
      <c r="BR1091" s="9"/>
      <c r="BS1091" s="9"/>
      <c r="BT1091" s="9"/>
      <c r="BU1091" s="9"/>
      <c r="BV1091" s="9"/>
      <c r="BW1091" s="9"/>
      <c r="BX1091" s="9"/>
      <c r="BY1091" s="9"/>
      <c r="BZ1091" s="9"/>
      <c r="CA1091" s="9"/>
      <c r="CB1091" s="9"/>
      <c r="CC1091" s="9"/>
      <c r="CD1091" s="9"/>
      <c r="CE1091" s="9"/>
      <c r="CF1091" s="9"/>
      <c r="CG1091" s="9"/>
    </row>
    <row r="1092" spans="1:85" ht="18" customHeight="1" x14ac:dyDescent="0.3">
      <c r="A1092" s="9">
        <f t="shared" si="85"/>
        <v>1091</v>
      </c>
      <c r="B1092" s="9" t="str">
        <f t="shared" si="86"/>
        <v/>
      </c>
      <c r="C1092" s="9"/>
      <c r="D1092" s="9"/>
      <c r="E1092" s="9">
        <f t="shared" si="87"/>
        <v>0</v>
      </c>
      <c r="F1092" s="9"/>
      <c r="G1092" s="9"/>
      <c r="H1092" s="9"/>
      <c r="I1092" s="9"/>
      <c r="J1092" s="9"/>
      <c r="K1092" s="9"/>
      <c r="L1092" s="9"/>
      <c r="M1092" s="9"/>
      <c r="N1092" s="9" t="str">
        <f t="shared" si="88"/>
        <v>NO</v>
      </c>
      <c r="O1092" s="9" t="str">
        <f t="shared" si="89"/>
        <v>🟡</v>
      </c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  <c r="BA1092" s="9"/>
      <c r="BB1092" s="9"/>
      <c r="BC1092" s="9"/>
      <c r="BD1092" s="9"/>
      <c r="BE1092" s="9"/>
      <c r="BF1092" s="9"/>
      <c r="BG1092" s="9"/>
      <c r="BH1092" s="9"/>
      <c r="BI1092" s="9"/>
      <c r="BJ1092" s="9"/>
      <c r="BK1092" s="9"/>
      <c r="BL1092" s="9"/>
      <c r="BM1092" s="9"/>
      <c r="BN1092" s="9"/>
      <c r="BO1092" s="9"/>
      <c r="BP1092" s="9"/>
      <c r="BQ1092" s="9"/>
      <c r="BR1092" s="9"/>
      <c r="BS1092" s="9"/>
      <c r="BT1092" s="9"/>
      <c r="BU1092" s="9"/>
      <c r="BV1092" s="9"/>
      <c r="BW1092" s="9"/>
      <c r="BX1092" s="9"/>
      <c r="BY1092" s="9"/>
      <c r="BZ1092" s="9"/>
      <c r="CA1092" s="9"/>
      <c r="CB1092" s="9"/>
      <c r="CC1092" s="9"/>
      <c r="CD1092" s="9"/>
      <c r="CE1092" s="9"/>
      <c r="CF1092" s="9"/>
      <c r="CG1092" s="9"/>
    </row>
    <row r="1093" spans="1:85" ht="18" customHeight="1" x14ac:dyDescent="0.3">
      <c r="A1093" s="9">
        <f t="shared" si="85"/>
        <v>1092</v>
      </c>
      <c r="B1093" s="9" t="str">
        <f t="shared" si="86"/>
        <v/>
      </c>
      <c r="C1093" s="9"/>
      <c r="D1093" s="9"/>
      <c r="E1093" s="9">
        <f t="shared" si="87"/>
        <v>0</v>
      </c>
      <c r="F1093" s="9"/>
      <c r="G1093" s="9"/>
      <c r="H1093" s="9"/>
      <c r="I1093" s="9"/>
      <c r="J1093" s="9"/>
      <c r="K1093" s="9"/>
      <c r="L1093" s="9"/>
      <c r="M1093" s="9"/>
      <c r="N1093" s="9" t="str">
        <f t="shared" si="88"/>
        <v>NO</v>
      </c>
      <c r="O1093" s="9" t="str">
        <f t="shared" si="89"/>
        <v>🟡</v>
      </c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  <c r="BA1093" s="9"/>
      <c r="BB1093" s="9"/>
      <c r="BC1093" s="9"/>
      <c r="BD1093" s="9"/>
      <c r="BE1093" s="9"/>
      <c r="BF1093" s="9"/>
      <c r="BG1093" s="9"/>
      <c r="BH1093" s="9"/>
      <c r="BI1093" s="9"/>
      <c r="BJ1093" s="9"/>
      <c r="BK1093" s="9"/>
      <c r="BL1093" s="9"/>
      <c r="BM1093" s="9"/>
      <c r="BN1093" s="9"/>
      <c r="BO1093" s="9"/>
      <c r="BP1093" s="9"/>
      <c r="BQ1093" s="9"/>
      <c r="BR1093" s="9"/>
      <c r="BS1093" s="9"/>
      <c r="BT1093" s="9"/>
      <c r="BU1093" s="9"/>
      <c r="BV1093" s="9"/>
      <c r="BW1093" s="9"/>
      <c r="BX1093" s="9"/>
      <c r="BY1093" s="9"/>
      <c r="BZ1093" s="9"/>
      <c r="CA1093" s="9"/>
      <c r="CB1093" s="9"/>
      <c r="CC1093" s="9"/>
      <c r="CD1093" s="9"/>
      <c r="CE1093" s="9"/>
      <c r="CF1093" s="9"/>
      <c r="CG1093" s="9"/>
    </row>
    <row r="1094" spans="1:85" ht="18" customHeight="1" x14ac:dyDescent="0.3">
      <c r="A1094" s="9">
        <f t="shared" si="85"/>
        <v>1093</v>
      </c>
      <c r="B1094" s="9" t="str">
        <f t="shared" si="86"/>
        <v/>
      </c>
      <c r="C1094" s="9"/>
      <c r="D1094" s="9"/>
      <c r="E1094" s="9">
        <f t="shared" si="87"/>
        <v>0</v>
      </c>
      <c r="F1094" s="9"/>
      <c r="G1094" s="9"/>
      <c r="H1094" s="9"/>
      <c r="I1094" s="9"/>
      <c r="J1094" s="9"/>
      <c r="K1094" s="9"/>
      <c r="L1094" s="9"/>
      <c r="M1094" s="9"/>
      <c r="N1094" s="9" t="str">
        <f t="shared" si="88"/>
        <v>NO</v>
      </c>
      <c r="O1094" s="9" t="str">
        <f t="shared" si="89"/>
        <v>🟡</v>
      </c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  <c r="BA1094" s="9"/>
      <c r="BB1094" s="9"/>
      <c r="BC1094" s="9"/>
      <c r="BD1094" s="9"/>
      <c r="BE1094" s="9"/>
      <c r="BF1094" s="9"/>
      <c r="BG1094" s="9"/>
      <c r="BH1094" s="9"/>
      <c r="BI1094" s="9"/>
      <c r="BJ1094" s="9"/>
      <c r="BK1094" s="9"/>
      <c r="BL1094" s="9"/>
      <c r="BM1094" s="9"/>
      <c r="BN1094" s="9"/>
      <c r="BO1094" s="9"/>
      <c r="BP1094" s="9"/>
      <c r="BQ1094" s="9"/>
      <c r="BR1094" s="9"/>
      <c r="BS1094" s="9"/>
      <c r="BT1094" s="9"/>
      <c r="BU1094" s="9"/>
      <c r="BV1094" s="9"/>
      <c r="BW1094" s="9"/>
      <c r="BX1094" s="9"/>
      <c r="BY1094" s="9"/>
      <c r="BZ1094" s="9"/>
      <c r="CA1094" s="9"/>
      <c r="CB1094" s="9"/>
      <c r="CC1094" s="9"/>
      <c r="CD1094" s="9"/>
      <c r="CE1094" s="9"/>
      <c r="CF1094" s="9"/>
      <c r="CG1094" s="9"/>
    </row>
    <row r="1095" spans="1:85" ht="18" customHeight="1" x14ac:dyDescent="0.3">
      <c r="A1095" s="9">
        <f t="shared" si="85"/>
        <v>1094</v>
      </c>
      <c r="B1095" s="9" t="str">
        <f t="shared" si="86"/>
        <v/>
      </c>
      <c r="C1095" s="9"/>
      <c r="D1095" s="9"/>
      <c r="E1095" s="9">
        <f t="shared" si="87"/>
        <v>0</v>
      </c>
      <c r="F1095" s="9"/>
      <c r="G1095" s="9"/>
      <c r="H1095" s="9"/>
      <c r="I1095" s="9"/>
      <c r="J1095" s="9"/>
      <c r="K1095" s="9"/>
      <c r="L1095" s="9"/>
      <c r="M1095" s="9"/>
      <c r="N1095" s="9" t="str">
        <f t="shared" si="88"/>
        <v>NO</v>
      </c>
      <c r="O1095" s="9" t="str">
        <f t="shared" si="89"/>
        <v>🟡</v>
      </c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  <c r="BA1095" s="9"/>
      <c r="BB1095" s="9"/>
      <c r="BC1095" s="9"/>
      <c r="BD1095" s="9"/>
      <c r="BE1095" s="9"/>
      <c r="BF1095" s="9"/>
      <c r="BG1095" s="9"/>
      <c r="BH1095" s="9"/>
      <c r="BI1095" s="9"/>
      <c r="BJ1095" s="9"/>
      <c r="BK1095" s="9"/>
      <c r="BL1095" s="9"/>
      <c r="BM1095" s="9"/>
      <c r="BN1095" s="9"/>
      <c r="BO1095" s="9"/>
      <c r="BP1095" s="9"/>
      <c r="BQ1095" s="9"/>
      <c r="BR1095" s="9"/>
      <c r="BS1095" s="9"/>
      <c r="BT1095" s="9"/>
      <c r="BU1095" s="9"/>
      <c r="BV1095" s="9"/>
      <c r="BW1095" s="9"/>
      <c r="BX1095" s="9"/>
      <c r="BY1095" s="9"/>
      <c r="BZ1095" s="9"/>
      <c r="CA1095" s="9"/>
      <c r="CB1095" s="9"/>
      <c r="CC1095" s="9"/>
      <c r="CD1095" s="9"/>
      <c r="CE1095" s="9"/>
      <c r="CF1095" s="9"/>
      <c r="CG1095" s="9"/>
    </row>
    <row r="1096" spans="1:85" ht="18" customHeight="1" x14ac:dyDescent="0.3">
      <c r="A1096" s="9">
        <f t="shared" si="85"/>
        <v>1095</v>
      </c>
      <c r="B1096" s="9" t="str">
        <f t="shared" si="86"/>
        <v/>
      </c>
      <c r="C1096" s="9"/>
      <c r="D1096" s="9"/>
      <c r="E1096" s="9">
        <f t="shared" si="87"/>
        <v>0</v>
      </c>
      <c r="F1096" s="9"/>
      <c r="G1096" s="9"/>
      <c r="H1096" s="9"/>
      <c r="I1096" s="9"/>
      <c r="J1096" s="9"/>
      <c r="K1096" s="9"/>
      <c r="L1096" s="9"/>
      <c r="M1096" s="9"/>
      <c r="N1096" s="9" t="str">
        <f t="shared" si="88"/>
        <v>NO</v>
      </c>
      <c r="O1096" s="9" t="str">
        <f t="shared" si="89"/>
        <v>🟡</v>
      </c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  <c r="BA1096" s="9"/>
      <c r="BB1096" s="9"/>
      <c r="BC1096" s="9"/>
      <c r="BD1096" s="9"/>
      <c r="BE1096" s="9"/>
      <c r="BF1096" s="9"/>
      <c r="BG1096" s="9"/>
      <c r="BH1096" s="9"/>
      <c r="BI1096" s="9"/>
      <c r="BJ1096" s="9"/>
      <c r="BK1096" s="9"/>
      <c r="BL1096" s="9"/>
      <c r="BM1096" s="9"/>
      <c r="BN1096" s="9"/>
      <c r="BO1096" s="9"/>
      <c r="BP1096" s="9"/>
      <c r="BQ1096" s="9"/>
      <c r="BR1096" s="9"/>
      <c r="BS1096" s="9"/>
      <c r="BT1096" s="9"/>
      <c r="BU1096" s="9"/>
      <c r="BV1096" s="9"/>
      <c r="BW1096" s="9"/>
      <c r="BX1096" s="9"/>
      <c r="BY1096" s="9"/>
      <c r="BZ1096" s="9"/>
      <c r="CA1096" s="9"/>
      <c r="CB1096" s="9"/>
      <c r="CC1096" s="9"/>
      <c r="CD1096" s="9"/>
      <c r="CE1096" s="9"/>
      <c r="CF1096" s="9"/>
      <c r="CG1096" s="9"/>
    </row>
    <row r="1097" spans="1:85" ht="18" customHeight="1" x14ac:dyDescent="0.3">
      <c r="A1097" s="9">
        <f t="shared" si="85"/>
        <v>1096</v>
      </c>
      <c r="B1097" s="9" t="str">
        <f t="shared" si="86"/>
        <v/>
      </c>
      <c r="C1097" s="9"/>
      <c r="D1097" s="9"/>
      <c r="E1097" s="9">
        <f t="shared" si="87"/>
        <v>0</v>
      </c>
      <c r="F1097" s="9"/>
      <c r="G1097" s="9"/>
      <c r="H1097" s="9"/>
      <c r="I1097" s="9"/>
      <c r="J1097" s="9"/>
      <c r="K1097" s="9"/>
      <c r="L1097" s="9"/>
      <c r="M1097" s="9"/>
      <c r="N1097" s="9" t="str">
        <f t="shared" si="88"/>
        <v>NO</v>
      </c>
      <c r="O1097" s="9" t="str">
        <f t="shared" si="89"/>
        <v>🟡</v>
      </c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  <c r="BA1097" s="9"/>
      <c r="BB1097" s="9"/>
      <c r="BC1097" s="9"/>
      <c r="BD1097" s="9"/>
      <c r="BE1097" s="9"/>
      <c r="BF1097" s="9"/>
      <c r="BG1097" s="9"/>
      <c r="BH1097" s="9"/>
      <c r="BI1097" s="9"/>
      <c r="BJ1097" s="9"/>
      <c r="BK1097" s="9"/>
      <c r="BL1097" s="9"/>
      <c r="BM1097" s="9"/>
      <c r="BN1097" s="9"/>
      <c r="BO1097" s="9"/>
      <c r="BP1097" s="9"/>
      <c r="BQ1097" s="9"/>
      <c r="BR1097" s="9"/>
      <c r="BS1097" s="9"/>
      <c r="BT1097" s="9"/>
      <c r="BU1097" s="9"/>
      <c r="BV1097" s="9"/>
      <c r="BW1097" s="9"/>
      <c r="BX1097" s="9"/>
      <c r="BY1097" s="9"/>
      <c r="BZ1097" s="9"/>
      <c r="CA1097" s="9"/>
      <c r="CB1097" s="9"/>
      <c r="CC1097" s="9"/>
      <c r="CD1097" s="9"/>
      <c r="CE1097" s="9"/>
      <c r="CF1097" s="9"/>
      <c r="CG1097" s="9"/>
    </row>
    <row r="1098" spans="1:85" ht="18" customHeight="1" x14ac:dyDescent="0.3">
      <c r="A1098" s="9">
        <f t="shared" si="85"/>
        <v>1097</v>
      </c>
      <c r="B1098" s="9" t="str">
        <f t="shared" si="86"/>
        <v/>
      </c>
      <c r="C1098" s="9"/>
      <c r="D1098" s="9"/>
      <c r="E1098" s="9">
        <f t="shared" si="87"/>
        <v>0</v>
      </c>
      <c r="F1098" s="9"/>
      <c r="G1098" s="9"/>
      <c r="H1098" s="9"/>
      <c r="I1098" s="9"/>
      <c r="J1098" s="9"/>
      <c r="K1098" s="9"/>
      <c r="L1098" s="9"/>
      <c r="M1098" s="9"/>
      <c r="N1098" s="9" t="str">
        <f t="shared" si="88"/>
        <v>NO</v>
      </c>
      <c r="O1098" s="9" t="str">
        <f t="shared" si="89"/>
        <v>🟡</v>
      </c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  <c r="BA1098" s="9"/>
      <c r="BB1098" s="9"/>
      <c r="BC1098" s="9"/>
      <c r="BD1098" s="9"/>
      <c r="BE1098" s="9"/>
      <c r="BF1098" s="9"/>
      <c r="BG1098" s="9"/>
      <c r="BH1098" s="9"/>
      <c r="BI1098" s="9"/>
      <c r="BJ1098" s="9"/>
      <c r="BK1098" s="9"/>
      <c r="BL1098" s="9"/>
      <c r="BM1098" s="9"/>
      <c r="BN1098" s="9"/>
      <c r="BO1098" s="9"/>
      <c r="BP1098" s="9"/>
      <c r="BQ1098" s="9"/>
      <c r="BR1098" s="9"/>
      <c r="BS1098" s="9"/>
      <c r="BT1098" s="9"/>
      <c r="BU1098" s="9"/>
      <c r="BV1098" s="9"/>
      <c r="BW1098" s="9"/>
      <c r="BX1098" s="9"/>
      <c r="BY1098" s="9"/>
      <c r="BZ1098" s="9"/>
      <c r="CA1098" s="9"/>
      <c r="CB1098" s="9"/>
      <c r="CC1098" s="9"/>
      <c r="CD1098" s="9"/>
      <c r="CE1098" s="9"/>
      <c r="CF1098" s="9"/>
      <c r="CG1098" s="9"/>
    </row>
    <row r="1099" spans="1:85" ht="18" customHeight="1" x14ac:dyDescent="0.3">
      <c r="A1099" s="9">
        <f t="shared" si="85"/>
        <v>1098</v>
      </c>
      <c r="B1099" s="9" t="str">
        <f t="shared" si="86"/>
        <v/>
      </c>
      <c r="C1099" s="9"/>
      <c r="D1099" s="9"/>
      <c r="E1099" s="9">
        <f t="shared" si="87"/>
        <v>0</v>
      </c>
      <c r="F1099" s="9"/>
      <c r="G1099" s="9"/>
      <c r="H1099" s="9"/>
      <c r="I1099" s="9"/>
      <c r="J1099" s="9"/>
      <c r="K1099" s="9"/>
      <c r="L1099" s="9"/>
      <c r="M1099" s="9"/>
      <c r="N1099" s="9" t="str">
        <f t="shared" si="88"/>
        <v>NO</v>
      </c>
      <c r="O1099" s="9" t="str">
        <f t="shared" si="89"/>
        <v>🟡</v>
      </c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  <c r="BA1099" s="9"/>
      <c r="BB1099" s="9"/>
      <c r="BC1099" s="9"/>
      <c r="BD1099" s="9"/>
      <c r="BE1099" s="9"/>
      <c r="BF1099" s="9"/>
      <c r="BG1099" s="9"/>
      <c r="BH1099" s="9"/>
      <c r="BI1099" s="9"/>
      <c r="BJ1099" s="9"/>
      <c r="BK1099" s="9"/>
      <c r="BL1099" s="9"/>
      <c r="BM1099" s="9"/>
      <c r="BN1099" s="9"/>
      <c r="BO1099" s="9"/>
      <c r="BP1099" s="9"/>
      <c r="BQ1099" s="9"/>
      <c r="BR1099" s="9"/>
      <c r="BS1099" s="9"/>
      <c r="BT1099" s="9"/>
      <c r="BU1099" s="9"/>
      <c r="BV1099" s="9"/>
      <c r="BW1099" s="9"/>
      <c r="BX1099" s="9"/>
      <c r="BY1099" s="9"/>
      <c r="BZ1099" s="9"/>
      <c r="CA1099" s="9"/>
      <c r="CB1099" s="9"/>
      <c r="CC1099" s="9"/>
      <c r="CD1099" s="9"/>
      <c r="CE1099" s="9"/>
      <c r="CF1099" s="9"/>
      <c r="CG1099" s="9"/>
    </row>
    <row r="1100" spans="1:85" ht="18" customHeight="1" x14ac:dyDescent="0.3">
      <c r="A1100" s="9">
        <f t="shared" si="85"/>
        <v>1099</v>
      </c>
      <c r="B1100" s="9" t="str">
        <f t="shared" si="86"/>
        <v/>
      </c>
      <c r="C1100" s="9"/>
      <c r="D1100" s="9"/>
      <c r="E1100" s="9">
        <f t="shared" si="87"/>
        <v>0</v>
      </c>
      <c r="F1100" s="9"/>
      <c r="G1100" s="9"/>
      <c r="H1100" s="9"/>
      <c r="I1100" s="9"/>
      <c r="J1100" s="9"/>
      <c r="K1100" s="9"/>
      <c r="L1100" s="9"/>
      <c r="M1100" s="9"/>
      <c r="N1100" s="9" t="str">
        <f t="shared" si="88"/>
        <v>NO</v>
      </c>
      <c r="O1100" s="9" t="str">
        <f t="shared" si="89"/>
        <v>🟡</v>
      </c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  <c r="BA1100" s="9"/>
      <c r="BB1100" s="9"/>
      <c r="BC1100" s="9"/>
      <c r="BD1100" s="9"/>
      <c r="BE1100" s="9"/>
      <c r="BF1100" s="9"/>
      <c r="BG1100" s="9"/>
      <c r="BH1100" s="9"/>
      <c r="BI1100" s="9"/>
      <c r="BJ1100" s="9"/>
      <c r="BK1100" s="9"/>
      <c r="BL1100" s="9"/>
      <c r="BM1100" s="9"/>
      <c r="BN1100" s="9"/>
      <c r="BO1100" s="9"/>
      <c r="BP1100" s="9"/>
      <c r="BQ1100" s="9"/>
      <c r="BR1100" s="9"/>
      <c r="BS1100" s="9"/>
      <c r="BT1100" s="9"/>
      <c r="BU1100" s="9"/>
      <c r="BV1100" s="9"/>
      <c r="BW1100" s="9"/>
      <c r="BX1100" s="9"/>
      <c r="BY1100" s="9"/>
      <c r="BZ1100" s="9"/>
      <c r="CA1100" s="9"/>
      <c r="CB1100" s="9"/>
      <c r="CC1100" s="9"/>
      <c r="CD1100" s="9"/>
      <c r="CE1100" s="9"/>
      <c r="CF1100" s="9"/>
      <c r="CG1100" s="9"/>
    </row>
    <row r="1101" spans="1:85" ht="18" customHeight="1" x14ac:dyDescent="0.3">
      <c r="A1101" s="9">
        <f t="shared" si="85"/>
        <v>1100</v>
      </c>
      <c r="B1101" s="9" t="str">
        <f t="shared" si="86"/>
        <v/>
      </c>
      <c r="C1101" s="9"/>
      <c r="D1101" s="9"/>
      <c r="E1101" s="9">
        <f t="shared" si="87"/>
        <v>0</v>
      </c>
      <c r="F1101" s="9"/>
      <c r="G1101" s="9"/>
      <c r="H1101" s="9"/>
      <c r="I1101" s="9"/>
      <c r="J1101" s="9"/>
      <c r="K1101" s="9"/>
      <c r="L1101" s="9"/>
      <c r="M1101" s="9"/>
      <c r="N1101" s="9" t="str">
        <f t="shared" si="88"/>
        <v>NO</v>
      </c>
      <c r="O1101" s="9" t="str">
        <f t="shared" si="89"/>
        <v>🟡</v>
      </c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  <c r="BA1101" s="9"/>
      <c r="BB1101" s="9"/>
      <c r="BC1101" s="9"/>
      <c r="BD1101" s="9"/>
      <c r="BE1101" s="9"/>
      <c r="BF1101" s="9"/>
      <c r="BG1101" s="9"/>
      <c r="BH1101" s="9"/>
      <c r="BI1101" s="9"/>
      <c r="BJ1101" s="9"/>
      <c r="BK1101" s="9"/>
      <c r="BL1101" s="9"/>
      <c r="BM1101" s="9"/>
      <c r="BN1101" s="9"/>
      <c r="BO1101" s="9"/>
      <c r="BP1101" s="9"/>
      <c r="BQ1101" s="9"/>
      <c r="BR1101" s="9"/>
      <c r="BS1101" s="9"/>
      <c r="BT1101" s="9"/>
      <c r="BU1101" s="9"/>
      <c r="BV1101" s="9"/>
      <c r="BW1101" s="9"/>
      <c r="BX1101" s="9"/>
      <c r="BY1101" s="9"/>
      <c r="BZ1101" s="9"/>
      <c r="CA1101" s="9"/>
      <c r="CB1101" s="9"/>
      <c r="CC1101" s="9"/>
      <c r="CD1101" s="9"/>
      <c r="CE1101" s="9"/>
      <c r="CF1101" s="9"/>
      <c r="CG1101" s="9"/>
    </row>
    <row r="1102" spans="1:85" ht="18" customHeight="1" x14ac:dyDescent="0.3">
      <c r="A1102" s="9">
        <f t="shared" si="85"/>
        <v>1101</v>
      </c>
      <c r="B1102" s="9" t="str">
        <f t="shared" si="86"/>
        <v/>
      </c>
      <c r="C1102" s="9"/>
      <c r="D1102" s="9"/>
      <c r="E1102" s="9">
        <f t="shared" si="87"/>
        <v>0</v>
      </c>
      <c r="F1102" s="9"/>
      <c r="G1102" s="9"/>
      <c r="H1102" s="9"/>
      <c r="I1102" s="9"/>
      <c r="J1102" s="9"/>
      <c r="K1102" s="9"/>
      <c r="L1102" s="9"/>
      <c r="M1102" s="9"/>
      <c r="N1102" s="9" t="str">
        <f t="shared" si="88"/>
        <v>NO</v>
      </c>
      <c r="O1102" s="9" t="str">
        <f t="shared" si="89"/>
        <v>🟡</v>
      </c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  <c r="BA1102" s="9"/>
      <c r="BB1102" s="9"/>
      <c r="BC1102" s="9"/>
      <c r="BD1102" s="9"/>
      <c r="BE1102" s="9"/>
      <c r="BF1102" s="9"/>
      <c r="BG1102" s="9"/>
      <c r="BH1102" s="9"/>
      <c r="BI1102" s="9"/>
      <c r="BJ1102" s="9"/>
      <c r="BK1102" s="9"/>
      <c r="BL1102" s="9"/>
      <c r="BM1102" s="9"/>
      <c r="BN1102" s="9"/>
      <c r="BO1102" s="9"/>
      <c r="BP1102" s="9"/>
      <c r="BQ1102" s="9"/>
      <c r="BR1102" s="9"/>
      <c r="BS1102" s="9"/>
      <c r="BT1102" s="9"/>
      <c r="BU1102" s="9"/>
      <c r="BV1102" s="9"/>
      <c r="BW1102" s="9"/>
      <c r="BX1102" s="9"/>
      <c r="BY1102" s="9"/>
      <c r="BZ1102" s="9"/>
      <c r="CA1102" s="9"/>
      <c r="CB1102" s="9"/>
      <c r="CC1102" s="9"/>
      <c r="CD1102" s="9"/>
      <c r="CE1102" s="9"/>
      <c r="CF1102" s="9"/>
      <c r="CG1102" s="9"/>
    </row>
    <row r="1103" spans="1:85" ht="18" customHeight="1" x14ac:dyDescent="0.3">
      <c r="A1103" s="9">
        <f t="shared" si="85"/>
        <v>1102</v>
      </c>
      <c r="B1103" s="9" t="str">
        <f t="shared" si="86"/>
        <v/>
      </c>
      <c r="C1103" s="9"/>
      <c r="D1103" s="9"/>
      <c r="E1103" s="9">
        <f t="shared" si="87"/>
        <v>0</v>
      </c>
      <c r="F1103" s="9"/>
      <c r="G1103" s="9"/>
      <c r="H1103" s="9"/>
      <c r="I1103" s="9"/>
      <c r="J1103" s="9"/>
      <c r="K1103" s="9"/>
      <c r="L1103" s="9"/>
      <c r="M1103" s="9"/>
      <c r="N1103" s="9" t="str">
        <f t="shared" si="88"/>
        <v>NO</v>
      </c>
      <c r="O1103" s="9" t="str">
        <f t="shared" si="89"/>
        <v>🟡</v>
      </c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  <c r="BA1103" s="9"/>
      <c r="BB1103" s="9"/>
      <c r="BC1103" s="9"/>
      <c r="BD1103" s="9"/>
      <c r="BE1103" s="9"/>
      <c r="BF1103" s="9"/>
      <c r="BG1103" s="9"/>
      <c r="BH1103" s="9"/>
      <c r="BI1103" s="9"/>
      <c r="BJ1103" s="9"/>
      <c r="BK1103" s="9"/>
      <c r="BL1103" s="9"/>
      <c r="BM1103" s="9"/>
      <c r="BN1103" s="9"/>
      <c r="BO1103" s="9"/>
      <c r="BP1103" s="9"/>
      <c r="BQ1103" s="9"/>
      <c r="BR1103" s="9"/>
      <c r="BS1103" s="9"/>
      <c r="BT1103" s="9"/>
      <c r="BU1103" s="9"/>
      <c r="BV1103" s="9"/>
      <c r="BW1103" s="9"/>
      <c r="BX1103" s="9"/>
      <c r="BY1103" s="9"/>
      <c r="BZ1103" s="9"/>
      <c r="CA1103" s="9"/>
      <c r="CB1103" s="9"/>
      <c r="CC1103" s="9"/>
      <c r="CD1103" s="9"/>
      <c r="CE1103" s="9"/>
      <c r="CF1103" s="9"/>
      <c r="CG1103" s="9"/>
    </row>
    <row r="1104" spans="1:85" ht="18" customHeight="1" x14ac:dyDescent="0.3">
      <c r="A1104" s="9">
        <f t="shared" si="85"/>
        <v>1103</v>
      </c>
      <c r="B1104" s="9" t="str">
        <f t="shared" si="86"/>
        <v/>
      </c>
      <c r="C1104" s="9"/>
      <c r="D1104" s="9"/>
      <c r="E1104" s="9">
        <f t="shared" si="87"/>
        <v>0</v>
      </c>
      <c r="F1104" s="9"/>
      <c r="G1104" s="9"/>
      <c r="H1104" s="9"/>
      <c r="I1104" s="9"/>
      <c r="J1104" s="9"/>
      <c r="K1104" s="9"/>
      <c r="L1104" s="9"/>
      <c r="M1104" s="9"/>
      <c r="N1104" s="9" t="str">
        <f t="shared" si="88"/>
        <v>NO</v>
      </c>
      <c r="O1104" s="9" t="str">
        <f t="shared" si="89"/>
        <v>🟡</v>
      </c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  <c r="BA1104" s="9"/>
      <c r="BB1104" s="9"/>
      <c r="BC1104" s="9"/>
      <c r="BD1104" s="9"/>
      <c r="BE1104" s="9"/>
      <c r="BF1104" s="9"/>
      <c r="BG1104" s="9"/>
      <c r="BH1104" s="9"/>
      <c r="BI1104" s="9"/>
      <c r="BJ1104" s="9"/>
      <c r="BK1104" s="9"/>
      <c r="BL1104" s="9"/>
      <c r="BM1104" s="9"/>
      <c r="BN1104" s="9"/>
      <c r="BO1104" s="9"/>
      <c r="BP1104" s="9"/>
      <c r="BQ1104" s="9"/>
      <c r="BR1104" s="9"/>
      <c r="BS1104" s="9"/>
      <c r="BT1104" s="9"/>
      <c r="BU1104" s="9"/>
      <c r="BV1104" s="9"/>
      <c r="BW1104" s="9"/>
      <c r="BX1104" s="9"/>
      <c r="BY1104" s="9"/>
      <c r="BZ1104" s="9"/>
      <c r="CA1104" s="9"/>
      <c r="CB1104" s="9"/>
      <c r="CC1104" s="9"/>
      <c r="CD1104" s="9"/>
      <c r="CE1104" s="9"/>
      <c r="CF1104" s="9"/>
      <c r="CG1104" s="9"/>
    </row>
    <row r="1105" spans="1:85" ht="18" customHeight="1" x14ac:dyDescent="0.3">
      <c r="A1105" s="9">
        <f t="shared" si="85"/>
        <v>1104</v>
      </c>
      <c r="B1105" s="9" t="str">
        <f t="shared" si="86"/>
        <v/>
      </c>
      <c r="C1105" s="9"/>
      <c r="D1105" s="9"/>
      <c r="E1105" s="9">
        <f t="shared" si="87"/>
        <v>0</v>
      </c>
      <c r="F1105" s="9"/>
      <c r="G1105" s="9"/>
      <c r="H1105" s="9"/>
      <c r="I1105" s="9"/>
      <c r="J1105" s="9"/>
      <c r="K1105" s="9"/>
      <c r="L1105" s="9"/>
      <c r="M1105" s="9"/>
      <c r="N1105" s="9" t="str">
        <f t="shared" si="88"/>
        <v>NO</v>
      </c>
      <c r="O1105" s="9" t="str">
        <f t="shared" si="89"/>
        <v>🟡</v>
      </c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  <c r="BA1105" s="9"/>
      <c r="BB1105" s="9"/>
      <c r="BC1105" s="9"/>
      <c r="BD1105" s="9"/>
      <c r="BE1105" s="9"/>
      <c r="BF1105" s="9"/>
      <c r="BG1105" s="9"/>
      <c r="BH1105" s="9"/>
      <c r="BI1105" s="9"/>
      <c r="BJ1105" s="9"/>
      <c r="BK1105" s="9"/>
      <c r="BL1105" s="9"/>
      <c r="BM1105" s="9"/>
      <c r="BN1105" s="9"/>
      <c r="BO1105" s="9"/>
      <c r="BP1105" s="9"/>
      <c r="BQ1105" s="9"/>
      <c r="BR1105" s="9"/>
      <c r="BS1105" s="9"/>
      <c r="BT1105" s="9"/>
      <c r="BU1105" s="9"/>
      <c r="BV1105" s="9"/>
      <c r="BW1105" s="9"/>
      <c r="BX1105" s="9"/>
      <c r="BY1105" s="9"/>
      <c r="BZ1105" s="9"/>
      <c r="CA1105" s="9"/>
      <c r="CB1105" s="9"/>
      <c r="CC1105" s="9"/>
      <c r="CD1105" s="9"/>
      <c r="CE1105" s="9"/>
      <c r="CF1105" s="9"/>
      <c r="CG1105" s="9"/>
    </row>
    <row r="1106" spans="1:85" ht="18" customHeight="1" x14ac:dyDescent="0.3">
      <c r="A1106" s="9">
        <f t="shared" si="85"/>
        <v>1105</v>
      </c>
      <c r="B1106" s="9" t="str">
        <f t="shared" si="86"/>
        <v/>
      </c>
      <c r="C1106" s="9"/>
      <c r="D1106" s="9"/>
      <c r="E1106" s="9">
        <f t="shared" si="87"/>
        <v>0</v>
      </c>
      <c r="F1106" s="9"/>
      <c r="G1106" s="9"/>
      <c r="H1106" s="9"/>
      <c r="I1106" s="9"/>
      <c r="J1106" s="9"/>
      <c r="K1106" s="9"/>
      <c r="L1106" s="9"/>
      <c r="M1106" s="9"/>
      <c r="N1106" s="9" t="str">
        <f t="shared" si="88"/>
        <v>NO</v>
      </c>
      <c r="O1106" s="9" t="str">
        <f t="shared" si="89"/>
        <v>🟡</v>
      </c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  <c r="BA1106" s="9"/>
      <c r="BB1106" s="9"/>
      <c r="BC1106" s="9"/>
      <c r="BD1106" s="9"/>
      <c r="BE1106" s="9"/>
      <c r="BF1106" s="9"/>
      <c r="BG1106" s="9"/>
      <c r="BH1106" s="9"/>
      <c r="BI1106" s="9"/>
      <c r="BJ1106" s="9"/>
      <c r="BK1106" s="9"/>
      <c r="BL1106" s="9"/>
      <c r="BM1106" s="9"/>
      <c r="BN1106" s="9"/>
      <c r="BO1106" s="9"/>
      <c r="BP1106" s="9"/>
      <c r="BQ1106" s="9"/>
      <c r="BR1106" s="9"/>
      <c r="BS1106" s="9"/>
      <c r="BT1106" s="9"/>
      <c r="BU1106" s="9"/>
      <c r="BV1106" s="9"/>
      <c r="BW1106" s="9"/>
      <c r="BX1106" s="9"/>
      <c r="BY1106" s="9"/>
      <c r="BZ1106" s="9"/>
      <c r="CA1106" s="9"/>
      <c r="CB1106" s="9"/>
      <c r="CC1106" s="9"/>
      <c r="CD1106" s="9"/>
      <c r="CE1106" s="9"/>
      <c r="CF1106" s="9"/>
      <c r="CG1106" s="9"/>
    </row>
    <row r="1107" spans="1:85" ht="18" customHeight="1" x14ac:dyDescent="0.3">
      <c r="A1107" s="9">
        <f t="shared" si="85"/>
        <v>1106</v>
      </c>
      <c r="B1107" s="9" t="str">
        <f t="shared" si="86"/>
        <v/>
      </c>
      <c r="C1107" s="9"/>
      <c r="D1107" s="9"/>
      <c r="E1107" s="9">
        <f t="shared" si="87"/>
        <v>0</v>
      </c>
      <c r="F1107" s="9"/>
      <c r="G1107" s="9"/>
      <c r="H1107" s="9"/>
      <c r="I1107" s="9"/>
      <c r="J1107" s="9"/>
      <c r="K1107" s="9"/>
      <c r="L1107" s="9"/>
      <c r="M1107" s="9"/>
      <c r="N1107" s="9" t="str">
        <f t="shared" si="88"/>
        <v>NO</v>
      </c>
      <c r="O1107" s="9" t="str">
        <f t="shared" si="89"/>
        <v>🟡</v>
      </c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  <c r="BA1107" s="9"/>
      <c r="BB1107" s="9"/>
      <c r="BC1107" s="9"/>
      <c r="BD1107" s="9"/>
      <c r="BE1107" s="9"/>
      <c r="BF1107" s="9"/>
      <c r="BG1107" s="9"/>
      <c r="BH1107" s="9"/>
      <c r="BI1107" s="9"/>
      <c r="BJ1107" s="9"/>
      <c r="BK1107" s="9"/>
      <c r="BL1107" s="9"/>
      <c r="BM1107" s="9"/>
      <c r="BN1107" s="9"/>
      <c r="BO1107" s="9"/>
      <c r="BP1107" s="9"/>
      <c r="BQ1107" s="9"/>
      <c r="BR1107" s="9"/>
      <c r="BS1107" s="9"/>
      <c r="BT1107" s="9"/>
      <c r="BU1107" s="9"/>
      <c r="BV1107" s="9"/>
      <c r="BW1107" s="9"/>
      <c r="BX1107" s="9"/>
      <c r="BY1107" s="9"/>
      <c r="BZ1107" s="9"/>
      <c r="CA1107" s="9"/>
      <c r="CB1107" s="9"/>
      <c r="CC1107" s="9"/>
      <c r="CD1107" s="9"/>
      <c r="CE1107" s="9"/>
      <c r="CF1107" s="9"/>
      <c r="CG1107" s="9"/>
    </row>
    <row r="1108" spans="1:85" ht="18" customHeight="1" x14ac:dyDescent="0.3">
      <c r="A1108" s="9">
        <f t="shared" si="85"/>
        <v>1107</v>
      </c>
      <c r="B1108" s="9" t="str">
        <f t="shared" si="86"/>
        <v/>
      </c>
      <c r="C1108" s="9"/>
      <c r="D1108" s="9"/>
      <c r="E1108" s="9">
        <f t="shared" si="87"/>
        <v>0</v>
      </c>
      <c r="F1108" s="9"/>
      <c r="G1108" s="9"/>
      <c r="H1108" s="9"/>
      <c r="I1108" s="9"/>
      <c r="J1108" s="9"/>
      <c r="K1108" s="9"/>
      <c r="L1108" s="9"/>
      <c r="M1108" s="9"/>
      <c r="N1108" s="9" t="str">
        <f t="shared" si="88"/>
        <v>NO</v>
      </c>
      <c r="O1108" s="9" t="str">
        <f t="shared" si="89"/>
        <v>🟡</v>
      </c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  <c r="BA1108" s="9"/>
      <c r="BB1108" s="9"/>
      <c r="BC1108" s="9"/>
      <c r="BD1108" s="9"/>
      <c r="BE1108" s="9"/>
      <c r="BF1108" s="9"/>
      <c r="BG1108" s="9"/>
      <c r="BH1108" s="9"/>
      <c r="BI1108" s="9"/>
      <c r="BJ1108" s="9"/>
      <c r="BK1108" s="9"/>
      <c r="BL1108" s="9"/>
      <c r="BM1108" s="9"/>
      <c r="BN1108" s="9"/>
      <c r="BO1108" s="9"/>
      <c r="BP1108" s="9"/>
      <c r="BQ1108" s="9"/>
      <c r="BR1108" s="9"/>
      <c r="BS1108" s="9"/>
      <c r="BT1108" s="9"/>
      <c r="BU1108" s="9"/>
      <c r="BV1108" s="9"/>
      <c r="BW1108" s="9"/>
      <c r="BX1108" s="9"/>
      <c r="BY1108" s="9"/>
      <c r="BZ1108" s="9"/>
      <c r="CA1108" s="9"/>
      <c r="CB1108" s="9"/>
      <c r="CC1108" s="9"/>
      <c r="CD1108" s="9"/>
      <c r="CE1108" s="9"/>
      <c r="CF1108" s="9"/>
      <c r="CG1108" s="9"/>
    </row>
    <row r="1109" spans="1:85" ht="18" customHeight="1" x14ac:dyDescent="0.3">
      <c r="A1109" s="9">
        <f t="shared" si="85"/>
        <v>1108</v>
      </c>
      <c r="B1109" s="9" t="str">
        <f t="shared" si="86"/>
        <v/>
      </c>
      <c r="C1109" s="9"/>
      <c r="D1109" s="9"/>
      <c r="E1109" s="9">
        <f t="shared" si="87"/>
        <v>0</v>
      </c>
      <c r="F1109" s="9"/>
      <c r="G1109" s="9"/>
      <c r="H1109" s="9"/>
      <c r="I1109" s="9"/>
      <c r="J1109" s="9"/>
      <c r="K1109" s="9"/>
      <c r="L1109" s="9"/>
      <c r="M1109" s="9"/>
      <c r="N1109" s="9" t="str">
        <f t="shared" si="88"/>
        <v>NO</v>
      </c>
      <c r="O1109" s="9" t="str">
        <f t="shared" si="89"/>
        <v>🟡</v>
      </c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  <c r="BA1109" s="9"/>
      <c r="BB1109" s="9"/>
      <c r="BC1109" s="9"/>
      <c r="BD1109" s="9"/>
      <c r="BE1109" s="9"/>
      <c r="BF1109" s="9"/>
      <c r="BG1109" s="9"/>
      <c r="BH1109" s="9"/>
      <c r="BI1109" s="9"/>
      <c r="BJ1109" s="9"/>
      <c r="BK1109" s="9"/>
      <c r="BL1109" s="9"/>
      <c r="BM1109" s="9"/>
      <c r="BN1109" s="9"/>
      <c r="BO1109" s="9"/>
      <c r="BP1109" s="9"/>
      <c r="BQ1109" s="9"/>
      <c r="BR1109" s="9"/>
      <c r="BS1109" s="9"/>
      <c r="BT1109" s="9"/>
      <c r="BU1109" s="9"/>
      <c r="BV1109" s="9"/>
      <c r="BW1109" s="9"/>
      <c r="BX1109" s="9"/>
      <c r="BY1109" s="9"/>
      <c r="BZ1109" s="9"/>
      <c r="CA1109" s="9"/>
      <c r="CB1109" s="9"/>
      <c r="CC1109" s="9"/>
      <c r="CD1109" s="9"/>
      <c r="CE1109" s="9"/>
      <c r="CF1109" s="9"/>
      <c r="CG1109" s="9"/>
    </row>
    <row r="1110" spans="1:85" ht="18" customHeight="1" x14ac:dyDescent="0.3">
      <c r="A1110" s="9">
        <f t="shared" si="85"/>
        <v>1109</v>
      </c>
      <c r="B1110" s="9" t="str">
        <f t="shared" si="86"/>
        <v/>
      </c>
      <c r="C1110" s="9"/>
      <c r="D1110" s="9"/>
      <c r="E1110" s="9">
        <f t="shared" si="87"/>
        <v>0</v>
      </c>
      <c r="F1110" s="9"/>
      <c r="G1110" s="9"/>
      <c r="H1110" s="9"/>
      <c r="I1110" s="9"/>
      <c r="J1110" s="9"/>
      <c r="K1110" s="9"/>
      <c r="L1110" s="9"/>
      <c r="M1110" s="9"/>
      <c r="N1110" s="9" t="str">
        <f t="shared" si="88"/>
        <v>NO</v>
      </c>
      <c r="O1110" s="9" t="str">
        <f t="shared" si="89"/>
        <v>🟡</v>
      </c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  <c r="BA1110" s="9"/>
      <c r="BB1110" s="9"/>
      <c r="BC1110" s="9"/>
      <c r="BD1110" s="9"/>
      <c r="BE1110" s="9"/>
      <c r="BF1110" s="9"/>
      <c r="BG1110" s="9"/>
      <c r="BH1110" s="9"/>
      <c r="BI1110" s="9"/>
      <c r="BJ1110" s="9"/>
      <c r="BK1110" s="9"/>
      <c r="BL1110" s="9"/>
      <c r="BM1110" s="9"/>
      <c r="BN1110" s="9"/>
      <c r="BO1110" s="9"/>
      <c r="BP1110" s="9"/>
      <c r="BQ1110" s="9"/>
      <c r="BR1110" s="9"/>
      <c r="BS1110" s="9"/>
      <c r="BT1110" s="9"/>
      <c r="BU1110" s="9"/>
      <c r="BV1110" s="9"/>
      <c r="BW1110" s="9"/>
      <c r="BX1110" s="9"/>
      <c r="BY1110" s="9"/>
      <c r="BZ1110" s="9"/>
      <c r="CA1110" s="9"/>
      <c r="CB1110" s="9"/>
      <c r="CC1110" s="9"/>
      <c r="CD1110" s="9"/>
      <c r="CE1110" s="9"/>
      <c r="CF1110" s="9"/>
      <c r="CG1110" s="9"/>
    </row>
    <row r="1111" spans="1:85" ht="18" customHeight="1" x14ac:dyDescent="0.3">
      <c r="A1111" s="9">
        <f t="shared" si="85"/>
        <v>1110</v>
      </c>
      <c r="B1111" s="9" t="str">
        <f t="shared" si="86"/>
        <v/>
      </c>
      <c r="C1111" s="9"/>
      <c r="D1111" s="9"/>
      <c r="E1111" s="9">
        <f t="shared" si="87"/>
        <v>0</v>
      </c>
      <c r="F1111" s="9"/>
      <c r="G1111" s="9"/>
      <c r="H1111" s="9"/>
      <c r="I1111" s="9"/>
      <c r="J1111" s="9"/>
      <c r="K1111" s="9"/>
      <c r="L1111" s="9"/>
      <c r="M1111" s="9"/>
      <c r="N1111" s="9" t="str">
        <f t="shared" si="88"/>
        <v>NO</v>
      </c>
      <c r="O1111" s="9" t="str">
        <f t="shared" si="89"/>
        <v>🟡</v>
      </c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  <c r="BA1111" s="9"/>
      <c r="BB1111" s="9"/>
      <c r="BC1111" s="9"/>
      <c r="BD1111" s="9"/>
      <c r="BE1111" s="9"/>
      <c r="BF1111" s="9"/>
      <c r="BG1111" s="9"/>
      <c r="BH1111" s="9"/>
      <c r="BI1111" s="9"/>
      <c r="BJ1111" s="9"/>
      <c r="BK1111" s="9"/>
      <c r="BL1111" s="9"/>
      <c r="BM1111" s="9"/>
      <c r="BN1111" s="9"/>
      <c r="BO1111" s="9"/>
      <c r="BP1111" s="9"/>
      <c r="BQ1111" s="9"/>
      <c r="BR1111" s="9"/>
      <c r="BS1111" s="9"/>
      <c r="BT1111" s="9"/>
      <c r="BU1111" s="9"/>
      <c r="BV1111" s="9"/>
      <c r="BW1111" s="9"/>
      <c r="BX1111" s="9"/>
      <c r="BY1111" s="9"/>
      <c r="BZ1111" s="9"/>
      <c r="CA1111" s="9"/>
      <c r="CB1111" s="9"/>
      <c r="CC1111" s="9"/>
      <c r="CD1111" s="9"/>
      <c r="CE1111" s="9"/>
      <c r="CF1111" s="9"/>
      <c r="CG1111" s="9"/>
    </row>
    <row r="1112" spans="1:85" ht="18" customHeight="1" x14ac:dyDescent="0.3">
      <c r="A1112" s="9">
        <f t="shared" si="85"/>
        <v>1111</v>
      </c>
      <c r="B1112" s="9" t="str">
        <f t="shared" si="86"/>
        <v/>
      </c>
      <c r="C1112" s="9"/>
      <c r="D1112" s="9"/>
      <c r="E1112" s="9">
        <f t="shared" si="87"/>
        <v>0</v>
      </c>
      <c r="F1112" s="9"/>
      <c r="G1112" s="9"/>
      <c r="H1112" s="9"/>
      <c r="I1112" s="9"/>
      <c r="J1112" s="9"/>
      <c r="K1112" s="9"/>
      <c r="L1112" s="9"/>
      <c r="M1112" s="9"/>
      <c r="N1112" s="9" t="str">
        <f t="shared" si="88"/>
        <v>NO</v>
      </c>
      <c r="O1112" s="9" t="str">
        <f t="shared" si="89"/>
        <v>🟡</v>
      </c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  <c r="BA1112" s="9"/>
      <c r="BB1112" s="9"/>
      <c r="BC1112" s="9"/>
      <c r="BD1112" s="9"/>
      <c r="BE1112" s="9"/>
      <c r="BF1112" s="9"/>
      <c r="BG1112" s="9"/>
      <c r="BH1112" s="9"/>
      <c r="BI1112" s="9"/>
      <c r="BJ1112" s="9"/>
      <c r="BK1112" s="9"/>
      <c r="BL1112" s="9"/>
      <c r="BM1112" s="9"/>
      <c r="BN1112" s="9"/>
      <c r="BO1112" s="9"/>
      <c r="BP1112" s="9"/>
      <c r="BQ1112" s="9"/>
      <c r="BR1112" s="9"/>
      <c r="BS1112" s="9"/>
      <c r="BT1112" s="9"/>
      <c r="BU1112" s="9"/>
      <c r="BV1112" s="9"/>
      <c r="BW1112" s="9"/>
      <c r="BX1112" s="9"/>
      <c r="BY1112" s="9"/>
      <c r="BZ1112" s="9"/>
      <c r="CA1112" s="9"/>
      <c r="CB1112" s="9"/>
      <c r="CC1112" s="9"/>
      <c r="CD1112" s="9"/>
      <c r="CE1112" s="9"/>
      <c r="CF1112" s="9"/>
      <c r="CG1112" s="9"/>
    </row>
    <row r="1113" spans="1:85" ht="18" customHeight="1" x14ac:dyDescent="0.3">
      <c r="A1113" s="9">
        <f t="shared" si="85"/>
        <v>1112</v>
      </c>
      <c r="B1113" s="9" t="str">
        <f t="shared" si="86"/>
        <v/>
      </c>
      <c r="C1113" s="9"/>
      <c r="D1113" s="9"/>
      <c r="E1113" s="9">
        <f t="shared" si="87"/>
        <v>0</v>
      </c>
      <c r="F1113" s="9"/>
      <c r="G1113" s="9"/>
      <c r="H1113" s="9"/>
      <c r="I1113" s="9"/>
      <c r="J1113" s="9"/>
      <c r="K1113" s="9"/>
      <c r="L1113" s="9"/>
      <c r="M1113" s="9"/>
      <c r="N1113" s="9" t="str">
        <f t="shared" si="88"/>
        <v>NO</v>
      </c>
      <c r="O1113" s="9" t="str">
        <f t="shared" si="89"/>
        <v>🟡</v>
      </c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  <c r="BA1113" s="9"/>
      <c r="BB1113" s="9"/>
      <c r="BC1113" s="9"/>
      <c r="BD1113" s="9"/>
      <c r="BE1113" s="9"/>
      <c r="BF1113" s="9"/>
      <c r="BG1113" s="9"/>
      <c r="BH1113" s="9"/>
      <c r="BI1113" s="9"/>
      <c r="BJ1113" s="9"/>
      <c r="BK1113" s="9"/>
      <c r="BL1113" s="9"/>
      <c r="BM1113" s="9"/>
      <c r="BN1113" s="9"/>
      <c r="BO1113" s="9"/>
      <c r="BP1113" s="9"/>
      <c r="BQ1113" s="9"/>
      <c r="BR1113" s="9"/>
      <c r="BS1113" s="9"/>
      <c r="BT1113" s="9"/>
      <c r="BU1113" s="9"/>
      <c r="BV1113" s="9"/>
      <c r="BW1113" s="9"/>
      <c r="BX1113" s="9"/>
      <c r="BY1113" s="9"/>
      <c r="BZ1113" s="9"/>
      <c r="CA1113" s="9"/>
      <c r="CB1113" s="9"/>
      <c r="CC1113" s="9"/>
      <c r="CD1113" s="9"/>
      <c r="CE1113" s="9"/>
      <c r="CF1113" s="9"/>
      <c r="CG1113" s="9"/>
    </row>
    <row r="1114" spans="1:85" ht="18" customHeight="1" x14ac:dyDescent="0.3">
      <c r="A1114" s="9">
        <f t="shared" si="85"/>
        <v>1113</v>
      </c>
      <c r="B1114" s="9" t="str">
        <f t="shared" si="86"/>
        <v/>
      </c>
      <c r="C1114" s="9"/>
      <c r="D1114" s="9"/>
      <c r="E1114" s="9">
        <f t="shared" si="87"/>
        <v>0</v>
      </c>
      <c r="F1114" s="9"/>
      <c r="G1114" s="9"/>
      <c r="H1114" s="9"/>
      <c r="I1114" s="9"/>
      <c r="J1114" s="9"/>
      <c r="K1114" s="9"/>
      <c r="L1114" s="9"/>
      <c r="M1114" s="9"/>
      <c r="N1114" s="9" t="str">
        <f t="shared" si="88"/>
        <v>NO</v>
      </c>
      <c r="O1114" s="9" t="str">
        <f t="shared" si="89"/>
        <v>🟡</v>
      </c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  <c r="BA1114" s="9"/>
      <c r="BB1114" s="9"/>
      <c r="BC1114" s="9"/>
      <c r="BD1114" s="9"/>
      <c r="BE1114" s="9"/>
      <c r="BF1114" s="9"/>
      <c r="BG1114" s="9"/>
      <c r="BH1114" s="9"/>
      <c r="BI1114" s="9"/>
      <c r="BJ1114" s="9"/>
      <c r="BK1114" s="9"/>
      <c r="BL1114" s="9"/>
      <c r="BM1114" s="9"/>
      <c r="BN1114" s="9"/>
      <c r="BO1114" s="9"/>
      <c r="BP1114" s="9"/>
      <c r="BQ1114" s="9"/>
      <c r="BR1114" s="9"/>
      <c r="BS1114" s="9"/>
      <c r="BT1114" s="9"/>
      <c r="BU1114" s="9"/>
      <c r="BV1114" s="9"/>
      <c r="BW1114" s="9"/>
      <c r="BX1114" s="9"/>
      <c r="BY1114" s="9"/>
      <c r="BZ1114" s="9"/>
      <c r="CA1114" s="9"/>
      <c r="CB1114" s="9"/>
      <c r="CC1114" s="9"/>
      <c r="CD1114" s="9"/>
      <c r="CE1114" s="9"/>
      <c r="CF1114" s="9"/>
      <c r="CG1114" s="9"/>
    </row>
    <row r="1115" spans="1:85" ht="18" customHeight="1" x14ac:dyDescent="0.3">
      <c r="A1115" s="9">
        <f t="shared" si="85"/>
        <v>1114</v>
      </c>
      <c r="B1115" s="9" t="str">
        <f t="shared" si="86"/>
        <v/>
      </c>
      <c r="C1115" s="9"/>
      <c r="D1115" s="9"/>
      <c r="E1115" s="9">
        <f t="shared" si="87"/>
        <v>0</v>
      </c>
      <c r="F1115" s="9"/>
      <c r="G1115" s="9"/>
      <c r="H1115" s="9"/>
      <c r="I1115" s="9"/>
      <c r="J1115" s="9"/>
      <c r="K1115" s="9"/>
      <c r="L1115" s="9"/>
      <c r="M1115" s="9"/>
      <c r="N1115" s="9" t="str">
        <f t="shared" si="88"/>
        <v>NO</v>
      </c>
      <c r="O1115" s="9" t="str">
        <f t="shared" si="89"/>
        <v>🟡</v>
      </c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  <c r="BA1115" s="9"/>
      <c r="BB1115" s="9"/>
      <c r="BC1115" s="9"/>
      <c r="BD1115" s="9"/>
      <c r="BE1115" s="9"/>
      <c r="BF1115" s="9"/>
      <c r="BG1115" s="9"/>
      <c r="BH1115" s="9"/>
      <c r="BI1115" s="9"/>
      <c r="BJ1115" s="9"/>
      <c r="BK1115" s="9"/>
      <c r="BL1115" s="9"/>
      <c r="BM1115" s="9"/>
      <c r="BN1115" s="9"/>
      <c r="BO1115" s="9"/>
      <c r="BP1115" s="9"/>
      <c r="BQ1115" s="9"/>
      <c r="BR1115" s="9"/>
      <c r="BS1115" s="9"/>
      <c r="BT1115" s="9"/>
      <c r="BU1115" s="9"/>
      <c r="BV1115" s="9"/>
      <c r="BW1115" s="9"/>
      <c r="BX1115" s="9"/>
      <c r="BY1115" s="9"/>
      <c r="BZ1115" s="9"/>
      <c r="CA1115" s="9"/>
      <c r="CB1115" s="9"/>
      <c r="CC1115" s="9"/>
      <c r="CD1115" s="9"/>
      <c r="CE1115" s="9"/>
      <c r="CF1115" s="9"/>
      <c r="CG1115" s="9"/>
    </row>
    <row r="1116" spans="1:85" ht="18" customHeight="1" x14ac:dyDescent="0.3">
      <c r="A1116" s="9">
        <f t="shared" si="85"/>
        <v>1115</v>
      </c>
      <c r="B1116" s="9" t="str">
        <f t="shared" si="86"/>
        <v/>
      </c>
      <c r="C1116" s="9"/>
      <c r="D1116" s="9"/>
      <c r="E1116" s="9">
        <f t="shared" si="87"/>
        <v>0</v>
      </c>
      <c r="F1116" s="9"/>
      <c r="G1116" s="9"/>
      <c r="H1116" s="9"/>
      <c r="I1116" s="9"/>
      <c r="J1116" s="9"/>
      <c r="K1116" s="9"/>
      <c r="L1116" s="9"/>
      <c r="M1116" s="9"/>
      <c r="N1116" s="9" t="str">
        <f t="shared" si="88"/>
        <v>NO</v>
      </c>
      <c r="O1116" s="9" t="str">
        <f t="shared" si="89"/>
        <v>🟡</v>
      </c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  <c r="BA1116" s="9"/>
      <c r="BB1116" s="9"/>
      <c r="BC1116" s="9"/>
      <c r="BD1116" s="9"/>
      <c r="BE1116" s="9"/>
      <c r="BF1116" s="9"/>
      <c r="BG1116" s="9"/>
      <c r="BH1116" s="9"/>
      <c r="BI1116" s="9"/>
      <c r="BJ1116" s="9"/>
      <c r="BK1116" s="9"/>
      <c r="BL1116" s="9"/>
      <c r="BM1116" s="9"/>
      <c r="BN1116" s="9"/>
      <c r="BO1116" s="9"/>
      <c r="BP1116" s="9"/>
      <c r="BQ1116" s="9"/>
      <c r="BR1116" s="9"/>
      <c r="BS1116" s="9"/>
      <c r="BT1116" s="9"/>
      <c r="BU1116" s="9"/>
      <c r="BV1116" s="9"/>
      <c r="BW1116" s="9"/>
      <c r="BX1116" s="9"/>
      <c r="BY1116" s="9"/>
      <c r="BZ1116" s="9"/>
      <c r="CA1116" s="9"/>
      <c r="CB1116" s="9"/>
      <c r="CC1116" s="9"/>
      <c r="CD1116" s="9"/>
      <c r="CE1116" s="9"/>
      <c r="CF1116" s="9"/>
      <c r="CG1116" s="9"/>
    </row>
    <row r="1117" spans="1:85" ht="18" customHeight="1" x14ac:dyDescent="0.3">
      <c r="A1117" s="9">
        <f t="shared" si="85"/>
        <v>1116</v>
      </c>
      <c r="B1117" s="9" t="str">
        <f t="shared" si="86"/>
        <v/>
      </c>
      <c r="C1117" s="9"/>
      <c r="D1117" s="9"/>
      <c r="E1117" s="9">
        <f t="shared" si="87"/>
        <v>0</v>
      </c>
      <c r="F1117" s="9"/>
      <c r="G1117" s="9"/>
      <c r="H1117" s="9"/>
      <c r="I1117" s="9"/>
      <c r="J1117" s="9"/>
      <c r="K1117" s="9"/>
      <c r="L1117" s="9"/>
      <c r="M1117" s="9"/>
      <c r="N1117" s="9" t="str">
        <f t="shared" si="88"/>
        <v>NO</v>
      </c>
      <c r="O1117" s="9" t="str">
        <f t="shared" si="89"/>
        <v>🟡</v>
      </c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  <c r="BA1117" s="9"/>
      <c r="BB1117" s="9"/>
      <c r="BC1117" s="9"/>
      <c r="BD1117" s="9"/>
      <c r="BE1117" s="9"/>
      <c r="BF1117" s="9"/>
      <c r="BG1117" s="9"/>
      <c r="BH1117" s="9"/>
      <c r="BI1117" s="9"/>
      <c r="BJ1117" s="9"/>
      <c r="BK1117" s="9"/>
      <c r="BL1117" s="9"/>
      <c r="BM1117" s="9"/>
      <c r="BN1117" s="9"/>
      <c r="BO1117" s="9"/>
      <c r="BP1117" s="9"/>
      <c r="BQ1117" s="9"/>
      <c r="BR1117" s="9"/>
      <c r="BS1117" s="9"/>
      <c r="BT1117" s="9"/>
      <c r="BU1117" s="9"/>
      <c r="BV1117" s="9"/>
      <c r="BW1117" s="9"/>
      <c r="BX1117" s="9"/>
      <c r="BY1117" s="9"/>
      <c r="BZ1117" s="9"/>
      <c r="CA1117" s="9"/>
      <c r="CB1117" s="9"/>
      <c r="CC1117" s="9"/>
      <c r="CD1117" s="9"/>
      <c r="CE1117" s="9"/>
      <c r="CF1117" s="9"/>
      <c r="CG1117" s="9"/>
    </row>
    <row r="1118" spans="1:85" ht="18" customHeight="1" x14ac:dyDescent="0.3">
      <c r="A1118" s="9">
        <f t="shared" si="85"/>
        <v>1117</v>
      </c>
      <c r="B1118" s="9" t="str">
        <f t="shared" si="86"/>
        <v/>
      </c>
      <c r="C1118" s="9"/>
      <c r="D1118" s="9"/>
      <c r="E1118" s="9">
        <f t="shared" si="87"/>
        <v>0</v>
      </c>
      <c r="F1118" s="9"/>
      <c r="G1118" s="9"/>
      <c r="H1118" s="9"/>
      <c r="I1118" s="9"/>
      <c r="J1118" s="9"/>
      <c r="K1118" s="9"/>
      <c r="L1118" s="9"/>
      <c r="M1118" s="9"/>
      <c r="N1118" s="9" t="str">
        <f t="shared" si="88"/>
        <v>NO</v>
      </c>
      <c r="O1118" s="9" t="str">
        <f t="shared" si="89"/>
        <v>🟡</v>
      </c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  <c r="BA1118" s="9"/>
      <c r="BB1118" s="9"/>
      <c r="BC1118" s="9"/>
      <c r="BD1118" s="9"/>
      <c r="BE1118" s="9"/>
      <c r="BF1118" s="9"/>
      <c r="BG1118" s="9"/>
      <c r="BH1118" s="9"/>
      <c r="BI1118" s="9"/>
      <c r="BJ1118" s="9"/>
      <c r="BK1118" s="9"/>
      <c r="BL1118" s="9"/>
      <c r="BM1118" s="9"/>
      <c r="BN1118" s="9"/>
      <c r="BO1118" s="9"/>
      <c r="BP1118" s="9"/>
      <c r="BQ1118" s="9"/>
      <c r="BR1118" s="9"/>
      <c r="BS1118" s="9"/>
      <c r="BT1118" s="9"/>
      <c r="BU1118" s="9"/>
      <c r="BV1118" s="9"/>
      <c r="BW1118" s="9"/>
      <c r="BX1118" s="9"/>
      <c r="BY1118" s="9"/>
      <c r="BZ1118" s="9"/>
      <c r="CA1118" s="9"/>
      <c r="CB1118" s="9"/>
      <c r="CC1118" s="9"/>
      <c r="CD1118" s="9"/>
      <c r="CE1118" s="9"/>
      <c r="CF1118" s="9"/>
      <c r="CG1118" s="9"/>
    </row>
    <row r="1119" spans="1:85" ht="18" customHeight="1" x14ac:dyDescent="0.3">
      <c r="A1119" s="9">
        <f t="shared" si="85"/>
        <v>1118</v>
      </c>
      <c r="B1119" s="9" t="str">
        <f t="shared" si="86"/>
        <v/>
      </c>
      <c r="C1119" s="9"/>
      <c r="D1119" s="9"/>
      <c r="E1119" s="9">
        <f t="shared" si="87"/>
        <v>0</v>
      </c>
      <c r="F1119" s="9"/>
      <c r="G1119" s="9"/>
      <c r="H1119" s="9"/>
      <c r="I1119" s="9"/>
      <c r="J1119" s="9"/>
      <c r="K1119" s="9"/>
      <c r="L1119" s="9"/>
      <c r="M1119" s="9"/>
      <c r="N1119" s="9" t="str">
        <f t="shared" si="88"/>
        <v>NO</v>
      </c>
      <c r="O1119" s="9" t="str">
        <f t="shared" si="89"/>
        <v>🟡</v>
      </c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  <c r="BA1119" s="9"/>
      <c r="BB1119" s="9"/>
      <c r="BC1119" s="9"/>
      <c r="BD1119" s="9"/>
      <c r="BE1119" s="9"/>
      <c r="BF1119" s="9"/>
      <c r="BG1119" s="9"/>
      <c r="BH1119" s="9"/>
      <c r="BI1119" s="9"/>
      <c r="BJ1119" s="9"/>
      <c r="BK1119" s="9"/>
      <c r="BL1119" s="9"/>
      <c r="BM1119" s="9"/>
      <c r="BN1119" s="9"/>
      <c r="BO1119" s="9"/>
      <c r="BP1119" s="9"/>
      <c r="BQ1119" s="9"/>
      <c r="BR1119" s="9"/>
      <c r="BS1119" s="9"/>
      <c r="BT1119" s="9"/>
      <c r="BU1119" s="9"/>
      <c r="BV1119" s="9"/>
      <c r="BW1119" s="9"/>
      <c r="BX1119" s="9"/>
      <c r="BY1119" s="9"/>
      <c r="BZ1119" s="9"/>
      <c r="CA1119" s="9"/>
      <c r="CB1119" s="9"/>
      <c r="CC1119" s="9"/>
      <c r="CD1119" s="9"/>
      <c r="CE1119" s="9"/>
      <c r="CF1119" s="9"/>
      <c r="CG1119" s="9"/>
    </row>
    <row r="1120" spans="1:85" ht="18" customHeight="1" x14ac:dyDescent="0.3">
      <c r="A1120" s="9">
        <f t="shared" si="85"/>
        <v>1119</v>
      </c>
      <c r="B1120" s="9" t="str">
        <f t="shared" si="86"/>
        <v/>
      </c>
      <c r="C1120" s="9"/>
      <c r="D1120" s="9"/>
      <c r="E1120" s="9">
        <f t="shared" si="87"/>
        <v>0</v>
      </c>
      <c r="F1120" s="9"/>
      <c r="G1120" s="9"/>
      <c r="H1120" s="9"/>
      <c r="I1120" s="9"/>
      <c r="J1120" s="9"/>
      <c r="K1120" s="9"/>
      <c r="L1120" s="9"/>
      <c r="M1120" s="9"/>
      <c r="N1120" s="9" t="str">
        <f t="shared" si="88"/>
        <v>NO</v>
      </c>
      <c r="O1120" s="9" t="str">
        <f t="shared" si="89"/>
        <v>🟡</v>
      </c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  <c r="BA1120" s="9"/>
      <c r="BB1120" s="9"/>
      <c r="BC1120" s="9"/>
      <c r="BD1120" s="9"/>
      <c r="BE1120" s="9"/>
      <c r="BF1120" s="9"/>
      <c r="BG1120" s="9"/>
      <c r="BH1120" s="9"/>
      <c r="BI1120" s="9"/>
      <c r="BJ1120" s="9"/>
      <c r="BK1120" s="9"/>
      <c r="BL1120" s="9"/>
      <c r="BM1120" s="9"/>
      <c r="BN1120" s="9"/>
      <c r="BO1120" s="9"/>
      <c r="BP1120" s="9"/>
      <c r="BQ1120" s="9"/>
      <c r="BR1120" s="9"/>
      <c r="BS1120" s="9"/>
      <c r="BT1120" s="9"/>
      <c r="BU1120" s="9"/>
      <c r="BV1120" s="9"/>
      <c r="BW1120" s="9"/>
      <c r="BX1120" s="9"/>
      <c r="BY1120" s="9"/>
      <c r="BZ1120" s="9"/>
      <c r="CA1120" s="9"/>
      <c r="CB1120" s="9"/>
      <c r="CC1120" s="9"/>
      <c r="CD1120" s="9"/>
      <c r="CE1120" s="9"/>
      <c r="CF1120" s="9"/>
      <c r="CG1120" s="9"/>
    </row>
    <row r="1121" spans="1:85" ht="18" customHeight="1" x14ac:dyDescent="0.3">
      <c r="A1121" s="9">
        <f t="shared" si="85"/>
        <v>1120</v>
      </c>
      <c r="B1121" s="9" t="str">
        <f t="shared" si="86"/>
        <v/>
      </c>
      <c r="C1121" s="9"/>
      <c r="D1121" s="9"/>
      <c r="E1121" s="9">
        <f t="shared" si="87"/>
        <v>0</v>
      </c>
      <c r="F1121" s="9"/>
      <c r="G1121" s="9"/>
      <c r="H1121" s="9"/>
      <c r="I1121" s="9"/>
      <c r="J1121" s="9"/>
      <c r="K1121" s="9"/>
      <c r="L1121" s="9"/>
      <c r="M1121" s="9"/>
      <c r="N1121" s="9" t="str">
        <f t="shared" si="88"/>
        <v>NO</v>
      </c>
      <c r="O1121" s="9" t="str">
        <f t="shared" si="89"/>
        <v>🟡</v>
      </c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  <c r="BA1121" s="9"/>
      <c r="BB1121" s="9"/>
      <c r="BC1121" s="9"/>
      <c r="BD1121" s="9"/>
      <c r="BE1121" s="9"/>
      <c r="BF1121" s="9"/>
      <c r="BG1121" s="9"/>
      <c r="BH1121" s="9"/>
      <c r="BI1121" s="9"/>
      <c r="BJ1121" s="9"/>
      <c r="BK1121" s="9"/>
      <c r="BL1121" s="9"/>
      <c r="BM1121" s="9"/>
      <c r="BN1121" s="9"/>
      <c r="BO1121" s="9"/>
      <c r="BP1121" s="9"/>
      <c r="BQ1121" s="9"/>
      <c r="BR1121" s="9"/>
      <c r="BS1121" s="9"/>
      <c r="BT1121" s="9"/>
      <c r="BU1121" s="9"/>
      <c r="BV1121" s="9"/>
      <c r="BW1121" s="9"/>
      <c r="BX1121" s="9"/>
      <c r="BY1121" s="9"/>
      <c r="BZ1121" s="9"/>
      <c r="CA1121" s="9"/>
      <c r="CB1121" s="9"/>
      <c r="CC1121" s="9"/>
      <c r="CD1121" s="9"/>
      <c r="CE1121" s="9"/>
      <c r="CF1121" s="9"/>
      <c r="CG1121" s="9"/>
    </row>
    <row r="1122" spans="1:85" ht="18" customHeight="1" x14ac:dyDescent="0.3">
      <c r="A1122" s="9">
        <f t="shared" si="85"/>
        <v>1121</v>
      </c>
      <c r="B1122" s="9" t="str">
        <f t="shared" si="86"/>
        <v/>
      </c>
      <c r="C1122" s="9"/>
      <c r="D1122" s="9"/>
      <c r="E1122" s="9">
        <f t="shared" si="87"/>
        <v>0</v>
      </c>
      <c r="F1122" s="9"/>
      <c r="G1122" s="9"/>
      <c r="H1122" s="9"/>
      <c r="I1122" s="9"/>
      <c r="J1122" s="9"/>
      <c r="K1122" s="9"/>
      <c r="L1122" s="9"/>
      <c r="M1122" s="9"/>
      <c r="N1122" s="9" t="str">
        <f t="shared" si="88"/>
        <v>NO</v>
      </c>
      <c r="O1122" s="9" t="str">
        <f t="shared" si="89"/>
        <v>🟡</v>
      </c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  <c r="BA1122" s="9"/>
      <c r="BB1122" s="9"/>
      <c r="BC1122" s="9"/>
      <c r="BD1122" s="9"/>
      <c r="BE1122" s="9"/>
      <c r="BF1122" s="9"/>
      <c r="BG1122" s="9"/>
      <c r="BH1122" s="9"/>
      <c r="BI1122" s="9"/>
      <c r="BJ1122" s="9"/>
      <c r="BK1122" s="9"/>
      <c r="BL1122" s="9"/>
      <c r="BM1122" s="9"/>
      <c r="BN1122" s="9"/>
      <c r="BO1122" s="9"/>
      <c r="BP1122" s="9"/>
      <c r="BQ1122" s="9"/>
      <c r="BR1122" s="9"/>
      <c r="BS1122" s="9"/>
      <c r="BT1122" s="9"/>
      <c r="BU1122" s="9"/>
      <c r="BV1122" s="9"/>
      <c r="BW1122" s="9"/>
      <c r="BX1122" s="9"/>
      <c r="BY1122" s="9"/>
      <c r="BZ1122" s="9"/>
      <c r="CA1122" s="9"/>
      <c r="CB1122" s="9"/>
      <c r="CC1122" s="9"/>
      <c r="CD1122" s="9"/>
      <c r="CE1122" s="9"/>
      <c r="CF1122" s="9"/>
      <c r="CG1122" s="9"/>
    </row>
    <row r="1123" spans="1:85" ht="18" customHeight="1" x14ac:dyDescent="0.3">
      <c r="A1123" s="9">
        <f t="shared" si="85"/>
        <v>1122</v>
      </c>
      <c r="B1123" s="9" t="str">
        <f t="shared" si="86"/>
        <v/>
      </c>
      <c r="C1123" s="9"/>
      <c r="D1123" s="9"/>
      <c r="E1123" s="9">
        <f t="shared" si="87"/>
        <v>0</v>
      </c>
      <c r="F1123" s="9"/>
      <c r="G1123" s="9"/>
      <c r="H1123" s="9"/>
      <c r="I1123" s="9"/>
      <c r="J1123" s="9"/>
      <c r="K1123" s="9"/>
      <c r="L1123" s="9"/>
      <c r="M1123" s="9"/>
      <c r="N1123" s="9" t="str">
        <f t="shared" si="88"/>
        <v>NO</v>
      </c>
      <c r="O1123" s="9" t="str">
        <f t="shared" si="89"/>
        <v>🟡</v>
      </c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  <c r="BA1123" s="9"/>
      <c r="BB1123" s="9"/>
      <c r="BC1123" s="9"/>
      <c r="BD1123" s="9"/>
      <c r="BE1123" s="9"/>
      <c r="BF1123" s="9"/>
      <c r="BG1123" s="9"/>
      <c r="BH1123" s="9"/>
      <c r="BI1123" s="9"/>
      <c r="BJ1123" s="9"/>
      <c r="BK1123" s="9"/>
      <c r="BL1123" s="9"/>
      <c r="BM1123" s="9"/>
      <c r="BN1123" s="9"/>
      <c r="BO1123" s="9"/>
      <c r="BP1123" s="9"/>
      <c r="BQ1123" s="9"/>
      <c r="BR1123" s="9"/>
      <c r="BS1123" s="9"/>
      <c r="BT1123" s="9"/>
      <c r="BU1123" s="9"/>
      <c r="BV1123" s="9"/>
      <c r="BW1123" s="9"/>
      <c r="BX1123" s="9"/>
      <c r="BY1123" s="9"/>
      <c r="BZ1123" s="9"/>
      <c r="CA1123" s="9"/>
      <c r="CB1123" s="9"/>
      <c r="CC1123" s="9"/>
      <c r="CD1123" s="9"/>
      <c r="CE1123" s="9"/>
      <c r="CF1123" s="9"/>
      <c r="CG1123" s="9"/>
    </row>
    <row r="1124" spans="1:85" ht="18" customHeight="1" x14ac:dyDescent="0.3">
      <c r="A1124" s="9">
        <f t="shared" si="85"/>
        <v>1123</v>
      </c>
      <c r="B1124" s="9" t="str">
        <f t="shared" si="86"/>
        <v/>
      </c>
      <c r="C1124" s="9"/>
      <c r="D1124" s="9"/>
      <c r="E1124" s="9">
        <f t="shared" si="87"/>
        <v>0</v>
      </c>
      <c r="F1124" s="9"/>
      <c r="G1124" s="9"/>
      <c r="H1124" s="9"/>
      <c r="I1124" s="9"/>
      <c r="J1124" s="9"/>
      <c r="K1124" s="9"/>
      <c r="L1124" s="9"/>
      <c r="M1124" s="9"/>
      <c r="N1124" s="9" t="str">
        <f t="shared" si="88"/>
        <v>NO</v>
      </c>
      <c r="O1124" s="9" t="str">
        <f t="shared" si="89"/>
        <v>🟡</v>
      </c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9"/>
      <c r="BH1124" s="9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9"/>
      <c r="BT1124" s="9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9"/>
      <c r="CF1124" s="9"/>
      <c r="CG1124" s="9"/>
    </row>
    <row r="1125" spans="1:85" ht="18" customHeight="1" x14ac:dyDescent="0.3">
      <c r="A1125" s="9">
        <f t="shared" si="85"/>
        <v>1124</v>
      </c>
      <c r="B1125" s="9" t="str">
        <f t="shared" si="86"/>
        <v/>
      </c>
      <c r="C1125" s="9"/>
      <c r="D1125" s="9"/>
      <c r="E1125" s="9">
        <f t="shared" si="87"/>
        <v>0</v>
      </c>
      <c r="F1125" s="9"/>
      <c r="G1125" s="9"/>
      <c r="H1125" s="9"/>
      <c r="I1125" s="9"/>
      <c r="J1125" s="9"/>
      <c r="K1125" s="9"/>
      <c r="L1125" s="9"/>
      <c r="M1125" s="9"/>
      <c r="N1125" s="9" t="str">
        <f t="shared" si="88"/>
        <v>NO</v>
      </c>
      <c r="O1125" s="9" t="str">
        <f t="shared" si="89"/>
        <v>🟡</v>
      </c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  <c r="BA1125" s="9"/>
      <c r="BB1125" s="9"/>
      <c r="BC1125" s="9"/>
      <c r="BD1125" s="9"/>
      <c r="BE1125" s="9"/>
      <c r="BF1125" s="9"/>
      <c r="BG1125" s="9"/>
      <c r="BH1125" s="9"/>
      <c r="BI1125" s="9"/>
      <c r="BJ1125" s="9"/>
      <c r="BK1125" s="9"/>
      <c r="BL1125" s="9"/>
      <c r="BM1125" s="9"/>
      <c r="BN1125" s="9"/>
      <c r="BO1125" s="9"/>
      <c r="BP1125" s="9"/>
      <c r="BQ1125" s="9"/>
      <c r="BR1125" s="9"/>
      <c r="BS1125" s="9"/>
      <c r="BT1125" s="9"/>
      <c r="BU1125" s="9"/>
      <c r="BV1125" s="9"/>
      <c r="BW1125" s="9"/>
      <c r="BX1125" s="9"/>
      <c r="BY1125" s="9"/>
      <c r="BZ1125" s="9"/>
      <c r="CA1125" s="9"/>
      <c r="CB1125" s="9"/>
      <c r="CC1125" s="9"/>
      <c r="CD1125" s="9"/>
      <c r="CE1125" s="9"/>
      <c r="CF1125" s="9"/>
      <c r="CG1125" s="9"/>
    </row>
    <row r="1126" spans="1:85" ht="18" customHeight="1" x14ac:dyDescent="0.3">
      <c r="A1126" s="9">
        <f t="shared" si="85"/>
        <v>1125</v>
      </c>
      <c r="B1126" s="9" t="str">
        <f t="shared" si="86"/>
        <v/>
      </c>
      <c r="C1126" s="9"/>
      <c r="D1126" s="9"/>
      <c r="E1126" s="9">
        <f t="shared" si="87"/>
        <v>0</v>
      </c>
      <c r="F1126" s="9"/>
      <c r="G1126" s="9"/>
      <c r="H1126" s="9"/>
      <c r="I1126" s="9"/>
      <c r="J1126" s="9"/>
      <c r="K1126" s="9"/>
      <c r="L1126" s="9"/>
      <c r="M1126" s="9"/>
      <c r="N1126" s="9" t="str">
        <f t="shared" si="88"/>
        <v>NO</v>
      </c>
      <c r="O1126" s="9" t="str">
        <f t="shared" si="89"/>
        <v>🟡</v>
      </c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  <c r="BA1126" s="9"/>
      <c r="BB1126" s="9"/>
      <c r="BC1126" s="9"/>
      <c r="BD1126" s="9"/>
      <c r="BE1126" s="9"/>
      <c r="BF1126" s="9"/>
      <c r="BG1126" s="9"/>
      <c r="BH1126" s="9"/>
      <c r="BI1126" s="9"/>
      <c r="BJ1126" s="9"/>
      <c r="BK1126" s="9"/>
      <c r="BL1126" s="9"/>
      <c r="BM1126" s="9"/>
      <c r="BN1126" s="9"/>
      <c r="BO1126" s="9"/>
      <c r="BP1126" s="9"/>
      <c r="BQ1126" s="9"/>
      <c r="BR1126" s="9"/>
      <c r="BS1126" s="9"/>
      <c r="BT1126" s="9"/>
      <c r="BU1126" s="9"/>
      <c r="BV1126" s="9"/>
      <c r="BW1126" s="9"/>
      <c r="BX1126" s="9"/>
      <c r="BY1126" s="9"/>
      <c r="BZ1126" s="9"/>
      <c r="CA1126" s="9"/>
      <c r="CB1126" s="9"/>
      <c r="CC1126" s="9"/>
      <c r="CD1126" s="9"/>
      <c r="CE1126" s="9"/>
      <c r="CF1126" s="9"/>
      <c r="CG1126" s="9"/>
    </row>
    <row r="1127" spans="1:85" ht="18" customHeight="1" x14ac:dyDescent="0.3">
      <c r="A1127" s="9">
        <f t="shared" si="85"/>
        <v>1126</v>
      </c>
      <c r="B1127" s="9" t="str">
        <f t="shared" si="86"/>
        <v/>
      </c>
      <c r="C1127" s="9"/>
      <c r="D1127" s="9"/>
      <c r="E1127" s="9">
        <f t="shared" si="87"/>
        <v>0</v>
      </c>
      <c r="F1127" s="9"/>
      <c r="G1127" s="9"/>
      <c r="H1127" s="9"/>
      <c r="I1127" s="9"/>
      <c r="J1127" s="9"/>
      <c r="K1127" s="9"/>
      <c r="L1127" s="9"/>
      <c r="M1127" s="9"/>
      <c r="N1127" s="9" t="str">
        <f t="shared" si="88"/>
        <v>NO</v>
      </c>
      <c r="O1127" s="9" t="str">
        <f t="shared" si="89"/>
        <v>🟡</v>
      </c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  <c r="BA1127" s="9"/>
      <c r="BB1127" s="9"/>
      <c r="BC1127" s="9"/>
      <c r="BD1127" s="9"/>
      <c r="BE1127" s="9"/>
      <c r="BF1127" s="9"/>
      <c r="BG1127" s="9"/>
      <c r="BH1127" s="9"/>
      <c r="BI1127" s="9"/>
      <c r="BJ1127" s="9"/>
      <c r="BK1127" s="9"/>
      <c r="BL1127" s="9"/>
      <c r="BM1127" s="9"/>
      <c r="BN1127" s="9"/>
      <c r="BO1127" s="9"/>
      <c r="BP1127" s="9"/>
      <c r="BQ1127" s="9"/>
      <c r="BR1127" s="9"/>
      <c r="BS1127" s="9"/>
      <c r="BT1127" s="9"/>
      <c r="BU1127" s="9"/>
      <c r="BV1127" s="9"/>
      <c r="BW1127" s="9"/>
      <c r="BX1127" s="9"/>
      <c r="BY1127" s="9"/>
      <c r="BZ1127" s="9"/>
      <c r="CA1127" s="9"/>
      <c r="CB1127" s="9"/>
      <c r="CC1127" s="9"/>
      <c r="CD1127" s="9"/>
      <c r="CE1127" s="9"/>
      <c r="CF1127" s="9"/>
      <c r="CG1127" s="9"/>
    </row>
    <row r="1128" spans="1:85" ht="18" customHeight="1" x14ac:dyDescent="0.3">
      <c r="A1128" s="9">
        <f t="shared" si="85"/>
        <v>1127</v>
      </c>
      <c r="B1128" s="9" t="str">
        <f t="shared" si="86"/>
        <v/>
      </c>
      <c r="C1128" s="9"/>
      <c r="D1128" s="9"/>
      <c r="E1128" s="9">
        <f t="shared" si="87"/>
        <v>0</v>
      </c>
      <c r="F1128" s="9"/>
      <c r="G1128" s="9"/>
      <c r="H1128" s="9"/>
      <c r="I1128" s="9"/>
      <c r="J1128" s="9"/>
      <c r="K1128" s="9"/>
      <c r="L1128" s="9"/>
      <c r="M1128" s="9"/>
      <c r="N1128" s="9" t="str">
        <f t="shared" si="88"/>
        <v>NO</v>
      </c>
      <c r="O1128" s="9" t="str">
        <f t="shared" si="89"/>
        <v>🟡</v>
      </c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  <c r="BA1128" s="9"/>
      <c r="BB1128" s="9"/>
      <c r="BC1128" s="9"/>
      <c r="BD1128" s="9"/>
      <c r="BE1128" s="9"/>
      <c r="BF1128" s="9"/>
      <c r="BG1128" s="9"/>
      <c r="BH1128" s="9"/>
      <c r="BI1128" s="9"/>
      <c r="BJ1128" s="9"/>
      <c r="BK1128" s="9"/>
      <c r="BL1128" s="9"/>
      <c r="BM1128" s="9"/>
      <c r="BN1128" s="9"/>
      <c r="BO1128" s="9"/>
      <c r="BP1128" s="9"/>
      <c r="BQ1128" s="9"/>
      <c r="BR1128" s="9"/>
      <c r="BS1128" s="9"/>
      <c r="BT1128" s="9"/>
      <c r="BU1128" s="9"/>
      <c r="BV1128" s="9"/>
      <c r="BW1128" s="9"/>
      <c r="BX1128" s="9"/>
      <c r="BY1128" s="9"/>
      <c r="BZ1128" s="9"/>
      <c r="CA1128" s="9"/>
      <c r="CB1128" s="9"/>
      <c r="CC1128" s="9"/>
      <c r="CD1128" s="9"/>
      <c r="CE1128" s="9"/>
      <c r="CF1128" s="9"/>
      <c r="CG1128" s="9"/>
    </row>
    <row r="1129" spans="1:85" ht="18" customHeight="1" x14ac:dyDescent="0.3">
      <c r="A1129" s="9">
        <f t="shared" si="85"/>
        <v>1128</v>
      </c>
      <c r="B1129" s="9" t="str">
        <f t="shared" si="86"/>
        <v/>
      </c>
      <c r="C1129" s="9"/>
      <c r="D1129" s="9"/>
      <c r="E1129" s="9">
        <f t="shared" si="87"/>
        <v>0</v>
      </c>
      <c r="F1129" s="9"/>
      <c r="G1129" s="9"/>
      <c r="H1129" s="9"/>
      <c r="I1129" s="9"/>
      <c r="J1129" s="9"/>
      <c r="K1129" s="9"/>
      <c r="L1129" s="9"/>
      <c r="M1129" s="9"/>
      <c r="N1129" s="9" t="str">
        <f t="shared" si="88"/>
        <v>NO</v>
      </c>
      <c r="O1129" s="9" t="str">
        <f t="shared" si="89"/>
        <v>🟡</v>
      </c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  <c r="BA1129" s="9"/>
      <c r="BB1129" s="9"/>
      <c r="BC1129" s="9"/>
      <c r="BD1129" s="9"/>
      <c r="BE1129" s="9"/>
      <c r="BF1129" s="9"/>
      <c r="BG1129" s="9"/>
      <c r="BH1129" s="9"/>
      <c r="BI1129" s="9"/>
      <c r="BJ1129" s="9"/>
      <c r="BK1129" s="9"/>
      <c r="BL1129" s="9"/>
      <c r="BM1129" s="9"/>
      <c r="BN1129" s="9"/>
      <c r="BO1129" s="9"/>
      <c r="BP1129" s="9"/>
      <c r="BQ1129" s="9"/>
      <c r="BR1129" s="9"/>
      <c r="BS1129" s="9"/>
      <c r="BT1129" s="9"/>
      <c r="BU1129" s="9"/>
      <c r="BV1129" s="9"/>
      <c r="BW1129" s="9"/>
      <c r="BX1129" s="9"/>
      <c r="BY1129" s="9"/>
      <c r="BZ1129" s="9"/>
      <c r="CA1129" s="9"/>
      <c r="CB1129" s="9"/>
      <c r="CC1129" s="9"/>
      <c r="CD1129" s="9"/>
      <c r="CE1129" s="9"/>
      <c r="CF1129" s="9"/>
      <c r="CG1129" s="9"/>
    </row>
    <row r="1130" spans="1:85" ht="18" customHeight="1" x14ac:dyDescent="0.3">
      <c r="A1130" s="9">
        <f t="shared" si="85"/>
        <v>1129</v>
      </c>
      <c r="B1130" s="9" t="str">
        <f t="shared" si="86"/>
        <v/>
      </c>
      <c r="C1130" s="9"/>
      <c r="D1130" s="9"/>
      <c r="E1130" s="9">
        <f t="shared" si="87"/>
        <v>0</v>
      </c>
      <c r="F1130" s="9"/>
      <c r="G1130" s="9"/>
      <c r="H1130" s="9"/>
      <c r="I1130" s="9"/>
      <c r="J1130" s="9"/>
      <c r="K1130" s="9"/>
      <c r="L1130" s="9"/>
      <c r="M1130" s="9"/>
      <c r="N1130" s="9" t="str">
        <f t="shared" si="88"/>
        <v>NO</v>
      </c>
      <c r="O1130" s="9" t="str">
        <f t="shared" si="89"/>
        <v>🟡</v>
      </c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  <c r="BA1130" s="9"/>
      <c r="BB1130" s="9"/>
      <c r="BC1130" s="9"/>
      <c r="BD1130" s="9"/>
      <c r="BE1130" s="9"/>
      <c r="BF1130" s="9"/>
      <c r="BG1130" s="9"/>
      <c r="BH1130" s="9"/>
      <c r="BI1130" s="9"/>
      <c r="BJ1130" s="9"/>
      <c r="BK1130" s="9"/>
      <c r="BL1130" s="9"/>
      <c r="BM1130" s="9"/>
      <c r="BN1130" s="9"/>
      <c r="BO1130" s="9"/>
      <c r="BP1130" s="9"/>
      <c r="BQ1130" s="9"/>
      <c r="BR1130" s="9"/>
      <c r="BS1130" s="9"/>
      <c r="BT1130" s="9"/>
      <c r="BU1130" s="9"/>
      <c r="BV1130" s="9"/>
      <c r="BW1130" s="9"/>
      <c r="BX1130" s="9"/>
      <c r="BY1130" s="9"/>
      <c r="BZ1130" s="9"/>
      <c r="CA1130" s="9"/>
      <c r="CB1130" s="9"/>
      <c r="CC1130" s="9"/>
      <c r="CD1130" s="9"/>
      <c r="CE1130" s="9"/>
      <c r="CF1130" s="9"/>
      <c r="CG1130" s="9"/>
    </row>
    <row r="1131" spans="1:85" ht="18" customHeight="1" x14ac:dyDescent="0.3">
      <c r="A1131" s="9">
        <f t="shared" si="85"/>
        <v>1130</v>
      </c>
      <c r="B1131" s="9" t="str">
        <f t="shared" si="86"/>
        <v/>
      </c>
      <c r="C1131" s="9"/>
      <c r="D1131" s="9"/>
      <c r="E1131" s="9">
        <f t="shared" si="87"/>
        <v>0</v>
      </c>
      <c r="F1131" s="9"/>
      <c r="G1131" s="9"/>
      <c r="H1131" s="9"/>
      <c r="I1131" s="9"/>
      <c r="J1131" s="9"/>
      <c r="K1131" s="9"/>
      <c r="L1131" s="9"/>
      <c r="M1131" s="9"/>
      <c r="N1131" s="9" t="str">
        <f t="shared" si="88"/>
        <v>NO</v>
      </c>
      <c r="O1131" s="9" t="str">
        <f t="shared" si="89"/>
        <v>🟡</v>
      </c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  <c r="BA1131" s="9"/>
      <c r="BB1131" s="9"/>
      <c r="BC1131" s="9"/>
      <c r="BD1131" s="9"/>
      <c r="BE1131" s="9"/>
      <c r="BF1131" s="9"/>
      <c r="BG1131" s="9"/>
      <c r="BH1131" s="9"/>
      <c r="BI1131" s="9"/>
      <c r="BJ1131" s="9"/>
      <c r="BK1131" s="9"/>
      <c r="BL1131" s="9"/>
      <c r="BM1131" s="9"/>
      <c r="BN1131" s="9"/>
      <c r="BO1131" s="9"/>
      <c r="BP1131" s="9"/>
      <c r="BQ1131" s="9"/>
      <c r="BR1131" s="9"/>
      <c r="BS1131" s="9"/>
      <c r="BT1131" s="9"/>
      <c r="BU1131" s="9"/>
      <c r="BV1131" s="9"/>
      <c r="BW1131" s="9"/>
      <c r="BX1131" s="9"/>
      <c r="BY1131" s="9"/>
      <c r="BZ1131" s="9"/>
      <c r="CA1131" s="9"/>
      <c r="CB1131" s="9"/>
      <c r="CC1131" s="9"/>
      <c r="CD1131" s="9"/>
      <c r="CE1131" s="9"/>
      <c r="CF1131" s="9"/>
      <c r="CG1131" s="9"/>
    </row>
    <row r="1132" spans="1:85" ht="18" customHeight="1" x14ac:dyDescent="0.3">
      <c r="A1132" s="9">
        <f t="shared" si="85"/>
        <v>1131</v>
      </c>
      <c r="B1132" s="9" t="str">
        <f t="shared" si="86"/>
        <v/>
      </c>
      <c r="C1132" s="9"/>
      <c r="D1132" s="9"/>
      <c r="E1132" s="9">
        <f t="shared" si="87"/>
        <v>0</v>
      </c>
      <c r="F1132" s="9"/>
      <c r="G1132" s="9"/>
      <c r="H1132" s="9"/>
      <c r="I1132" s="9"/>
      <c r="J1132" s="9"/>
      <c r="K1132" s="9"/>
      <c r="L1132" s="9"/>
      <c r="M1132" s="9"/>
      <c r="N1132" s="9" t="str">
        <f t="shared" si="88"/>
        <v>NO</v>
      </c>
      <c r="O1132" s="9" t="str">
        <f t="shared" si="89"/>
        <v>🟡</v>
      </c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  <c r="BA1132" s="9"/>
      <c r="BB1132" s="9"/>
      <c r="BC1132" s="9"/>
      <c r="BD1132" s="9"/>
      <c r="BE1132" s="9"/>
      <c r="BF1132" s="9"/>
      <c r="BG1132" s="9"/>
      <c r="BH1132" s="9"/>
      <c r="BI1132" s="9"/>
      <c r="BJ1132" s="9"/>
      <c r="BK1132" s="9"/>
      <c r="BL1132" s="9"/>
      <c r="BM1132" s="9"/>
      <c r="BN1132" s="9"/>
      <c r="BO1132" s="9"/>
      <c r="BP1132" s="9"/>
      <c r="BQ1132" s="9"/>
      <c r="BR1132" s="9"/>
      <c r="BS1132" s="9"/>
      <c r="BT1132" s="9"/>
      <c r="BU1132" s="9"/>
      <c r="BV1132" s="9"/>
      <c r="BW1132" s="9"/>
      <c r="BX1132" s="9"/>
      <c r="BY1132" s="9"/>
      <c r="BZ1132" s="9"/>
      <c r="CA1132" s="9"/>
      <c r="CB1132" s="9"/>
      <c r="CC1132" s="9"/>
      <c r="CD1132" s="9"/>
      <c r="CE1132" s="9"/>
      <c r="CF1132" s="9"/>
      <c r="CG1132" s="9"/>
    </row>
    <row r="1133" spans="1:85" ht="18" customHeight="1" x14ac:dyDescent="0.3">
      <c r="A1133" s="9">
        <f t="shared" si="85"/>
        <v>1132</v>
      </c>
      <c r="B1133" s="9" t="str">
        <f t="shared" si="86"/>
        <v/>
      </c>
      <c r="C1133" s="9"/>
      <c r="D1133" s="9"/>
      <c r="E1133" s="9">
        <f t="shared" si="87"/>
        <v>0</v>
      </c>
      <c r="F1133" s="9"/>
      <c r="G1133" s="9"/>
      <c r="H1133" s="9"/>
      <c r="I1133" s="9"/>
      <c r="J1133" s="9"/>
      <c r="K1133" s="9"/>
      <c r="L1133" s="9"/>
      <c r="M1133" s="9"/>
      <c r="N1133" s="9" t="str">
        <f t="shared" si="88"/>
        <v>NO</v>
      </c>
      <c r="O1133" s="9" t="str">
        <f t="shared" si="89"/>
        <v>🟡</v>
      </c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  <c r="BA1133" s="9"/>
      <c r="BB1133" s="9"/>
      <c r="BC1133" s="9"/>
      <c r="BD1133" s="9"/>
      <c r="BE1133" s="9"/>
      <c r="BF1133" s="9"/>
      <c r="BG1133" s="9"/>
      <c r="BH1133" s="9"/>
      <c r="BI1133" s="9"/>
      <c r="BJ1133" s="9"/>
      <c r="BK1133" s="9"/>
      <c r="BL1133" s="9"/>
      <c r="BM1133" s="9"/>
      <c r="BN1133" s="9"/>
      <c r="BO1133" s="9"/>
      <c r="BP1133" s="9"/>
      <c r="BQ1133" s="9"/>
      <c r="BR1133" s="9"/>
      <c r="BS1133" s="9"/>
      <c r="BT1133" s="9"/>
      <c r="BU1133" s="9"/>
      <c r="BV1133" s="9"/>
      <c r="BW1133" s="9"/>
      <c r="BX1133" s="9"/>
      <c r="BY1133" s="9"/>
      <c r="BZ1133" s="9"/>
      <c r="CA1133" s="9"/>
      <c r="CB1133" s="9"/>
      <c r="CC1133" s="9"/>
      <c r="CD1133" s="9"/>
      <c r="CE1133" s="9"/>
      <c r="CF1133" s="9"/>
      <c r="CG1133" s="9"/>
    </row>
    <row r="1134" spans="1:85" ht="18" customHeight="1" x14ac:dyDescent="0.3">
      <c r="A1134" s="9">
        <f t="shared" si="85"/>
        <v>1133</v>
      </c>
      <c r="B1134" s="9" t="str">
        <f t="shared" si="86"/>
        <v/>
      </c>
      <c r="C1134" s="9"/>
      <c r="D1134" s="9"/>
      <c r="E1134" s="9">
        <f t="shared" si="87"/>
        <v>0</v>
      </c>
      <c r="F1134" s="9"/>
      <c r="G1134" s="9"/>
      <c r="H1134" s="9"/>
      <c r="I1134" s="9"/>
      <c r="J1134" s="9"/>
      <c r="K1134" s="9"/>
      <c r="L1134" s="9"/>
      <c r="M1134" s="9"/>
      <c r="N1134" s="9" t="str">
        <f t="shared" si="88"/>
        <v>NO</v>
      </c>
      <c r="O1134" s="9" t="str">
        <f t="shared" si="89"/>
        <v>🟡</v>
      </c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  <c r="BA1134" s="9"/>
      <c r="BB1134" s="9"/>
      <c r="BC1134" s="9"/>
      <c r="BD1134" s="9"/>
      <c r="BE1134" s="9"/>
      <c r="BF1134" s="9"/>
      <c r="BG1134" s="9"/>
      <c r="BH1134" s="9"/>
      <c r="BI1134" s="9"/>
      <c r="BJ1134" s="9"/>
      <c r="BK1134" s="9"/>
      <c r="BL1134" s="9"/>
      <c r="BM1134" s="9"/>
      <c r="BN1134" s="9"/>
      <c r="BO1134" s="9"/>
      <c r="BP1134" s="9"/>
      <c r="BQ1134" s="9"/>
      <c r="BR1134" s="9"/>
      <c r="BS1134" s="9"/>
      <c r="BT1134" s="9"/>
      <c r="BU1134" s="9"/>
      <c r="BV1134" s="9"/>
      <c r="BW1134" s="9"/>
      <c r="BX1134" s="9"/>
      <c r="BY1134" s="9"/>
      <c r="BZ1134" s="9"/>
      <c r="CA1134" s="9"/>
      <c r="CB1134" s="9"/>
      <c r="CC1134" s="9"/>
      <c r="CD1134" s="9"/>
      <c r="CE1134" s="9"/>
      <c r="CF1134" s="9"/>
      <c r="CG1134" s="9"/>
    </row>
    <row r="1135" spans="1:85" ht="18" customHeight="1" x14ac:dyDescent="0.3">
      <c r="A1135" s="9">
        <f t="shared" si="85"/>
        <v>1134</v>
      </c>
      <c r="B1135" s="9" t="str">
        <f t="shared" si="86"/>
        <v/>
      </c>
      <c r="C1135" s="9"/>
      <c r="D1135" s="9"/>
      <c r="E1135" s="9">
        <f t="shared" si="87"/>
        <v>0</v>
      </c>
      <c r="F1135" s="9"/>
      <c r="G1135" s="9"/>
      <c r="H1135" s="9"/>
      <c r="I1135" s="9"/>
      <c r="J1135" s="9"/>
      <c r="K1135" s="9"/>
      <c r="L1135" s="9"/>
      <c r="M1135" s="9"/>
      <c r="N1135" s="9" t="str">
        <f t="shared" si="88"/>
        <v>NO</v>
      </c>
      <c r="O1135" s="9" t="str">
        <f t="shared" si="89"/>
        <v>🟡</v>
      </c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  <c r="BA1135" s="9"/>
      <c r="BB1135" s="9"/>
      <c r="BC1135" s="9"/>
      <c r="BD1135" s="9"/>
      <c r="BE1135" s="9"/>
      <c r="BF1135" s="9"/>
      <c r="BG1135" s="9"/>
      <c r="BH1135" s="9"/>
      <c r="BI1135" s="9"/>
      <c r="BJ1135" s="9"/>
      <c r="BK1135" s="9"/>
      <c r="BL1135" s="9"/>
      <c r="BM1135" s="9"/>
      <c r="BN1135" s="9"/>
      <c r="BO1135" s="9"/>
      <c r="BP1135" s="9"/>
      <c r="BQ1135" s="9"/>
      <c r="BR1135" s="9"/>
      <c r="BS1135" s="9"/>
      <c r="BT1135" s="9"/>
      <c r="BU1135" s="9"/>
      <c r="BV1135" s="9"/>
      <c r="BW1135" s="9"/>
      <c r="BX1135" s="9"/>
      <c r="BY1135" s="9"/>
      <c r="BZ1135" s="9"/>
      <c r="CA1135" s="9"/>
      <c r="CB1135" s="9"/>
      <c r="CC1135" s="9"/>
      <c r="CD1135" s="9"/>
      <c r="CE1135" s="9"/>
      <c r="CF1135" s="9"/>
      <c r="CG1135" s="9"/>
    </row>
    <row r="1136" spans="1:85" ht="18" customHeight="1" x14ac:dyDescent="0.3">
      <c r="A1136" s="9">
        <f t="shared" si="85"/>
        <v>1135</v>
      </c>
      <c r="B1136" s="9" t="str">
        <f t="shared" si="86"/>
        <v/>
      </c>
      <c r="C1136" s="9"/>
      <c r="D1136" s="9"/>
      <c r="E1136" s="9">
        <f t="shared" si="87"/>
        <v>0</v>
      </c>
      <c r="F1136" s="9"/>
      <c r="G1136" s="9"/>
      <c r="H1136" s="9"/>
      <c r="I1136" s="9"/>
      <c r="J1136" s="9"/>
      <c r="K1136" s="9"/>
      <c r="L1136" s="9"/>
      <c r="M1136" s="9"/>
      <c r="N1136" s="9" t="str">
        <f t="shared" si="88"/>
        <v>NO</v>
      </c>
      <c r="O1136" s="9" t="str">
        <f t="shared" si="89"/>
        <v>🟡</v>
      </c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  <c r="BA1136" s="9"/>
      <c r="BB1136" s="9"/>
      <c r="BC1136" s="9"/>
      <c r="BD1136" s="9"/>
      <c r="BE1136" s="9"/>
      <c r="BF1136" s="9"/>
      <c r="BG1136" s="9"/>
      <c r="BH1136" s="9"/>
      <c r="BI1136" s="9"/>
      <c r="BJ1136" s="9"/>
      <c r="BK1136" s="9"/>
      <c r="BL1136" s="9"/>
      <c r="BM1136" s="9"/>
      <c r="BN1136" s="9"/>
      <c r="BO1136" s="9"/>
      <c r="BP1136" s="9"/>
      <c r="BQ1136" s="9"/>
      <c r="BR1136" s="9"/>
      <c r="BS1136" s="9"/>
      <c r="BT1136" s="9"/>
      <c r="BU1136" s="9"/>
      <c r="BV1136" s="9"/>
      <c r="BW1136" s="9"/>
      <c r="BX1136" s="9"/>
      <c r="BY1136" s="9"/>
      <c r="BZ1136" s="9"/>
      <c r="CA1136" s="9"/>
      <c r="CB1136" s="9"/>
      <c r="CC1136" s="9"/>
      <c r="CD1136" s="9"/>
      <c r="CE1136" s="9"/>
      <c r="CF1136" s="9"/>
      <c r="CG1136" s="9"/>
    </row>
    <row r="1137" spans="1:85" ht="18" customHeight="1" x14ac:dyDescent="0.3">
      <c r="A1137" s="9">
        <f t="shared" si="85"/>
        <v>1136</v>
      </c>
      <c r="B1137" s="9" t="str">
        <f t="shared" si="86"/>
        <v/>
      </c>
      <c r="C1137" s="9"/>
      <c r="D1137" s="9"/>
      <c r="E1137" s="9">
        <f t="shared" si="87"/>
        <v>0</v>
      </c>
      <c r="F1137" s="9"/>
      <c r="G1137" s="9"/>
      <c r="H1137" s="9"/>
      <c r="I1137" s="9"/>
      <c r="J1137" s="9"/>
      <c r="K1137" s="9"/>
      <c r="L1137" s="9"/>
      <c r="M1137" s="9"/>
      <c r="N1137" s="9" t="str">
        <f t="shared" si="88"/>
        <v>NO</v>
      </c>
      <c r="O1137" s="9" t="str">
        <f t="shared" si="89"/>
        <v>🟡</v>
      </c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  <c r="BA1137" s="9"/>
      <c r="BB1137" s="9"/>
      <c r="BC1137" s="9"/>
      <c r="BD1137" s="9"/>
      <c r="BE1137" s="9"/>
      <c r="BF1137" s="9"/>
      <c r="BG1137" s="9"/>
      <c r="BH1137" s="9"/>
      <c r="BI1137" s="9"/>
      <c r="BJ1137" s="9"/>
      <c r="BK1137" s="9"/>
      <c r="BL1137" s="9"/>
      <c r="BM1137" s="9"/>
      <c r="BN1137" s="9"/>
      <c r="BO1137" s="9"/>
      <c r="BP1137" s="9"/>
      <c r="BQ1137" s="9"/>
      <c r="BR1137" s="9"/>
      <c r="BS1137" s="9"/>
      <c r="BT1137" s="9"/>
      <c r="BU1137" s="9"/>
      <c r="BV1137" s="9"/>
      <c r="BW1137" s="9"/>
      <c r="BX1137" s="9"/>
      <c r="BY1137" s="9"/>
      <c r="BZ1137" s="9"/>
      <c r="CA1137" s="9"/>
      <c r="CB1137" s="9"/>
      <c r="CC1137" s="9"/>
      <c r="CD1137" s="9"/>
      <c r="CE1137" s="9"/>
      <c r="CF1137" s="9"/>
      <c r="CG1137" s="9"/>
    </row>
    <row r="1138" spans="1:85" ht="18" customHeight="1" x14ac:dyDescent="0.3">
      <c r="A1138" s="9">
        <f t="shared" si="85"/>
        <v>1137</v>
      </c>
      <c r="B1138" s="9" t="str">
        <f t="shared" si="86"/>
        <v/>
      </c>
      <c r="C1138" s="9"/>
      <c r="D1138" s="9"/>
      <c r="E1138" s="9">
        <f t="shared" si="87"/>
        <v>0</v>
      </c>
      <c r="F1138" s="9"/>
      <c r="G1138" s="9"/>
      <c r="H1138" s="9"/>
      <c r="I1138" s="9"/>
      <c r="J1138" s="9"/>
      <c r="K1138" s="9"/>
      <c r="L1138" s="9"/>
      <c r="M1138" s="9"/>
      <c r="N1138" s="9" t="str">
        <f t="shared" si="88"/>
        <v>NO</v>
      </c>
      <c r="O1138" s="9" t="str">
        <f t="shared" si="89"/>
        <v>🟡</v>
      </c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  <c r="BA1138" s="9"/>
      <c r="BB1138" s="9"/>
      <c r="BC1138" s="9"/>
      <c r="BD1138" s="9"/>
      <c r="BE1138" s="9"/>
      <c r="BF1138" s="9"/>
      <c r="BG1138" s="9"/>
      <c r="BH1138" s="9"/>
      <c r="BI1138" s="9"/>
      <c r="BJ1138" s="9"/>
      <c r="BK1138" s="9"/>
      <c r="BL1138" s="9"/>
      <c r="BM1138" s="9"/>
      <c r="BN1138" s="9"/>
      <c r="BO1138" s="9"/>
      <c r="BP1138" s="9"/>
      <c r="BQ1138" s="9"/>
      <c r="BR1138" s="9"/>
      <c r="BS1138" s="9"/>
      <c r="BT1138" s="9"/>
      <c r="BU1138" s="9"/>
      <c r="BV1138" s="9"/>
      <c r="BW1138" s="9"/>
      <c r="BX1138" s="9"/>
      <c r="BY1138" s="9"/>
      <c r="BZ1138" s="9"/>
      <c r="CA1138" s="9"/>
      <c r="CB1138" s="9"/>
      <c r="CC1138" s="9"/>
      <c r="CD1138" s="9"/>
      <c r="CE1138" s="9"/>
      <c r="CF1138" s="9"/>
      <c r="CG1138" s="9"/>
    </row>
    <row r="1139" spans="1:85" ht="18" customHeight="1" x14ac:dyDescent="0.3">
      <c r="A1139" s="9">
        <f t="shared" si="85"/>
        <v>1138</v>
      </c>
      <c r="B1139" s="9" t="str">
        <f t="shared" si="86"/>
        <v/>
      </c>
      <c r="C1139" s="9"/>
      <c r="D1139" s="9"/>
      <c r="E1139" s="9">
        <f t="shared" si="87"/>
        <v>0</v>
      </c>
      <c r="F1139" s="9"/>
      <c r="G1139" s="9"/>
      <c r="H1139" s="9"/>
      <c r="I1139" s="9"/>
      <c r="J1139" s="9"/>
      <c r="K1139" s="9"/>
      <c r="L1139" s="9"/>
      <c r="M1139" s="9"/>
      <c r="N1139" s="9" t="str">
        <f t="shared" si="88"/>
        <v>NO</v>
      </c>
      <c r="O1139" s="9" t="str">
        <f t="shared" si="89"/>
        <v>🟡</v>
      </c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  <c r="BA1139" s="9"/>
      <c r="BB1139" s="9"/>
      <c r="BC1139" s="9"/>
      <c r="BD1139" s="9"/>
      <c r="BE1139" s="9"/>
      <c r="BF1139" s="9"/>
      <c r="BG1139" s="9"/>
      <c r="BH1139" s="9"/>
      <c r="BI1139" s="9"/>
      <c r="BJ1139" s="9"/>
      <c r="BK1139" s="9"/>
      <c r="BL1139" s="9"/>
      <c r="BM1139" s="9"/>
      <c r="BN1139" s="9"/>
      <c r="BO1139" s="9"/>
      <c r="BP1139" s="9"/>
      <c r="BQ1139" s="9"/>
      <c r="BR1139" s="9"/>
      <c r="BS1139" s="9"/>
      <c r="BT1139" s="9"/>
      <c r="BU1139" s="9"/>
      <c r="BV1139" s="9"/>
      <c r="BW1139" s="9"/>
      <c r="BX1139" s="9"/>
      <c r="BY1139" s="9"/>
      <c r="BZ1139" s="9"/>
      <c r="CA1139" s="9"/>
      <c r="CB1139" s="9"/>
      <c r="CC1139" s="9"/>
      <c r="CD1139" s="9"/>
      <c r="CE1139" s="9"/>
      <c r="CF1139" s="9"/>
      <c r="CG1139" s="9"/>
    </row>
    <row r="1140" spans="1:85" ht="18" customHeight="1" x14ac:dyDescent="0.3">
      <c r="A1140" s="9">
        <f t="shared" si="85"/>
        <v>1139</v>
      </c>
      <c r="B1140" s="9" t="str">
        <f t="shared" si="86"/>
        <v/>
      </c>
      <c r="C1140" s="9"/>
      <c r="D1140" s="9"/>
      <c r="E1140" s="9">
        <f t="shared" si="87"/>
        <v>0</v>
      </c>
      <c r="F1140" s="9"/>
      <c r="G1140" s="9"/>
      <c r="H1140" s="9"/>
      <c r="I1140" s="9"/>
      <c r="J1140" s="9"/>
      <c r="K1140" s="9"/>
      <c r="L1140" s="9"/>
      <c r="M1140" s="9"/>
      <c r="N1140" s="9" t="str">
        <f t="shared" si="88"/>
        <v>NO</v>
      </c>
      <c r="O1140" s="9" t="str">
        <f t="shared" si="89"/>
        <v>🟡</v>
      </c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  <c r="BC1140" s="9"/>
      <c r="BD1140" s="9"/>
      <c r="BE1140" s="9"/>
      <c r="BF1140" s="9"/>
      <c r="BG1140" s="9"/>
      <c r="BH1140" s="9"/>
      <c r="BI1140" s="9"/>
      <c r="BJ1140" s="9"/>
      <c r="BK1140" s="9"/>
      <c r="BL1140" s="9"/>
      <c r="BM1140" s="9"/>
      <c r="BN1140" s="9"/>
      <c r="BO1140" s="9"/>
      <c r="BP1140" s="9"/>
      <c r="BQ1140" s="9"/>
      <c r="BR1140" s="9"/>
      <c r="BS1140" s="9"/>
      <c r="BT1140" s="9"/>
      <c r="BU1140" s="9"/>
      <c r="BV1140" s="9"/>
      <c r="BW1140" s="9"/>
      <c r="BX1140" s="9"/>
      <c r="BY1140" s="9"/>
      <c r="BZ1140" s="9"/>
      <c r="CA1140" s="9"/>
      <c r="CB1140" s="9"/>
      <c r="CC1140" s="9"/>
      <c r="CD1140" s="9"/>
      <c r="CE1140" s="9"/>
      <c r="CF1140" s="9"/>
      <c r="CG1140" s="9"/>
    </row>
    <row r="1141" spans="1:85" ht="18" customHeight="1" x14ac:dyDescent="0.3">
      <c r="A1141" s="9">
        <f t="shared" si="85"/>
        <v>1140</v>
      </c>
      <c r="B1141" s="9" t="str">
        <f t="shared" si="86"/>
        <v/>
      </c>
      <c r="C1141" s="9"/>
      <c r="D1141" s="9"/>
      <c r="E1141" s="9">
        <f t="shared" si="87"/>
        <v>0</v>
      </c>
      <c r="F1141" s="9"/>
      <c r="G1141" s="9"/>
      <c r="H1141" s="9"/>
      <c r="I1141" s="9"/>
      <c r="J1141" s="9"/>
      <c r="K1141" s="9"/>
      <c r="L1141" s="9"/>
      <c r="M1141" s="9"/>
      <c r="N1141" s="9" t="str">
        <f t="shared" si="88"/>
        <v>NO</v>
      </c>
      <c r="O1141" s="9" t="str">
        <f t="shared" si="89"/>
        <v>🟡</v>
      </c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  <c r="BA1141" s="9"/>
      <c r="BB1141" s="9"/>
      <c r="BC1141" s="9"/>
      <c r="BD1141" s="9"/>
      <c r="BE1141" s="9"/>
      <c r="BF1141" s="9"/>
      <c r="BG1141" s="9"/>
      <c r="BH1141" s="9"/>
      <c r="BI1141" s="9"/>
      <c r="BJ1141" s="9"/>
      <c r="BK1141" s="9"/>
      <c r="BL1141" s="9"/>
      <c r="BM1141" s="9"/>
      <c r="BN1141" s="9"/>
      <c r="BO1141" s="9"/>
      <c r="BP1141" s="9"/>
      <c r="BQ1141" s="9"/>
      <c r="BR1141" s="9"/>
      <c r="BS1141" s="9"/>
      <c r="BT1141" s="9"/>
      <c r="BU1141" s="9"/>
      <c r="BV1141" s="9"/>
      <c r="BW1141" s="9"/>
      <c r="BX1141" s="9"/>
      <c r="BY1141" s="9"/>
      <c r="BZ1141" s="9"/>
      <c r="CA1141" s="9"/>
      <c r="CB1141" s="9"/>
      <c r="CC1141" s="9"/>
      <c r="CD1141" s="9"/>
      <c r="CE1141" s="9"/>
      <c r="CF1141" s="9"/>
      <c r="CG1141" s="9"/>
    </row>
    <row r="1142" spans="1:85" ht="18" customHeight="1" x14ac:dyDescent="0.3">
      <c r="A1142" s="9">
        <f t="shared" si="85"/>
        <v>1141</v>
      </c>
      <c r="B1142" s="9" t="str">
        <f t="shared" si="86"/>
        <v/>
      </c>
      <c r="C1142" s="9"/>
      <c r="D1142" s="9"/>
      <c r="E1142" s="9">
        <f t="shared" si="87"/>
        <v>0</v>
      </c>
      <c r="F1142" s="9"/>
      <c r="G1142" s="9"/>
      <c r="H1142" s="9"/>
      <c r="I1142" s="9"/>
      <c r="J1142" s="9"/>
      <c r="K1142" s="9"/>
      <c r="L1142" s="9"/>
      <c r="M1142" s="9"/>
      <c r="N1142" s="9" t="str">
        <f t="shared" si="88"/>
        <v>NO</v>
      </c>
      <c r="O1142" s="9" t="str">
        <f t="shared" si="89"/>
        <v>🟡</v>
      </c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  <c r="BA1142" s="9"/>
      <c r="BB1142" s="9"/>
      <c r="BC1142" s="9"/>
      <c r="BD1142" s="9"/>
      <c r="BE1142" s="9"/>
      <c r="BF1142" s="9"/>
      <c r="BG1142" s="9"/>
      <c r="BH1142" s="9"/>
      <c r="BI1142" s="9"/>
      <c r="BJ1142" s="9"/>
      <c r="BK1142" s="9"/>
      <c r="BL1142" s="9"/>
      <c r="BM1142" s="9"/>
      <c r="BN1142" s="9"/>
      <c r="BO1142" s="9"/>
      <c r="BP1142" s="9"/>
      <c r="BQ1142" s="9"/>
      <c r="BR1142" s="9"/>
      <c r="BS1142" s="9"/>
      <c r="BT1142" s="9"/>
      <c r="BU1142" s="9"/>
      <c r="BV1142" s="9"/>
      <c r="BW1142" s="9"/>
      <c r="BX1142" s="9"/>
      <c r="BY1142" s="9"/>
      <c r="BZ1142" s="9"/>
      <c r="CA1142" s="9"/>
      <c r="CB1142" s="9"/>
      <c r="CC1142" s="9"/>
      <c r="CD1142" s="9"/>
      <c r="CE1142" s="9"/>
      <c r="CF1142" s="9"/>
      <c r="CG1142" s="9"/>
    </row>
    <row r="1143" spans="1:85" ht="18" customHeight="1" x14ac:dyDescent="0.3">
      <c r="A1143" s="9">
        <f t="shared" si="85"/>
        <v>1142</v>
      </c>
      <c r="B1143" s="9" t="str">
        <f t="shared" si="86"/>
        <v/>
      </c>
      <c r="C1143" s="9"/>
      <c r="D1143" s="9"/>
      <c r="E1143" s="9">
        <f t="shared" si="87"/>
        <v>0</v>
      </c>
      <c r="F1143" s="9"/>
      <c r="G1143" s="9"/>
      <c r="H1143" s="9"/>
      <c r="I1143" s="9"/>
      <c r="J1143" s="9"/>
      <c r="K1143" s="9"/>
      <c r="L1143" s="9"/>
      <c r="M1143" s="9"/>
      <c r="N1143" s="9" t="str">
        <f t="shared" si="88"/>
        <v>NO</v>
      </c>
      <c r="O1143" s="9" t="str">
        <f t="shared" si="89"/>
        <v>🟡</v>
      </c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  <c r="BA1143" s="9"/>
      <c r="BB1143" s="9"/>
      <c r="BC1143" s="9"/>
      <c r="BD1143" s="9"/>
      <c r="BE1143" s="9"/>
      <c r="BF1143" s="9"/>
      <c r="BG1143" s="9"/>
      <c r="BH1143" s="9"/>
      <c r="BI1143" s="9"/>
      <c r="BJ1143" s="9"/>
      <c r="BK1143" s="9"/>
      <c r="BL1143" s="9"/>
      <c r="BM1143" s="9"/>
      <c r="BN1143" s="9"/>
      <c r="BO1143" s="9"/>
      <c r="BP1143" s="9"/>
      <c r="BQ1143" s="9"/>
      <c r="BR1143" s="9"/>
      <c r="BS1143" s="9"/>
      <c r="BT1143" s="9"/>
      <c r="BU1143" s="9"/>
      <c r="BV1143" s="9"/>
      <c r="BW1143" s="9"/>
      <c r="BX1143" s="9"/>
      <c r="BY1143" s="9"/>
      <c r="BZ1143" s="9"/>
      <c r="CA1143" s="9"/>
      <c r="CB1143" s="9"/>
      <c r="CC1143" s="9"/>
      <c r="CD1143" s="9"/>
      <c r="CE1143" s="9"/>
      <c r="CF1143" s="9"/>
      <c r="CG1143" s="9"/>
    </row>
    <row r="1144" spans="1:85" ht="18" customHeight="1" x14ac:dyDescent="0.3">
      <c r="A1144" s="9">
        <f t="shared" si="85"/>
        <v>1143</v>
      </c>
      <c r="B1144" s="9" t="str">
        <f t="shared" si="86"/>
        <v/>
      </c>
      <c r="C1144" s="9"/>
      <c r="D1144" s="9"/>
      <c r="E1144" s="9">
        <f t="shared" si="87"/>
        <v>0</v>
      </c>
      <c r="F1144" s="9"/>
      <c r="G1144" s="9"/>
      <c r="H1144" s="9"/>
      <c r="I1144" s="9"/>
      <c r="J1144" s="9"/>
      <c r="K1144" s="9"/>
      <c r="L1144" s="9"/>
      <c r="M1144" s="9"/>
      <c r="N1144" s="9" t="str">
        <f t="shared" si="88"/>
        <v>NO</v>
      </c>
      <c r="O1144" s="9" t="str">
        <f t="shared" si="89"/>
        <v>🟡</v>
      </c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  <c r="BA1144" s="9"/>
      <c r="BB1144" s="9"/>
      <c r="BC1144" s="9"/>
      <c r="BD1144" s="9"/>
      <c r="BE1144" s="9"/>
      <c r="BF1144" s="9"/>
      <c r="BG1144" s="9"/>
      <c r="BH1144" s="9"/>
      <c r="BI1144" s="9"/>
      <c r="BJ1144" s="9"/>
      <c r="BK1144" s="9"/>
      <c r="BL1144" s="9"/>
      <c r="BM1144" s="9"/>
      <c r="BN1144" s="9"/>
      <c r="BO1144" s="9"/>
      <c r="BP1144" s="9"/>
      <c r="BQ1144" s="9"/>
      <c r="BR1144" s="9"/>
      <c r="BS1144" s="9"/>
      <c r="BT1144" s="9"/>
      <c r="BU1144" s="9"/>
      <c r="BV1144" s="9"/>
      <c r="BW1144" s="9"/>
      <c r="BX1144" s="9"/>
      <c r="BY1144" s="9"/>
      <c r="BZ1144" s="9"/>
      <c r="CA1144" s="9"/>
      <c r="CB1144" s="9"/>
      <c r="CC1144" s="9"/>
      <c r="CD1144" s="9"/>
      <c r="CE1144" s="9"/>
      <c r="CF1144" s="9"/>
      <c r="CG1144" s="9"/>
    </row>
    <row r="1145" spans="1:85" ht="18" customHeight="1" x14ac:dyDescent="0.3">
      <c r="A1145" s="9">
        <f t="shared" si="85"/>
        <v>1144</v>
      </c>
      <c r="B1145" s="9" t="str">
        <f t="shared" si="86"/>
        <v/>
      </c>
      <c r="C1145" s="9"/>
      <c r="D1145" s="9"/>
      <c r="E1145" s="9">
        <f t="shared" si="87"/>
        <v>0</v>
      </c>
      <c r="F1145" s="9"/>
      <c r="G1145" s="9"/>
      <c r="H1145" s="9"/>
      <c r="I1145" s="9"/>
      <c r="J1145" s="9"/>
      <c r="K1145" s="9"/>
      <c r="L1145" s="9"/>
      <c r="M1145" s="9"/>
      <c r="N1145" s="9" t="str">
        <f t="shared" si="88"/>
        <v>NO</v>
      </c>
      <c r="O1145" s="9" t="str">
        <f t="shared" si="89"/>
        <v>🟡</v>
      </c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  <c r="BA1145" s="9"/>
      <c r="BB1145" s="9"/>
      <c r="BC1145" s="9"/>
      <c r="BD1145" s="9"/>
      <c r="BE1145" s="9"/>
      <c r="BF1145" s="9"/>
      <c r="BG1145" s="9"/>
      <c r="BH1145" s="9"/>
      <c r="BI1145" s="9"/>
      <c r="BJ1145" s="9"/>
      <c r="BK1145" s="9"/>
      <c r="BL1145" s="9"/>
      <c r="BM1145" s="9"/>
      <c r="BN1145" s="9"/>
      <c r="BO1145" s="9"/>
      <c r="BP1145" s="9"/>
      <c r="BQ1145" s="9"/>
      <c r="BR1145" s="9"/>
      <c r="BS1145" s="9"/>
      <c r="BT1145" s="9"/>
      <c r="BU1145" s="9"/>
      <c r="BV1145" s="9"/>
      <c r="BW1145" s="9"/>
      <c r="BX1145" s="9"/>
      <c r="BY1145" s="9"/>
      <c r="BZ1145" s="9"/>
      <c r="CA1145" s="9"/>
      <c r="CB1145" s="9"/>
      <c r="CC1145" s="9"/>
      <c r="CD1145" s="9"/>
      <c r="CE1145" s="9"/>
      <c r="CF1145" s="9"/>
      <c r="CG1145" s="9"/>
    </row>
    <row r="1146" spans="1:85" ht="18" customHeight="1" x14ac:dyDescent="0.3">
      <c r="A1146" s="9">
        <f t="shared" si="85"/>
        <v>1145</v>
      </c>
      <c r="B1146" s="9" t="str">
        <f t="shared" si="86"/>
        <v/>
      </c>
      <c r="C1146" s="9"/>
      <c r="D1146" s="9"/>
      <c r="E1146" s="9">
        <f t="shared" si="87"/>
        <v>0</v>
      </c>
      <c r="F1146" s="9"/>
      <c r="G1146" s="9"/>
      <c r="H1146" s="9"/>
      <c r="I1146" s="9"/>
      <c r="J1146" s="9"/>
      <c r="K1146" s="9"/>
      <c r="L1146" s="9"/>
      <c r="M1146" s="9"/>
      <c r="N1146" s="9" t="str">
        <f t="shared" si="88"/>
        <v>NO</v>
      </c>
      <c r="O1146" s="9" t="str">
        <f t="shared" si="89"/>
        <v>🟡</v>
      </c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  <c r="BA1146" s="9"/>
      <c r="BB1146" s="9"/>
      <c r="BC1146" s="9"/>
      <c r="BD1146" s="9"/>
      <c r="BE1146" s="9"/>
      <c r="BF1146" s="9"/>
      <c r="BG1146" s="9"/>
      <c r="BH1146" s="9"/>
      <c r="BI1146" s="9"/>
      <c r="BJ1146" s="9"/>
      <c r="BK1146" s="9"/>
      <c r="BL1146" s="9"/>
      <c r="BM1146" s="9"/>
      <c r="BN1146" s="9"/>
      <c r="BO1146" s="9"/>
      <c r="BP1146" s="9"/>
      <c r="BQ1146" s="9"/>
      <c r="BR1146" s="9"/>
      <c r="BS1146" s="9"/>
      <c r="BT1146" s="9"/>
      <c r="BU1146" s="9"/>
      <c r="BV1146" s="9"/>
      <c r="BW1146" s="9"/>
      <c r="BX1146" s="9"/>
      <c r="BY1146" s="9"/>
      <c r="BZ1146" s="9"/>
      <c r="CA1146" s="9"/>
      <c r="CB1146" s="9"/>
      <c r="CC1146" s="9"/>
      <c r="CD1146" s="9"/>
      <c r="CE1146" s="9"/>
      <c r="CF1146" s="9"/>
      <c r="CG1146" s="9"/>
    </row>
    <row r="1147" spans="1:85" ht="18" customHeight="1" x14ac:dyDescent="0.3">
      <c r="A1147" s="9">
        <f t="shared" si="85"/>
        <v>1146</v>
      </c>
      <c r="B1147" s="9" t="str">
        <f t="shared" si="86"/>
        <v/>
      </c>
      <c r="C1147" s="9"/>
      <c r="D1147" s="9"/>
      <c r="E1147" s="9">
        <f t="shared" si="87"/>
        <v>0</v>
      </c>
      <c r="F1147" s="9"/>
      <c r="G1147" s="9"/>
      <c r="H1147" s="9"/>
      <c r="I1147" s="9"/>
      <c r="J1147" s="9"/>
      <c r="K1147" s="9"/>
      <c r="L1147" s="9"/>
      <c r="M1147" s="9"/>
      <c r="N1147" s="9" t="str">
        <f t="shared" si="88"/>
        <v>NO</v>
      </c>
      <c r="O1147" s="9" t="str">
        <f t="shared" si="89"/>
        <v>🟡</v>
      </c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  <c r="BA1147" s="9"/>
      <c r="BB1147" s="9"/>
      <c r="BC1147" s="9"/>
      <c r="BD1147" s="9"/>
      <c r="BE1147" s="9"/>
      <c r="BF1147" s="9"/>
      <c r="BG1147" s="9"/>
      <c r="BH1147" s="9"/>
      <c r="BI1147" s="9"/>
      <c r="BJ1147" s="9"/>
      <c r="BK1147" s="9"/>
      <c r="BL1147" s="9"/>
      <c r="BM1147" s="9"/>
      <c r="BN1147" s="9"/>
      <c r="BO1147" s="9"/>
      <c r="BP1147" s="9"/>
      <c r="BQ1147" s="9"/>
      <c r="BR1147" s="9"/>
      <c r="BS1147" s="9"/>
      <c r="BT1147" s="9"/>
      <c r="BU1147" s="9"/>
      <c r="BV1147" s="9"/>
      <c r="BW1147" s="9"/>
      <c r="BX1147" s="9"/>
      <c r="BY1147" s="9"/>
      <c r="BZ1147" s="9"/>
      <c r="CA1147" s="9"/>
      <c r="CB1147" s="9"/>
      <c r="CC1147" s="9"/>
      <c r="CD1147" s="9"/>
      <c r="CE1147" s="9"/>
      <c r="CF1147" s="9"/>
      <c r="CG1147" s="9"/>
    </row>
    <row r="1148" spans="1:85" ht="18" customHeight="1" x14ac:dyDescent="0.3">
      <c r="A1148" s="9">
        <f t="shared" si="85"/>
        <v>1147</v>
      </c>
      <c r="B1148" s="9" t="str">
        <f t="shared" si="86"/>
        <v/>
      </c>
      <c r="C1148" s="9"/>
      <c r="D1148" s="9"/>
      <c r="E1148" s="9">
        <f t="shared" si="87"/>
        <v>0</v>
      </c>
      <c r="F1148" s="9"/>
      <c r="G1148" s="9"/>
      <c r="H1148" s="9"/>
      <c r="I1148" s="9"/>
      <c r="J1148" s="9"/>
      <c r="K1148" s="9"/>
      <c r="L1148" s="9"/>
      <c r="M1148" s="9"/>
      <c r="N1148" s="9" t="str">
        <f t="shared" si="88"/>
        <v>NO</v>
      </c>
      <c r="O1148" s="9" t="str">
        <f t="shared" si="89"/>
        <v>🟡</v>
      </c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  <c r="BC1148" s="9"/>
      <c r="BD1148" s="9"/>
      <c r="BE1148" s="9"/>
      <c r="BF1148" s="9"/>
      <c r="BG1148" s="9"/>
      <c r="BH1148" s="9"/>
      <c r="BI1148" s="9"/>
      <c r="BJ1148" s="9"/>
      <c r="BK1148" s="9"/>
      <c r="BL1148" s="9"/>
      <c r="BM1148" s="9"/>
      <c r="BN1148" s="9"/>
      <c r="BO1148" s="9"/>
      <c r="BP1148" s="9"/>
      <c r="BQ1148" s="9"/>
      <c r="BR1148" s="9"/>
      <c r="BS1148" s="9"/>
      <c r="BT1148" s="9"/>
      <c r="BU1148" s="9"/>
      <c r="BV1148" s="9"/>
      <c r="BW1148" s="9"/>
      <c r="BX1148" s="9"/>
      <c r="BY1148" s="9"/>
      <c r="BZ1148" s="9"/>
      <c r="CA1148" s="9"/>
      <c r="CB1148" s="9"/>
      <c r="CC1148" s="9"/>
      <c r="CD1148" s="9"/>
      <c r="CE1148" s="9"/>
      <c r="CF1148" s="9"/>
      <c r="CG1148" s="9"/>
    </row>
    <row r="1149" spans="1:85" ht="18" customHeight="1" x14ac:dyDescent="0.3">
      <c r="A1149" s="9">
        <f t="shared" si="85"/>
        <v>1148</v>
      </c>
      <c r="B1149" s="9" t="str">
        <f t="shared" si="86"/>
        <v/>
      </c>
      <c r="C1149" s="9"/>
      <c r="D1149" s="9"/>
      <c r="E1149" s="9">
        <f t="shared" si="87"/>
        <v>0</v>
      </c>
      <c r="F1149" s="9"/>
      <c r="G1149" s="9"/>
      <c r="H1149" s="9"/>
      <c r="I1149" s="9"/>
      <c r="J1149" s="9"/>
      <c r="K1149" s="9"/>
      <c r="L1149" s="9"/>
      <c r="M1149" s="9"/>
      <c r="N1149" s="9" t="str">
        <f t="shared" si="88"/>
        <v>NO</v>
      </c>
      <c r="O1149" s="9" t="str">
        <f t="shared" si="89"/>
        <v>🟡</v>
      </c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  <c r="BA1149" s="9"/>
      <c r="BB1149" s="9"/>
      <c r="BC1149" s="9"/>
      <c r="BD1149" s="9"/>
      <c r="BE1149" s="9"/>
      <c r="BF1149" s="9"/>
      <c r="BG1149" s="9"/>
      <c r="BH1149" s="9"/>
      <c r="BI1149" s="9"/>
      <c r="BJ1149" s="9"/>
      <c r="BK1149" s="9"/>
      <c r="BL1149" s="9"/>
      <c r="BM1149" s="9"/>
      <c r="BN1149" s="9"/>
      <c r="BO1149" s="9"/>
      <c r="BP1149" s="9"/>
      <c r="BQ1149" s="9"/>
      <c r="BR1149" s="9"/>
      <c r="BS1149" s="9"/>
      <c r="BT1149" s="9"/>
      <c r="BU1149" s="9"/>
      <c r="BV1149" s="9"/>
      <c r="BW1149" s="9"/>
      <c r="BX1149" s="9"/>
      <c r="BY1149" s="9"/>
      <c r="BZ1149" s="9"/>
      <c r="CA1149" s="9"/>
      <c r="CB1149" s="9"/>
      <c r="CC1149" s="9"/>
      <c r="CD1149" s="9"/>
      <c r="CE1149" s="9"/>
      <c r="CF1149" s="9"/>
      <c r="CG1149" s="9"/>
    </row>
    <row r="1150" spans="1:85" ht="18" customHeight="1" x14ac:dyDescent="0.3">
      <c r="A1150" s="9">
        <f t="shared" si="85"/>
        <v>1149</v>
      </c>
      <c r="B1150" s="9" t="str">
        <f t="shared" si="86"/>
        <v/>
      </c>
      <c r="C1150" s="9"/>
      <c r="D1150" s="9"/>
      <c r="E1150" s="9">
        <f t="shared" si="87"/>
        <v>0</v>
      </c>
      <c r="F1150" s="9"/>
      <c r="G1150" s="9"/>
      <c r="H1150" s="9"/>
      <c r="I1150" s="9"/>
      <c r="J1150" s="9"/>
      <c r="K1150" s="9"/>
      <c r="L1150" s="9"/>
      <c r="M1150" s="9"/>
      <c r="N1150" s="9" t="str">
        <f t="shared" si="88"/>
        <v>NO</v>
      </c>
      <c r="O1150" s="9" t="str">
        <f t="shared" si="89"/>
        <v>🟡</v>
      </c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  <c r="BA1150" s="9"/>
      <c r="BB1150" s="9"/>
      <c r="BC1150" s="9"/>
      <c r="BD1150" s="9"/>
      <c r="BE1150" s="9"/>
      <c r="BF1150" s="9"/>
      <c r="BG1150" s="9"/>
      <c r="BH1150" s="9"/>
      <c r="BI1150" s="9"/>
      <c r="BJ1150" s="9"/>
      <c r="BK1150" s="9"/>
      <c r="BL1150" s="9"/>
      <c r="BM1150" s="9"/>
      <c r="BN1150" s="9"/>
      <c r="BO1150" s="9"/>
      <c r="BP1150" s="9"/>
      <c r="BQ1150" s="9"/>
      <c r="BR1150" s="9"/>
      <c r="BS1150" s="9"/>
      <c r="BT1150" s="9"/>
      <c r="BU1150" s="9"/>
      <c r="BV1150" s="9"/>
      <c r="BW1150" s="9"/>
      <c r="BX1150" s="9"/>
      <c r="BY1150" s="9"/>
      <c r="BZ1150" s="9"/>
      <c r="CA1150" s="9"/>
      <c r="CB1150" s="9"/>
      <c r="CC1150" s="9"/>
      <c r="CD1150" s="9"/>
      <c r="CE1150" s="9"/>
      <c r="CF1150" s="9"/>
      <c r="CG1150" s="9"/>
    </row>
    <row r="1151" spans="1:85" ht="18" customHeight="1" x14ac:dyDescent="0.3">
      <c r="A1151" s="9">
        <f t="shared" si="85"/>
        <v>1150</v>
      </c>
      <c r="B1151" s="9" t="str">
        <f t="shared" si="86"/>
        <v/>
      </c>
      <c r="C1151" s="9"/>
      <c r="D1151" s="9"/>
      <c r="E1151" s="9">
        <f t="shared" si="87"/>
        <v>0</v>
      </c>
      <c r="F1151" s="9"/>
      <c r="G1151" s="9"/>
      <c r="H1151" s="9"/>
      <c r="I1151" s="9"/>
      <c r="J1151" s="9"/>
      <c r="K1151" s="9"/>
      <c r="L1151" s="9"/>
      <c r="M1151" s="9"/>
      <c r="N1151" s="9" t="str">
        <f t="shared" si="88"/>
        <v>NO</v>
      </c>
      <c r="O1151" s="9" t="str">
        <f t="shared" si="89"/>
        <v>🟡</v>
      </c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  <c r="BA1151" s="9"/>
      <c r="BB1151" s="9"/>
      <c r="BC1151" s="9"/>
      <c r="BD1151" s="9"/>
      <c r="BE1151" s="9"/>
      <c r="BF1151" s="9"/>
      <c r="BG1151" s="9"/>
      <c r="BH1151" s="9"/>
      <c r="BI1151" s="9"/>
      <c r="BJ1151" s="9"/>
      <c r="BK1151" s="9"/>
      <c r="BL1151" s="9"/>
      <c r="BM1151" s="9"/>
      <c r="BN1151" s="9"/>
      <c r="BO1151" s="9"/>
      <c r="BP1151" s="9"/>
      <c r="BQ1151" s="9"/>
      <c r="BR1151" s="9"/>
      <c r="BS1151" s="9"/>
      <c r="BT1151" s="9"/>
      <c r="BU1151" s="9"/>
      <c r="BV1151" s="9"/>
      <c r="BW1151" s="9"/>
      <c r="BX1151" s="9"/>
      <c r="BY1151" s="9"/>
      <c r="BZ1151" s="9"/>
      <c r="CA1151" s="9"/>
      <c r="CB1151" s="9"/>
      <c r="CC1151" s="9"/>
      <c r="CD1151" s="9"/>
      <c r="CE1151" s="9"/>
      <c r="CF1151" s="9"/>
      <c r="CG1151" s="9"/>
    </row>
    <row r="1152" spans="1:85" ht="18" customHeight="1" x14ac:dyDescent="0.3">
      <c r="A1152" s="9">
        <f t="shared" si="85"/>
        <v>1151</v>
      </c>
      <c r="B1152" s="9" t="str">
        <f t="shared" si="86"/>
        <v/>
      </c>
      <c r="C1152" s="9"/>
      <c r="D1152" s="9"/>
      <c r="E1152" s="9">
        <f t="shared" si="87"/>
        <v>0</v>
      </c>
      <c r="F1152" s="9"/>
      <c r="G1152" s="9"/>
      <c r="H1152" s="9"/>
      <c r="I1152" s="9"/>
      <c r="J1152" s="9"/>
      <c r="K1152" s="9"/>
      <c r="L1152" s="9"/>
      <c r="M1152" s="9"/>
      <c r="N1152" s="9" t="str">
        <f t="shared" si="88"/>
        <v>NO</v>
      </c>
      <c r="O1152" s="9" t="str">
        <f t="shared" si="89"/>
        <v>🟡</v>
      </c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  <c r="BA1152" s="9"/>
      <c r="BB1152" s="9"/>
      <c r="BC1152" s="9"/>
      <c r="BD1152" s="9"/>
      <c r="BE1152" s="9"/>
      <c r="BF1152" s="9"/>
      <c r="BG1152" s="9"/>
      <c r="BH1152" s="9"/>
      <c r="BI1152" s="9"/>
      <c r="BJ1152" s="9"/>
      <c r="BK1152" s="9"/>
      <c r="BL1152" s="9"/>
      <c r="BM1152" s="9"/>
      <c r="BN1152" s="9"/>
      <c r="BO1152" s="9"/>
      <c r="BP1152" s="9"/>
      <c r="BQ1152" s="9"/>
      <c r="BR1152" s="9"/>
      <c r="BS1152" s="9"/>
      <c r="BT1152" s="9"/>
      <c r="BU1152" s="9"/>
      <c r="BV1152" s="9"/>
      <c r="BW1152" s="9"/>
      <c r="BX1152" s="9"/>
      <c r="BY1152" s="9"/>
      <c r="BZ1152" s="9"/>
      <c r="CA1152" s="9"/>
      <c r="CB1152" s="9"/>
      <c r="CC1152" s="9"/>
      <c r="CD1152" s="9"/>
      <c r="CE1152" s="9"/>
      <c r="CF1152" s="9"/>
      <c r="CG1152" s="9"/>
    </row>
    <row r="1153" spans="1:85" ht="18" customHeight="1" x14ac:dyDescent="0.3">
      <c r="A1153" s="9">
        <f t="shared" ref="A1153:A1216" si="90">IF(COUNTA(C1153:K1153)=0,"",ROW()-1)</f>
        <v>1152</v>
      </c>
      <c r="B1153" s="9" t="str">
        <f t="shared" ref="B1153:B1216" si="91">IF($F1153&lt;&gt;"",$A1153,"")</f>
        <v/>
      </c>
      <c r="C1153" s="9"/>
      <c r="D1153" s="9"/>
      <c r="E1153" s="9">
        <f t="shared" ref="E1153:E1216" si="92">IF(UPPER($J1153)="NO","",$M1153)</f>
        <v>0</v>
      </c>
      <c r="F1153" s="9"/>
      <c r="G1153" s="9"/>
      <c r="H1153" s="9"/>
      <c r="I1153" s="9"/>
      <c r="J1153" s="9"/>
      <c r="K1153" s="9"/>
      <c r="L1153" s="9"/>
      <c r="M1153" s="9"/>
      <c r="N1153" s="9" t="str">
        <f t="shared" ref="N1153:N1216" si="93">IF(AND(UPPER($M1153)="VIP",UPPER($J1153)="SI",$F1153&lt;&gt;""),"SI","NO")</f>
        <v>NO</v>
      </c>
      <c r="O1153" s="9" t="str">
        <f t="shared" ref="O1153:O1216" si="94">IF(UPPER($J1153)="SI","🟢",IF(UPPER($J1153)="NO","🔴","🟡"))</f>
        <v>🟡</v>
      </c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  <c r="BA1153" s="9"/>
      <c r="BB1153" s="9"/>
      <c r="BC1153" s="9"/>
      <c r="BD1153" s="9"/>
      <c r="BE1153" s="9"/>
      <c r="BF1153" s="9"/>
      <c r="BG1153" s="9"/>
      <c r="BH1153" s="9"/>
      <c r="BI1153" s="9"/>
      <c r="BJ1153" s="9"/>
      <c r="BK1153" s="9"/>
      <c r="BL1153" s="9"/>
      <c r="BM1153" s="9"/>
      <c r="BN1153" s="9"/>
      <c r="BO1153" s="9"/>
      <c r="BP1153" s="9"/>
      <c r="BQ1153" s="9"/>
      <c r="BR1153" s="9"/>
      <c r="BS1153" s="9"/>
      <c r="BT1153" s="9"/>
      <c r="BU1153" s="9"/>
      <c r="BV1153" s="9"/>
      <c r="BW1153" s="9"/>
      <c r="BX1153" s="9"/>
      <c r="BY1153" s="9"/>
      <c r="BZ1153" s="9"/>
      <c r="CA1153" s="9"/>
      <c r="CB1153" s="9"/>
      <c r="CC1153" s="9"/>
      <c r="CD1153" s="9"/>
      <c r="CE1153" s="9"/>
      <c r="CF1153" s="9"/>
      <c r="CG1153" s="9"/>
    </row>
    <row r="1154" spans="1:85" ht="18" customHeight="1" x14ac:dyDescent="0.3">
      <c r="A1154" s="9">
        <f t="shared" si="90"/>
        <v>1153</v>
      </c>
      <c r="B1154" s="9" t="str">
        <f t="shared" si="91"/>
        <v/>
      </c>
      <c r="C1154" s="9"/>
      <c r="D1154" s="9"/>
      <c r="E1154" s="9">
        <f t="shared" si="92"/>
        <v>0</v>
      </c>
      <c r="F1154" s="9"/>
      <c r="G1154" s="9"/>
      <c r="H1154" s="9"/>
      <c r="I1154" s="9"/>
      <c r="J1154" s="9"/>
      <c r="K1154" s="9"/>
      <c r="L1154" s="9"/>
      <c r="M1154" s="9"/>
      <c r="N1154" s="9" t="str">
        <f t="shared" si="93"/>
        <v>NO</v>
      </c>
      <c r="O1154" s="9" t="str">
        <f t="shared" si="94"/>
        <v>🟡</v>
      </c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  <c r="BC1154" s="9"/>
      <c r="BD1154" s="9"/>
      <c r="BE1154" s="9"/>
      <c r="BF1154" s="9"/>
      <c r="BG1154" s="9"/>
      <c r="BH1154" s="9"/>
      <c r="BI1154" s="9"/>
      <c r="BJ1154" s="9"/>
      <c r="BK1154" s="9"/>
      <c r="BL1154" s="9"/>
      <c r="BM1154" s="9"/>
      <c r="BN1154" s="9"/>
      <c r="BO1154" s="9"/>
      <c r="BP1154" s="9"/>
      <c r="BQ1154" s="9"/>
      <c r="BR1154" s="9"/>
      <c r="BS1154" s="9"/>
      <c r="BT1154" s="9"/>
      <c r="BU1154" s="9"/>
      <c r="BV1154" s="9"/>
      <c r="BW1154" s="9"/>
      <c r="BX1154" s="9"/>
      <c r="BY1154" s="9"/>
      <c r="BZ1154" s="9"/>
      <c r="CA1154" s="9"/>
      <c r="CB1154" s="9"/>
      <c r="CC1154" s="9"/>
      <c r="CD1154" s="9"/>
      <c r="CE1154" s="9"/>
      <c r="CF1154" s="9"/>
      <c r="CG1154" s="9"/>
    </row>
    <row r="1155" spans="1:85" ht="18" customHeight="1" x14ac:dyDescent="0.3">
      <c r="A1155" s="9">
        <f t="shared" si="90"/>
        <v>1154</v>
      </c>
      <c r="B1155" s="9" t="str">
        <f t="shared" si="91"/>
        <v/>
      </c>
      <c r="C1155" s="9"/>
      <c r="D1155" s="9"/>
      <c r="E1155" s="9">
        <f t="shared" si="92"/>
        <v>0</v>
      </c>
      <c r="F1155" s="9"/>
      <c r="G1155" s="9"/>
      <c r="H1155" s="9"/>
      <c r="I1155" s="9"/>
      <c r="J1155" s="9"/>
      <c r="K1155" s="9"/>
      <c r="L1155" s="9"/>
      <c r="M1155" s="9"/>
      <c r="N1155" s="9" t="str">
        <f t="shared" si="93"/>
        <v>NO</v>
      </c>
      <c r="O1155" s="9" t="str">
        <f t="shared" si="94"/>
        <v>🟡</v>
      </c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  <c r="BA1155" s="9"/>
      <c r="BB1155" s="9"/>
      <c r="BC1155" s="9"/>
      <c r="BD1155" s="9"/>
      <c r="BE1155" s="9"/>
      <c r="BF1155" s="9"/>
      <c r="BG1155" s="9"/>
      <c r="BH1155" s="9"/>
      <c r="BI1155" s="9"/>
      <c r="BJ1155" s="9"/>
      <c r="BK1155" s="9"/>
      <c r="BL1155" s="9"/>
      <c r="BM1155" s="9"/>
      <c r="BN1155" s="9"/>
      <c r="BO1155" s="9"/>
      <c r="BP1155" s="9"/>
      <c r="BQ1155" s="9"/>
      <c r="BR1155" s="9"/>
      <c r="BS1155" s="9"/>
      <c r="BT1155" s="9"/>
      <c r="BU1155" s="9"/>
      <c r="BV1155" s="9"/>
      <c r="BW1155" s="9"/>
      <c r="BX1155" s="9"/>
      <c r="BY1155" s="9"/>
      <c r="BZ1155" s="9"/>
      <c r="CA1155" s="9"/>
      <c r="CB1155" s="9"/>
      <c r="CC1155" s="9"/>
      <c r="CD1155" s="9"/>
      <c r="CE1155" s="9"/>
      <c r="CF1155" s="9"/>
      <c r="CG1155" s="9"/>
    </row>
    <row r="1156" spans="1:85" ht="18" customHeight="1" x14ac:dyDescent="0.3">
      <c r="A1156" s="9">
        <f t="shared" si="90"/>
        <v>1155</v>
      </c>
      <c r="B1156" s="9" t="str">
        <f t="shared" si="91"/>
        <v/>
      </c>
      <c r="C1156" s="9"/>
      <c r="D1156" s="9"/>
      <c r="E1156" s="9">
        <f t="shared" si="92"/>
        <v>0</v>
      </c>
      <c r="F1156" s="9"/>
      <c r="G1156" s="9"/>
      <c r="H1156" s="9"/>
      <c r="I1156" s="9"/>
      <c r="J1156" s="9"/>
      <c r="K1156" s="9"/>
      <c r="L1156" s="9"/>
      <c r="M1156" s="9"/>
      <c r="N1156" s="9" t="str">
        <f t="shared" si="93"/>
        <v>NO</v>
      </c>
      <c r="O1156" s="9" t="str">
        <f t="shared" si="94"/>
        <v>🟡</v>
      </c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  <c r="BA1156" s="9"/>
      <c r="BB1156" s="9"/>
      <c r="BC1156" s="9"/>
      <c r="BD1156" s="9"/>
      <c r="BE1156" s="9"/>
      <c r="BF1156" s="9"/>
      <c r="BG1156" s="9"/>
      <c r="BH1156" s="9"/>
      <c r="BI1156" s="9"/>
      <c r="BJ1156" s="9"/>
      <c r="BK1156" s="9"/>
      <c r="BL1156" s="9"/>
      <c r="BM1156" s="9"/>
      <c r="BN1156" s="9"/>
      <c r="BO1156" s="9"/>
      <c r="BP1156" s="9"/>
      <c r="BQ1156" s="9"/>
      <c r="BR1156" s="9"/>
      <c r="BS1156" s="9"/>
      <c r="BT1156" s="9"/>
      <c r="BU1156" s="9"/>
      <c r="BV1156" s="9"/>
      <c r="BW1156" s="9"/>
      <c r="BX1156" s="9"/>
      <c r="BY1156" s="9"/>
      <c r="BZ1156" s="9"/>
      <c r="CA1156" s="9"/>
      <c r="CB1156" s="9"/>
      <c r="CC1156" s="9"/>
      <c r="CD1156" s="9"/>
      <c r="CE1156" s="9"/>
      <c r="CF1156" s="9"/>
      <c r="CG1156" s="9"/>
    </row>
    <row r="1157" spans="1:85" ht="18" customHeight="1" x14ac:dyDescent="0.3">
      <c r="A1157" s="9">
        <f t="shared" si="90"/>
        <v>1156</v>
      </c>
      <c r="B1157" s="9" t="str">
        <f t="shared" si="91"/>
        <v/>
      </c>
      <c r="C1157" s="9"/>
      <c r="D1157" s="9"/>
      <c r="E1157" s="9">
        <f t="shared" si="92"/>
        <v>0</v>
      </c>
      <c r="F1157" s="9"/>
      <c r="G1157" s="9"/>
      <c r="H1157" s="9"/>
      <c r="I1157" s="9"/>
      <c r="J1157" s="9"/>
      <c r="K1157" s="9"/>
      <c r="L1157" s="9"/>
      <c r="M1157" s="9"/>
      <c r="N1157" s="9" t="str">
        <f t="shared" si="93"/>
        <v>NO</v>
      </c>
      <c r="O1157" s="9" t="str">
        <f t="shared" si="94"/>
        <v>🟡</v>
      </c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9"/>
      <c r="AP1157" s="9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  <c r="BA1157" s="9"/>
      <c r="BB1157" s="9"/>
      <c r="BC1157" s="9"/>
      <c r="BD1157" s="9"/>
      <c r="BE1157" s="9"/>
      <c r="BF1157" s="9"/>
      <c r="BG1157" s="9"/>
      <c r="BH1157" s="9"/>
      <c r="BI1157" s="9"/>
      <c r="BJ1157" s="9"/>
      <c r="BK1157" s="9"/>
      <c r="BL1157" s="9"/>
      <c r="BM1157" s="9"/>
      <c r="BN1157" s="9"/>
      <c r="BO1157" s="9"/>
      <c r="BP1157" s="9"/>
      <c r="BQ1157" s="9"/>
      <c r="BR1157" s="9"/>
      <c r="BS1157" s="9"/>
      <c r="BT1157" s="9"/>
      <c r="BU1157" s="9"/>
      <c r="BV1157" s="9"/>
      <c r="BW1157" s="9"/>
      <c r="BX1157" s="9"/>
      <c r="BY1157" s="9"/>
      <c r="BZ1157" s="9"/>
      <c r="CA1157" s="9"/>
      <c r="CB1157" s="9"/>
      <c r="CC1157" s="9"/>
      <c r="CD1157" s="9"/>
      <c r="CE1157" s="9"/>
      <c r="CF1157" s="9"/>
      <c r="CG1157" s="9"/>
    </row>
    <row r="1158" spans="1:85" ht="18" customHeight="1" x14ac:dyDescent="0.3">
      <c r="A1158" s="9">
        <f t="shared" si="90"/>
        <v>1157</v>
      </c>
      <c r="B1158" s="9" t="str">
        <f t="shared" si="91"/>
        <v/>
      </c>
      <c r="C1158" s="9"/>
      <c r="D1158" s="9"/>
      <c r="E1158" s="9">
        <f t="shared" si="92"/>
        <v>0</v>
      </c>
      <c r="F1158" s="9"/>
      <c r="G1158" s="9"/>
      <c r="H1158" s="9"/>
      <c r="I1158" s="9"/>
      <c r="J1158" s="9"/>
      <c r="K1158" s="9"/>
      <c r="L1158" s="9"/>
      <c r="M1158" s="9"/>
      <c r="N1158" s="9" t="str">
        <f t="shared" si="93"/>
        <v>NO</v>
      </c>
      <c r="O1158" s="9" t="str">
        <f t="shared" si="94"/>
        <v>🟡</v>
      </c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9"/>
      <c r="AP1158" s="9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  <c r="BA1158" s="9"/>
      <c r="BB1158" s="9"/>
      <c r="BC1158" s="9"/>
      <c r="BD1158" s="9"/>
      <c r="BE1158" s="9"/>
      <c r="BF1158" s="9"/>
      <c r="BG1158" s="9"/>
      <c r="BH1158" s="9"/>
      <c r="BI1158" s="9"/>
      <c r="BJ1158" s="9"/>
      <c r="BK1158" s="9"/>
      <c r="BL1158" s="9"/>
      <c r="BM1158" s="9"/>
      <c r="BN1158" s="9"/>
      <c r="BO1158" s="9"/>
      <c r="BP1158" s="9"/>
      <c r="BQ1158" s="9"/>
      <c r="BR1158" s="9"/>
      <c r="BS1158" s="9"/>
      <c r="BT1158" s="9"/>
      <c r="BU1158" s="9"/>
      <c r="BV1158" s="9"/>
      <c r="BW1158" s="9"/>
      <c r="BX1158" s="9"/>
      <c r="BY1158" s="9"/>
      <c r="BZ1158" s="9"/>
      <c r="CA1158" s="9"/>
      <c r="CB1158" s="9"/>
      <c r="CC1158" s="9"/>
      <c r="CD1158" s="9"/>
      <c r="CE1158" s="9"/>
      <c r="CF1158" s="9"/>
      <c r="CG1158" s="9"/>
    </row>
    <row r="1159" spans="1:85" ht="18" customHeight="1" x14ac:dyDescent="0.3">
      <c r="A1159" s="9">
        <f t="shared" si="90"/>
        <v>1158</v>
      </c>
      <c r="B1159" s="9" t="str">
        <f t="shared" si="91"/>
        <v/>
      </c>
      <c r="C1159" s="9"/>
      <c r="D1159" s="9"/>
      <c r="E1159" s="9">
        <f t="shared" si="92"/>
        <v>0</v>
      </c>
      <c r="F1159" s="9"/>
      <c r="G1159" s="9"/>
      <c r="H1159" s="9"/>
      <c r="I1159" s="9"/>
      <c r="J1159" s="9"/>
      <c r="K1159" s="9"/>
      <c r="L1159" s="9"/>
      <c r="M1159" s="9"/>
      <c r="N1159" s="9" t="str">
        <f t="shared" si="93"/>
        <v>NO</v>
      </c>
      <c r="O1159" s="9" t="str">
        <f t="shared" si="94"/>
        <v>🟡</v>
      </c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9"/>
      <c r="AP1159" s="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  <c r="BA1159" s="9"/>
      <c r="BB1159" s="9"/>
      <c r="BC1159" s="9"/>
      <c r="BD1159" s="9"/>
      <c r="BE1159" s="9"/>
      <c r="BF1159" s="9"/>
      <c r="BG1159" s="9"/>
      <c r="BH1159" s="9"/>
      <c r="BI1159" s="9"/>
      <c r="BJ1159" s="9"/>
      <c r="BK1159" s="9"/>
      <c r="BL1159" s="9"/>
      <c r="BM1159" s="9"/>
      <c r="BN1159" s="9"/>
      <c r="BO1159" s="9"/>
      <c r="BP1159" s="9"/>
      <c r="BQ1159" s="9"/>
      <c r="BR1159" s="9"/>
      <c r="BS1159" s="9"/>
      <c r="BT1159" s="9"/>
      <c r="BU1159" s="9"/>
      <c r="BV1159" s="9"/>
      <c r="BW1159" s="9"/>
      <c r="BX1159" s="9"/>
      <c r="BY1159" s="9"/>
      <c r="BZ1159" s="9"/>
      <c r="CA1159" s="9"/>
      <c r="CB1159" s="9"/>
      <c r="CC1159" s="9"/>
      <c r="CD1159" s="9"/>
      <c r="CE1159" s="9"/>
      <c r="CF1159" s="9"/>
      <c r="CG1159" s="9"/>
    </row>
    <row r="1160" spans="1:85" ht="18" customHeight="1" x14ac:dyDescent="0.3">
      <c r="A1160" s="9">
        <f t="shared" si="90"/>
        <v>1159</v>
      </c>
      <c r="B1160" s="9" t="str">
        <f t="shared" si="91"/>
        <v/>
      </c>
      <c r="C1160" s="9"/>
      <c r="D1160" s="9"/>
      <c r="E1160" s="9">
        <f t="shared" si="92"/>
        <v>0</v>
      </c>
      <c r="F1160" s="9"/>
      <c r="G1160" s="9"/>
      <c r="H1160" s="9"/>
      <c r="I1160" s="9"/>
      <c r="J1160" s="9"/>
      <c r="K1160" s="9"/>
      <c r="L1160" s="9"/>
      <c r="M1160" s="9"/>
      <c r="N1160" s="9" t="str">
        <f t="shared" si="93"/>
        <v>NO</v>
      </c>
      <c r="O1160" s="9" t="str">
        <f t="shared" si="94"/>
        <v>🟡</v>
      </c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9"/>
      <c r="AP1160" s="9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  <c r="BA1160" s="9"/>
      <c r="BB1160" s="9"/>
      <c r="BC1160" s="9"/>
      <c r="BD1160" s="9"/>
      <c r="BE1160" s="9"/>
      <c r="BF1160" s="9"/>
      <c r="BG1160" s="9"/>
      <c r="BH1160" s="9"/>
      <c r="BI1160" s="9"/>
      <c r="BJ1160" s="9"/>
      <c r="BK1160" s="9"/>
      <c r="BL1160" s="9"/>
      <c r="BM1160" s="9"/>
      <c r="BN1160" s="9"/>
      <c r="BO1160" s="9"/>
      <c r="BP1160" s="9"/>
      <c r="BQ1160" s="9"/>
      <c r="BR1160" s="9"/>
      <c r="BS1160" s="9"/>
      <c r="BT1160" s="9"/>
      <c r="BU1160" s="9"/>
      <c r="BV1160" s="9"/>
      <c r="BW1160" s="9"/>
      <c r="BX1160" s="9"/>
      <c r="BY1160" s="9"/>
      <c r="BZ1160" s="9"/>
      <c r="CA1160" s="9"/>
      <c r="CB1160" s="9"/>
      <c r="CC1160" s="9"/>
      <c r="CD1160" s="9"/>
      <c r="CE1160" s="9"/>
      <c r="CF1160" s="9"/>
      <c r="CG1160" s="9"/>
    </row>
    <row r="1161" spans="1:85" ht="18" customHeight="1" x14ac:dyDescent="0.3">
      <c r="A1161" s="9">
        <f t="shared" si="90"/>
        <v>1160</v>
      </c>
      <c r="B1161" s="9" t="str">
        <f t="shared" si="91"/>
        <v/>
      </c>
      <c r="C1161" s="9"/>
      <c r="D1161" s="9"/>
      <c r="E1161" s="9">
        <f t="shared" si="92"/>
        <v>0</v>
      </c>
      <c r="F1161" s="9"/>
      <c r="G1161" s="9"/>
      <c r="H1161" s="9"/>
      <c r="I1161" s="9"/>
      <c r="J1161" s="9"/>
      <c r="K1161" s="9"/>
      <c r="L1161" s="9"/>
      <c r="M1161" s="9"/>
      <c r="N1161" s="9" t="str">
        <f t="shared" si="93"/>
        <v>NO</v>
      </c>
      <c r="O1161" s="9" t="str">
        <f t="shared" si="94"/>
        <v>🟡</v>
      </c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9"/>
      <c r="AP1161" s="9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  <c r="BA1161" s="9"/>
      <c r="BB1161" s="9"/>
      <c r="BC1161" s="9"/>
      <c r="BD1161" s="9"/>
      <c r="BE1161" s="9"/>
      <c r="BF1161" s="9"/>
      <c r="BG1161" s="9"/>
      <c r="BH1161" s="9"/>
      <c r="BI1161" s="9"/>
      <c r="BJ1161" s="9"/>
      <c r="BK1161" s="9"/>
      <c r="BL1161" s="9"/>
      <c r="BM1161" s="9"/>
      <c r="BN1161" s="9"/>
      <c r="BO1161" s="9"/>
      <c r="BP1161" s="9"/>
      <c r="BQ1161" s="9"/>
      <c r="BR1161" s="9"/>
      <c r="BS1161" s="9"/>
      <c r="BT1161" s="9"/>
      <c r="BU1161" s="9"/>
      <c r="BV1161" s="9"/>
      <c r="BW1161" s="9"/>
      <c r="BX1161" s="9"/>
      <c r="BY1161" s="9"/>
      <c r="BZ1161" s="9"/>
      <c r="CA1161" s="9"/>
      <c r="CB1161" s="9"/>
      <c r="CC1161" s="9"/>
      <c r="CD1161" s="9"/>
      <c r="CE1161" s="9"/>
      <c r="CF1161" s="9"/>
      <c r="CG1161" s="9"/>
    </row>
    <row r="1162" spans="1:85" ht="18" customHeight="1" x14ac:dyDescent="0.3">
      <c r="A1162" s="9">
        <f t="shared" si="90"/>
        <v>1161</v>
      </c>
      <c r="B1162" s="9" t="str">
        <f t="shared" si="91"/>
        <v/>
      </c>
      <c r="C1162" s="9"/>
      <c r="D1162" s="9"/>
      <c r="E1162" s="9">
        <f t="shared" si="92"/>
        <v>0</v>
      </c>
      <c r="F1162" s="9"/>
      <c r="G1162" s="9"/>
      <c r="H1162" s="9"/>
      <c r="I1162" s="9"/>
      <c r="J1162" s="9"/>
      <c r="K1162" s="9"/>
      <c r="L1162" s="9"/>
      <c r="M1162" s="9"/>
      <c r="N1162" s="9" t="str">
        <f t="shared" si="93"/>
        <v>NO</v>
      </c>
      <c r="O1162" s="9" t="str">
        <f t="shared" si="94"/>
        <v>🟡</v>
      </c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  <c r="BC1162" s="9"/>
      <c r="BD1162" s="9"/>
      <c r="BE1162" s="9"/>
      <c r="BF1162" s="9"/>
      <c r="BG1162" s="9"/>
      <c r="BH1162" s="9"/>
      <c r="BI1162" s="9"/>
      <c r="BJ1162" s="9"/>
      <c r="BK1162" s="9"/>
      <c r="BL1162" s="9"/>
      <c r="BM1162" s="9"/>
      <c r="BN1162" s="9"/>
      <c r="BO1162" s="9"/>
      <c r="BP1162" s="9"/>
      <c r="BQ1162" s="9"/>
      <c r="BR1162" s="9"/>
      <c r="BS1162" s="9"/>
      <c r="BT1162" s="9"/>
      <c r="BU1162" s="9"/>
      <c r="BV1162" s="9"/>
      <c r="BW1162" s="9"/>
      <c r="BX1162" s="9"/>
      <c r="BY1162" s="9"/>
      <c r="BZ1162" s="9"/>
      <c r="CA1162" s="9"/>
      <c r="CB1162" s="9"/>
      <c r="CC1162" s="9"/>
      <c r="CD1162" s="9"/>
      <c r="CE1162" s="9"/>
      <c r="CF1162" s="9"/>
      <c r="CG1162" s="9"/>
    </row>
    <row r="1163" spans="1:85" ht="18" customHeight="1" x14ac:dyDescent="0.3">
      <c r="A1163" s="9">
        <f t="shared" si="90"/>
        <v>1162</v>
      </c>
      <c r="B1163" s="9" t="str">
        <f t="shared" si="91"/>
        <v/>
      </c>
      <c r="C1163" s="9"/>
      <c r="D1163" s="9"/>
      <c r="E1163" s="9">
        <f t="shared" si="92"/>
        <v>0</v>
      </c>
      <c r="F1163" s="9"/>
      <c r="G1163" s="9"/>
      <c r="H1163" s="9"/>
      <c r="I1163" s="9"/>
      <c r="J1163" s="9"/>
      <c r="K1163" s="9"/>
      <c r="L1163" s="9"/>
      <c r="M1163" s="9"/>
      <c r="N1163" s="9" t="str">
        <f t="shared" si="93"/>
        <v>NO</v>
      </c>
      <c r="O1163" s="9" t="str">
        <f t="shared" si="94"/>
        <v>🟡</v>
      </c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9"/>
      <c r="AP1163" s="9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  <c r="BA1163" s="9"/>
      <c r="BB1163" s="9"/>
      <c r="BC1163" s="9"/>
      <c r="BD1163" s="9"/>
      <c r="BE1163" s="9"/>
      <c r="BF1163" s="9"/>
      <c r="BG1163" s="9"/>
      <c r="BH1163" s="9"/>
      <c r="BI1163" s="9"/>
      <c r="BJ1163" s="9"/>
      <c r="BK1163" s="9"/>
      <c r="BL1163" s="9"/>
      <c r="BM1163" s="9"/>
      <c r="BN1163" s="9"/>
      <c r="BO1163" s="9"/>
      <c r="BP1163" s="9"/>
      <c r="BQ1163" s="9"/>
      <c r="BR1163" s="9"/>
      <c r="BS1163" s="9"/>
      <c r="BT1163" s="9"/>
      <c r="BU1163" s="9"/>
      <c r="BV1163" s="9"/>
      <c r="BW1163" s="9"/>
      <c r="BX1163" s="9"/>
      <c r="BY1163" s="9"/>
      <c r="BZ1163" s="9"/>
      <c r="CA1163" s="9"/>
      <c r="CB1163" s="9"/>
      <c r="CC1163" s="9"/>
      <c r="CD1163" s="9"/>
      <c r="CE1163" s="9"/>
      <c r="CF1163" s="9"/>
      <c r="CG1163" s="9"/>
    </row>
    <row r="1164" spans="1:85" ht="18" customHeight="1" x14ac:dyDescent="0.3">
      <c r="A1164" s="9">
        <f t="shared" si="90"/>
        <v>1163</v>
      </c>
      <c r="B1164" s="9" t="str">
        <f t="shared" si="91"/>
        <v/>
      </c>
      <c r="C1164" s="9"/>
      <c r="D1164" s="9"/>
      <c r="E1164" s="9">
        <f t="shared" si="92"/>
        <v>0</v>
      </c>
      <c r="F1164" s="9"/>
      <c r="G1164" s="9"/>
      <c r="H1164" s="9"/>
      <c r="I1164" s="9"/>
      <c r="J1164" s="9"/>
      <c r="K1164" s="9"/>
      <c r="L1164" s="9"/>
      <c r="M1164" s="9"/>
      <c r="N1164" s="9" t="str">
        <f t="shared" si="93"/>
        <v>NO</v>
      </c>
      <c r="O1164" s="9" t="str">
        <f t="shared" si="94"/>
        <v>🟡</v>
      </c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9"/>
      <c r="BD1164" s="9"/>
      <c r="BE1164" s="9"/>
      <c r="BF1164" s="9"/>
      <c r="BG1164" s="9"/>
      <c r="BH1164" s="9"/>
      <c r="BI1164" s="9"/>
      <c r="BJ1164" s="9"/>
      <c r="BK1164" s="9"/>
      <c r="BL1164" s="9"/>
      <c r="BM1164" s="9"/>
      <c r="BN1164" s="9"/>
      <c r="BO1164" s="9"/>
      <c r="BP1164" s="9"/>
      <c r="BQ1164" s="9"/>
      <c r="BR1164" s="9"/>
      <c r="BS1164" s="9"/>
      <c r="BT1164" s="9"/>
      <c r="BU1164" s="9"/>
      <c r="BV1164" s="9"/>
      <c r="BW1164" s="9"/>
      <c r="BX1164" s="9"/>
      <c r="BY1164" s="9"/>
      <c r="BZ1164" s="9"/>
      <c r="CA1164" s="9"/>
      <c r="CB1164" s="9"/>
      <c r="CC1164" s="9"/>
      <c r="CD1164" s="9"/>
      <c r="CE1164" s="9"/>
      <c r="CF1164" s="9"/>
      <c r="CG1164" s="9"/>
    </row>
    <row r="1165" spans="1:85" ht="18" customHeight="1" x14ac:dyDescent="0.3">
      <c r="A1165" s="9">
        <f t="shared" si="90"/>
        <v>1164</v>
      </c>
      <c r="B1165" s="9" t="str">
        <f t="shared" si="91"/>
        <v/>
      </c>
      <c r="C1165" s="9"/>
      <c r="D1165" s="9"/>
      <c r="E1165" s="9">
        <f t="shared" si="92"/>
        <v>0</v>
      </c>
      <c r="F1165" s="9"/>
      <c r="G1165" s="9"/>
      <c r="H1165" s="9"/>
      <c r="I1165" s="9"/>
      <c r="J1165" s="9"/>
      <c r="K1165" s="9"/>
      <c r="L1165" s="9"/>
      <c r="M1165" s="9"/>
      <c r="N1165" s="9" t="str">
        <f t="shared" si="93"/>
        <v>NO</v>
      </c>
      <c r="O1165" s="9" t="str">
        <f t="shared" si="94"/>
        <v>🟡</v>
      </c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9"/>
      <c r="AP1165" s="9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  <c r="BA1165" s="9"/>
      <c r="BB1165" s="9"/>
      <c r="BC1165" s="9"/>
      <c r="BD1165" s="9"/>
      <c r="BE1165" s="9"/>
      <c r="BF1165" s="9"/>
      <c r="BG1165" s="9"/>
      <c r="BH1165" s="9"/>
      <c r="BI1165" s="9"/>
      <c r="BJ1165" s="9"/>
      <c r="BK1165" s="9"/>
      <c r="BL1165" s="9"/>
      <c r="BM1165" s="9"/>
      <c r="BN1165" s="9"/>
      <c r="BO1165" s="9"/>
      <c r="BP1165" s="9"/>
      <c r="BQ1165" s="9"/>
      <c r="BR1165" s="9"/>
      <c r="BS1165" s="9"/>
      <c r="BT1165" s="9"/>
      <c r="BU1165" s="9"/>
      <c r="BV1165" s="9"/>
      <c r="BW1165" s="9"/>
      <c r="BX1165" s="9"/>
      <c r="BY1165" s="9"/>
      <c r="BZ1165" s="9"/>
      <c r="CA1165" s="9"/>
      <c r="CB1165" s="9"/>
      <c r="CC1165" s="9"/>
      <c r="CD1165" s="9"/>
      <c r="CE1165" s="9"/>
      <c r="CF1165" s="9"/>
      <c r="CG1165" s="9"/>
    </row>
    <row r="1166" spans="1:85" ht="18" customHeight="1" x14ac:dyDescent="0.3">
      <c r="A1166" s="9">
        <f t="shared" si="90"/>
        <v>1165</v>
      </c>
      <c r="B1166" s="9" t="str">
        <f t="shared" si="91"/>
        <v/>
      </c>
      <c r="C1166" s="9"/>
      <c r="D1166" s="9"/>
      <c r="E1166" s="9">
        <f t="shared" si="92"/>
        <v>0</v>
      </c>
      <c r="F1166" s="9"/>
      <c r="G1166" s="9"/>
      <c r="H1166" s="9"/>
      <c r="I1166" s="9"/>
      <c r="J1166" s="9"/>
      <c r="K1166" s="9"/>
      <c r="L1166" s="9"/>
      <c r="M1166" s="9"/>
      <c r="N1166" s="9" t="str">
        <f t="shared" si="93"/>
        <v>NO</v>
      </c>
      <c r="O1166" s="9" t="str">
        <f t="shared" si="94"/>
        <v>🟡</v>
      </c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9"/>
      <c r="BD1166" s="9"/>
      <c r="BE1166" s="9"/>
      <c r="BF1166" s="9"/>
      <c r="BG1166" s="9"/>
      <c r="BH1166" s="9"/>
      <c r="BI1166" s="9"/>
      <c r="BJ1166" s="9"/>
      <c r="BK1166" s="9"/>
      <c r="BL1166" s="9"/>
      <c r="BM1166" s="9"/>
      <c r="BN1166" s="9"/>
      <c r="BO1166" s="9"/>
      <c r="BP1166" s="9"/>
      <c r="BQ1166" s="9"/>
      <c r="BR1166" s="9"/>
      <c r="BS1166" s="9"/>
      <c r="BT1166" s="9"/>
      <c r="BU1166" s="9"/>
      <c r="BV1166" s="9"/>
      <c r="BW1166" s="9"/>
      <c r="BX1166" s="9"/>
      <c r="BY1166" s="9"/>
      <c r="BZ1166" s="9"/>
      <c r="CA1166" s="9"/>
      <c r="CB1166" s="9"/>
      <c r="CC1166" s="9"/>
      <c r="CD1166" s="9"/>
      <c r="CE1166" s="9"/>
      <c r="CF1166" s="9"/>
      <c r="CG1166" s="9"/>
    </row>
    <row r="1167" spans="1:85" ht="18" customHeight="1" x14ac:dyDescent="0.3">
      <c r="A1167" s="9">
        <f t="shared" si="90"/>
        <v>1166</v>
      </c>
      <c r="B1167" s="9" t="str">
        <f t="shared" si="91"/>
        <v/>
      </c>
      <c r="C1167" s="9"/>
      <c r="D1167" s="9"/>
      <c r="E1167" s="9">
        <f t="shared" si="92"/>
        <v>0</v>
      </c>
      <c r="F1167" s="9"/>
      <c r="G1167" s="9"/>
      <c r="H1167" s="9"/>
      <c r="I1167" s="9"/>
      <c r="J1167" s="9"/>
      <c r="K1167" s="9"/>
      <c r="L1167" s="9"/>
      <c r="M1167" s="9"/>
      <c r="N1167" s="9" t="str">
        <f t="shared" si="93"/>
        <v>NO</v>
      </c>
      <c r="O1167" s="9" t="str">
        <f t="shared" si="94"/>
        <v>🟡</v>
      </c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9"/>
      <c r="AP1167" s="9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  <c r="BA1167" s="9"/>
      <c r="BB1167" s="9"/>
      <c r="BC1167" s="9"/>
      <c r="BD1167" s="9"/>
      <c r="BE1167" s="9"/>
      <c r="BF1167" s="9"/>
      <c r="BG1167" s="9"/>
      <c r="BH1167" s="9"/>
      <c r="BI1167" s="9"/>
      <c r="BJ1167" s="9"/>
      <c r="BK1167" s="9"/>
      <c r="BL1167" s="9"/>
      <c r="BM1167" s="9"/>
      <c r="BN1167" s="9"/>
      <c r="BO1167" s="9"/>
      <c r="BP1167" s="9"/>
      <c r="BQ1167" s="9"/>
      <c r="BR1167" s="9"/>
      <c r="BS1167" s="9"/>
      <c r="BT1167" s="9"/>
      <c r="BU1167" s="9"/>
      <c r="BV1167" s="9"/>
      <c r="BW1167" s="9"/>
      <c r="BX1167" s="9"/>
      <c r="BY1167" s="9"/>
      <c r="BZ1167" s="9"/>
      <c r="CA1167" s="9"/>
      <c r="CB1167" s="9"/>
      <c r="CC1167" s="9"/>
      <c r="CD1167" s="9"/>
      <c r="CE1167" s="9"/>
      <c r="CF1167" s="9"/>
      <c r="CG1167" s="9"/>
    </row>
    <row r="1168" spans="1:85" ht="18" customHeight="1" x14ac:dyDescent="0.3">
      <c r="A1168" s="9">
        <f t="shared" si="90"/>
        <v>1167</v>
      </c>
      <c r="B1168" s="9" t="str">
        <f t="shared" si="91"/>
        <v/>
      </c>
      <c r="C1168" s="9"/>
      <c r="D1168" s="9"/>
      <c r="E1168" s="9">
        <f t="shared" si="92"/>
        <v>0</v>
      </c>
      <c r="F1168" s="9"/>
      <c r="G1168" s="9"/>
      <c r="H1168" s="9"/>
      <c r="I1168" s="9"/>
      <c r="J1168" s="9"/>
      <c r="K1168" s="9"/>
      <c r="L1168" s="9"/>
      <c r="M1168" s="9"/>
      <c r="N1168" s="9" t="str">
        <f t="shared" si="93"/>
        <v>NO</v>
      </c>
      <c r="O1168" s="9" t="str">
        <f t="shared" si="94"/>
        <v>🟡</v>
      </c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  <c r="BC1168" s="9"/>
      <c r="BD1168" s="9"/>
      <c r="BE1168" s="9"/>
      <c r="BF1168" s="9"/>
      <c r="BG1168" s="9"/>
      <c r="BH1168" s="9"/>
      <c r="BI1168" s="9"/>
      <c r="BJ1168" s="9"/>
      <c r="BK1168" s="9"/>
      <c r="BL1168" s="9"/>
      <c r="BM1168" s="9"/>
      <c r="BN1168" s="9"/>
      <c r="BO1168" s="9"/>
      <c r="BP1168" s="9"/>
      <c r="BQ1168" s="9"/>
      <c r="BR1168" s="9"/>
      <c r="BS1168" s="9"/>
      <c r="BT1168" s="9"/>
      <c r="BU1168" s="9"/>
      <c r="BV1168" s="9"/>
      <c r="BW1168" s="9"/>
      <c r="BX1168" s="9"/>
      <c r="BY1168" s="9"/>
      <c r="BZ1168" s="9"/>
      <c r="CA1168" s="9"/>
      <c r="CB1168" s="9"/>
      <c r="CC1168" s="9"/>
      <c r="CD1168" s="9"/>
      <c r="CE1168" s="9"/>
      <c r="CF1168" s="9"/>
      <c r="CG1168" s="9"/>
    </row>
    <row r="1169" spans="1:85" ht="18" customHeight="1" x14ac:dyDescent="0.3">
      <c r="A1169" s="9">
        <f t="shared" si="90"/>
        <v>1168</v>
      </c>
      <c r="B1169" s="9" t="str">
        <f t="shared" si="91"/>
        <v/>
      </c>
      <c r="C1169" s="9"/>
      <c r="D1169" s="9"/>
      <c r="E1169" s="9">
        <f t="shared" si="92"/>
        <v>0</v>
      </c>
      <c r="F1169" s="9"/>
      <c r="G1169" s="9"/>
      <c r="H1169" s="9"/>
      <c r="I1169" s="9"/>
      <c r="J1169" s="9"/>
      <c r="K1169" s="9"/>
      <c r="L1169" s="9"/>
      <c r="M1169" s="9"/>
      <c r="N1169" s="9" t="str">
        <f t="shared" si="93"/>
        <v>NO</v>
      </c>
      <c r="O1169" s="9" t="str">
        <f t="shared" si="94"/>
        <v>🟡</v>
      </c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9"/>
      <c r="AP1169" s="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  <c r="BA1169" s="9"/>
      <c r="BB1169" s="9"/>
      <c r="BC1169" s="9"/>
      <c r="BD1169" s="9"/>
      <c r="BE1169" s="9"/>
      <c r="BF1169" s="9"/>
      <c r="BG1169" s="9"/>
      <c r="BH1169" s="9"/>
      <c r="BI1169" s="9"/>
      <c r="BJ1169" s="9"/>
      <c r="BK1169" s="9"/>
      <c r="BL1169" s="9"/>
      <c r="BM1169" s="9"/>
      <c r="BN1169" s="9"/>
      <c r="BO1169" s="9"/>
      <c r="BP1169" s="9"/>
      <c r="BQ1169" s="9"/>
      <c r="BR1169" s="9"/>
      <c r="BS1169" s="9"/>
      <c r="BT1169" s="9"/>
      <c r="BU1169" s="9"/>
      <c r="BV1169" s="9"/>
      <c r="BW1169" s="9"/>
      <c r="BX1169" s="9"/>
      <c r="BY1169" s="9"/>
      <c r="BZ1169" s="9"/>
      <c r="CA1169" s="9"/>
      <c r="CB1169" s="9"/>
      <c r="CC1169" s="9"/>
      <c r="CD1169" s="9"/>
      <c r="CE1169" s="9"/>
      <c r="CF1169" s="9"/>
      <c r="CG1169" s="9"/>
    </row>
    <row r="1170" spans="1:85" ht="18" customHeight="1" x14ac:dyDescent="0.3">
      <c r="A1170" s="9">
        <f t="shared" si="90"/>
        <v>1169</v>
      </c>
      <c r="B1170" s="9" t="str">
        <f t="shared" si="91"/>
        <v/>
      </c>
      <c r="C1170" s="9"/>
      <c r="D1170" s="9"/>
      <c r="E1170" s="9">
        <f t="shared" si="92"/>
        <v>0</v>
      </c>
      <c r="F1170" s="9"/>
      <c r="G1170" s="9"/>
      <c r="H1170" s="9"/>
      <c r="I1170" s="9"/>
      <c r="J1170" s="9"/>
      <c r="K1170" s="9"/>
      <c r="L1170" s="9"/>
      <c r="M1170" s="9"/>
      <c r="N1170" s="9" t="str">
        <f t="shared" si="93"/>
        <v>NO</v>
      </c>
      <c r="O1170" s="9" t="str">
        <f t="shared" si="94"/>
        <v>🟡</v>
      </c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9"/>
      <c r="AP1170" s="9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  <c r="BA1170" s="9"/>
      <c r="BB1170" s="9"/>
      <c r="BC1170" s="9"/>
      <c r="BD1170" s="9"/>
      <c r="BE1170" s="9"/>
      <c r="BF1170" s="9"/>
      <c r="BG1170" s="9"/>
      <c r="BH1170" s="9"/>
      <c r="BI1170" s="9"/>
      <c r="BJ1170" s="9"/>
      <c r="BK1170" s="9"/>
      <c r="BL1170" s="9"/>
      <c r="BM1170" s="9"/>
      <c r="BN1170" s="9"/>
      <c r="BO1170" s="9"/>
      <c r="BP1170" s="9"/>
      <c r="BQ1170" s="9"/>
      <c r="BR1170" s="9"/>
      <c r="BS1170" s="9"/>
      <c r="BT1170" s="9"/>
      <c r="BU1170" s="9"/>
      <c r="BV1170" s="9"/>
      <c r="BW1170" s="9"/>
      <c r="BX1170" s="9"/>
      <c r="BY1170" s="9"/>
      <c r="BZ1170" s="9"/>
      <c r="CA1170" s="9"/>
      <c r="CB1170" s="9"/>
      <c r="CC1170" s="9"/>
      <c r="CD1170" s="9"/>
      <c r="CE1170" s="9"/>
      <c r="CF1170" s="9"/>
      <c r="CG1170" s="9"/>
    </row>
    <row r="1171" spans="1:85" ht="18" customHeight="1" x14ac:dyDescent="0.3">
      <c r="A1171" s="9">
        <f t="shared" si="90"/>
        <v>1170</v>
      </c>
      <c r="B1171" s="9" t="str">
        <f t="shared" si="91"/>
        <v/>
      </c>
      <c r="C1171" s="9"/>
      <c r="D1171" s="9"/>
      <c r="E1171" s="9">
        <f t="shared" si="92"/>
        <v>0</v>
      </c>
      <c r="F1171" s="9"/>
      <c r="G1171" s="9"/>
      <c r="H1171" s="9"/>
      <c r="I1171" s="9"/>
      <c r="J1171" s="9"/>
      <c r="K1171" s="9"/>
      <c r="L1171" s="9"/>
      <c r="M1171" s="9"/>
      <c r="N1171" s="9" t="str">
        <f t="shared" si="93"/>
        <v>NO</v>
      </c>
      <c r="O1171" s="9" t="str">
        <f t="shared" si="94"/>
        <v>🟡</v>
      </c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9"/>
      <c r="AP1171" s="9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  <c r="BA1171" s="9"/>
      <c r="BB1171" s="9"/>
      <c r="BC1171" s="9"/>
      <c r="BD1171" s="9"/>
      <c r="BE1171" s="9"/>
      <c r="BF1171" s="9"/>
      <c r="BG1171" s="9"/>
      <c r="BH1171" s="9"/>
      <c r="BI1171" s="9"/>
      <c r="BJ1171" s="9"/>
      <c r="BK1171" s="9"/>
      <c r="BL1171" s="9"/>
      <c r="BM1171" s="9"/>
      <c r="BN1171" s="9"/>
      <c r="BO1171" s="9"/>
      <c r="BP1171" s="9"/>
      <c r="BQ1171" s="9"/>
      <c r="BR1171" s="9"/>
      <c r="BS1171" s="9"/>
      <c r="BT1171" s="9"/>
      <c r="BU1171" s="9"/>
      <c r="BV1171" s="9"/>
      <c r="BW1171" s="9"/>
      <c r="BX1171" s="9"/>
      <c r="BY1171" s="9"/>
      <c r="BZ1171" s="9"/>
      <c r="CA1171" s="9"/>
      <c r="CB1171" s="9"/>
      <c r="CC1171" s="9"/>
      <c r="CD1171" s="9"/>
      <c r="CE1171" s="9"/>
      <c r="CF1171" s="9"/>
      <c r="CG1171" s="9"/>
    </row>
    <row r="1172" spans="1:85" ht="18" customHeight="1" x14ac:dyDescent="0.3">
      <c r="A1172" s="9">
        <f t="shared" si="90"/>
        <v>1171</v>
      </c>
      <c r="B1172" s="9" t="str">
        <f t="shared" si="91"/>
        <v/>
      </c>
      <c r="C1172" s="9"/>
      <c r="D1172" s="9"/>
      <c r="E1172" s="9">
        <f t="shared" si="92"/>
        <v>0</v>
      </c>
      <c r="F1172" s="9"/>
      <c r="G1172" s="9"/>
      <c r="H1172" s="9"/>
      <c r="I1172" s="9"/>
      <c r="J1172" s="9"/>
      <c r="K1172" s="9"/>
      <c r="L1172" s="9"/>
      <c r="M1172" s="9"/>
      <c r="N1172" s="9" t="str">
        <f t="shared" si="93"/>
        <v>NO</v>
      </c>
      <c r="O1172" s="9" t="str">
        <f t="shared" si="94"/>
        <v>🟡</v>
      </c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9"/>
      <c r="AP1172" s="9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  <c r="BA1172" s="9"/>
      <c r="BB1172" s="9"/>
      <c r="BC1172" s="9"/>
      <c r="BD1172" s="9"/>
      <c r="BE1172" s="9"/>
      <c r="BF1172" s="9"/>
      <c r="BG1172" s="9"/>
      <c r="BH1172" s="9"/>
      <c r="BI1172" s="9"/>
      <c r="BJ1172" s="9"/>
      <c r="BK1172" s="9"/>
      <c r="BL1172" s="9"/>
      <c r="BM1172" s="9"/>
      <c r="BN1172" s="9"/>
      <c r="BO1172" s="9"/>
      <c r="BP1172" s="9"/>
      <c r="BQ1172" s="9"/>
      <c r="BR1172" s="9"/>
      <c r="BS1172" s="9"/>
      <c r="BT1172" s="9"/>
      <c r="BU1172" s="9"/>
      <c r="BV1172" s="9"/>
      <c r="BW1172" s="9"/>
      <c r="BX1172" s="9"/>
      <c r="BY1172" s="9"/>
      <c r="BZ1172" s="9"/>
      <c r="CA1172" s="9"/>
      <c r="CB1172" s="9"/>
      <c r="CC1172" s="9"/>
      <c r="CD1172" s="9"/>
      <c r="CE1172" s="9"/>
      <c r="CF1172" s="9"/>
      <c r="CG1172" s="9"/>
    </row>
    <row r="1173" spans="1:85" ht="18" customHeight="1" x14ac:dyDescent="0.3">
      <c r="A1173" s="9">
        <f t="shared" si="90"/>
        <v>1172</v>
      </c>
      <c r="B1173" s="9" t="str">
        <f t="shared" si="91"/>
        <v/>
      </c>
      <c r="C1173" s="9"/>
      <c r="D1173" s="9"/>
      <c r="E1173" s="9">
        <f t="shared" si="92"/>
        <v>0</v>
      </c>
      <c r="F1173" s="9"/>
      <c r="G1173" s="9"/>
      <c r="H1173" s="9"/>
      <c r="I1173" s="9"/>
      <c r="J1173" s="9"/>
      <c r="K1173" s="9"/>
      <c r="L1173" s="9"/>
      <c r="M1173" s="9"/>
      <c r="N1173" s="9" t="str">
        <f t="shared" si="93"/>
        <v>NO</v>
      </c>
      <c r="O1173" s="9" t="str">
        <f t="shared" si="94"/>
        <v>🟡</v>
      </c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9"/>
      <c r="AP1173" s="9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  <c r="BA1173" s="9"/>
      <c r="BB1173" s="9"/>
      <c r="BC1173" s="9"/>
      <c r="BD1173" s="9"/>
      <c r="BE1173" s="9"/>
      <c r="BF1173" s="9"/>
      <c r="BG1173" s="9"/>
      <c r="BH1173" s="9"/>
      <c r="BI1173" s="9"/>
      <c r="BJ1173" s="9"/>
      <c r="BK1173" s="9"/>
      <c r="BL1173" s="9"/>
      <c r="BM1173" s="9"/>
      <c r="BN1173" s="9"/>
      <c r="BO1173" s="9"/>
      <c r="BP1173" s="9"/>
      <c r="BQ1173" s="9"/>
      <c r="BR1173" s="9"/>
      <c r="BS1173" s="9"/>
      <c r="BT1173" s="9"/>
      <c r="BU1173" s="9"/>
      <c r="BV1173" s="9"/>
      <c r="BW1173" s="9"/>
      <c r="BX1173" s="9"/>
      <c r="BY1173" s="9"/>
      <c r="BZ1173" s="9"/>
      <c r="CA1173" s="9"/>
      <c r="CB1173" s="9"/>
      <c r="CC1173" s="9"/>
      <c r="CD1173" s="9"/>
      <c r="CE1173" s="9"/>
      <c r="CF1173" s="9"/>
      <c r="CG1173" s="9"/>
    </row>
    <row r="1174" spans="1:85" ht="18" customHeight="1" x14ac:dyDescent="0.3">
      <c r="A1174" s="9">
        <f t="shared" si="90"/>
        <v>1173</v>
      </c>
      <c r="B1174" s="9" t="str">
        <f t="shared" si="91"/>
        <v/>
      </c>
      <c r="C1174" s="9"/>
      <c r="D1174" s="9"/>
      <c r="E1174" s="9">
        <f t="shared" si="92"/>
        <v>0</v>
      </c>
      <c r="F1174" s="9"/>
      <c r="G1174" s="9"/>
      <c r="H1174" s="9"/>
      <c r="I1174" s="9"/>
      <c r="J1174" s="9"/>
      <c r="K1174" s="9"/>
      <c r="L1174" s="9"/>
      <c r="M1174" s="9"/>
      <c r="N1174" s="9" t="str">
        <f t="shared" si="93"/>
        <v>NO</v>
      </c>
      <c r="O1174" s="9" t="str">
        <f t="shared" si="94"/>
        <v>🟡</v>
      </c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9"/>
      <c r="AP1174" s="9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  <c r="BA1174" s="9"/>
      <c r="BB1174" s="9"/>
      <c r="BC1174" s="9"/>
      <c r="BD1174" s="9"/>
      <c r="BE1174" s="9"/>
      <c r="BF1174" s="9"/>
      <c r="BG1174" s="9"/>
      <c r="BH1174" s="9"/>
      <c r="BI1174" s="9"/>
      <c r="BJ1174" s="9"/>
      <c r="BK1174" s="9"/>
      <c r="BL1174" s="9"/>
      <c r="BM1174" s="9"/>
      <c r="BN1174" s="9"/>
      <c r="BO1174" s="9"/>
      <c r="BP1174" s="9"/>
      <c r="BQ1174" s="9"/>
      <c r="BR1174" s="9"/>
      <c r="BS1174" s="9"/>
      <c r="BT1174" s="9"/>
      <c r="BU1174" s="9"/>
      <c r="BV1174" s="9"/>
      <c r="BW1174" s="9"/>
      <c r="BX1174" s="9"/>
      <c r="BY1174" s="9"/>
      <c r="BZ1174" s="9"/>
      <c r="CA1174" s="9"/>
      <c r="CB1174" s="9"/>
      <c r="CC1174" s="9"/>
      <c r="CD1174" s="9"/>
      <c r="CE1174" s="9"/>
      <c r="CF1174" s="9"/>
      <c r="CG1174" s="9"/>
    </row>
    <row r="1175" spans="1:85" ht="18" customHeight="1" x14ac:dyDescent="0.3">
      <c r="A1175" s="9">
        <f t="shared" si="90"/>
        <v>1174</v>
      </c>
      <c r="B1175" s="9" t="str">
        <f t="shared" si="91"/>
        <v/>
      </c>
      <c r="C1175" s="9"/>
      <c r="D1175" s="9"/>
      <c r="E1175" s="9">
        <f t="shared" si="92"/>
        <v>0</v>
      </c>
      <c r="F1175" s="9"/>
      <c r="G1175" s="9"/>
      <c r="H1175" s="9"/>
      <c r="I1175" s="9"/>
      <c r="J1175" s="9"/>
      <c r="K1175" s="9"/>
      <c r="L1175" s="9"/>
      <c r="M1175" s="9"/>
      <c r="N1175" s="9" t="str">
        <f t="shared" si="93"/>
        <v>NO</v>
      </c>
      <c r="O1175" s="9" t="str">
        <f t="shared" si="94"/>
        <v>🟡</v>
      </c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9"/>
      <c r="AP1175" s="9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  <c r="BA1175" s="9"/>
      <c r="BB1175" s="9"/>
      <c r="BC1175" s="9"/>
      <c r="BD1175" s="9"/>
      <c r="BE1175" s="9"/>
      <c r="BF1175" s="9"/>
      <c r="BG1175" s="9"/>
      <c r="BH1175" s="9"/>
      <c r="BI1175" s="9"/>
      <c r="BJ1175" s="9"/>
      <c r="BK1175" s="9"/>
      <c r="BL1175" s="9"/>
      <c r="BM1175" s="9"/>
      <c r="BN1175" s="9"/>
      <c r="BO1175" s="9"/>
      <c r="BP1175" s="9"/>
      <c r="BQ1175" s="9"/>
      <c r="BR1175" s="9"/>
      <c r="BS1175" s="9"/>
      <c r="BT1175" s="9"/>
      <c r="BU1175" s="9"/>
      <c r="BV1175" s="9"/>
      <c r="BW1175" s="9"/>
      <c r="BX1175" s="9"/>
      <c r="BY1175" s="9"/>
      <c r="BZ1175" s="9"/>
      <c r="CA1175" s="9"/>
      <c r="CB1175" s="9"/>
      <c r="CC1175" s="9"/>
      <c r="CD1175" s="9"/>
      <c r="CE1175" s="9"/>
      <c r="CF1175" s="9"/>
      <c r="CG1175" s="9"/>
    </row>
    <row r="1176" spans="1:85" ht="18" customHeight="1" x14ac:dyDescent="0.3">
      <c r="A1176" s="9">
        <f t="shared" si="90"/>
        <v>1175</v>
      </c>
      <c r="B1176" s="9" t="str">
        <f t="shared" si="91"/>
        <v/>
      </c>
      <c r="C1176" s="9"/>
      <c r="D1176" s="9"/>
      <c r="E1176" s="9">
        <f t="shared" si="92"/>
        <v>0</v>
      </c>
      <c r="F1176" s="9"/>
      <c r="G1176" s="9"/>
      <c r="H1176" s="9"/>
      <c r="I1176" s="9"/>
      <c r="J1176" s="9"/>
      <c r="K1176" s="9"/>
      <c r="L1176" s="9"/>
      <c r="M1176" s="9"/>
      <c r="N1176" s="9" t="str">
        <f t="shared" si="93"/>
        <v>NO</v>
      </c>
      <c r="O1176" s="9" t="str">
        <f t="shared" si="94"/>
        <v>🟡</v>
      </c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9"/>
      <c r="BD1176" s="9"/>
      <c r="BE1176" s="9"/>
      <c r="BF1176" s="9"/>
      <c r="BG1176" s="9"/>
      <c r="BH1176" s="9"/>
      <c r="BI1176" s="9"/>
      <c r="BJ1176" s="9"/>
      <c r="BK1176" s="9"/>
      <c r="BL1176" s="9"/>
      <c r="BM1176" s="9"/>
      <c r="BN1176" s="9"/>
      <c r="BO1176" s="9"/>
      <c r="BP1176" s="9"/>
      <c r="BQ1176" s="9"/>
      <c r="BR1176" s="9"/>
      <c r="BS1176" s="9"/>
      <c r="BT1176" s="9"/>
      <c r="BU1176" s="9"/>
      <c r="BV1176" s="9"/>
      <c r="BW1176" s="9"/>
      <c r="BX1176" s="9"/>
      <c r="BY1176" s="9"/>
      <c r="BZ1176" s="9"/>
      <c r="CA1176" s="9"/>
      <c r="CB1176" s="9"/>
      <c r="CC1176" s="9"/>
      <c r="CD1176" s="9"/>
      <c r="CE1176" s="9"/>
      <c r="CF1176" s="9"/>
      <c r="CG1176" s="9"/>
    </row>
    <row r="1177" spans="1:85" ht="18" customHeight="1" x14ac:dyDescent="0.3">
      <c r="A1177" s="9">
        <f t="shared" si="90"/>
        <v>1176</v>
      </c>
      <c r="B1177" s="9" t="str">
        <f t="shared" si="91"/>
        <v/>
      </c>
      <c r="C1177" s="9"/>
      <c r="D1177" s="9"/>
      <c r="E1177" s="9">
        <f t="shared" si="92"/>
        <v>0</v>
      </c>
      <c r="F1177" s="9"/>
      <c r="G1177" s="9"/>
      <c r="H1177" s="9"/>
      <c r="I1177" s="9"/>
      <c r="J1177" s="9"/>
      <c r="K1177" s="9"/>
      <c r="L1177" s="9"/>
      <c r="M1177" s="9"/>
      <c r="N1177" s="9" t="str">
        <f t="shared" si="93"/>
        <v>NO</v>
      </c>
      <c r="O1177" s="9" t="str">
        <f t="shared" si="94"/>
        <v>🟡</v>
      </c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9"/>
      <c r="AP1177" s="9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  <c r="BA1177" s="9"/>
      <c r="BB1177" s="9"/>
      <c r="BC1177" s="9"/>
      <c r="BD1177" s="9"/>
      <c r="BE1177" s="9"/>
      <c r="BF1177" s="9"/>
      <c r="BG1177" s="9"/>
      <c r="BH1177" s="9"/>
      <c r="BI1177" s="9"/>
      <c r="BJ1177" s="9"/>
      <c r="BK1177" s="9"/>
      <c r="BL1177" s="9"/>
      <c r="BM1177" s="9"/>
      <c r="BN1177" s="9"/>
      <c r="BO1177" s="9"/>
      <c r="BP1177" s="9"/>
      <c r="BQ1177" s="9"/>
      <c r="BR1177" s="9"/>
      <c r="BS1177" s="9"/>
      <c r="BT1177" s="9"/>
      <c r="BU1177" s="9"/>
      <c r="BV1177" s="9"/>
      <c r="BW1177" s="9"/>
      <c r="BX1177" s="9"/>
      <c r="BY1177" s="9"/>
      <c r="BZ1177" s="9"/>
      <c r="CA1177" s="9"/>
      <c r="CB1177" s="9"/>
      <c r="CC1177" s="9"/>
      <c r="CD1177" s="9"/>
      <c r="CE1177" s="9"/>
      <c r="CF1177" s="9"/>
      <c r="CG1177" s="9"/>
    </row>
    <row r="1178" spans="1:85" ht="18" customHeight="1" x14ac:dyDescent="0.3">
      <c r="A1178" s="9">
        <f t="shared" si="90"/>
        <v>1177</v>
      </c>
      <c r="B1178" s="9" t="str">
        <f t="shared" si="91"/>
        <v/>
      </c>
      <c r="C1178" s="9"/>
      <c r="D1178" s="9"/>
      <c r="E1178" s="9">
        <f t="shared" si="92"/>
        <v>0</v>
      </c>
      <c r="F1178" s="9"/>
      <c r="G1178" s="9"/>
      <c r="H1178" s="9"/>
      <c r="I1178" s="9"/>
      <c r="J1178" s="9"/>
      <c r="K1178" s="9"/>
      <c r="L1178" s="9"/>
      <c r="M1178" s="9"/>
      <c r="N1178" s="9" t="str">
        <f t="shared" si="93"/>
        <v>NO</v>
      </c>
      <c r="O1178" s="9" t="str">
        <f t="shared" si="94"/>
        <v>🟡</v>
      </c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9"/>
      <c r="BD1178" s="9"/>
      <c r="BE1178" s="9"/>
      <c r="BF1178" s="9"/>
      <c r="BG1178" s="9"/>
      <c r="BH1178" s="9"/>
      <c r="BI1178" s="9"/>
      <c r="BJ1178" s="9"/>
      <c r="BK1178" s="9"/>
      <c r="BL1178" s="9"/>
      <c r="BM1178" s="9"/>
      <c r="BN1178" s="9"/>
      <c r="BO1178" s="9"/>
      <c r="BP1178" s="9"/>
      <c r="BQ1178" s="9"/>
      <c r="BR1178" s="9"/>
      <c r="BS1178" s="9"/>
      <c r="BT1178" s="9"/>
      <c r="BU1178" s="9"/>
      <c r="BV1178" s="9"/>
      <c r="BW1178" s="9"/>
      <c r="BX1178" s="9"/>
      <c r="BY1178" s="9"/>
      <c r="BZ1178" s="9"/>
      <c r="CA1178" s="9"/>
      <c r="CB1178" s="9"/>
      <c r="CC1178" s="9"/>
      <c r="CD1178" s="9"/>
      <c r="CE1178" s="9"/>
      <c r="CF1178" s="9"/>
      <c r="CG1178" s="9"/>
    </row>
    <row r="1179" spans="1:85" ht="18" customHeight="1" x14ac:dyDescent="0.3">
      <c r="A1179" s="9">
        <f t="shared" si="90"/>
        <v>1178</v>
      </c>
      <c r="B1179" s="9" t="str">
        <f t="shared" si="91"/>
        <v/>
      </c>
      <c r="C1179" s="9"/>
      <c r="D1179" s="9"/>
      <c r="E1179" s="9">
        <f t="shared" si="92"/>
        <v>0</v>
      </c>
      <c r="F1179" s="9"/>
      <c r="G1179" s="9"/>
      <c r="H1179" s="9"/>
      <c r="I1179" s="9"/>
      <c r="J1179" s="9"/>
      <c r="K1179" s="9"/>
      <c r="L1179" s="9"/>
      <c r="M1179" s="9"/>
      <c r="N1179" s="9" t="str">
        <f t="shared" si="93"/>
        <v>NO</v>
      </c>
      <c r="O1179" s="9" t="str">
        <f t="shared" si="94"/>
        <v>🟡</v>
      </c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9"/>
      <c r="AP1179" s="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  <c r="BA1179" s="9"/>
      <c r="BB1179" s="9"/>
      <c r="BC1179" s="9"/>
      <c r="BD1179" s="9"/>
      <c r="BE1179" s="9"/>
      <c r="BF1179" s="9"/>
      <c r="BG1179" s="9"/>
      <c r="BH1179" s="9"/>
      <c r="BI1179" s="9"/>
      <c r="BJ1179" s="9"/>
      <c r="BK1179" s="9"/>
      <c r="BL1179" s="9"/>
      <c r="BM1179" s="9"/>
      <c r="BN1179" s="9"/>
      <c r="BO1179" s="9"/>
      <c r="BP1179" s="9"/>
      <c r="BQ1179" s="9"/>
      <c r="BR1179" s="9"/>
      <c r="BS1179" s="9"/>
      <c r="BT1179" s="9"/>
      <c r="BU1179" s="9"/>
      <c r="BV1179" s="9"/>
      <c r="BW1179" s="9"/>
      <c r="BX1179" s="9"/>
      <c r="BY1179" s="9"/>
      <c r="BZ1179" s="9"/>
      <c r="CA1179" s="9"/>
      <c r="CB1179" s="9"/>
      <c r="CC1179" s="9"/>
      <c r="CD1179" s="9"/>
      <c r="CE1179" s="9"/>
      <c r="CF1179" s="9"/>
      <c r="CG1179" s="9"/>
    </row>
    <row r="1180" spans="1:85" ht="18" customHeight="1" x14ac:dyDescent="0.3">
      <c r="A1180" s="9">
        <f t="shared" si="90"/>
        <v>1179</v>
      </c>
      <c r="B1180" s="9" t="str">
        <f t="shared" si="91"/>
        <v/>
      </c>
      <c r="C1180" s="9"/>
      <c r="D1180" s="9"/>
      <c r="E1180" s="9">
        <f t="shared" si="92"/>
        <v>0</v>
      </c>
      <c r="F1180" s="9"/>
      <c r="G1180" s="9"/>
      <c r="H1180" s="9"/>
      <c r="I1180" s="9"/>
      <c r="J1180" s="9"/>
      <c r="K1180" s="9"/>
      <c r="L1180" s="9"/>
      <c r="M1180" s="9"/>
      <c r="N1180" s="9" t="str">
        <f t="shared" si="93"/>
        <v>NO</v>
      </c>
      <c r="O1180" s="9" t="str">
        <f t="shared" si="94"/>
        <v>🟡</v>
      </c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9"/>
      <c r="AP1180" s="9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  <c r="BA1180" s="9"/>
      <c r="BB1180" s="9"/>
      <c r="BC1180" s="9"/>
      <c r="BD1180" s="9"/>
      <c r="BE1180" s="9"/>
      <c r="BF1180" s="9"/>
      <c r="BG1180" s="9"/>
      <c r="BH1180" s="9"/>
      <c r="BI1180" s="9"/>
      <c r="BJ1180" s="9"/>
      <c r="BK1180" s="9"/>
      <c r="BL1180" s="9"/>
      <c r="BM1180" s="9"/>
      <c r="BN1180" s="9"/>
      <c r="BO1180" s="9"/>
      <c r="BP1180" s="9"/>
      <c r="BQ1180" s="9"/>
      <c r="BR1180" s="9"/>
      <c r="BS1180" s="9"/>
      <c r="BT1180" s="9"/>
      <c r="BU1180" s="9"/>
      <c r="BV1180" s="9"/>
      <c r="BW1180" s="9"/>
      <c r="BX1180" s="9"/>
      <c r="BY1180" s="9"/>
      <c r="BZ1180" s="9"/>
      <c r="CA1180" s="9"/>
      <c r="CB1180" s="9"/>
      <c r="CC1180" s="9"/>
      <c r="CD1180" s="9"/>
      <c r="CE1180" s="9"/>
      <c r="CF1180" s="9"/>
      <c r="CG1180" s="9"/>
    </row>
    <row r="1181" spans="1:85" ht="18" customHeight="1" x14ac:dyDescent="0.3">
      <c r="A1181" s="9">
        <f t="shared" si="90"/>
        <v>1180</v>
      </c>
      <c r="B1181" s="9" t="str">
        <f t="shared" si="91"/>
        <v/>
      </c>
      <c r="C1181" s="9"/>
      <c r="D1181" s="9"/>
      <c r="E1181" s="9">
        <f t="shared" si="92"/>
        <v>0</v>
      </c>
      <c r="F1181" s="9"/>
      <c r="G1181" s="9"/>
      <c r="H1181" s="9"/>
      <c r="I1181" s="9"/>
      <c r="J1181" s="9"/>
      <c r="K1181" s="9"/>
      <c r="L1181" s="9"/>
      <c r="M1181" s="9"/>
      <c r="N1181" s="9" t="str">
        <f t="shared" si="93"/>
        <v>NO</v>
      </c>
      <c r="O1181" s="9" t="str">
        <f t="shared" si="94"/>
        <v>🟡</v>
      </c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9"/>
      <c r="AP1181" s="9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  <c r="BA1181" s="9"/>
      <c r="BB1181" s="9"/>
      <c r="BC1181" s="9"/>
      <c r="BD1181" s="9"/>
      <c r="BE1181" s="9"/>
      <c r="BF1181" s="9"/>
      <c r="BG1181" s="9"/>
      <c r="BH1181" s="9"/>
      <c r="BI1181" s="9"/>
      <c r="BJ1181" s="9"/>
      <c r="BK1181" s="9"/>
      <c r="BL1181" s="9"/>
      <c r="BM1181" s="9"/>
      <c r="BN1181" s="9"/>
      <c r="BO1181" s="9"/>
      <c r="BP1181" s="9"/>
      <c r="BQ1181" s="9"/>
      <c r="BR1181" s="9"/>
      <c r="BS1181" s="9"/>
      <c r="BT1181" s="9"/>
      <c r="BU1181" s="9"/>
      <c r="BV1181" s="9"/>
      <c r="BW1181" s="9"/>
      <c r="BX1181" s="9"/>
      <c r="BY1181" s="9"/>
      <c r="BZ1181" s="9"/>
      <c r="CA1181" s="9"/>
      <c r="CB1181" s="9"/>
      <c r="CC1181" s="9"/>
      <c r="CD1181" s="9"/>
      <c r="CE1181" s="9"/>
      <c r="CF1181" s="9"/>
      <c r="CG1181" s="9"/>
    </row>
    <row r="1182" spans="1:85" ht="18" customHeight="1" x14ac:dyDescent="0.3">
      <c r="A1182" s="9">
        <f t="shared" si="90"/>
        <v>1181</v>
      </c>
      <c r="B1182" s="9" t="str">
        <f t="shared" si="91"/>
        <v/>
      </c>
      <c r="C1182" s="9"/>
      <c r="D1182" s="9"/>
      <c r="E1182" s="9">
        <f t="shared" si="92"/>
        <v>0</v>
      </c>
      <c r="F1182" s="9"/>
      <c r="G1182" s="9"/>
      <c r="H1182" s="9"/>
      <c r="I1182" s="9"/>
      <c r="J1182" s="9"/>
      <c r="K1182" s="9"/>
      <c r="L1182" s="9"/>
      <c r="M1182" s="9"/>
      <c r="N1182" s="9" t="str">
        <f t="shared" si="93"/>
        <v>NO</v>
      </c>
      <c r="O1182" s="9" t="str">
        <f t="shared" si="94"/>
        <v>🟡</v>
      </c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  <c r="BC1182" s="9"/>
      <c r="BD1182" s="9"/>
      <c r="BE1182" s="9"/>
      <c r="BF1182" s="9"/>
      <c r="BG1182" s="9"/>
      <c r="BH1182" s="9"/>
      <c r="BI1182" s="9"/>
      <c r="BJ1182" s="9"/>
      <c r="BK1182" s="9"/>
      <c r="BL1182" s="9"/>
      <c r="BM1182" s="9"/>
      <c r="BN1182" s="9"/>
      <c r="BO1182" s="9"/>
      <c r="BP1182" s="9"/>
      <c r="BQ1182" s="9"/>
      <c r="BR1182" s="9"/>
      <c r="BS1182" s="9"/>
      <c r="BT1182" s="9"/>
      <c r="BU1182" s="9"/>
      <c r="BV1182" s="9"/>
      <c r="BW1182" s="9"/>
      <c r="BX1182" s="9"/>
      <c r="BY1182" s="9"/>
      <c r="BZ1182" s="9"/>
      <c r="CA1182" s="9"/>
      <c r="CB1182" s="9"/>
      <c r="CC1182" s="9"/>
      <c r="CD1182" s="9"/>
      <c r="CE1182" s="9"/>
      <c r="CF1182" s="9"/>
      <c r="CG1182" s="9"/>
    </row>
    <row r="1183" spans="1:85" ht="18" customHeight="1" x14ac:dyDescent="0.3">
      <c r="A1183" s="9">
        <f t="shared" si="90"/>
        <v>1182</v>
      </c>
      <c r="B1183" s="9" t="str">
        <f t="shared" si="91"/>
        <v/>
      </c>
      <c r="C1183" s="9"/>
      <c r="D1183" s="9"/>
      <c r="E1183" s="9">
        <f t="shared" si="92"/>
        <v>0</v>
      </c>
      <c r="F1183" s="9"/>
      <c r="G1183" s="9"/>
      <c r="H1183" s="9"/>
      <c r="I1183" s="9"/>
      <c r="J1183" s="9"/>
      <c r="K1183" s="9"/>
      <c r="L1183" s="9"/>
      <c r="M1183" s="9"/>
      <c r="N1183" s="9" t="str">
        <f t="shared" si="93"/>
        <v>NO</v>
      </c>
      <c r="O1183" s="9" t="str">
        <f t="shared" si="94"/>
        <v>🟡</v>
      </c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9"/>
      <c r="AP1183" s="9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  <c r="BA1183" s="9"/>
      <c r="BB1183" s="9"/>
      <c r="BC1183" s="9"/>
      <c r="BD1183" s="9"/>
      <c r="BE1183" s="9"/>
      <c r="BF1183" s="9"/>
      <c r="BG1183" s="9"/>
      <c r="BH1183" s="9"/>
      <c r="BI1183" s="9"/>
      <c r="BJ1183" s="9"/>
      <c r="BK1183" s="9"/>
      <c r="BL1183" s="9"/>
      <c r="BM1183" s="9"/>
      <c r="BN1183" s="9"/>
      <c r="BO1183" s="9"/>
      <c r="BP1183" s="9"/>
      <c r="BQ1183" s="9"/>
      <c r="BR1183" s="9"/>
      <c r="BS1183" s="9"/>
      <c r="BT1183" s="9"/>
      <c r="BU1183" s="9"/>
      <c r="BV1183" s="9"/>
      <c r="BW1183" s="9"/>
      <c r="BX1183" s="9"/>
      <c r="BY1183" s="9"/>
      <c r="BZ1183" s="9"/>
      <c r="CA1183" s="9"/>
      <c r="CB1183" s="9"/>
      <c r="CC1183" s="9"/>
      <c r="CD1183" s="9"/>
      <c r="CE1183" s="9"/>
      <c r="CF1183" s="9"/>
      <c r="CG1183" s="9"/>
    </row>
    <row r="1184" spans="1:85" ht="18" customHeight="1" x14ac:dyDescent="0.3">
      <c r="A1184" s="9">
        <f t="shared" si="90"/>
        <v>1183</v>
      </c>
      <c r="B1184" s="9" t="str">
        <f t="shared" si="91"/>
        <v/>
      </c>
      <c r="C1184" s="9"/>
      <c r="D1184" s="9"/>
      <c r="E1184" s="9">
        <f t="shared" si="92"/>
        <v>0</v>
      </c>
      <c r="F1184" s="9"/>
      <c r="G1184" s="9"/>
      <c r="H1184" s="9"/>
      <c r="I1184" s="9"/>
      <c r="J1184" s="9"/>
      <c r="K1184" s="9"/>
      <c r="L1184" s="9"/>
      <c r="M1184" s="9"/>
      <c r="N1184" s="9" t="str">
        <f t="shared" si="93"/>
        <v>NO</v>
      </c>
      <c r="O1184" s="9" t="str">
        <f t="shared" si="94"/>
        <v>🟡</v>
      </c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9"/>
      <c r="AP1184" s="9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  <c r="BA1184" s="9"/>
      <c r="BB1184" s="9"/>
      <c r="BC1184" s="9"/>
      <c r="BD1184" s="9"/>
      <c r="BE1184" s="9"/>
      <c r="BF1184" s="9"/>
      <c r="BG1184" s="9"/>
      <c r="BH1184" s="9"/>
      <c r="BI1184" s="9"/>
      <c r="BJ1184" s="9"/>
      <c r="BK1184" s="9"/>
      <c r="BL1184" s="9"/>
      <c r="BM1184" s="9"/>
      <c r="BN1184" s="9"/>
      <c r="BO1184" s="9"/>
      <c r="BP1184" s="9"/>
      <c r="BQ1184" s="9"/>
      <c r="BR1184" s="9"/>
      <c r="BS1184" s="9"/>
      <c r="BT1184" s="9"/>
      <c r="BU1184" s="9"/>
      <c r="BV1184" s="9"/>
      <c r="BW1184" s="9"/>
      <c r="BX1184" s="9"/>
      <c r="BY1184" s="9"/>
      <c r="BZ1184" s="9"/>
      <c r="CA1184" s="9"/>
      <c r="CB1184" s="9"/>
      <c r="CC1184" s="9"/>
      <c r="CD1184" s="9"/>
      <c r="CE1184" s="9"/>
      <c r="CF1184" s="9"/>
      <c r="CG1184" s="9"/>
    </row>
    <row r="1185" spans="1:85" ht="18" customHeight="1" x14ac:dyDescent="0.3">
      <c r="A1185" s="9">
        <f t="shared" si="90"/>
        <v>1184</v>
      </c>
      <c r="B1185" s="9" t="str">
        <f t="shared" si="91"/>
        <v/>
      </c>
      <c r="C1185" s="9"/>
      <c r="D1185" s="9"/>
      <c r="E1185" s="9">
        <f t="shared" si="92"/>
        <v>0</v>
      </c>
      <c r="F1185" s="9"/>
      <c r="G1185" s="9"/>
      <c r="H1185" s="9"/>
      <c r="I1185" s="9"/>
      <c r="J1185" s="9"/>
      <c r="K1185" s="9"/>
      <c r="L1185" s="9"/>
      <c r="M1185" s="9"/>
      <c r="N1185" s="9" t="str">
        <f t="shared" si="93"/>
        <v>NO</v>
      </c>
      <c r="O1185" s="9" t="str">
        <f t="shared" si="94"/>
        <v>🟡</v>
      </c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  <c r="AN1185" s="9"/>
      <c r="AO1185" s="9"/>
      <c r="AP1185" s="9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  <c r="BA1185" s="9"/>
      <c r="BB1185" s="9"/>
      <c r="BC1185" s="9"/>
      <c r="BD1185" s="9"/>
      <c r="BE1185" s="9"/>
      <c r="BF1185" s="9"/>
      <c r="BG1185" s="9"/>
      <c r="BH1185" s="9"/>
      <c r="BI1185" s="9"/>
      <c r="BJ1185" s="9"/>
      <c r="BK1185" s="9"/>
      <c r="BL1185" s="9"/>
      <c r="BM1185" s="9"/>
      <c r="BN1185" s="9"/>
      <c r="BO1185" s="9"/>
      <c r="BP1185" s="9"/>
      <c r="BQ1185" s="9"/>
      <c r="BR1185" s="9"/>
      <c r="BS1185" s="9"/>
      <c r="BT1185" s="9"/>
      <c r="BU1185" s="9"/>
      <c r="BV1185" s="9"/>
      <c r="BW1185" s="9"/>
      <c r="BX1185" s="9"/>
      <c r="BY1185" s="9"/>
      <c r="BZ1185" s="9"/>
      <c r="CA1185" s="9"/>
      <c r="CB1185" s="9"/>
      <c r="CC1185" s="9"/>
      <c r="CD1185" s="9"/>
      <c r="CE1185" s="9"/>
      <c r="CF1185" s="9"/>
      <c r="CG1185" s="9"/>
    </row>
    <row r="1186" spans="1:85" ht="18" customHeight="1" x14ac:dyDescent="0.3">
      <c r="A1186" s="9">
        <f t="shared" si="90"/>
        <v>1185</v>
      </c>
      <c r="B1186" s="9" t="str">
        <f t="shared" si="91"/>
        <v/>
      </c>
      <c r="C1186" s="9"/>
      <c r="D1186" s="9"/>
      <c r="E1186" s="9">
        <f t="shared" si="92"/>
        <v>0</v>
      </c>
      <c r="F1186" s="9"/>
      <c r="G1186" s="9"/>
      <c r="H1186" s="9"/>
      <c r="I1186" s="9"/>
      <c r="J1186" s="9"/>
      <c r="K1186" s="9"/>
      <c r="L1186" s="9"/>
      <c r="M1186" s="9"/>
      <c r="N1186" s="9" t="str">
        <f t="shared" si="93"/>
        <v>NO</v>
      </c>
      <c r="O1186" s="9" t="str">
        <f t="shared" si="94"/>
        <v>🟡</v>
      </c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9"/>
      <c r="AO1186" s="9"/>
      <c r="AP1186" s="9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  <c r="BA1186" s="9"/>
      <c r="BB1186" s="9"/>
      <c r="BC1186" s="9"/>
      <c r="BD1186" s="9"/>
      <c r="BE1186" s="9"/>
      <c r="BF1186" s="9"/>
      <c r="BG1186" s="9"/>
      <c r="BH1186" s="9"/>
      <c r="BI1186" s="9"/>
      <c r="BJ1186" s="9"/>
      <c r="BK1186" s="9"/>
      <c r="BL1186" s="9"/>
      <c r="BM1186" s="9"/>
      <c r="BN1186" s="9"/>
      <c r="BO1186" s="9"/>
      <c r="BP1186" s="9"/>
      <c r="BQ1186" s="9"/>
      <c r="BR1186" s="9"/>
      <c r="BS1186" s="9"/>
      <c r="BT1186" s="9"/>
      <c r="BU1186" s="9"/>
      <c r="BV1186" s="9"/>
      <c r="BW1186" s="9"/>
      <c r="BX1186" s="9"/>
      <c r="BY1186" s="9"/>
      <c r="BZ1186" s="9"/>
      <c r="CA1186" s="9"/>
      <c r="CB1186" s="9"/>
      <c r="CC1186" s="9"/>
      <c r="CD1186" s="9"/>
      <c r="CE1186" s="9"/>
      <c r="CF1186" s="9"/>
      <c r="CG1186" s="9"/>
    </row>
    <row r="1187" spans="1:85" ht="18" customHeight="1" x14ac:dyDescent="0.3">
      <c r="A1187" s="9">
        <f t="shared" si="90"/>
        <v>1186</v>
      </c>
      <c r="B1187" s="9" t="str">
        <f t="shared" si="91"/>
        <v/>
      </c>
      <c r="C1187" s="9"/>
      <c r="D1187" s="9"/>
      <c r="E1187" s="9">
        <f t="shared" si="92"/>
        <v>0</v>
      </c>
      <c r="F1187" s="9"/>
      <c r="G1187" s="9"/>
      <c r="H1187" s="9"/>
      <c r="I1187" s="9"/>
      <c r="J1187" s="9"/>
      <c r="K1187" s="9"/>
      <c r="L1187" s="9"/>
      <c r="M1187" s="9"/>
      <c r="N1187" s="9" t="str">
        <f t="shared" si="93"/>
        <v>NO</v>
      </c>
      <c r="O1187" s="9" t="str">
        <f t="shared" si="94"/>
        <v>🟡</v>
      </c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9"/>
      <c r="AO1187" s="9"/>
      <c r="AP1187" s="9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  <c r="BA1187" s="9"/>
      <c r="BB1187" s="9"/>
      <c r="BC1187" s="9"/>
      <c r="BD1187" s="9"/>
      <c r="BE1187" s="9"/>
      <c r="BF1187" s="9"/>
      <c r="BG1187" s="9"/>
      <c r="BH1187" s="9"/>
      <c r="BI1187" s="9"/>
      <c r="BJ1187" s="9"/>
      <c r="BK1187" s="9"/>
      <c r="BL1187" s="9"/>
      <c r="BM1187" s="9"/>
      <c r="BN1187" s="9"/>
      <c r="BO1187" s="9"/>
      <c r="BP1187" s="9"/>
      <c r="BQ1187" s="9"/>
      <c r="BR1187" s="9"/>
      <c r="BS1187" s="9"/>
      <c r="BT1187" s="9"/>
      <c r="BU1187" s="9"/>
      <c r="BV1187" s="9"/>
      <c r="BW1187" s="9"/>
      <c r="BX1187" s="9"/>
      <c r="BY1187" s="9"/>
      <c r="BZ1187" s="9"/>
      <c r="CA1187" s="9"/>
      <c r="CB1187" s="9"/>
      <c r="CC1187" s="9"/>
      <c r="CD1187" s="9"/>
      <c r="CE1187" s="9"/>
      <c r="CF1187" s="9"/>
      <c r="CG1187" s="9"/>
    </row>
    <row r="1188" spans="1:85" ht="18" customHeight="1" x14ac:dyDescent="0.3">
      <c r="A1188" s="9">
        <f t="shared" si="90"/>
        <v>1187</v>
      </c>
      <c r="B1188" s="9" t="str">
        <f t="shared" si="91"/>
        <v/>
      </c>
      <c r="C1188" s="9"/>
      <c r="D1188" s="9"/>
      <c r="E1188" s="9">
        <f t="shared" si="92"/>
        <v>0</v>
      </c>
      <c r="F1188" s="9"/>
      <c r="G1188" s="9"/>
      <c r="H1188" s="9"/>
      <c r="I1188" s="9"/>
      <c r="J1188" s="9"/>
      <c r="K1188" s="9"/>
      <c r="L1188" s="9"/>
      <c r="M1188" s="9"/>
      <c r="N1188" s="9" t="str">
        <f t="shared" si="93"/>
        <v>NO</v>
      </c>
      <c r="O1188" s="9" t="str">
        <f t="shared" si="94"/>
        <v>🟡</v>
      </c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9"/>
      <c r="AO1188" s="9"/>
      <c r="AP1188" s="9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  <c r="BA1188" s="9"/>
      <c r="BB1188" s="9"/>
      <c r="BC1188" s="9"/>
      <c r="BD1188" s="9"/>
      <c r="BE1188" s="9"/>
      <c r="BF1188" s="9"/>
      <c r="BG1188" s="9"/>
      <c r="BH1188" s="9"/>
      <c r="BI1188" s="9"/>
      <c r="BJ1188" s="9"/>
      <c r="BK1188" s="9"/>
      <c r="BL1188" s="9"/>
      <c r="BM1188" s="9"/>
      <c r="BN1188" s="9"/>
      <c r="BO1188" s="9"/>
      <c r="BP1188" s="9"/>
      <c r="BQ1188" s="9"/>
      <c r="BR1188" s="9"/>
      <c r="BS1188" s="9"/>
      <c r="BT1188" s="9"/>
      <c r="BU1188" s="9"/>
      <c r="BV1188" s="9"/>
      <c r="BW1188" s="9"/>
      <c r="BX1188" s="9"/>
      <c r="BY1188" s="9"/>
      <c r="BZ1188" s="9"/>
      <c r="CA1188" s="9"/>
      <c r="CB1188" s="9"/>
      <c r="CC1188" s="9"/>
      <c r="CD1188" s="9"/>
      <c r="CE1188" s="9"/>
      <c r="CF1188" s="9"/>
      <c r="CG1188" s="9"/>
    </row>
    <row r="1189" spans="1:85" ht="18" customHeight="1" x14ac:dyDescent="0.3">
      <c r="A1189" s="9">
        <f t="shared" si="90"/>
        <v>1188</v>
      </c>
      <c r="B1189" s="9" t="str">
        <f t="shared" si="91"/>
        <v/>
      </c>
      <c r="C1189" s="9"/>
      <c r="D1189" s="9"/>
      <c r="E1189" s="9">
        <f t="shared" si="92"/>
        <v>0</v>
      </c>
      <c r="F1189" s="9"/>
      <c r="G1189" s="9"/>
      <c r="H1189" s="9"/>
      <c r="I1189" s="9"/>
      <c r="J1189" s="9"/>
      <c r="K1189" s="9"/>
      <c r="L1189" s="9"/>
      <c r="M1189" s="9"/>
      <c r="N1189" s="9" t="str">
        <f t="shared" si="93"/>
        <v>NO</v>
      </c>
      <c r="O1189" s="9" t="str">
        <f t="shared" si="94"/>
        <v>🟡</v>
      </c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9"/>
      <c r="AO1189" s="9"/>
      <c r="AP1189" s="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  <c r="BA1189" s="9"/>
      <c r="BB1189" s="9"/>
      <c r="BC1189" s="9"/>
      <c r="BD1189" s="9"/>
      <c r="BE1189" s="9"/>
      <c r="BF1189" s="9"/>
      <c r="BG1189" s="9"/>
      <c r="BH1189" s="9"/>
      <c r="BI1189" s="9"/>
      <c r="BJ1189" s="9"/>
      <c r="BK1189" s="9"/>
      <c r="BL1189" s="9"/>
      <c r="BM1189" s="9"/>
      <c r="BN1189" s="9"/>
      <c r="BO1189" s="9"/>
      <c r="BP1189" s="9"/>
      <c r="BQ1189" s="9"/>
      <c r="BR1189" s="9"/>
      <c r="BS1189" s="9"/>
      <c r="BT1189" s="9"/>
      <c r="BU1189" s="9"/>
      <c r="BV1189" s="9"/>
      <c r="BW1189" s="9"/>
      <c r="BX1189" s="9"/>
      <c r="BY1189" s="9"/>
      <c r="BZ1189" s="9"/>
      <c r="CA1189" s="9"/>
      <c r="CB1189" s="9"/>
      <c r="CC1189" s="9"/>
      <c r="CD1189" s="9"/>
      <c r="CE1189" s="9"/>
      <c r="CF1189" s="9"/>
      <c r="CG1189" s="9"/>
    </row>
    <row r="1190" spans="1:85" ht="18" customHeight="1" x14ac:dyDescent="0.3">
      <c r="A1190" s="9">
        <f t="shared" si="90"/>
        <v>1189</v>
      </c>
      <c r="B1190" s="9" t="str">
        <f t="shared" si="91"/>
        <v/>
      </c>
      <c r="C1190" s="9"/>
      <c r="D1190" s="9"/>
      <c r="E1190" s="9">
        <f t="shared" si="92"/>
        <v>0</v>
      </c>
      <c r="F1190" s="9"/>
      <c r="G1190" s="9"/>
      <c r="H1190" s="9"/>
      <c r="I1190" s="9"/>
      <c r="J1190" s="9"/>
      <c r="K1190" s="9"/>
      <c r="L1190" s="9"/>
      <c r="M1190" s="9"/>
      <c r="N1190" s="9" t="str">
        <f t="shared" si="93"/>
        <v>NO</v>
      </c>
      <c r="O1190" s="9" t="str">
        <f t="shared" si="94"/>
        <v>🟡</v>
      </c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9"/>
      <c r="AO1190" s="9"/>
      <c r="AP1190" s="9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  <c r="BA1190" s="9"/>
      <c r="BB1190" s="9"/>
      <c r="BC1190" s="9"/>
      <c r="BD1190" s="9"/>
      <c r="BE1190" s="9"/>
      <c r="BF1190" s="9"/>
      <c r="BG1190" s="9"/>
      <c r="BH1190" s="9"/>
      <c r="BI1190" s="9"/>
      <c r="BJ1190" s="9"/>
      <c r="BK1190" s="9"/>
      <c r="BL1190" s="9"/>
      <c r="BM1190" s="9"/>
      <c r="BN1190" s="9"/>
      <c r="BO1190" s="9"/>
      <c r="BP1190" s="9"/>
      <c r="BQ1190" s="9"/>
      <c r="BR1190" s="9"/>
      <c r="BS1190" s="9"/>
      <c r="BT1190" s="9"/>
      <c r="BU1190" s="9"/>
      <c r="BV1190" s="9"/>
      <c r="BW1190" s="9"/>
      <c r="BX1190" s="9"/>
      <c r="BY1190" s="9"/>
      <c r="BZ1190" s="9"/>
      <c r="CA1190" s="9"/>
      <c r="CB1190" s="9"/>
      <c r="CC1190" s="9"/>
      <c r="CD1190" s="9"/>
      <c r="CE1190" s="9"/>
      <c r="CF1190" s="9"/>
      <c r="CG1190" s="9"/>
    </row>
    <row r="1191" spans="1:85" ht="18" customHeight="1" x14ac:dyDescent="0.3">
      <c r="A1191" s="9">
        <f t="shared" si="90"/>
        <v>1190</v>
      </c>
      <c r="B1191" s="9" t="str">
        <f t="shared" si="91"/>
        <v/>
      </c>
      <c r="C1191" s="9"/>
      <c r="D1191" s="9"/>
      <c r="E1191" s="9">
        <f t="shared" si="92"/>
        <v>0</v>
      </c>
      <c r="F1191" s="9"/>
      <c r="G1191" s="9"/>
      <c r="H1191" s="9"/>
      <c r="I1191" s="9"/>
      <c r="J1191" s="9"/>
      <c r="K1191" s="9"/>
      <c r="L1191" s="9"/>
      <c r="M1191" s="9"/>
      <c r="N1191" s="9" t="str">
        <f t="shared" si="93"/>
        <v>NO</v>
      </c>
      <c r="O1191" s="9" t="str">
        <f t="shared" si="94"/>
        <v>🟡</v>
      </c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  <c r="AN1191" s="9"/>
      <c r="AO1191" s="9"/>
      <c r="AP1191" s="9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  <c r="BA1191" s="9"/>
      <c r="BB1191" s="9"/>
      <c r="BC1191" s="9"/>
      <c r="BD1191" s="9"/>
      <c r="BE1191" s="9"/>
      <c r="BF1191" s="9"/>
      <c r="BG1191" s="9"/>
      <c r="BH1191" s="9"/>
      <c r="BI1191" s="9"/>
      <c r="BJ1191" s="9"/>
      <c r="BK1191" s="9"/>
      <c r="BL1191" s="9"/>
      <c r="BM1191" s="9"/>
      <c r="BN1191" s="9"/>
      <c r="BO1191" s="9"/>
      <c r="BP1191" s="9"/>
      <c r="BQ1191" s="9"/>
      <c r="BR1191" s="9"/>
      <c r="BS1191" s="9"/>
      <c r="BT1191" s="9"/>
      <c r="BU1191" s="9"/>
      <c r="BV1191" s="9"/>
      <c r="BW1191" s="9"/>
      <c r="BX1191" s="9"/>
      <c r="BY1191" s="9"/>
      <c r="BZ1191" s="9"/>
      <c r="CA1191" s="9"/>
      <c r="CB1191" s="9"/>
      <c r="CC1191" s="9"/>
      <c r="CD1191" s="9"/>
      <c r="CE1191" s="9"/>
      <c r="CF1191" s="9"/>
      <c r="CG1191" s="9"/>
    </row>
    <row r="1192" spans="1:85" ht="18" customHeight="1" x14ac:dyDescent="0.3">
      <c r="A1192" s="9">
        <f t="shared" si="90"/>
        <v>1191</v>
      </c>
      <c r="B1192" s="9" t="str">
        <f t="shared" si="91"/>
        <v/>
      </c>
      <c r="C1192" s="9"/>
      <c r="D1192" s="9"/>
      <c r="E1192" s="9">
        <f t="shared" si="92"/>
        <v>0</v>
      </c>
      <c r="F1192" s="9"/>
      <c r="G1192" s="9"/>
      <c r="H1192" s="9"/>
      <c r="I1192" s="9"/>
      <c r="J1192" s="9"/>
      <c r="K1192" s="9"/>
      <c r="L1192" s="9"/>
      <c r="M1192" s="9"/>
      <c r="N1192" s="9" t="str">
        <f t="shared" si="93"/>
        <v>NO</v>
      </c>
      <c r="O1192" s="9" t="str">
        <f t="shared" si="94"/>
        <v>🟡</v>
      </c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9"/>
      <c r="AO1192" s="9"/>
      <c r="AP1192" s="9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  <c r="BA1192" s="9"/>
      <c r="BB1192" s="9"/>
      <c r="BC1192" s="9"/>
      <c r="BD1192" s="9"/>
      <c r="BE1192" s="9"/>
      <c r="BF1192" s="9"/>
      <c r="BG1192" s="9"/>
      <c r="BH1192" s="9"/>
      <c r="BI1192" s="9"/>
      <c r="BJ1192" s="9"/>
      <c r="BK1192" s="9"/>
      <c r="BL1192" s="9"/>
      <c r="BM1192" s="9"/>
      <c r="BN1192" s="9"/>
      <c r="BO1192" s="9"/>
      <c r="BP1192" s="9"/>
      <c r="BQ1192" s="9"/>
      <c r="BR1192" s="9"/>
      <c r="BS1192" s="9"/>
      <c r="BT1192" s="9"/>
      <c r="BU1192" s="9"/>
      <c r="BV1192" s="9"/>
      <c r="BW1192" s="9"/>
      <c r="BX1192" s="9"/>
      <c r="BY1192" s="9"/>
      <c r="BZ1192" s="9"/>
      <c r="CA1192" s="9"/>
      <c r="CB1192" s="9"/>
      <c r="CC1192" s="9"/>
      <c r="CD1192" s="9"/>
      <c r="CE1192" s="9"/>
      <c r="CF1192" s="9"/>
      <c r="CG1192" s="9"/>
    </row>
    <row r="1193" spans="1:85" ht="18" customHeight="1" x14ac:dyDescent="0.3">
      <c r="A1193" s="9">
        <f t="shared" si="90"/>
        <v>1192</v>
      </c>
      <c r="B1193" s="9" t="str">
        <f t="shared" si="91"/>
        <v/>
      </c>
      <c r="C1193" s="9"/>
      <c r="D1193" s="9"/>
      <c r="E1193" s="9">
        <f t="shared" si="92"/>
        <v>0</v>
      </c>
      <c r="F1193" s="9"/>
      <c r="G1193" s="9"/>
      <c r="H1193" s="9"/>
      <c r="I1193" s="9"/>
      <c r="J1193" s="9"/>
      <c r="K1193" s="9"/>
      <c r="L1193" s="9"/>
      <c r="M1193" s="9"/>
      <c r="N1193" s="9" t="str">
        <f t="shared" si="93"/>
        <v>NO</v>
      </c>
      <c r="O1193" s="9" t="str">
        <f t="shared" si="94"/>
        <v>🟡</v>
      </c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  <c r="BC1193" s="9"/>
      <c r="BD1193" s="9"/>
      <c r="BE1193" s="9"/>
      <c r="BF1193" s="9"/>
      <c r="BG1193" s="9"/>
      <c r="BH1193" s="9"/>
      <c r="BI1193" s="9"/>
      <c r="BJ1193" s="9"/>
      <c r="BK1193" s="9"/>
      <c r="BL1193" s="9"/>
      <c r="BM1193" s="9"/>
      <c r="BN1193" s="9"/>
      <c r="BO1193" s="9"/>
      <c r="BP1193" s="9"/>
      <c r="BQ1193" s="9"/>
      <c r="BR1193" s="9"/>
      <c r="BS1193" s="9"/>
      <c r="BT1193" s="9"/>
      <c r="BU1193" s="9"/>
      <c r="BV1193" s="9"/>
      <c r="BW1193" s="9"/>
      <c r="BX1193" s="9"/>
      <c r="BY1193" s="9"/>
      <c r="BZ1193" s="9"/>
      <c r="CA1193" s="9"/>
      <c r="CB1193" s="9"/>
      <c r="CC1193" s="9"/>
      <c r="CD1193" s="9"/>
      <c r="CE1193" s="9"/>
      <c r="CF1193" s="9"/>
      <c r="CG1193" s="9"/>
    </row>
    <row r="1194" spans="1:85" ht="18" customHeight="1" x14ac:dyDescent="0.3">
      <c r="A1194" s="9">
        <f t="shared" si="90"/>
        <v>1193</v>
      </c>
      <c r="B1194" s="9" t="str">
        <f t="shared" si="91"/>
        <v/>
      </c>
      <c r="C1194" s="9"/>
      <c r="D1194" s="9"/>
      <c r="E1194" s="9">
        <f t="shared" si="92"/>
        <v>0</v>
      </c>
      <c r="F1194" s="9"/>
      <c r="G1194" s="9"/>
      <c r="H1194" s="9"/>
      <c r="I1194" s="9"/>
      <c r="J1194" s="9"/>
      <c r="K1194" s="9"/>
      <c r="L1194" s="9"/>
      <c r="M1194" s="9"/>
      <c r="N1194" s="9" t="str">
        <f t="shared" si="93"/>
        <v>NO</v>
      </c>
      <c r="O1194" s="9" t="str">
        <f t="shared" si="94"/>
        <v>🟡</v>
      </c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9"/>
      <c r="AO1194" s="9"/>
      <c r="AP1194" s="9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  <c r="BA1194" s="9"/>
      <c r="BB1194" s="9"/>
      <c r="BC1194" s="9"/>
      <c r="BD1194" s="9"/>
      <c r="BE1194" s="9"/>
      <c r="BF1194" s="9"/>
      <c r="BG1194" s="9"/>
      <c r="BH1194" s="9"/>
      <c r="BI1194" s="9"/>
      <c r="BJ1194" s="9"/>
      <c r="BK1194" s="9"/>
      <c r="BL1194" s="9"/>
      <c r="BM1194" s="9"/>
      <c r="BN1194" s="9"/>
      <c r="BO1194" s="9"/>
      <c r="BP1194" s="9"/>
      <c r="BQ1194" s="9"/>
      <c r="BR1194" s="9"/>
      <c r="BS1194" s="9"/>
      <c r="BT1194" s="9"/>
      <c r="BU1194" s="9"/>
      <c r="BV1194" s="9"/>
      <c r="BW1194" s="9"/>
      <c r="BX1194" s="9"/>
      <c r="BY1194" s="9"/>
      <c r="BZ1194" s="9"/>
      <c r="CA1194" s="9"/>
      <c r="CB1194" s="9"/>
      <c r="CC1194" s="9"/>
      <c r="CD1194" s="9"/>
      <c r="CE1194" s="9"/>
      <c r="CF1194" s="9"/>
      <c r="CG1194" s="9"/>
    </row>
    <row r="1195" spans="1:85" ht="18" customHeight="1" x14ac:dyDescent="0.3">
      <c r="A1195" s="9">
        <f t="shared" si="90"/>
        <v>1194</v>
      </c>
      <c r="B1195" s="9" t="str">
        <f t="shared" si="91"/>
        <v/>
      </c>
      <c r="C1195" s="9"/>
      <c r="D1195" s="9"/>
      <c r="E1195" s="9">
        <f t="shared" si="92"/>
        <v>0</v>
      </c>
      <c r="F1195" s="9"/>
      <c r="G1195" s="9"/>
      <c r="H1195" s="9"/>
      <c r="I1195" s="9"/>
      <c r="J1195" s="9"/>
      <c r="K1195" s="9"/>
      <c r="L1195" s="9"/>
      <c r="M1195" s="9"/>
      <c r="N1195" s="9" t="str">
        <f t="shared" si="93"/>
        <v>NO</v>
      </c>
      <c r="O1195" s="9" t="str">
        <f t="shared" si="94"/>
        <v>🟡</v>
      </c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9"/>
      <c r="AO1195" s="9"/>
      <c r="AP1195" s="9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  <c r="BA1195" s="9"/>
      <c r="BB1195" s="9"/>
      <c r="BC1195" s="9"/>
      <c r="BD1195" s="9"/>
      <c r="BE1195" s="9"/>
      <c r="BF1195" s="9"/>
      <c r="BG1195" s="9"/>
      <c r="BH1195" s="9"/>
      <c r="BI1195" s="9"/>
      <c r="BJ1195" s="9"/>
      <c r="BK1195" s="9"/>
      <c r="BL1195" s="9"/>
      <c r="BM1195" s="9"/>
      <c r="BN1195" s="9"/>
      <c r="BO1195" s="9"/>
      <c r="BP1195" s="9"/>
      <c r="BQ1195" s="9"/>
      <c r="BR1195" s="9"/>
      <c r="BS1195" s="9"/>
      <c r="BT1195" s="9"/>
      <c r="BU1195" s="9"/>
      <c r="BV1195" s="9"/>
      <c r="BW1195" s="9"/>
      <c r="BX1195" s="9"/>
      <c r="BY1195" s="9"/>
      <c r="BZ1195" s="9"/>
      <c r="CA1195" s="9"/>
      <c r="CB1195" s="9"/>
      <c r="CC1195" s="9"/>
      <c r="CD1195" s="9"/>
      <c r="CE1195" s="9"/>
      <c r="CF1195" s="9"/>
      <c r="CG1195" s="9"/>
    </row>
    <row r="1196" spans="1:85" ht="18" customHeight="1" x14ac:dyDescent="0.3">
      <c r="A1196" s="9">
        <f t="shared" si="90"/>
        <v>1195</v>
      </c>
      <c r="B1196" s="9" t="str">
        <f t="shared" si="91"/>
        <v/>
      </c>
      <c r="C1196" s="9"/>
      <c r="D1196" s="9"/>
      <c r="E1196" s="9">
        <f t="shared" si="92"/>
        <v>0</v>
      </c>
      <c r="F1196" s="9"/>
      <c r="G1196" s="9"/>
      <c r="H1196" s="9"/>
      <c r="I1196" s="9"/>
      <c r="J1196" s="9"/>
      <c r="K1196" s="9"/>
      <c r="L1196" s="9"/>
      <c r="M1196" s="9"/>
      <c r="N1196" s="9" t="str">
        <f t="shared" si="93"/>
        <v>NO</v>
      </c>
      <c r="O1196" s="9" t="str">
        <f t="shared" si="94"/>
        <v>🟡</v>
      </c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9"/>
      <c r="AO1196" s="9"/>
      <c r="AP1196" s="9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  <c r="BA1196" s="9"/>
      <c r="BB1196" s="9"/>
      <c r="BC1196" s="9"/>
      <c r="BD1196" s="9"/>
      <c r="BE1196" s="9"/>
      <c r="BF1196" s="9"/>
      <c r="BG1196" s="9"/>
      <c r="BH1196" s="9"/>
      <c r="BI1196" s="9"/>
      <c r="BJ1196" s="9"/>
      <c r="BK1196" s="9"/>
      <c r="BL1196" s="9"/>
      <c r="BM1196" s="9"/>
      <c r="BN1196" s="9"/>
      <c r="BO1196" s="9"/>
      <c r="BP1196" s="9"/>
      <c r="BQ1196" s="9"/>
      <c r="BR1196" s="9"/>
      <c r="BS1196" s="9"/>
      <c r="BT1196" s="9"/>
      <c r="BU1196" s="9"/>
      <c r="BV1196" s="9"/>
      <c r="BW1196" s="9"/>
      <c r="BX1196" s="9"/>
      <c r="BY1196" s="9"/>
      <c r="BZ1196" s="9"/>
      <c r="CA1196" s="9"/>
      <c r="CB1196" s="9"/>
      <c r="CC1196" s="9"/>
      <c r="CD1196" s="9"/>
      <c r="CE1196" s="9"/>
      <c r="CF1196" s="9"/>
      <c r="CG1196" s="9"/>
    </row>
    <row r="1197" spans="1:85" ht="18" customHeight="1" x14ac:dyDescent="0.3">
      <c r="A1197" s="9">
        <f t="shared" si="90"/>
        <v>1196</v>
      </c>
      <c r="B1197" s="9" t="str">
        <f t="shared" si="91"/>
        <v/>
      </c>
      <c r="C1197" s="9"/>
      <c r="D1197" s="9"/>
      <c r="E1197" s="9">
        <f t="shared" si="92"/>
        <v>0</v>
      </c>
      <c r="F1197" s="9"/>
      <c r="G1197" s="9"/>
      <c r="H1197" s="9"/>
      <c r="I1197" s="9"/>
      <c r="J1197" s="9"/>
      <c r="K1197" s="9"/>
      <c r="L1197" s="9"/>
      <c r="M1197" s="9"/>
      <c r="N1197" s="9" t="str">
        <f t="shared" si="93"/>
        <v>NO</v>
      </c>
      <c r="O1197" s="9" t="str">
        <f t="shared" si="94"/>
        <v>🟡</v>
      </c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9"/>
      <c r="AO1197" s="9"/>
      <c r="AP1197" s="9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  <c r="BA1197" s="9"/>
      <c r="BB1197" s="9"/>
      <c r="BC1197" s="9"/>
      <c r="BD1197" s="9"/>
      <c r="BE1197" s="9"/>
      <c r="BF1197" s="9"/>
      <c r="BG1197" s="9"/>
      <c r="BH1197" s="9"/>
      <c r="BI1197" s="9"/>
      <c r="BJ1197" s="9"/>
      <c r="BK1197" s="9"/>
      <c r="BL1197" s="9"/>
      <c r="BM1197" s="9"/>
      <c r="BN1197" s="9"/>
      <c r="BO1197" s="9"/>
      <c r="BP1197" s="9"/>
      <c r="BQ1197" s="9"/>
      <c r="BR1197" s="9"/>
      <c r="BS1197" s="9"/>
      <c r="BT1197" s="9"/>
      <c r="BU1197" s="9"/>
      <c r="BV1197" s="9"/>
      <c r="BW1197" s="9"/>
      <c r="BX1197" s="9"/>
      <c r="BY1197" s="9"/>
      <c r="BZ1197" s="9"/>
      <c r="CA1197" s="9"/>
      <c r="CB1197" s="9"/>
      <c r="CC1197" s="9"/>
      <c r="CD1197" s="9"/>
      <c r="CE1197" s="9"/>
      <c r="CF1197" s="9"/>
      <c r="CG1197" s="9"/>
    </row>
    <row r="1198" spans="1:85" ht="18" customHeight="1" x14ac:dyDescent="0.3">
      <c r="A1198" s="9">
        <f t="shared" si="90"/>
        <v>1197</v>
      </c>
      <c r="B1198" s="9" t="str">
        <f t="shared" si="91"/>
        <v/>
      </c>
      <c r="C1198" s="9"/>
      <c r="D1198" s="9"/>
      <c r="E1198" s="9">
        <f t="shared" si="92"/>
        <v>0</v>
      </c>
      <c r="F1198" s="9"/>
      <c r="G1198" s="9"/>
      <c r="H1198" s="9"/>
      <c r="I1198" s="9"/>
      <c r="J1198" s="9"/>
      <c r="K1198" s="9"/>
      <c r="L1198" s="9"/>
      <c r="M1198" s="9"/>
      <c r="N1198" s="9" t="str">
        <f t="shared" si="93"/>
        <v>NO</v>
      </c>
      <c r="O1198" s="9" t="str">
        <f t="shared" si="94"/>
        <v>🟡</v>
      </c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9"/>
      <c r="BH1198" s="9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9"/>
      <c r="BT1198" s="9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9"/>
      <c r="CF1198" s="9"/>
      <c r="CG1198" s="9"/>
    </row>
    <row r="1199" spans="1:85" ht="18" customHeight="1" x14ac:dyDescent="0.3">
      <c r="A1199" s="9">
        <f t="shared" si="90"/>
        <v>1198</v>
      </c>
      <c r="B1199" s="9" t="str">
        <f t="shared" si="91"/>
        <v/>
      </c>
      <c r="C1199" s="9"/>
      <c r="D1199" s="9"/>
      <c r="E1199" s="9">
        <f t="shared" si="92"/>
        <v>0</v>
      </c>
      <c r="F1199" s="9"/>
      <c r="G1199" s="9"/>
      <c r="H1199" s="9"/>
      <c r="I1199" s="9"/>
      <c r="J1199" s="9"/>
      <c r="K1199" s="9"/>
      <c r="L1199" s="9"/>
      <c r="M1199" s="9"/>
      <c r="N1199" s="9" t="str">
        <f t="shared" si="93"/>
        <v>NO</v>
      </c>
      <c r="O1199" s="9" t="str">
        <f t="shared" si="94"/>
        <v>🟡</v>
      </c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  <c r="BC1199" s="9"/>
      <c r="BD1199" s="9"/>
      <c r="BE1199" s="9"/>
      <c r="BF1199" s="9"/>
      <c r="BG1199" s="9"/>
      <c r="BH1199" s="9"/>
      <c r="BI1199" s="9"/>
      <c r="BJ1199" s="9"/>
      <c r="BK1199" s="9"/>
      <c r="BL1199" s="9"/>
      <c r="BM1199" s="9"/>
      <c r="BN1199" s="9"/>
      <c r="BO1199" s="9"/>
      <c r="BP1199" s="9"/>
      <c r="BQ1199" s="9"/>
      <c r="BR1199" s="9"/>
      <c r="BS1199" s="9"/>
      <c r="BT1199" s="9"/>
      <c r="BU1199" s="9"/>
      <c r="BV1199" s="9"/>
      <c r="BW1199" s="9"/>
      <c r="BX1199" s="9"/>
      <c r="BY1199" s="9"/>
      <c r="BZ1199" s="9"/>
      <c r="CA1199" s="9"/>
      <c r="CB1199" s="9"/>
      <c r="CC1199" s="9"/>
      <c r="CD1199" s="9"/>
      <c r="CE1199" s="9"/>
      <c r="CF1199" s="9"/>
      <c r="CG1199" s="9"/>
    </row>
    <row r="1200" spans="1:85" ht="18" customHeight="1" x14ac:dyDescent="0.3">
      <c r="A1200" s="9">
        <f t="shared" si="90"/>
        <v>1199</v>
      </c>
      <c r="B1200" s="9" t="str">
        <f t="shared" si="91"/>
        <v/>
      </c>
      <c r="C1200" s="9"/>
      <c r="D1200" s="9"/>
      <c r="E1200" s="9">
        <f t="shared" si="92"/>
        <v>0</v>
      </c>
      <c r="F1200" s="9"/>
      <c r="G1200" s="9"/>
      <c r="H1200" s="9"/>
      <c r="I1200" s="9"/>
      <c r="J1200" s="9"/>
      <c r="K1200" s="9"/>
      <c r="L1200" s="9"/>
      <c r="M1200" s="9"/>
      <c r="N1200" s="9" t="str">
        <f t="shared" si="93"/>
        <v>NO</v>
      </c>
      <c r="O1200" s="9" t="str">
        <f t="shared" si="94"/>
        <v>🟡</v>
      </c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9"/>
      <c r="AO1200" s="9"/>
      <c r="AP1200" s="9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  <c r="BA1200" s="9"/>
      <c r="BB1200" s="9"/>
      <c r="BC1200" s="9"/>
      <c r="BD1200" s="9"/>
      <c r="BE1200" s="9"/>
      <c r="BF1200" s="9"/>
      <c r="BG1200" s="9"/>
      <c r="BH1200" s="9"/>
      <c r="BI1200" s="9"/>
      <c r="BJ1200" s="9"/>
      <c r="BK1200" s="9"/>
      <c r="BL1200" s="9"/>
      <c r="BM1200" s="9"/>
      <c r="BN1200" s="9"/>
      <c r="BO1200" s="9"/>
      <c r="BP1200" s="9"/>
      <c r="BQ1200" s="9"/>
      <c r="BR1200" s="9"/>
      <c r="BS1200" s="9"/>
      <c r="BT1200" s="9"/>
      <c r="BU1200" s="9"/>
      <c r="BV1200" s="9"/>
      <c r="BW1200" s="9"/>
      <c r="BX1200" s="9"/>
      <c r="BY1200" s="9"/>
      <c r="BZ1200" s="9"/>
      <c r="CA1200" s="9"/>
      <c r="CB1200" s="9"/>
      <c r="CC1200" s="9"/>
      <c r="CD1200" s="9"/>
      <c r="CE1200" s="9"/>
      <c r="CF1200" s="9"/>
      <c r="CG1200" s="9"/>
    </row>
    <row r="1201" spans="1:85" ht="18" customHeight="1" x14ac:dyDescent="0.3">
      <c r="A1201" s="9">
        <f t="shared" si="90"/>
        <v>1200</v>
      </c>
      <c r="B1201" s="9" t="str">
        <f t="shared" si="91"/>
        <v/>
      </c>
      <c r="C1201" s="9"/>
      <c r="D1201" s="9"/>
      <c r="E1201" s="9">
        <f t="shared" si="92"/>
        <v>0</v>
      </c>
      <c r="F1201" s="9"/>
      <c r="G1201" s="9"/>
      <c r="H1201" s="9"/>
      <c r="I1201" s="9"/>
      <c r="J1201" s="9"/>
      <c r="K1201" s="9"/>
      <c r="L1201" s="9"/>
      <c r="M1201" s="9"/>
      <c r="N1201" s="9" t="str">
        <f t="shared" si="93"/>
        <v>NO</v>
      </c>
      <c r="O1201" s="9" t="str">
        <f t="shared" si="94"/>
        <v>🟡</v>
      </c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9"/>
      <c r="BD1201" s="9"/>
      <c r="BE1201" s="9"/>
      <c r="BF1201" s="9"/>
      <c r="BG1201" s="9"/>
      <c r="BH1201" s="9"/>
      <c r="BI1201" s="9"/>
      <c r="BJ1201" s="9"/>
      <c r="BK1201" s="9"/>
      <c r="BL1201" s="9"/>
      <c r="BM1201" s="9"/>
      <c r="BN1201" s="9"/>
      <c r="BO1201" s="9"/>
      <c r="BP1201" s="9"/>
      <c r="BQ1201" s="9"/>
      <c r="BR1201" s="9"/>
      <c r="BS1201" s="9"/>
      <c r="BT1201" s="9"/>
      <c r="BU1201" s="9"/>
      <c r="BV1201" s="9"/>
      <c r="BW1201" s="9"/>
      <c r="BX1201" s="9"/>
      <c r="BY1201" s="9"/>
      <c r="BZ1201" s="9"/>
      <c r="CA1201" s="9"/>
      <c r="CB1201" s="9"/>
      <c r="CC1201" s="9"/>
      <c r="CD1201" s="9"/>
      <c r="CE1201" s="9"/>
      <c r="CF1201" s="9"/>
      <c r="CG1201" s="9"/>
    </row>
    <row r="1202" spans="1:85" ht="18" customHeight="1" x14ac:dyDescent="0.3">
      <c r="A1202" s="9">
        <f t="shared" si="90"/>
        <v>1201</v>
      </c>
      <c r="B1202" s="9" t="str">
        <f t="shared" si="91"/>
        <v/>
      </c>
      <c r="C1202" s="9"/>
      <c r="D1202" s="9"/>
      <c r="E1202" s="9">
        <f t="shared" si="92"/>
        <v>0</v>
      </c>
      <c r="F1202" s="9"/>
      <c r="G1202" s="9"/>
      <c r="H1202" s="9"/>
      <c r="I1202" s="9"/>
      <c r="J1202" s="9"/>
      <c r="K1202" s="9"/>
      <c r="L1202" s="9"/>
      <c r="M1202" s="9"/>
      <c r="N1202" s="9" t="str">
        <f t="shared" si="93"/>
        <v>NO</v>
      </c>
      <c r="O1202" s="9" t="str">
        <f t="shared" si="94"/>
        <v>🟡</v>
      </c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9"/>
      <c r="AO1202" s="9"/>
      <c r="AP1202" s="9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  <c r="BA1202" s="9"/>
      <c r="BB1202" s="9"/>
      <c r="BC1202" s="9"/>
      <c r="BD1202" s="9"/>
      <c r="BE1202" s="9"/>
      <c r="BF1202" s="9"/>
      <c r="BG1202" s="9"/>
      <c r="BH1202" s="9"/>
      <c r="BI1202" s="9"/>
      <c r="BJ1202" s="9"/>
      <c r="BK1202" s="9"/>
      <c r="BL1202" s="9"/>
      <c r="BM1202" s="9"/>
      <c r="BN1202" s="9"/>
      <c r="BO1202" s="9"/>
      <c r="BP1202" s="9"/>
      <c r="BQ1202" s="9"/>
      <c r="BR1202" s="9"/>
      <c r="BS1202" s="9"/>
      <c r="BT1202" s="9"/>
      <c r="BU1202" s="9"/>
      <c r="BV1202" s="9"/>
      <c r="BW1202" s="9"/>
      <c r="BX1202" s="9"/>
      <c r="BY1202" s="9"/>
      <c r="BZ1202" s="9"/>
      <c r="CA1202" s="9"/>
      <c r="CB1202" s="9"/>
      <c r="CC1202" s="9"/>
      <c r="CD1202" s="9"/>
      <c r="CE1202" s="9"/>
      <c r="CF1202" s="9"/>
      <c r="CG1202" s="9"/>
    </row>
    <row r="1203" spans="1:85" ht="18" customHeight="1" x14ac:dyDescent="0.3">
      <c r="A1203" s="9">
        <f t="shared" si="90"/>
        <v>1202</v>
      </c>
      <c r="B1203" s="9" t="str">
        <f t="shared" si="91"/>
        <v/>
      </c>
      <c r="C1203" s="9"/>
      <c r="D1203" s="9"/>
      <c r="E1203" s="9">
        <f t="shared" si="92"/>
        <v>0</v>
      </c>
      <c r="F1203" s="9"/>
      <c r="G1203" s="9"/>
      <c r="H1203" s="9"/>
      <c r="I1203" s="9"/>
      <c r="J1203" s="9"/>
      <c r="K1203" s="9"/>
      <c r="L1203" s="9"/>
      <c r="M1203" s="9"/>
      <c r="N1203" s="9" t="str">
        <f t="shared" si="93"/>
        <v>NO</v>
      </c>
      <c r="O1203" s="9" t="str">
        <f t="shared" si="94"/>
        <v>🟡</v>
      </c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9"/>
      <c r="AO1203" s="9"/>
      <c r="AP1203" s="9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  <c r="BA1203" s="9"/>
      <c r="BB1203" s="9"/>
      <c r="BC1203" s="9"/>
      <c r="BD1203" s="9"/>
      <c r="BE1203" s="9"/>
      <c r="BF1203" s="9"/>
      <c r="BG1203" s="9"/>
      <c r="BH1203" s="9"/>
      <c r="BI1203" s="9"/>
      <c r="BJ1203" s="9"/>
      <c r="BK1203" s="9"/>
      <c r="BL1203" s="9"/>
      <c r="BM1203" s="9"/>
      <c r="BN1203" s="9"/>
      <c r="BO1203" s="9"/>
      <c r="BP1203" s="9"/>
      <c r="BQ1203" s="9"/>
      <c r="BR1203" s="9"/>
      <c r="BS1203" s="9"/>
      <c r="BT1203" s="9"/>
      <c r="BU1203" s="9"/>
      <c r="BV1203" s="9"/>
      <c r="BW1203" s="9"/>
      <c r="BX1203" s="9"/>
      <c r="BY1203" s="9"/>
      <c r="BZ1203" s="9"/>
      <c r="CA1203" s="9"/>
      <c r="CB1203" s="9"/>
      <c r="CC1203" s="9"/>
      <c r="CD1203" s="9"/>
      <c r="CE1203" s="9"/>
      <c r="CF1203" s="9"/>
      <c r="CG1203" s="9"/>
    </row>
    <row r="1204" spans="1:85" ht="18" customHeight="1" x14ac:dyDescent="0.3">
      <c r="A1204" s="9">
        <f t="shared" si="90"/>
        <v>1203</v>
      </c>
      <c r="B1204" s="9" t="str">
        <f t="shared" si="91"/>
        <v/>
      </c>
      <c r="C1204" s="9"/>
      <c r="D1204" s="9"/>
      <c r="E1204" s="9">
        <f t="shared" si="92"/>
        <v>0</v>
      </c>
      <c r="F1204" s="9"/>
      <c r="G1204" s="9"/>
      <c r="H1204" s="9"/>
      <c r="I1204" s="9"/>
      <c r="J1204" s="9"/>
      <c r="K1204" s="9"/>
      <c r="L1204" s="9"/>
      <c r="M1204" s="9"/>
      <c r="N1204" s="9" t="str">
        <f t="shared" si="93"/>
        <v>NO</v>
      </c>
      <c r="O1204" s="9" t="str">
        <f t="shared" si="94"/>
        <v>🟡</v>
      </c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9"/>
      <c r="AO1204" s="9"/>
      <c r="AP1204" s="9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  <c r="BA1204" s="9"/>
      <c r="BB1204" s="9"/>
      <c r="BC1204" s="9"/>
      <c r="BD1204" s="9"/>
      <c r="BE1204" s="9"/>
      <c r="BF1204" s="9"/>
      <c r="BG1204" s="9"/>
      <c r="BH1204" s="9"/>
      <c r="BI1204" s="9"/>
      <c r="BJ1204" s="9"/>
      <c r="BK1204" s="9"/>
      <c r="BL1204" s="9"/>
      <c r="BM1204" s="9"/>
      <c r="BN1204" s="9"/>
      <c r="BO1204" s="9"/>
      <c r="BP1204" s="9"/>
      <c r="BQ1204" s="9"/>
      <c r="BR1204" s="9"/>
      <c r="BS1204" s="9"/>
      <c r="BT1204" s="9"/>
      <c r="BU1204" s="9"/>
      <c r="BV1204" s="9"/>
      <c r="BW1204" s="9"/>
      <c r="BX1204" s="9"/>
      <c r="BY1204" s="9"/>
      <c r="BZ1204" s="9"/>
      <c r="CA1204" s="9"/>
      <c r="CB1204" s="9"/>
      <c r="CC1204" s="9"/>
      <c r="CD1204" s="9"/>
      <c r="CE1204" s="9"/>
      <c r="CF1204" s="9"/>
      <c r="CG1204" s="9"/>
    </row>
    <row r="1205" spans="1:85" ht="18" customHeight="1" x14ac:dyDescent="0.3">
      <c r="A1205" s="9">
        <f t="shared" si="90"/>
        <v>1204</v>
      </c>
      <c r="B1205" s="9" t="str">
        <f t="shared" si="91"/>
        <v/>
      </c>
      <c r="C1205" s="9"/>
      <c r="D1205" s="9"/>
      <c r="E1205" s="9">
        <f t="shared" si="92"/>
        <v>0</v>
      </c>
      <c r="F1205" s="9"/>
      <c r="G1205" s="9"/>
      <c r="H1205" s="9"/>
      <c r="I1205" s="9"/>
      <c r="J1205" s="9"/>
      <c r="K1205" s="9"/>
      <c r="L1205" s="9"/>
      <c r="M1205" s="9"/>
      <c r="N1205" s="9" t="str">
        <f t="shared" si="93"/>
        <v>NO</v>
      </c>
      <c r="O1205" s="9" t="str">
        <f t="shared" si="94"/>
        <v>🟡</v>
      </c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9"/>
      <c r="AO1205" s="9"/>
      <c r="AP1205" s="9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  <c r="BA1205" s="9"/>
      <c r="BB1205" s="9"/>
      <c r="BC1205" s="9"/>
      <c r="BD1205" s="9"/>
      <c r="BE1205" s="9"/>
      <c r="BF1205" s="9"/>
      <c r="BG1205" s="9"/>
      <c r="BH1205" s="9"/>
      <c r="BI1205" s="9"/>
      <c r="BJ1205" s="9"/>
      <c r="BK1205" s="9"/>
      <c r="BL1205" s="9"/>
      <c r="BM1205" s="9"/>
      <c r="BN1205" s="9"/>
      <c r="BO1205" s="9"/>
      <c r="BP1205" s="9"/>
      <c r="BQ1205" s="9"/>
      <c r="BR1205" s="9"/>
      <c r="BS1205" s="9"/>
      <c r="BT1205" s="9"/>
      <c r="BU1205" s="9"/>
      <c r="BV1205" s="9"/>
      <c r="BW1205" s="9"/>
      <c r="BX1205" s="9"/>
      <c r="BY1205" s="9"/>
      <c r="BZ1205" s="9"/>
      <c r="CA1205" s="9"/>
      <c r="CB1205" s="9"/>
      <c r="CC1205" s="9"/>
      <c r="CD1205" s="9"/>
      <c r="CE1205" s="9"/>
      <c r="CF1205" s="9"/>
      <c r="CG1205" s="9"/>
    </row>
    <row r="1206" spans="1:85" ht="18" customHeight="1" x14ac:dyDescent="0.3">
      <c r="A1206" s="9">
        <f t="shared" si="90"/>
        <v>1205</v>
      </c>
      <c r="B1206" s="9" t="str">
        <f t="shared" si="91"/>
        <v/>
      </c>
      <c r="C1206" s="9"/>
      <c r="D1206" s="9"/>
      <c r="E1206" s="9">
        <f t="shared" si="92"/>
        <v>0</v>
      </c>
      <c r="F1206" s="9"/>
      <c r="G1206" s="9"/>
      <c r="H1206" s="9"/>
      <c r="I1206" s="9"/>
      <c r="J1206" s="9"/>
      <c r="K1206" s="9"/>
      <c r="L1206" s="9"/>
      <c r="M1206" s="9"/>
      <c r="N1206" s="9" t="str">
        <f t="shared" si="93"/>
        <v>NO</v>
      </c>
      <c r="O1206" s="9" t="str">
        <f t="shared" si="94"/>
        <v>🟡</v>
      </c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9"/>
      <c r="AO1206" s="9"/>
      <c r="AP1206" s="9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  <c r="BA1206" s="9"/>
      <c r="BB1206" s="9"/>
      <c r="BC1206" s="9"/>
      <c r="BD1206" s="9"/>
      <c r="BE1206" s="9"/>
      <c r="BF1206" s="9"/>
      <c r="BG1206" s="9"/>
      <c r="BH1206" s="9"/>
      <c r="BI1206" s="9"/>
      <c r="BJ1206" s="9"/>
      <c r="BK1206" s="9"/>
      <c r="BL1206" s="9"/>
      <c r="BM1206" s="9"/>
      <c r="BN1206" s="9"/>
      <c r="BO1206" s="9"/>
      <c r="BP1206" s="9"/>
      <c r="BQ1206" s="9"/>
      <c r="BR1206" s="9"/>
      <c r="BS1206" s="9"/>
      <c r="BT1206" s="9"/>
      <c r="BU1206" s="9"/>
      <c r="BV1206" s="9"/>
      <c r="BW1206" s="9"/>
      <c r="BX1206" s="9"/>
      <c r="BY1206" s="9"/>
      <c r="BZ1206" s="9"/>
      <c r="CA1206" s="9"/>
      <c r="CB1206" s="9"/>
      <c r="CC1206" s="9"/>
      <c r="CD1206" s="9"/>
      <c r="CE1206" s="9"/>
      <c r="CF1206" s="9"/>
      <c r="CG1206" s="9"/>
    </row>
    <row r="1207" spans="1:85" ht="18" customHeight="1" x14ac:dyDescent="0.3">
      <c r="A1207" s="9">
        <f t="shared" si="90"/>
        <v>1206</v>
      </c>
      <c r="B1207" s="9" t="str">
        <f t="shared" si="91"/>
        <v/>
      </c>
      <c r="C1207" s="9"/>
      <c r="D1207" s="9"/>
      <c r="E1207" s="9">
        <f t="shared" si="92"/>
        <v>0</v>
      </c>
      <c r="F1207" s="9"/>
      <c r="G1207" s="9"/>
      <c r="H1207" s="9"/>
      <c r="I1207" s="9"/>
      <c r="J1207" s="9"/>
      <c r="K1207" s="9"/>
      <c r="L1207" s="9"/>
      <c r="M1207" s="9"/>
      <c r="N1207" s="9" t="str">
        <f t="shared" si="93"/>
        <v>NO</v>
      </c>
      <c r="O1207" s="9" t="str">
        <f t="shared" si="94"/>
        <v>🟡</v>
      </c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  <c r="BC1207" s="9"/>
      <c r="BD1207" s="9"/>
      <c r="BE1207" s="9"/>
      <c r="BF1207" s="9"/>
      <c r="BG1207" s="9"/>
      <c r="BH1207" s="9"/>
      <c r="BI1207" s="9"/>
      <c r="BJ1207" s="9"/>
      <c r="BK1207" s="9"/>
      <c r="BL1207" s="9"/>
      <c r="BM1207" s="9"/>
      <c r="BN1207" s="9"/>
      <c r="BO1207" s="9"/>
      <c r="BP1207" s="9"/>
      <c r="BQ1207" s="9"/>
      <c r="BR1207" s="9"/>
      <c r="BS1207" s="9"/>
      <c r="BT1207" s="9"/>
      <c r="BU1207" s="9"/>
      <c r="BV1207" s="9"/>
      <c r="BW1207" s="9"/>
      <c r="BX1207" s="9"/>
      <c r="BY1207" s="9"/>
      <c r="BZ1207" s="9"/>
      <c r="CA1207" s="9"/>
      <c r="CB1207" s="9"/>
      <c r="CC1207" s="9"/>
      <c r="CD1207" s="9"/>
      <c r="CE1207" s="9"/>
      <c r="CF1207" s="9"/>
      <c r="CG1207" s="9"/>
    </row>
    <row r="1208" spans="1:85" ht="18" customHeight="1" x14ac:dyDescent="0.3">
      <c r="A1208" s="9">
        <f t="shared" si="90"/>
        <v>1207</v>
      </c>
      <c r="B1208" s="9" t="str">
        <f t="shared" si="91"/>
        <v/>
      </c>
      <c r="C1208" s="9"/>
      <c r="D1208" s="9"/>
      <c r="E1208" s="9">
        <f t="shared" si="92"/>
        <v>0</v>
      </c>
      <c r="F1208" s="9"/>
      <c r="G1208" s="9"/>
      <c r="H1208" s="9"/>
      <c r="I1208" s="9"/>
      <c r="J1208" s="9"/>
      <c r="K1208" s="9"/>
      <c r="L1208" s="9"/>
      <c r="M1208" s="9"/>
      <c r="N1208" s="9" t="str">
        <f t="shared" si="93"/>
        <v>NO</v>
      </c>
      <c r="O1208" s="9" t="str">
        <f t="shared" si="94"/>
        <v>🟡</v>
      </c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9"/>
      <c r="AO1208" s="9"/>
      <c r="AP1208" s="9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  <c r="BA1208" s="9"/>
      <c r="BB1208" s="9"/>
      <c r="BC1208" s="9"/>
      <c r="BD1208" s="9"/>
      <c r="BE1208" s="9"/>
      <c r="BF1208" s="9"/>
      <c r="BG1208" s="9"/>
      <c r="BH1208" s="9"/>
      <c r="BI1208" s="9"/>
      <c r="BJ1208" s="9"/>
      <c r="BK1208" s="9"/>
      <c r="BL1208" s="9"/>
      <c r="BM1208" s="9"/>
      <c r="BN1208" s="9"/>
      <c r="BO1208" s="9"/>
      <c r="BP1208" s="9"/>
      <c r="BQ1208" s="9"/>
      <c r="BR1208" s="9"/>
      <c r="BS1208" s="9"/>
      <c r="BT1208" s="9"/>
      <c r="BU1208" s="9"/>
      <c r="BV1208" s="9"/>
      <c r="BW1208" s="9"/>
      <c r="BX1208" s="9"/>
      <c r="BY1208" s="9"/>
      <c r="BZ1208" s="9"/>
      <c r="CA1208" s="9"/>
      <c r="CB1208" s="9"/>
      <c r="CC1208" s="9"/>
      <c r="CD1208" s="9"/>
      <c r="CE1208" s="9"/>
      <c r="CF1208" s="9"/>
      <c r="CG1208" s="9"/>
    </row>
    <row r="1209" spans="1:85" ht="18" customHeight="1" x14ac:dyDescent="0.3">
      <c r="A1209" s="9">
        <f t="shared" si="90"/>
        <v>1208</v>
      </c>
      <c r="B1209" s="9" t="str">
        <f t="shared" si="91"/>
        <v/>
      </c>
      <c r="C1209" s="9"/>
      <c r="D1209" s="9"/>
      <c r="E1209" s="9">
        <f t="shared" si="92"/>
        <v>0</v>
      </c>
      <c r="F1209" s="9"/>
      <c r="G1209" s="9"/>
      <c r="H1209" s="9"/>
      <c r="I1209" s="9"/>
      <c r="J1209" s="9"/>
      <c r="K1209" s="9"/>
      <c r="L1209" s="9"/>
      <c r="M1209" s="9"/>
      <c r="N1209" s="9" t="str">
        <f t="shared" si="93"/>
        <v>NO</v>
      </c>
      <c r="O1209" s="9" t="str">
        <f t="shared" si="94"/>
        <v>🟡</v>
      </c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9"/>
      <c r="AO1209" s="9"/>
      <c r="AP1209" s="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  <c r="BA1209" s="9"/>
      <c r="BB1209" s="9"/>
      <c r="BC1209" s="9"/>
      <c r="BD1209" s="9"/>
      <c r="BE1209" s="9"/>
      <c r="BF1209" s="9"/>
      <c r="BG1209" s="9"/>
      <c r="BH1209" s="9"/>
      <c r="BI1209" s="9"/>
      <c r="BJ1209" s="9"/>
      <c r="BK1209" s="9"/>
      <c r="BL1209" s="9"/>
      <c r="BM1209" s="9"/>
      <c r="BN1209" s="9"/>
      <c r="BO1209" s="9"/>
      <c r="BP1209" s="9"/>
      <c r="BQ1209" s="9"/>
      <c r="BR1209" s="9"/>
      <c r="BS1209" s="9"/>
      <c r="BT1209" s="9"/>
      <c r="BU1209" s="9"/>
      <c r="BV1209" s="9"/>
      <c r="BW1209" s="9"/>
      <c r="BX1209" s="9"/>
      <c r="BY1209" s="9"/>
      <c r="BZ1209" s="9"/>
      <c r="CA1209" s="9"/>
      <c r="CB1209" s="9"/>
      <c r="CC1209" s="9"/>
      <c r="CD1209" s="9"/>
      <c r="CE1209" s="9"/>
      <c r="CF1209" s="9"/>
      <c r="CG1209" s="9"/>
    </row>
    <row r="1210" spans="1:85" ht="18" customHeight="1" x14ac:dyDescent="0.3">
      <c r="A1210" s="9">
        <f t="shared" si="90"/>
        <v>1209</v>
      </c>
      <c r="B1210" s="9" t="str">
        <f t="shared" si="91"/>
        <v/>
      </c>
      <c r="C1210" s="9"/>
      <c r="D1210" s="9"/>
      <c r="E1210" s="9">
        <f t="shared" si="92"/>
        <v>0</v>
      </c>
      <c r="F1210" s="9"/>
      <c r="G1210" s="9"/>
      <c r="H1210" s="9"/>
      <c r="I1210" s="9"/>
      <c r="J1210" s="9"/>
      <c r="K1210" s="9"/>
      <c r="L1210" s="9"/>
      <c r="M1210" s="9"/>
      <c r="N1210" s="9" t="str">
        <f t="shared" si="93"/>
        <v>NO</v>
      </c>
      <c r="O1210" s="9" t="str">
        <f t="shared" si="94"/>
        <v>🟡</v>
      </c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9"/>
      <c r="AO1210" s="9"/>
      <c r="AP1210" s="9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  <c r="BA1210" s="9"/>
      <c r="BB1210" s="9"/>
      <c r="BC1210" s="9"/>
      <c r="BD1210" s="9"/>
      <c r="BE1210" s="9"/>
      <c r="BF1210" s="9"/>
      <c r="BG1210" s="9"/>
      <c r="BH1210" s="9"/>
      <c r="BI1210" s="9"/>
      <c r="BJ1210" s="9"/>
      <c r="BK1210" s="9"/>
      <c r="BL1210" s="9"/>
      <c r="BM1210" s="9"/>
      <c r="BN1210" s="9"/>
      <c r="BO1210" s="9"/>
      <c r="BP1210" s="9"/>
      <c r="BQ1210" s="9"/>
      <c r="BR1210" s="9"/>
      <c r="BS1210" s="9"/>
      <c r="BT1210" s="9"/>
      <c r="BU1210" s="9"/>
      <c r="BV1210" s="9"/>
      <c r="BW1210" s="9"/>
      <c r="BX1210" s="9"/>
      <c r="BY1210" s="9"/>
      <c r="BZ1210" s="9"/>
      <c r="CA1210" s="9"/>
      <c r="CB1210" s="9"/>
      <c r="CC1210" s="9"/>
      <c r="CD1210" s="9"/>
      <c r="CE1210" s="9"/>
      <c r="CF1210" s="9"/>
      <c r="CG1210" s="9"/>
    </row>
    <row r="1211" spans="1:85" ht="18" customHeight="1" x14ac:dyDescent="0.3">
      <c r="A1211" s="9">
        <f t="shared" si="90"/>
        <v>1210</v>
      </c>
      <c r="B1211" s="9" t="str">
        <f t="shared" si="91"/>
        <v/>
      </c>
      <c r="C1211" s="9"/>
      <c r="D1211" s="9"/>
      <c r="E1211" s="9">
        <f t="shared" si="92"/>
        <v>0</v>
      </c>
      <c r="F1211" s="9"/>
      <c r="G1211" s="9"/>
      <c r="H1211" s="9"/>
      <c r="I1211" s="9"/>
      <c r="J1211" s="9"/>
      <c r="K1211" s="9"/>
      <c r="L1211" s="9"/>
      <c r="M1211" s="9"/>
      <c r="N1211" s="9" t="str">
        <f t="shared" si="93"/>
        <v>NO</v>
      </c>
      <c r="O1211" s="9" t="str">
        <f t="shared" si="94"/>
        <v>🟡</v>
      </c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9"/>
      <c r="AO1211" s="9"/>
      <c r="AP1211" s="9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  <c r="BA1211" s="9"/>
      <c r="BB1211" s="9"/>
      <c r="BC1211" s="9"/>
      <c r="BD1211" s="9"/>
      <c r="BE1211" s="9"/>
      <c r="BF1211" s="9"/>
      <c r="BG1211" s="9"/>
      <c r="BH1211" s="9"/>
      <c r="BI1211" s="9"/>
      <c r="BJ1211" s="9"/>
      <c r="BK1211" s="9"/>
      <c r="BL1211" s="9"/>
      <c r="BM1211" s="9"/>
      <c r="BN1211" s="9"/>
      <c r="BO1211" s="9"/>
      <c r="BP1211" s="9"/>
      <c r="BQ1211" s="9"/>
      <c r="BR1211" s="9"/>
      <c r="BS1211" s="9"/>
      <c r="BT1211" s="9"/>
      <c r="BU1211" s="9"/>
      <c r="BV1211" s="9"/>
      <c r="BW1211" s="9"/>
      <c r="BX1211" s="9"/>
      <c r="BY1211" s="9"/>
      <c r="BZ1211" s="9"/>
      <c r="CA1211" s="9"/>
      <c r="CB1211" s="9"/>
      <c r="CC1211" s="9"/>
      <c r="CD1211" s="9"/>
      <c r="CE1211" s="9"/>
      <c r="CF1211" s="9"/>
      <c r="CG1211" s="9"/>
    </row>
    <row r="1212" spans="1:85" ht="18" customHeight="1" x14ac:dyDescent="0.3">
      <c r="A1212" s="9">
        <f t="shared" si="90"/>
        <v>1211</v>
      </c>
      <c r="B1212" s="9" t="str">
        <f t="shared" si="91"/>
        <v/>
      </c>
      <c r="C1212" s="9"/>
      <c r="D1212" s="9"/>
      <c r="E1212" s="9">
        <f t="shared" si="92"/>
        <v>0</v>
      </c>
      <c r="F1212" s="9"/>
      <c r="G1212" s="9"/>
      <c r="H1212" s="9"/>
      <c r="I1212" s="9"/>
      <c r="J1212" s="9"/>
      <c r="K1212" s="9"/>
      <c r="L1212" s="9"/>
      <c r="M1212" s="9"/>
      <c r="N1212" s="9" t="str">
        <f t="shared" si="93"/>
        <v>NO</v>
      </c>
      <c r="O1212" s="9" t="str">
        <f t="shared" si="94"/>
        <v>🟡</v>
      </c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9"/>
      <c r="AO1212" s="9"/>
      <c r="AP1212" s="9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  <c r="BA1212" s="9"/>
      <c r="BB1212" s="9"/>
      <c r="BC1212" s="9"/>
      <c r="BD1212" s="9"/>
      <c r="BE1212" s="9"/>
      <c r="BF1212" s="9"/>
      <c r="BG1212" s="9"/>
      <c r="BH1212" s="9"/>
      <c r="BI1212" s="9"/>
      <c r="BJ1212" s="9"/>
      <c r="BK1212" s="9"/>
      <c r="BL1212" s="9"/>
      <c r="BM1212" s="9"/>
      <c r="BN1212" s="9"/>
      <c r="BO1212" s="9"/>
      <c r="BP1212" s="9"/>
      <c r="BQ1212" s="9"/>
      <c r="BR1212" s="9"/>
      <c r="BS1212" s="9"/>
      <c r="BT1212" s="9"/>
      <c r="BU1212" s="9"/>
      <c r="BV1212" s="9"/>
      <c r="BW1212" s="9"/>
      <c r="BX1212" s="9"/>
      <c r="BY1212" s="9"/>
      <c r="BZ1212" s="9"/>
      <c r="CA1212" s="9"/>
      <c r="CB1212" s="9"/>
      <c r="CC1212" s="9"/>
      <c r="CD1212" s="9"/>
      <c r="CE1212" s="9"/>
      <c r="CF1212" s="9"/>
      <c r="CG1212" s="9"/>
    </row>
    <row r="1213" spans="1:85" ht="18" customHeight="1" x14ac:dyDescent="0.3">
      <c r="A1213" s="9">
        <f t="shared" si="90"/>
        <v>1212</v>
      </c>
      <c r="B1213" s="9" t="str">
        <f t="shared" si="91"/>
        <v/>
      </c>
      <c r="C1213" s="9"/>
      <c r="D1213" s="9"/>
      <c r="E1213" s="9">
        <f t="shared" si="92"/>
        <v>0</v>
      </c>
      <c r="F1213" s="9"/>
      <c r="G1213" s="9"/>
      <c r="H1213" s="9"/>
      <c r="I1213" s="9"/>
      <c r="J1213" s="9"/>
      <c r="K1213" s="9"/>
      <c r="L1213" s="9"/>
      <c r="M1213" s="9"/>
      <c r="N1213" s="9" t="str">
        <f t="shared" si="93"/>
        <v>NO</v>
      </c>
      <c r="O1213" s="9" t="str">
        <f t="shared" si="94"/>
        <v>🟡</v>
      </c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9"/>
      <c r="AO1213" s="9"/>
      <c r="AP1213" s="9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  <c r="BA1213" s="9"/>
      <c r="BB1213" s="9"/>
      <c r="BC1213" s="9"/>
      <c r="BD1213" s="9"/>
      <c r="BE1213" s="9"/>
      <c r="BF1213" s="9"/>
      <c r="BG1213" s="9"/>
      <c r="BH1213" s="9"/>
      <c r="BI1213" s="9"/>
      <c r="BJ1213" s="9"/>
      <c r="BK1213" s="9"/>
      <c r="BL1213" s="9"/>
      <c r="BM1213" s="9"/>
      <c r="BN1213" s="9"/>
      <c r="BO1213" s="9"/>
      <c r="BP1213" s="9"/>
      <c r="BQ1213" s="9"/>
      <c r="BR1213" s="9"/>
      <c r="BS1213" s="9"/>
      <c r="BT1213" s="9"/>
      <c r="BU1213" s="9"/>
      <c r="BV1213" s="9"/>
      <c r="BW1213" s="9"/>
      <c r="BX1213" s="9"/>
      <c r="BY1213" s="9"/>
      <c r="BZ1213" s="9"/>
      <c r="CA1213" s="9"/>
      <c r="CB1213" s="9"/>
      <c r="CC1213" s="9"/>
      <c r="CD1213" s="9"/>
      <c r="CE1213" s="9"/>
      <c r="CF1213" s="9"/>
      <c r="CG1213" s="9"/>
    </row>
    <row r="1214" spans="1:85" ht="18" customHeight="1" x14ac:dyDescent="0.3">
      <c r="A1214" s="9">
        <f t="shared" si="90"/>
        <v>1213</v>
      </c>
      <c r="B1214" s="9" t="str">
        <f t="shared" si="91"/>
        <v/>
      </c>
      <c r="C1214" s="9"/>
      <c r="D1214" s="9"/>
      <c r="E1214" s="9">
        <f t="shared" si="92"/>
        <v>0</v>
      </c>
      <c r="F1214" s="9"/>
      <c r="G1214" s="9"/>
      <c r="H1214" s="9"/>
      <c r="I1214" s="9"/>
      <c r="J1214" s="9"/>
      <c r="K1214" s="9"/>
      <c r="L1214" s="9"/>
      <c r="M1214" s="9"/>
      <c r="N1214" s="9" t="str">
        <f t="shared" si="93"/>
        <v>NO</v>
      </c>
      <c r="O1214" s="9" t="str">
        <f t="shared" si="94"/>
        <v>🟡</v>
      </c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9"/>
      <c r="AO1214" s="9"/>
      <c r="AP1214" s="9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  <c r="BA1214" s="9"/>
      <c r="BB1214" s="9"/>
      <c r="BC1214" s="9"/>
      <c r="BD1214" s="9"/>
      <c r="BE1214" s="9"/>
      <c r="BF1214" s="9"/>
      <c r="BG1214" s="9"/>
      <c r="BH1214" s="9"/>
      <c r="BI1214" s="9"/>
      <c r="BJ1214" s="9"/>
      <c r="BK1214" s="9"/>
      <c r="BL1214" s="9"/>
      <c r="BM1214" s="9"/>
      <c r="BN1214" s="9"/>
      <c r="BO1214" s="9"/>
      <c r="BP1214" s="9"/>
      <c r="BQ1214" s="9"/>
      <c r="BR1214" s="9"/>
      <c r="BS1214" s="9"/>
      <c r="BT1214" s="9"/>
      <c r="BU1214" s="9"/>
      <c r="BV1214" s="9"/>
      <c r="BW1214" s="9"/>
      <c r="BX1214" s="9"/>
      <c r="BY1214" s="9"/>
      <c r="BZ1214" s="9"/>
      <c r="CA1214" s="9"/>
      <c r="CB1214" s="9"/>
      <c r="CC1214" s="9"/>
      <c r="CD1214" s="9"/>
      <c r="CE1214" s="9"/>
      <c r="CF1214" s="9"/>
      <c r="CG1214" s="9"/>
    </row>
    <row r="1215" spans="1:85" ht="18" customHeight="1" x14ac:dyDescent="0.3">
      <c r="A1215" s="9">
        <f t="shared" si="90"/>
        <v>1214</v>
      </c>
      <c r="B1215" s="9" t="str">
        <f t="shared" si="91"/>
        <v/>
      </c>
      <c r="C1215" s="9"/>
      <c r="D1215" s="9"/>
      <c r="E1215" s="9">
        <f t="shared" si="92"/>
        <v>0</v>
      </c>
      <c r="F1215" s="9"/>
      <c r="G1215" s="9"/>
      <c r="H1215" s="9"/>
      <c r="I1215" s="9"/>
      <c r="J1215" s="9"/>
      <c r="K1215" s="9"/>
      <c r="L1215" s="9"/>
      <c r="M1215" s="9"/>
      <c r="N1215" s="9" t="str">
        <f t="shared" si="93"/>
        <v>NO</v>
      </c>
      <c r="O1215" s="9" t="str">
        <f t="shared" si="94"/>
        <v>🟡</v>
      </c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9"/>
      <c r="AO1215" s="9"/>
      <c r="AP1215" s="9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  <c r="BA1215" s="9"/>
      <c r="BB1215" s="9"/>
      <c r="BC1215" s="9"/>
      <c r="BD1215" s="9"/>
      <c r="BE1215" s="9"/>
      <c r="BF1215" s="9"/>
      <c r="BG1215" s="9"/>
      <c r="BH1215" s="9"/>
      <c r="BI1215" s="9"/>
      <c r="BJ1215" s="9"/>
      <c r="BK1215" s="9"/>
      <c r="BL1215" s="9"/>
      <c r="BM1215" s="9"/>
      <c r="BN1215" s="9"/>
      <c r="BO1215" s="9"/>
      <c r="BP1215" s="9"/>
      <c r="BQ1215" s="9"/>
      <c r="BR1215" s="9"/>
      <c r="BS1215" s="9"/>
      <c r="BT1215" s="9"/>
      <c r="BU1215" s="9"/>
      <c r="BV1215" s="9"/>
      <c r="BW1215" s="9"/>
      <c r="BX1215" s="9"/>
      <c r="BY1215" s="9"/>
      <c r="BZ1215" s="9"/>
      <c r="CA1215" s="9"/>
      <c r="CB1215" s="9"/>
      <c r="CC1215" s="9"/>
      <c r="CD1215" s="9"/>
      <c r="CE1215" s="9"/>
      <c r="CF1215" s="9"/>
      <c r="CG1215" s="9"/>
    </row>
    <row r="1216" spans="1:85" ht="18" customHeight="1" x14ac:dyDescent="0.3">
      <c r="A1216" s="9">
        <f t="shared" si="90"/>
        <v>1215</v>
      </c>
      <c r="B1216" s="9" t="str">
        <f t="shared" si="91"/>
        <v/>
      </c>
      <c r="C1216" s="9"/>
      <c r="D1216" s="9"/>
      <c r="E1216" s="9">
        <f t="shared" si="92"/>
        <v>0</v>
      </c>
      <c r="F1216" s="9"/>
      <c r="G1216" s="9"/>
      <c r="H1216" s="9"/>
      <c r="I1216" s="9"/>
      <c r="J1216" s="9"/>
      <c r="K1216" s="9"/>
      <c r="L1216" s="9"/>
      <c r="M1216" s="9"/>
      <c r="N1216" s="9" t="str">
        <f t="shared" si="93"/>
        <v>NO</v>
      </c>
      <c r="O1216" s="9" t="str">
        <f t="shared" si="94"/>
        <v>🟡</v>
      </c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9"/>
      <c r="AO1216" s="9"/>
      <c r="AP1216" s="9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  <c r="BA1216" s="9"/>
      <c r="BB1216" s="9"/>
      <c r="BC1216" s="9"/>
      <c r="BD1216" s="9"/>
      <c r="BE1216" s="9"/>
      <c r="BF1216" s="9"/>
      <c r="BG1216" s="9"/>
      <c r="BH1216" s="9"/>
      <c r="BI1216" s="9"/>
      <c r="BJ1216" s="9"/>
      <c r="BK1216" s="9"/>
      <c r="BL1216" s="9"/>
      <c r="BM1216" s="9"/>
      <c r="BN1216" s="9"/>
      <c r="BO1216" s="9"/>
      <c r="BP1216" s="9"/>
      <c r="BQ1216" s="9"/>
      <c r="BR1216" s="9"/>
      <c r="BS1216" s="9"/>
      <c r="BT1216" s="9"/>
      <c r="BU1216" s="9"/>
      <c r="BV1216" s="9"/>
      <c r="BW1216" s="9"/>
      <c r="BX1216" s="9"/>
      <c r="BY1216" s="9"/>
      <c r="BZ1216" s="9"/>
      <c r="CA1216" s="9"/>
      <c r="CB1216" s="9"/>
      <c r="CC1216" s="9"/>
      <c r="CD1216" s="9"/>
      <c r="CE1216" s="9"/>
      <c r="CF1216" s="9"/>
      <c r="CG1216" s="9"/>
    </row>
    <row r="1217" spans="1:85" ht="18" customHeight="1" x14ac:dyDescent="0.3">
      <c r="A1217" s="9">
        <f t="shared" ref="A1217:A1280" si="95">IF(COUNTA(C1217:K1217)=0,"",ROW()-1)</f>
        <v>1216</v>
      </c>
      <c r="B1217" s="9" t="str">
        <f t="shared" ref="B1217:B1280" si="96">IF($F1217&lt;&gt;"",$A1217,"")</f>
        <v/>
      </c>
      <c r="C1217" s="9"/>
      <c r="D1217" s="9"/>
      <c r="E1217" s="9">
        <f t="shared" ref="E1217:E1280" si="97">IF(UPPER($J1217)="NO","",$M1217)</f>
        <v>0</v>
      </c>
      <c r="F1217" s="9"/>
      <c r="G1217" s="9"/>
      <c r="H1217" s="9"/>
      <c r="I1217" s="9"/>
      <c r="J1217" s="9"/>
      <c r="K1217" s="9"/>
      <c r="L1217" s="9"/>
      <c r="M1217" s="9"/>
      <c r="N1217" s="9" t="str">
        <f t="shared" ref="N1217:N1280" si="98">IF(AND(UPPER($M1217)="VIP",UPPER($J1217)="SI",$F1217&lt;&gt;""),"SI","NO")</f>
        <v>NO</v>
      </c>
      <c r="O1217" s="9" t="str">
        <f t="shared" ref="O1217:O1280" si="99">IF(UPPER($J1217)="SI","🟢",IF(UPPER($J1217)="NO","🔴","🟡"))</f>
        <v>🟡</v>
      </c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9"/>
      <c r="AO1217" s="9"/>
      <c r="AP1217" s="9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  <c r="BA1217" s="9"/>
      <c r="BB1217" s="9"/>
      <c r="BC1217" s="9"/>
      <c r="BD1217" s="9"/>
      <c r="BE1217" s="9"/>
      <c r="BF1217" s="9"/>
      <c r="BG1217" s="9"/>
      <c r="BH1217" s="9"/>
      <c r="BI1217" s="9"/>
      <c r="BJ1217" s="9"/>
      <c r="BK1217" s="9"/>
      <c r="BL1217" s="9"/>
      <c r="BM1217" s="9"/>
      <c r="BN1217" s="9"/>
      <c r="BO1217" s="9"/>
      <c r="BP1217" s="9"/>
      <c r="BQ1217" s="9"/>
      <c r="BR1217" s="9"/>
      <c r="BS1217" s="9"/>
      <c r="BT1217" s="9"/>
      <c r="BU1217" s="9"/>
      <c r="BV1217" s="9"/>
      <c r="BW1217" s="9"/>
      <c r="BX1217" s="9"/>
      <c r="BY1217" s="9"/>
      <c r="BZ1217" s="9"/>
      <c r="CA1217" s="9"/>
      <c r="CB1217" s="9"/>
      <c r="CC1217" s="9"/>
      <c r="CD1217" s="9"/>
      <c r="CE1217" s="9"/>
      <c r="CF1217" s="9"/>
      <c r="CG1217" s="9"/>
    </row>
    <row r="1218" spans="1:85" ht="18" customHeight="1" x14ac:dyDescent="0.3">
      <c r="A1218" s="9">
        <f t="shared" si="95"/>
        <v>1217</v>
      </c>
      <c r="B1218" s="9" t="str">
        <f t="shared" si="96"/>
        <v/>
      </c>
      <c r="C1218" s="9"/>
      <c r="D1218" s="9"/>
      <c r="E1218" s="9">
        <f t="shared" si="97"/>
        <v>0</v>
      </c>
      <c r="F1218" s="9"/>
      <c r="G1218" s="9"/>
      <c r="H1218" s="9"/>
      <c r="I1218" s="9"/>
      <c r="J1218" s="9"/>
      <c r="K1218" s="9"/>
      <c r="L1218" s="9"/>
      <c r="M1218" s="9"/>
      <c r="N1218" s="9" t="str">
        <f t="shared" si="98"/>
        <v>NO</v>
      </c>
      <c r="O1218" s="9" t="str">
        <f t="shared" si="99"/>
        <v>🟡</v>
      </c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9"/>
      <c r="AO1218" s="9"/>
      <c r="AP1218" s="9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  <c r="BA1218" s="9"/>
      <c r="BB1218" s="9"/>
      <c r="BC1218" s="9"/>
      <c r="BD1218" s="9"/>
      <c r="BE1218" s="9"/>
      <c r="BF1218" s="9"/>
      <c r="BG1218" s="9"/>
      <c r="BH1218" s="9"/>
      <c r="BI1218" s="9"/>
      <c r="BJ1218" s="9"/>
      <c r="BK1218" s="9"/>
      <c r="BL1218" s="9"/>
      <c r="BM1218" s="9"/>
      <c r="BN1218" s="9"/>
      <c r="BO1218" s="9"/>
      <c r="BP1218" s="9"/>
      <c r="BQ1218" s="9"/>
      <c r="BR1218" s="9"/>
      <c r="BS1218" s="9"/>
      <c r="BT1218" s="9"/>
      <c r="BU1218" s="9"/>
      <c r="BV1218" s="9"/>
      <c r="BW1218" s="9"/>
      <c r="BX1218" s="9"/>
      <c r="BY1218" s="9"/>
      <c r="BZ1218" s="9"/>
      <c r="CA1218" s="9"/>
      <c r="CB1218" s="9"/>
      <c r="CC1218" s="9"/>
      <c r="CD1218" s="9"/>
      <c r="CE1218" s="9"/>
      <c r="CF1218" s="9"/>
      <c r="CG1218" s="9"/>
    </row>
    <row r="1219" spans="1:85" ht="18" customHeight="1" x14ac:dyDescent="0.3">
      <c r="A1219" s="9">
        <f t="shared" si="95"/>
        <v>1218</v>
      </c>
      <c r="B1219" s="9" t="str">
        <f t="shared" si="96"/>
        <v/>
      </c>
      <c r="C1219" s="9"/>
      <c r="D1219" s="9"/>
      <c r="E1219" s="9">
        <f t="shared" si="97"/>
        <v>0</v>
      </c>
      <c r="F1219" s="9"/>
      <c r="G1219" s="9"/>
      <c r="H1219" s="9"/>
      <c r="I1219" s="9"/>
      <c r="J1219" s="9"/>
      <c r="K1219" s="9"/>
      <c r="L1219" s="9"/>
      <c r="M1219" s="9"/>
      <c r="N1219" s="9" t="str">
        <f t="shared" si="98"/>
        <v>NO</v>
      </c>
      <c r="O1219" s="9" t="str">
        <f t="shared" si="99"/>
        <v>🟡</v>
      </c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9"/>
      <c r="AO1219" s="9"/>
      <c r="AP1219" s="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  <c r="BA1219" s="9"/>
      <c r="BB1219" s="9"/>
      <c r="BC1219" s="9"/>
      <c r="BD1219" s="9"/>
      <c r="BE1219" s="9"/>
      <c r="BF1219" s="9"/>
      <c r="BG1219" s="9"/>
      <c r="BH1219" s="9"/>
      <c r="BI1219" s="9"/>
      <c r="BJ1219" s="9"/>
      <c r="BK1219" s="9"/>
      <c r="BL1219" s="9"/>
      <c r="BM1219" s="9"/>
      <c r="BN1219" s="9"/>
      <c r="BO1219" s="9"/>
      <c r="BP1219" s="9"/>
      <c r="BQ1219" s="9"/>
      <c r="BR1219" s="9"/>
      <c r="BS1219" s="9"/>
      <c r="BT1219" s="9"/>
      <c r="BU1219" s="9"/>
      <c r="BV1219" s="9"/>
      <c r="BW1219" s="9"/>
      <c r="BX1219" s="9"/>
      <c r="BY1219" s="9"/>
      <c r="BZ1219" s="9"/>
      <c r="CA1219" s="9"/>
      <c r="CB1219" s="9"/>
      <c r="CC1219" s="9"/>
      <c r="CD1219" s="9"/>
      <c r="CE1219" s="9"/>
      <c r="CF1219" s="9"/>
      <c r="CG1219" s="9"/>
    </row>
    <row r="1220" spans="1:85" ht="18" customHeight="1" x14ac:dyDescent="0.3">
      <c r="A1220" s="9">
        <f t="shared" si="95"/>
        <v>1219</v>
      </c>
      <c r="B1220" s="9" t="str">
        <f t="shared" si="96"/>
        <v/>
      </c>
      <c r="C1220" s="9"/>
      <c r="D1220" s="9"/>
      <c r="E1220" s="9">
        <f t="shared" si="97"/>
        <v>0</v>
      </c>
      <c r="F1220" s="9"/>
      <c r="G1220" s="9"/>
      <c r="H1220" s="9"/>
      <c r="I1220" s="9"/>
      <c r="J1220" s="9"/>
      <c r="K1220" s="9"/>
      <c r="L1220" s="9"/>
      <c r="M1220" s="9"/>
      <c r="N1220" s="9" t="str">
        <f t="shared" si="98"/>
        <v>NO</v>
      </c>
      <c r="O1220" s="9" t="str">
        <f t="shared" si="99"/>
        <v>🟡</v>
      </c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9"/>
      <c r="AO1220" s="9"/>
      <c r="AP1220" s="9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  <c r="BA1220" s="9"/>
      <c r="BB1220" s="9"/>
      <c r="BC1220" s="9"/>
      <c r="BD1220" s="9"/>
      <c r="BE1220" s="9"/>
      <c r="BF1220" s="9"/>
      <c r="BG1220" s="9"/>
      <c r="BH1220" s="9"/>
      <c r="BI1220" s="9"/>
      <c r="BJ1220" s="9"/>
      <c r="BK1220" s="9"/>
      <c r="BL1220" s="9"/>
      <c r="BM1220" s="9"/>
      <c r="BN1220" s="9"/>
      <c r="BO1220" s="9"/>
      <c r="BP1220" s="9"/>
      <c r="BQ1220" s="9"/>
      <c r="BR1220" s="9"/>
      <c r="BS1220" s="9"/>
      <c r="BT1220" s="9"/>
      <c r="BU1220" s="9"/>
      <c r="BV1220" s="9"/>
      <c r="BW1220" s="9"/>
      <c r="BX1220" s="9"/>
      <c r="BY1220" s="9"/>
      <c r="BZ1220" s="9"/>
      <c r="CA1220" s="9"/>
      <c r="CB1220" s="9"/>
      <c r="CC1220" s="9"/>
      <c r="CD1220" s="9"/>
      <c r="CE1220" s="9"/>
      <c r="CF1220" s="9"/>
      <c r="CG1220" s="9"/>
    </row>
    <row r="1221" spans="1:85" ht="18" customHeight="1" x14ac:dyDescent="0.3">
      <c r="A1221" s="9">
        <f t="shared" si="95"/>
        <v>1220</v>
      </c>
      <c r="B1221" s="9" t="str">
        <f t="shared" si="96"/>
        <v/>
      </c>
      <c r="C1221" s="9"/>
      <c r="D1221" s="9"/>
      <c r="E1221" s="9">
        <f t="shared" si="97"/>
        <v>0</v>
      </c>
      <c r="F1221" s="9"/>
      <c r="G1221" s="9"/>
      <c r="H1221" s="9"/>
      <c r="I1221" s="9"/>
      <c r="J1221" s="9"/>
      <c r="K1221" s="9"/>
      <c r="L1221" s="9"/>
      <c r="M1221" s="9"/>
      <c r="N1221" s="9" t="str">
        <f t="shared" si="98"/>
        <v>NO</v>
      </c>
      <c r="O1221" s="9" t="str">
        <f t="shared" si="99"/>
        <v>🟡</v>
      </c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  <c r="BC1221" s="9"/>
      <c r="BD1221" s="9"/>
      <c r="BE1221" s="9"/>
      <c r="BF1221" s="9"/>
      <c r="BG1221" s="9"/>
      <c r="BH1221" s="9"/>
      <c r="BI1221" s="9"/>
      <c r="BJ1221" s="9"/>
      <c r="BK1221" s="9"/>
      <c r="BL1221" s="9"/>
      <c r="BM1221" s="9"/>
      <c r="BN1221" s="9"/>
      <c r="BO1221" s="9"/>
      <c r="BP1221" s="9"/>
      <c r="BQ1221" s="9"/>
      <c r="BR1221" s="9"/>
      <c r="BS1221" s="9"/>
      <c r="BT1221" s="9"/>
      <c r="BU1221" s="9"/>
      <c r="BV1221" s="9"/>
      <c r="BW1221" s="9"/>
      <c r="BX1221" s="9"/>
      <c r="BY1221" s="9"/>
      <c r="BZ1221" s="9"/>
      <c r="CA1221" s="9"/>
      <c r="CB1221" s="9"/>
      <c r="CC1221" s="9"/>
      <c r="CD1221" s="9"/>
      <c r="CE1221" s="9"/>
      <c r="CF1221" s="9"/>
      <c r="CG1221" s="9"/>
    </row>
    <row r="1222" spans="1:85" ht="18" customHeight="1" x14ac:dyDescent="0.3">
      <c r="A1222" s="9">
        <f t="shared" si="95"/>
        <v>1221</v>
      </c>
      <c r="B1222" s="9" t="str">
        <f t="shared" si="96"/>
        <v/>
      </c>
      <c r="C1222" s="9"/>
      <c r="D1222" s="9"/>
      <c r="E1222" s="9">
        <f t="shared" si="97"/>
        <v>0</v>
      </c>
      <c r="F1222" s="9"/>
      <c r="G1222" s="9"/>
      <c r="H1222" s="9"/>
      <c r="I1222" s="9"/>
      <c r="J1222" s="9"/>
      <c r="K1222" s="9"/>
      <c r="L1222" s="9"/>
      <c r="M1222" s="9"/>
      <c r="N1222" s="9" t="str">
        <f t="shared" si="98"/>
        <v>NO</v>
      </c>
      <c r="O1222" s="9" t="str">
        <f t="shared" si="99"/>
        <v>🟡</v>
      </c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9"/>
      <c r="AO1222" s="9"/>
      <c r="AP1222" s="9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  <c r="BA1222" s="9"/>
      <c r="BB1222" s="9"/>
      <c r="BC1222" s="9"/>
      <c r="BD1222" s="9"/>
      <c r="BE1222" s="9"/>
      <c r="BF1222" s="9"/>
      <c r="BG1222" s="9"/>
      <c r="BH1222" s="9"/>
      <c r="BI1222" s="9"/>
      <c r="BJ1222" s="9"/>
      <c r="BK1222" s="9"/>
      <c r="BL1222" s="9"/>
      <c r="BM1222" s="9"/>
      <c r="BN1222" s="9"/>
      <c r="BO1222" s="9"/>
      <c r="BP1222" s="9"/>
      <c r="BQ1222" s="9"/>
      <c r="BR1222" s="9"/>
      <c r="BS1222" s="9"/>
      <c r="BT1222" s="9"/>
      <c r="BU1222" s="9"/>
      <c r="BV1222" s="9"/>
      <c r="BW1222" s="9"/>
      <c r="BX1222" s="9"/>
      <c r="BY1222" s="9"/>
      <c r="BZ1222" s="9"/>
      <c r="CA1222" s="9"/>
      <c r="CB1222" s="9"/>
      <c r="CC1222" s="9"/>
      <c r="CD1222" s="9"/>
      <c r="CE1222" s="9"/>
      <c r="CF1222" s="9"/>
      <c r="CG1222" s="9"/>
    </row>
    <row r="1223" spans="1:85" ht="18" customHeight="1" x14ac:dyDescent="0.3">
      <c r="A1223" s="9">
        <f t="shared" si="95"/>
        <v>1222</v>
      </c>
      <c r="B1223" s="9" t="str">
        <f t="shared" si="96"/>
        <v/>
      </c>
      <c r="C1223" s="9"/>
      <c r="D1223" s="9"/>
      <c r="E1223" s="9">
        <f t="shared" si="97"/>
        <v>0</v>
      </c>
      <c r="F1223" s="9"/>
      <c r="G1223" s="9"/>
      <c r="H1223" s="9"/>
      <c r="I1223" s="9"/>
      <c r="J1223" s="9"/>
      <c r="K1223" s="9"/>
      <c r="L1223" s="9"/>
      <c r="M1223" s="9"/>
      <c r="N1223" s="9" t="str">
        <f t="shared" si="98"/>
        <v>NO</v>
      </c>
      <c r="O1223" s="9" t="str">
        <f t="shared" si="99"/>
        <v>🟡</v>
      </c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9"/>
      <c r="AO1223" s="9"/>
      <c r="AP1223" s="9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  <c r="BA1223" s="9"/>
      <c r="BB1223" s="9"/>
      <c r="BC1223" s="9"/>
      <c r="BD1223" s="9"/>
      <c r="BE1223" s="9"/>
      <c r="BF1223" s="9"/>
      <c r="BG1223" s="9"/>
      <c r="BH1223" s="9"/>
      <c r="BI1223" s="9"/>
      <c r="BJ1223" s="9"/>
      <c r="BK1223" s="9"/>
      <c r="BL1223" s="9"/>
      <c r="BM1223" s="9"/>
      <c r="BN1223" s="9"/>
      <c r="BO1223" s="9"/>
      <c r="BP1223" s="9"/>
      <c r="BQ1223" s="9"/>
      <c r="BR1223" s="9"/>
      <c r="BS1223" s="9"/>
      <c r="BT1223" s="9"/>
      <c r="BU1223" s="9"/>
      <c r="BV1223" s="9"/>
      <c r="BW1223" s="9"/>
      <c r="BX1223" s="9"/>
      <c r="BY1223" s="9"/>
      <c r="BZ1223" s="9"/>
      <c r="CA1223" s="9"/>
      <c r="CB1223" s="9"/>
      <c r="CC1223" s="9"/>
      <c r="CD1223" s="9"/>
      <c r="CE1223" s="9"/>
      <c r="CF1223" s="9"/>
      <c r="CG1223" s="9"/>
    </row>
    <row r="1224" spans="1:85" ht="18" customHeight="1" x14ac:dyDescent="0.3">
      <c r="A1224" s="9">
        <f t="shared" si="95"/>
        <v>1223</v>
      </c>
      <c r="B1224" s="9" t="str">
        <f t="shared" si="96"/>
        <v/>
      </c>
      <c r="C1224" s="9"/>
      <c r="D1224" s="9"/>
      <c r="E1224" s="9">
        <f t="shared" si="97"/>
        <v>0</v>
      </c>
      <c r="F1224" s="9"/>
      <c r="G1224" s="9"/>
      <c r="H1224" s="9"/>
      <c r="I1224" s="9"/>
      <c r="J1224" s="9"/>
      <c r="K1224" s="9"/>
      <c r="L1224" s="9"/>
      <c r="M1224" s="9"/>
      <c r="N1224" s="9" t="str">
        <f t="shared" si="98"/>
        <v>NO</v>
      </c>
      <c r="O1224" s="9" t="str">
        <f t="shared" si="99"/>
        <v>🟡</v>
      </c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9"/>
      <c r="AO1224" s="9"/>
      <c r="AP1224" s="9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  <c r="BA1224" s="9"/>
      <c r="BB1224" s="9"/>
      <c r="BC1224" s="9"/>
      <c r="BD1224" s="9"/>
      <c r="BE1224" s="9"/>
      <c r="BF1224" s="9"/>
      <c r="BG1224" s="9"/>
      <c r="BH1224" s="9"/>
      <c r="BI1224" s="9"/>
      <c r="BJ1224" s="9"/>
      <c r="BK1224" s="9"/>
      <c r="BL1224" s="9"/>
      <c r="BM1224" s="9"/>
      <c r="BN1224" s="9"/>
      <c r="BO1224" s="9"/>
      <c r="BP1224" s="9"/>
      <c r="BQ1224" s="9"/>
      <c r="BR1224" s="9"/>
      <c r="BS1224" s="9"/>
      <c r="BT1224" s="9"/>
      <c r="BU1224" s="9"/>
      <c r="BV1224" s="9"/>
      <c r="BW1224" s="9"/>
      <c r="BX1224" s="9"/>
      <c r="BY1224" s="9"/>
      <c r="BZ1224" s="9"/>
      <c r="CA1224" s="9"/>
      <c r="CB1224" s="9"/>
      <c r="CC1224" s="9"/>
      <c r="CD1224" s="9"/>
      <c r="CE1224" s="9"/>
      <c r="CF1224" s="9"/>
      <c r="CG1224" s="9"/>
    </row>
    <row r="1225" spans="1:85" ht="18" customHeight="1" x14ac:dyDescent="0.3">
      <c r="A1225" s="9">
        <f t="shared" si="95"/>
        <v>1224</v>
      </c>
      <c r="B1225" s="9" t="str">
        <f t="shared" si="96"/>
        <v/>
      </c>
      <c r="C1225" s="9"/>
      <c r="D1225" s="9"/>
      <c r="E1225" s="9">
        <f t="shared" si="97"/>
        <v>0</v>
      </c>
      <c r="F1225" s="9"/>
      <c r="G1225" s="9"/>
      <c r="H1225" s="9"/>
      <c r="I1225" s="9"/>
      <c r="J1225" s="9"/>
      <c r="K1225" s="9"/>
      <c r="L1225" s="9"/>
      <c r="M1225" s="9"/>
      <c r="N1225" s="9" t="str">
        <f t="shared" si="98"/>
        <v>NO</v>
      </c>
      <c r="O1225" s="9" t="str">
        <f t="shared" si="99"/>
        <v>🟡</v>
      </c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9"/>
      <c r="AO1225" s="9"/>
      <c r="AP1225" s="9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  <c r="BA1225" s="9"/>
      <c r="BB1225" s="9"/>
      <c r="BC1225" s="9"/>
      <c r="BD1225" s="9"/>
      <c r="BE1225" s="9"/>
      <c r="BF1225" s="9"/>
      <c r="BG1225" s="9"/>
      <c r="BH1225" s="9"/>
      <c r="BI1225" s="9"/>
      <c r="BJ1225" s="9"/>
      <c r="BK1225" s="9"/>
      <c r="BL1225" s="9"/>
      <c r="BM1225" s="9"/>
      <c r="BN1225" s="9"/>
      <c r="BO1225" s="9"/>
      <c r="BP1225" s="9"/>
      <c r="BQ1225" s="9"/>
      <c r="BR1225" s="9"/>
      <c r="BS1225" s="9"/>
      <c r="BT1225" s="9"/>
      <c r="BU1225" s="9"/>
      <c r="BV1225" s="9"/>
      <c r="BW1225" s="9"/>
      <c r="BX1225" s="9"/>
      <c r="BY1225" s="9"/>
      <c r="BZ1225" s="9"/>
      <c r="CA1225" s="9"/>
      <c r="CB1225" s="9"/>
      <c r="CC1225" s="9"/>
      <c r="CD1225" s="9"/>
      <c r="CE1225" s="9"/>
      <c r="CF1225" s="9"/>
      <c r="CG1225" s="9"/>
    </row>
    <row r="1226" spans="1:85" ht="18" customHeight="1" x14ac:dyDescent="0.3">
      <c r="A1226" s="9">
        <f t="shared" si="95"/>
        <v>1225</v>
      </c>
      <c r="B1226" s="9" t="str">
        <f t="shared" si="96"/>
        <v/>
      </c>
      <c r="C1226" s="9"/>
      <c r="D1226" s="9"/>
      <c r="E1226" s="9">
        <f t="shared" si="97"/>
        <v>0</v>
      </c>
      <c r="F1226" s="9"/>
      <c r="G1226" s="9"/>
      <c r="H1226" s="9"/>
      <c r="I1226" s="9"/>
      <c r="J1226" s="9"/>
      <c r="K1226" s="9"/>
      <c r="L1226" s="9"/>
      <c r="M1226" s="9"/>
      <c r="N1226" s="9" t="str">
        <f t="shared" si="98"/>
        <v>NO</v>
      </c>
      <c r="O1226" s="9" t="str">
        <f t="shared" si="99"/>
        <v>🟡</v>
      </c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9"/>
      <c r="BD1226" s="9"/>
      <c r="BE1226" s="9"/>
      <c r="BF1226" s="9"/>
      <c r="BG1226" s="9"/>
      <c r="BH1226" s="9"/>
      <c r="BI1226" s="9"/>
      <c r="BJ1226" s="9"/>
      <c r="BK1226" s="9"/>
      <c r="BL1226" s="9"/>
      <c r="BM1226" s="9"/>
      <c r="BN1226" s="9"/>
      <c r="BO1226" s="9"/>
      <c r="BP1226" s="9"/>
      <c r="BQ1226" s="9"/>
      <c r="BR1226" s="9"/>
      <c r="BS1226" s="9"/>
      <c r="BT1226" s="9"/>
      <c r="BU1226" s="9"/>
      <c r="BV1226" s="9"/>
      <c r="BW1226" s="9"/>
      <c r="BX1226" s="9"/>
      <c r="BY1226" s="9"/>
      <c r="BZ1226" s="9"/>
      <c r="CA1226" s="9"/>
      <c r="CB1226" s="9"/>
      <c r="CC1226" s="9"/>
      <c r="CD1226" s="9"/>
      <c r="CE1226" s="9"/>
      <c r="CF1226" s="9"/>
      <c r="CG1226" s="9"/>
    </row>
    <row r="1227" spans="1:85" ht="18" customHeight="1" x14ac:dyDescent="0.3">
      <c r="A1227" s="9">
        <f t="shared" si="95"/>
        <v>1226</v>
      </c>
      <c r="B1227" s="9" t="str">
        <f t="shared" si="96"/>
        <v/>
      </c>
      <c r="C1227" s="9"/>
      <c r="D1227" s="9"/>
      <c r="E1227" s="9">
        <f t="shared" si="97"/>
        <v>0</v>
      </c>
      <c r="F1227" s="9"/>
      <c r="G1227" s="9"/>
      <c r="H1227" s="9"/>
      <c r="I1227" s="9"/>
      <c r="J1227" s="9"/>
      <c r="K1227" s="9"/>
      <c r="L1227" s="9"/>
      <c r="M1227" s="9"/>
      <c r="N1227" s="9" t="str">
        <f t="shared" si="98"/>
        <v>NO</v>
      </c>
      <c r="O1227" s="9" t="str">
        <f t="shared" si="99"/>
        <v>🟡</v>
      </c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9"/>
      <c r="AO1227" s="9"/>
      <c r="AP1227" s="9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  <c r="BA1227" s="9"/>
      <c r="BB1227" s="9"/>
      <c r="BC1227" s="9"/>
      <c r="BD1227" s="9"/>
      <c r="BE1227" s="9"/>
      <c r="BF1227" s="9"/>
      <c r="BG1227" s="9"/>
      <c r="BH1227" s="9"/>
      <c r="BI1227" s="9"/>
      <c r="BJ1227" s="9"/>
      <c r="BK1227" s="9"/>
      <c r="BL1227" s="9"/>
      <c r="BM1227" s="9"/>
      <c r="BN1227" s="9"/>
      <c r="BO1227" s="9"/>
      <c r="BP1227" s="9"/>
      <c r="BQ1227" s="9"/>
      <c r="BR1227" s="9"/>
      <c r="BS1227" s="9"/>
      <c r="BT1227" s="9"/>
      <c r="BU1227" s="9"/>
      <c r="BV1227" s="9"/>
      <c r="BW1227" s="9"/>
      <c r="BX1227" s="9"/>
      <c r="BY1227" s="9"/>
      <c r="BZ1227" s="9"/>
      <c r="CA1227" s="9"/>
      <c r="CB1227" s="9"/>
      <c r="CC1227" s="9"/>
      <c r="CD1227" s="9"/>
      <c r="CE1227" s="9"/>
      <c r="CF1227" s="9"/>
      <c r="CG1227" s="9"/>
    </row>
    <row r="1228" spans="1:85" ht="18" customHeight="1" x14ac:dyDescent="0.3">
      <c r="A1228" s="9">
        <f t="shared" si="95"/>
        <v>1227</v>
      </c>
      <c r="B1228" s="9" t="str">
        <f t="shared" si="96"/>
        <v/>
      </c>
      <c r="C1228" s="9"/>
      <c r="D1228" s="9"/>
      <c r="E1228" s="9">
        <f t="shared" si="97"/>
        <v>0</v>
      </c>
      <c r="F1228" s="9"/>
      <c r="G1228" s="9"/>
      <c r="H1228" s="9"/>
      <c r="I1228" s="9"/>
      <c r="J1228" s="9"/>
      <c r="K1228" s="9"/>
      <c r="L1228" s="9"/>
      <c r="M1228" s="9"/>
      <c r="N1228" s="9" t="str">
        <f t="shared" si="98"/>
        <v>NO</v>
      </c>
      <c r="O1228" s="9" t="str">
        <f t="shared" si="99"/>
        <v>🟡</v>
      </c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9"/>
      <c r="AO1228" s="9"/>
      <c r="AP1228" s="9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  <c r="BA1228" s="9"/>
      <c r="BB1228" s="9"/>
      <c r="BC1228" s="9"/>
      <c r="BD1228" s="9"/>
      <c r="BE1228" s="9"/>
      <c r="BF1228" s="9"/>
      <c r="BG1228" s="9"/>
      <c r="BH1228" s="9"/>
      <c r="BI1228" s="9"/>
      <c r="BJ1228" s="9"/>
      <c r="BK1228" s="9"/>
      <c r="BL1228" s="9"/>
      <c r="BM1228" s="9"/>
      <c r="BN1228" s="9"/>
      <c r="BO1228" s="9"/>
      <c r="BP1228" s="9"/>
      <c r="BQ1228" s="9"/>
      <c r="BR1228" s="9"/>
      <c r="BS1228" s="9"/>
      <c r="BT1228" s="9"/>
      <c r="BU1228" s="9"/>
      <c r="BV1228" s="9"/>
      <c r="BW1228" s="9"/>
      <c r="BX1228" s="9"/>
      <c r="BY1228" s="9"/>
      <c r="BZ1228" s="9"/>
      <c r="CA1228" s="9"/>
      <c r="CB1228" s="9"/>
      <c r="CC1228" s="9"/>
      <c r="CD1228" s="9"/>
      <c r="CE1228" s="9"/>
      <c r="CF1228" s="9"/>
      <c r="CG1228" s="9"/>
    </row>
    <row r="1229" spans="1:85" ht="18" customHeight="1" x14ac:dyDescent="0.3">
      <c r="A1229" s="9">
        <f t="shared" si="95"/>
        <v>1228</v>
      </c>
      <c r="B1229" s="9" t="str">
        <f t="shared" si="96"/>
        <v/>
      </c>
      <c r="C1229" s="9"/>
      <c r="D1229" s="9"/>
      <c r="E1229" s="9">
        <f t="shared" si="97"/>
        <v>0</v>
      </c>
      <c r="F1229" s="9"/>
      <c r="G1229" s="9"/>
      <c r="H1229" s="9"/>
      <c r="I1229" s="9"/>
      <c r="J1229" s="9"/>
      <c r="K1229" s="9"/>
      <c r="L1229" s="9"/>
      <c r="M1229" s="9"/>
      <c r="N1229" s="9" t="str">
        <f t="shared" si="98"/>
        <v>NO</v>
      </c>
      <c r="O1229" s="9" t="str">
        <f t="shared" si="99"/>
        <v>🟡</v>
      </c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9"/>
      <c r="AO1229" s="9"/>
      <c r="AP1229" s="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  <c r="BA1229" s="9"/>
      <c r="BB1229" s="9"/>
      <c r="BC1229" s="9"/>
      <c r="BD1229" s="9"/>
      <c r="BE1229" s="9"/>
      <c r="BF1229" s="9"/>
      <c r="BG1229" s="9"/>
      <c r="BH1229" s="9"/>
      <c r="BI1229" s="9"/>
      <c r="BJ1229" s="9"/>
      <c r="BK1229" s="9"/>
      <c r="BL1229" s="9"/>
      <c r="BM1229" s="9"/>
      <c r="BN1229" s="9"/>
      <c r="BO1229" s="9"/>
      <c r="BP1229" s="9"/>
      <c r="BQ1229" s="9"/>
      <c r="BR1229" s="9"/>
      <c r="BS1229" s="9"/>
      <c r="BT1229" s="9"/>
      <c r="BU1229" s="9"/>
      <c r="BV1229" s="9"/>
      <c r="BW1229" s="9"/>
      <c r="BX1229" s="9"/>
      <c r="BY1229" s="9"/>
      <c r="BZ1229" s="9"/>
      <c r="CA1229" s="9"/>
      <c r="CB1229" s="9"/>
      <c r="CC1229" s="9"/>
      <c r="CD1229" s="9"/>
      <c r="CE1229" s="9"/>
      <c r="CF1229" s="9"/>
      <c r="CG1229" s="9"/>
    </row>
    <row r="1230" spans="1:85" ht="18" customHeight="1" x14ac:dyDescent="0.3">
      <c r="A1230" s="9">
        <f t="shared" si="95"/>
        <v>1229</v>
      </c>
      <c r="B1230" s="9" t="str">
        <f t="shared" si="96"/>
        <v/>
      </c>
      <c r="C1230" s="9"/>
      <c r="D1230" s="9"/>
      <c r="E1230" s="9">
        <f t="shared" si="97"/>
        <v>0</v>
      </c>
      <c r="F1230" s="9"/>
      <c r="G1230" s="9"/>
      <c r="H1230" s="9"/>
      <c r="I1230" s="9"/>
      <c r="J1230" s="9"/>
      <c r="K1230" s="9"/>
      <c r="L1230" s="9"/>
      <c r="M1230" s="9"/>
      <c r="N1230" s="9" t="str">
        <f t="shared" si="98"/>
        <v>NO</v>
      </c>
      <c r="O1230" s="9" t="str">
        <f t="shared" si="99"/>
        <v>🟡</v>
      </c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9"/>
      <c r="AO1230" s="9"/>
      <c r="AP1230" s="9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  <c r="BA1230" s="9"/>
      <c r="BB1230" s="9"/>
      <c r="BC1230" s="9"/>
      <c r="BD1230" s="9"/>
      <c r="BE1230" s="9"/>
      <c r="BF1230" s="9"/>
      <c r="BG1230" s="9"/>
      <c r="BH1230" s="9"/>
      <c r="BI1230" s="9"/>
      <c r="BJ1230" s="9"/>
      <c r="BK1230" s="9"/>
      <c r="BL1230" s="9"/>
      <c r="BM1230" s="9"/>
      <c r="BN1230" s="9"/>
      <c r="BO1230" s="9"/>
      <c r="BP1230" s="9"/>
      <c r="BQ1230" s="9"/>
      <c r="BR1230" s="9"/>
      <c r="BS1230" s="9"/>
      <c r="BT1230" s="9"/>
      <c r="BU1230" s="9"/>
      <c r="BV1230" s="9"/>
      <c r="BW1230" s="9"/>
      <c r="BX1230" s="9"/>
      <c r="BY1230" s="9"/>
      <c r="BZ1230" s="9"/>
      <c r="CA1230" s="9"/>
      <c r="CB1230" s="9"/>
      <c r="CC1230" s="9"/>
      <c r="CD1230" s="9"/>
      <c r="CE1230" s="9"/>
      <c r="CF1230" s="9"/>
      <c r="CG1230" s="9"/>
    </row>
    <row r="1231" spans="1:85" ht="18" customHeight="1" x14ac:dyDescent="0.3">
      <c r="A1231" s="9">
        <f t="shared" si="95"/>
        <v>1230</v>
      </c>
      <c r="B1231" s="9" t="str">
        <f t="shared" si="96"/>
        <v/>
      </c>
      <c r="C1231" s="9"/>
      <c r="D1231" s="9"/>
      <c r="E1231" s="9">
        <f t="shared" si="97"/>
        <v>0</v>
      </c>
      <c r="F1231" s="9"/>
      <c r="G1231" s="9"/>
      <c r="H1231" s="9"/>
      <c r="I1231" s="9"/>
      <c r="J1231" s="9"/>
      <c r="K1231" s="9"/>
      <c r="L1231" s="9"/>
      <c r="M1231" s="9"/>
      <c r="N1231" s="9" t="str">
        <f t="shared" si="98"/>
        <v>NO</v>
      </c>
      <c r="O1231" s="9" t="str">
        <f t="shared" si="99"/>
        <v>🟡</v>
      </c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9"/>
      <c r="AO1231" s="9"/>
      <c r="AP1231" s="9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  <c r="BA1231" s="9"/>
      <c r="BB1231" s="9"/>
      <c r="BC1231" s="9"/>
      <c r="BD1231" s="9"/>
      <c r="BE1231" s="9"/>
      <c r="BF1231" s="9"/>
      <c r="BG1231" s="9"/>
      <c r="BH1231" s="9"/>
      <c r="BI1231" s="9"/>
      <c r="BJ1231" s="9"/>
      <c r="BK1231" s="9"/>
      <c r="BL1231" s="9"/>
      <c r="BM1231" s="9"/>
      <c r="BN1231" s="9"/>
      <c r="BO1231" s="9"/>
      <c r="BP1231" s="9"/>
      <c r="BQ1231" s="9"/>
      <c r="BR1231" s="9"/>
      <c r="BS1231" s="9"/>
      <c r="BT1231" s="9"/>
      <c r="BU1231" s="9"/>
      <c r="BV1231" s="9"/>
      <c r="BW1231" s="9"/>
      <c r="BX1231" s="9"/>
      <c r="BY1231" s="9"/>
      <c r="BZ1231" s="9"/>
      <c r="CA1231" s="9"/>
      <c r="CB1231" s="9"/>
      <c r="CC1231" s="9"/>
      <c r="CD1231" s="9"/>
      <c r="CE1231" s="9"/>
      <c r="CF1231" s="9"/>
      <c r="CG1231" s="9"/>
    </row>
    <row r="1232" spans="1:85" ht="18" customHeight="1" x14ac:dyDescent="0.3">
      <c r="A1232" s="9">
        <f t="shared" si="95"/>
        <v>1231</v>
      </c>
      <c r="B1232" s="9" t="str">
        <f t="shared" si="96"/>
        <v/>
      </c>
      <c r="C1232" s="9"/>
      <c r="D1232" s="9"/>
      <c r="E1232" s="9">
        <f t="shared" si="97"/>
        <v>0</v>
      </c>
      <c r="F1232" s="9"/>
      <c r="G1232" s="9"/>
      <c r="H1232" s="9"/>
      <c r="I1232" s="9"/>
      <c r="J1232" s="9"/>
      <c r="K1232" s="9"/>
      <c r="L1232" s="9"/>
      <c r="M1232" s="9"/>
      <c r="N1232" s="9" t="str">
        <f t="shared" si="98"/>
        <v>NO</v>
      </c>
      <c r="O1232" s="9" t="str">
        <f t="shared" si="99"/>
        <v>🟡</v>
      </c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9"/>
      <c r="AO1232" s="9"/>
      <c r="AP1232" s="9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  <c r="BA1232" s="9"/>
      <c r="BB1232" s="9"/>
      <c r="BC1232" s="9"/>
      <c r="BD1232" s="9"/>
      <c r="BE1232" s="9"/>
      <c r="BF1232" s="9"/>
      <c r="BG1232" s="9"/>
      <c r="BH1232" s="9"/>
      <c r="BI1232" s="9"/>
      <c r="BJ1232" s="9"/>
      <c r="BK1232" s="9"/>
      <c r="BL1232" s="9"/>
      <c r="BM1232" s="9"/>
      <c r="BN1232" s="9"/>
      <c r="BO1232" s="9"/>
      <c r="BP1232" s="9"/>
      <c r="BQ1232" s="9"/>
      <c r="BR1232" s="9"/>
      <c r="BS1232" s="9"/>
      <c r="BT1232" s="9"/>
      <c r="BU1232" s="9"/>
      <c r="BV1232" s="9"/>
      <c r="BW1232" s="9"/>
      <c r="BX1232" s="9"/>
      <c r="BY1232" s="9"/>
      <c r="BZ1232" s="9"/>
      <c r="CA1232" s="9"/>
      <c r="CB1232" s="9"/>
      <c r="CC1232" s="9"/>
      <c r="CD1232" s="9"/>
      <c r="CE1232" s="9"/>
      <c r="CF1232" s="9"/>
      <c r="CG1232" s="9"/>
    </row>
    <row r="1233" spans="1:85" ht="18" customHeight="1" x14ac:dyDescent="0.3">
      <c r="A1233" s="9">
        <f t="shared" si="95"/>
        <v>1232</v>
      </c>
      <c r="B1233" s="9" t="str">
        <f t="shared" si="96"/>
        <v/>
      </c>
      <c r="C1233" s="9"/>
      <c r="D1233" s="9"/>
      <c r="E1233" s="9">
        <f t="shared" si="97"/>
        <v>0</v>
      </c>
      <c r="F1233" s="9"/>
      <c r="G1233" s="9"/>
      <c r="H1233" s="9"/>
      <c r="I1233" s="9"/>
      <c r="J1233" s="9"/>
      <c r="K1233" s="9"/>
      <c r="L1233" s="9"/>
      <c r="M1233" s="9"/>
      <c r="N1233" s="9" t="str">
        <f t="shared" si="98"/>
        <v>NO</v>
      </c>
      <c r="O1233" s="9" t="str">
        <f t="shared" si="99"/>
        <v>🟡</v>
      </c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9"/>
      <c r="AO1233" s="9"/>
      <c r="AP1233" s="9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  <c r="BA1233" s="9"/>
      <c r="BB1233" s="9"/>
      <c r="BC1233" s="9"/>
      <c r="BD1233" s="9"/>
      <c r="BE1233" s="9"/>
      <c r="BF1233" s="9"/>
      <c r="BG1233" s="9"/>
      <c r="BH1233" s="9"/>
      <c r="BI1233" s="9"/>
      <c r="BJ1233" s="9"/>
      <c r="BK1233" s="9"/>
      <c r="BL1233" s="9"/>
      <c r="BM1233" s="9"/>
      <c r="BN1233" s="9"/>
      <c r="BO1233" s="9"/>
      <c r="BP1233" s="9"/>
      <c r="BQ1233" s="9"/>
      <c r="BR1233" s="9"/>
      <c r="BS1233" s="9"/>
      <c r="BT1233" s="9"/>
      <c r="BU1233" s="9"/>
      <c r="BV1233" s="9"/>
      <c r="BW1233" s="9"/>
      <c r="BX1233" s="9"/>
      <c r="BY1233" s="9"/>
      <c r="BZ1233" s="9"/>
      <c r="CA1233" s="9"/>
      <c r="CB1233" s="9"/>
      <c r="CC1233" s="9"/>
      <c r="CD1233" s="9"/>
      <c r="CE1233" s="9"/>
      <c r="CF1233" s="9"/>
      <c r="CG1233" s="9"/>
    </row>
    <row r="1234" spans="1:85" ht="18" customHeight="1" x14ac:dyDescent="0.3">
      <c r="A1234" s="9">
        <f t="shared" si="95"/>
        <v>1233</v>
      </c>
      <c r="B1234" s="9" t="str">
        <f t="shared" si="96"/>
        <v/>
      </c>
      <c r="C1234" s="9"/>
      <c r="D1234" s="9"/>
      <c r="E1234" s="9">
        <f t="shared" si="97"/>
        <v>0</v>
      </c>
      <c r="F1234" s="9"/>
      <c r="G1234" s="9"/>
      <c r="H1234" s="9"/>
      <c r="I1234" s="9"/>
      <c r="J1234" s="9"/>
      <c r="K1234" s="9"/>
      <c r="L1234" s="9"/>
      <c r="M1234" s="9"/>
      <c r="N1234" s="9" t="str">
        <f t="shared" si="98"/>
        <v>NO</v>
      </c>
      <c r="O1234" s="9" t="str">
        <f t="shared" si="99"/>
        <v>🟡</v>
      </c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  <c r="AN1234" s="9"/>
      <c r="AO1234" s="9"/>
      <c r="AP1234" s="9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  <c r="BA1234" s="9"/>
      <c r="BB1234" s="9"/>
      <c r="BC1234" s="9"/>
      <c r="BD1234" s="9"/>
      <c r="BE1234" s="9"/>
      <c r="BF1234" s="9"/>
      <c r="BG1234" s="9"/>
      <c r="BH1234" s="9"/>
      <c r="BI1234" s="9"/>
      <c r="BJ1234" s="9"/>
      <c r="BK1234" s="9"/>
      <c r="BL1234" s="9"/>
      <c r="BM1234" s="9"/>
      <c r="BN1234" s="9"/>
      <c r="BO1234" s="9"/>
      <c r="BP1234" s="9"/>
      <c r="BQ1234" s="9"/>
      <c r="BR1234" s="9"/>
      <c r="BS1234" s="9"/>
      <c r="BT1234" s="9"/>
      <c r="BU1234" s="9"/>
      <c r="BV1234" s="9"/>
      <c r="BW1234" s="9"/>
      <c r="BX1234" s="9"/>
      <c r="BY1234" s="9"/>
      <c r="BZ1234" s="9"/>
      <c r="CA1234" s="9"/>
      <c r="CB1234" s="9"/>
      <c r="CC1234" s="9"/>
      <c r="CD1234" s="9"/>
      <c r="CE1234" s="9"/>
      <c r="CF1234" s="9"/>
      <c r="CG1234" s="9"/>
    </row>
    <row r="1235" spans="1:85" ht="18" customHeight="1" x14ac:dyDescent="0.3">
      <c r="A1235" s="9">
        <f t="shared" si="95"/>
        <v>1234</v>
      </c>
      <c r="B1235" s="9" t="str">
        <f t="shared" si="96"/>
        <v/>
      </c>
      <c r="C1235" s="9"/>
      <c r="D1235" s="9"/>
      <c r="E1235" s="9">
        <f t="shared" si="97"/>
        <v>0</v>
      </c>
      <c r="F1235" s="9"/>
      <c r="G1235" s="9"/>
      <c r="H1235" s="9"/>
      <c r="I1235" s="9"/>
      <c r="J1235" s="9"/>
      <c r="K1235" s="9"/>
      <c r="L1235" s="9"/>
      <c r="M1235" s="9"/>
      <c r="N1235" s="9" t="str">
        <f t="shared" si="98"/>
        <v>NO</v>
      </c>
      <c r="O1235" s="9" t="str">
        <f t="shared" si="99"/>
        <v>🟡</v>
      </c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9"/>
      <c r="AO1235" s="9"/>
      <c r="AP1235" s="9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  <c r="BA1235" s="9"/>
      <c r="BB1235" s="9"/>
      <c r="BC1235" s="9"/>
      <c r="BD1235" s="9"/>
      <c r="BE1235" s="9"/>
      <c r="BF1235" s="9"/>
      <c r="BG1235" s="9"/>
      <c r="BH1235" s="9"/>
      <c r="BI1235" s="9"/>
      <c r="BJ1235" s="9"/>
      <c r="BK1235" s="9"/>
      <c r="BL1235" s="9"/>
      <c r="BM1235" s="9"/>
      <c r="BN1235" s="9"/>
      <c r="BO1235" s="9"/>
      <c r="BP1235" s="9"/>
      <c r="BQ1235" s="9"/>
      <c r="BR1235" s="9"/>
      <c r="BS1235" s="9"/>
      <c r="BT1235" s="9"/>
      <c r="BU1235" s="9"/>
      <c r="BV1235" s="9"/>
      <c r="BW1235" s="9"/>
      <c r="BX1235" s="9"/>
      <c r="BY1235" s="9"/>
      <c r="BZ1235" s="9"/>
      <c r="CA1235" s="9"/>
      <c r="CB1235" s="9"/>
      <c r="CC1235" s="9"/>
      <c r="CD1235" s="9"/>
      <c r="CE1235" s="9"/>
      <c r="CF1235" s="9"/>
      <c r="CG1235" s="9"/>
    </row>
    <row r="1236" spans="1:85" ht="18" customHeight="1" x14ac:dyDescent="0.3">
      <c r="A1236" s="9">
        <f t="shared" si="95"/>
        <v>1235</v>
      </c>
      <c r="B1236" s="9" t="str">
        <f t="shared" si="96"/>
        <v/>
      </c>
      <c r="C1236" s="9"/>
      <c r="D1236" s="9"/>
      <c r="E1236" s="9">
        <f t="shared" si="97"/>
        <v>0</v>
      </c>
      <c r="F1236" s="9"/>
      <c r="G1236" s="9"/>
      <c r="H1236" s="9"/>
      <c r="I1236" s="9"/>
      <c r="J1236" s="9"/>
      <c r="K1236" s="9"/>
      <c r="L1236" s="9"/>
      <c r="M1236" s="9"/>
      <c r="N1236" s="9" t="str">
        <f t="shared" si="98"/>
        <v>NO</v>
      </c>
      <c r="O1236" s="9" t="str">
        <f t="shared" si="99"/>
        <v>🟡</v>
      </c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9"/>
      <c r="AO1236" s="9"/>
      <c r="AP1236" s="9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  <c r="BA1236" s="9"/>
      <c r="BB1236" s="9"/>
      <c r="BC1236" s="9"/>
      <c r="BD1236" s="9"/>
      <c r="BE1236" s="9"/>
      <c r="BF1236" s="9"/>
      <c r="BG1236" s="9"/>
      <c r="BH1236" s="9"/>
      <c r="BI1236" s="9"/>
      <c r="BJ1236" s="9"/>
      <c r="BK1236" s="9"/>
      <c r="BL1236" s="9"/>
      <c r="BM1236" s="9"/>
      <c r="BN1236" s="9"/>
      <c r="BO1236" s="9"/>
      <c r="BP1236" s="9"/>
      <c r="BQ1236" s="9"/>
      <c r="BR1236" s="9"/>
      <c r="BS1236" s="9"/>
      <c r="BT1236" s="9"/>
      <c r="BU1236" s="9"/>
      <c r="BV1236" s="9"/>
      <c r="BW1236" s="9"/>
      <c r="BX1236" s="9"/>
      <c r="BY1236" s="9"/>
      <c r="BZ1236" s="9"/>
      <c r="CA1236" s="9"/>
      <c r="CB1236" s="9"/>
      <c r="CC1236" s="9"/>
      <c r="CD1236" s="9"/>
      <c r="CE1236" s="9"/>
      <c r="CF1236" s="9"/>
      <c r="CG1236" s="9"/>
    </row>
    <row r="1237" spans="1:85" ht="18" customHeight="1" x14ac:dyDescent="0.3">
      <c r="A1237" s="9">
        <f t="shared" si="95"/>
        <v>1236</v>
      </c>
      <c r="B1237" s="9" t="str">
        <f t="shared" si="96"/>
        <v/>
      </c>
      <c r="C1237" s="9"/>
      <c r="D1237" s="9"/>
      <c r="E1237" s="9">
        <f t="shared" si="97"/>
        <v>0</v>
      </c>
      <c r="F1237" s="9"/>
      <c r="G1237" s="9"/>
      <c r="H1237" s="9"/>
      <c r="I1237" s="9"/>
      <c r="J1237" s="9"/>
      <c r="K1237" s="9"/>
      <c r="L1237" s="9"/>
      <c r="M1237" s="9"/>
      <c r="N1237" s="9" t="str">
        <f t="shared" si="98"/>
        <v>NO</v>
      </c>
      <c r="O1237" s="9" t="str">
        <f t="shared" si="99"/>
        <v>🟡</v>
      </c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9"/>
      <c r="AO1237" s="9"/>
      <c r="AP1237" s="9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  <c r="BA1237" s="9"/>
      <c r="BB1237" s="9"/>
      <c r="BC1237" s="9"/>
      <c r="BD1237" s="9"/>
      <c r="BE1237" s="9"/>
      <c r="BF1237" s="9"/>
      <c r="BG1237" s="9"/>
      <c r="BH1237" s="9"/>
      <c r="BI1237" s="9"/>
      <c r="BJ1237" s="9"/>
      <c r="BK1237" s="9"/>
      <c r="BL1237" s="9"/>
      <c r="BM1237" s="9"/>
      <c r="BN1237" s="9"/>
      <c r="BO1237" s="9"/>
      <c r="BP1237" s="9"/>
      <c r="BQ1237" s="9"/>
      <c r="BR1237" s="9"/>
      <c r="BS1237" s="9"/>
      <c r="BT1237" s="9"/>
      <c r="BU1237" s="9"/>
      <c r="BV1237" s="9"/>
      <c r="BW1237" s="9"/>
      <c r="BX1237" s="9"/>
      <c r="BY1237" s="9"/>
      <c r="BZ1237" s="9"/>
      <c r="CA1237" s="9"/>
      <c r="CB1237" s="9"/>
      <c r="CC1237" s="9"/>
      <c r="CD1237" s="9"/>
      <c r="CE1237" s="9"/>
      <c r="CF1237" s="9"/>
      <c r="CG1237" s="9"/>
    </row>
    <row r="1238" spans="1:85" ht="18" customHeight="1" x14ac:dyDescent="0.3">
      <c r="A1238" s="9">
        <f t="shared" si="95"/>
        <v>1237</v>
      </c>
      <c r="B1238" s="9" t="str">
        <f t="shared" si="96"/>
        <v/>
      </c>
      <c r="C1238" s="9"/>
      <c r="D1238" s="9"/>
      <c r="E1238" s="9">
        <f t="shared" si="97"/>
        <v>0</v>
      </c>
      <c r="F1238" s="9"/>
      <c r="G1238" s="9"/>
      <c r="H1238" s="9"/>
      <c r="I1238" s="9"/>
      <c r="J1238" s="9"/>
      <c r="K1238" s="9"/>
      <c r="L1238" s="9"/>
      <c r="M1238" s="9"/>
      <c r="N1238" s="9" t="str">
        <f t="shared" si="98"/>
        <v>NO</v>
      </c>
      <c r="O1238" s="9" t="str">
        <f t="shared" si="99"/>
        <v>🟡</v>
      </c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9"/>
      <c r="AO1238" s="9"/>
      <c r="AP1238" s="9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  <c r="BA1238" s="9"/>
      <c r="BB1238" s="9"/>
      <c r="BC1238" s="9"/>
      <c r="BD1238" s="9"/>
      <c r="BE1238" s="9"/>
      <c r="BF1238" s="9"/>
      <c r="BG1238" s="9"/>
      <c r="BH1238" s="9"/>
      <c r="BI1238" s="9"/>
      <c r="BJ1238" s="9"/>
      <c r="BK1238" s="9"/>
      <c r="BL1238" s="9"/>
      <c r="BM1238" s="9"/>
      <c r="BN1238" s="9"/>
      <c r="BO1238" s="9"/>
      <c r="BP1238" s="9"/>
      <c r="BQ1238" s="9"/>
      <c r="BR1238" s="9"/>
      <c r="BS1238" s="9"/>
      <c r="BT1238" s="9"/>
      <c r="BU1238" s="9"/>
      <c r="BV1238" s="9"/>
      <c r="BW1238" s="9"/>
      <c r="BX1238" s="9"/>
      <c r="BY1238" s="9"/>
      <c r="BZ1238" s="9"/>
      <c r="CA1238" s="9"/>
      <c r="CB1238" s="9"/>
      <c r="CC1238" s="9"/>
      <c r="CD1238" s="9"/>
      <c r="CE1238" s="9"/>
      <c r="CF1238" s="9"/>
      <c r="CG1238" s="9"/>
    </row>
    <row r="1239" spans="1:85" ht="18" customHeight="1" x14ac:dyDescent="0.3">
      <c r="A1239" s="9">
        <f t="shared" si="95"/>
        <v>1238</v>
      </c>
      <c r="B1239" s="9" t="str">
        <f t="shared" si="96"/>
        <v/>
      </c>
      <c r="C1239" s="9"/>
      <c r="D1239" s="9"/>
      <c r="E1239" s="9">
        <f t="shared" si="97"/>
        <v>0</v>
      </c>
      <c r="F1239" s="9"/>
      <c r="G1239" s="9"/>
      <c r="H1239" s="9"/>
      <c r="I1239" s="9"/>
      <c r="J1239" s="9"/>
      <c r="K1239" s="9"/>
      <c r="L1239" s="9"/>
      <c r="M1239" s="9"/>
      <c r="N1239" s="9" t="str">
        <f t="shared" si="98"/>
        <v>NO</v>
      </c>
      <c r="O1239" s="9" t="str">
        <f t="shared" si="99"/>
        <v>🟡</v>
      </c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9"/>
      <c r="AO1239" s="9"/>
      <c r="AP1239" s="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  <c r="BA1239" s="9"/>
      <c r="BB1239" s="9"/>
      <c r="BC1239" s="9"/>
      <c r="BD1239" s="9"/>
      <c r="BE1239" s="9"/>
      <c r="BF1239" s="9"/>
      <c r="BG1239" s="9"/>
      <c r="BH1239" s="9"/>
      <c r="BI1239" s="9"/>
      <c r="BJ1239" s="9"/>
      <c r="BK1239" s="9"/>
      <c r="BL1239" s="9"/>
      <c r="BM1239" s="9"/>
      <c r="BN1239" s="9"/>
      <c r="BO1239" s="9"/>
      <c r="BP1239" s="9"/>
      <c r="BQ1239" s="9"/>
      <c r="BR1239" s="9"/>
      <c r="BS1239" s="9"/>
      <c r="BT1239" s="9"/>
      <c r="BU1239" s="9"/>
      <c r="BV1239" s="9"/>
      <c r="BW1239" s="9"/>
      <c r="BX1239" s="9"/>
      <c r="BY1239" s="9"/>
      <c r="BZ1239" s="9"/>
      <c r="CA1239" s="9"/>
      <c r="CB1239" s="9"/>
      <c r="CC1239" s="9"/>
      <c r="CD1239" s="9"/>
      <c r="CE1239" s="9"/>
      <c r="CF1239" s="9"/>
      <c r="CG1239" s="9"/>
    </row>
    <row r="1240" spans="1:85" ht="18" customHeight="1" x14ac:dyDescent="0.3">
      <c r="A1240" s="9">
        <f t="shared" si="95"/>
        <v>1239</v>
      </c>
      <c r="B1240" s="9" t="str">
        <f t="shared" si="96"/>
        <v/>
      </c>
      <c r="C1240" s="9"/>
      <c r="D1240" s="9"/>
      <c r="E1240" s="9">
        <f t="shared" si="97"/>
        <v>0</v>
      </c>
      <c r="F1240" s="9"/>
      <c r="G1240" s="9"/>
      <c r="H1240" s="9"/>
      <c r="I1240" s="9"/>
      <c r="J1240" s="9"/>
      <c r="K1240" s="9"/>
      <c r="L1240" s="9"/>
      <c r="M1240" s="9"/>
      <c r="N1240" s="9" t="str">
        <f t="shared" si="98"/>
        <v>NO</v>
      </c>
      <c r="O1240" s="9" t="str">
        <f t="shared" si="99"/>
        <v>🟡</v>
      </c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9"/>
      <c r="AO1240" s="9"/>
      <c r="AP1240" s="9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  <c r="BA1240" s="9"/>
      <c r="BB1240" s="9"/>
      <c r="BC1240" s="9"/>
      <c r="BD1240" s="9"/>
      <c r="BE1240" s="9"/>
      <c r="BF1240" s="9"/>
      <c r="BG1240" s="9"/>
      <c r="BH1240" s="9"/>
      <c r="BI1240" s="9"/>
      <c r="BJ1240" s="9"/>
      <c r="BK1240" s="9"/>
      <c r="BL1240" s="9"/>
      <c r="BM1240" s="9"/>
      <c r="BN1240" s="9"/>
      <c r="BO1240" s="9"/>
      <c r="BP1240" s="9"/>
      <c r="BQ1240" s="9"/>
      <c r="BR1240" s="9"/>
      <c r="BS1240" s="9"/>
      <c r="BT1240" s="9"/>
      <c r="BU1240" s="9"/>
      <c r="BV1240" s="9"/>
      <c r="BW1240" s="9"/>
      <c r="BX1240" s="9"/>
      <c r="BY1240" s="9"/>
      <c r="BZ1240" s="9"/>
      <c r="CA1240" s="9"/>
      <c r="CB1240" s="9"/>
      <c r="CC1240" s="9"/>
      <c r="CD1240" s="9"/>
      <c r="CE1240" s="9"/>
      <c r="CF1240" s="9"/>
      <c r="CG1240" s="9"/>
    </row>
    <row r="1241" spans="1:85" ht="18" customHeight="1" x14ac:dyDescent="0.3">
      <c r="A1241" s="9">
        <f t="shared" si="95"/>
        <v>1240</v>
      </c>
      <c r="B1241" s="9" t="str">
        <f t="shared" si="96"/>
        <v/>
      </c>
      <c r="C1241" s="9"/>
      <c r="D1241" s="9"/>
      <c r="E1241" s="9">
        <f t="shared" si="97"/>
        <v>0</v>
      </c>
      <c r="F1241" s="9"/>
      <c r="G1241" s="9"/>
      <c r="H1241" s="9"/>
      <c r="I1241" s="9"/>
      <c r="J1241" s="9"/>
      <c r="K1241" s="9"/>
      <c r="L1241" s="9"/>
      <c r="M1241" s="9"/>
      <c r="N1241" s="9" t="str">
        <f t="shared" si="98"/>
        <v>NO</v>
      </c>
      <c r="O1241" s="9" t="str">
        <f t="shared" si="99"/>
        <v>🟡</v>
      </c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9"/>
      <c r="AO1241" s="9"/>
      <c r="AP1241" s="9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  <c r="BA1241" s="9"/>
      <c r="BB1241" s="9"/>
      <c r="BC1241" s="9"/>
      <c r="BD1241" s="9"/>
      <c r="BE1241" s="9"/>
      <c r="BF1241" s="9"/>
      <c r="BG1241" s="9"/>
      <c r="BH1241" s="9"/>
      <c r="BI1241" s="9"/>
      <c r="BJ1241" s="9"/>
      <c r="BK1241" s="9"/>
      <c r="BL1241" s="9"/>
      <c r="BM1241" s="9"/>
      <c r="BN1241" s="9"/>
      <c r="BO1241" s="9"/>
      <c r="BP1241" s="9"/>
      <c r="BQ1241" s="9"/>
      <c r="BR1241" s="9"/>
      <c r="BS1241" s="9"/>
      <c r="BT1241" s="9"/>
      <c r="BU1241" s="9"/>
      <c r="BV1241" s="9"/>
      <c r="BW1241" s="9"/>
      <c r="BX1241" s="9"/>
      <c r="BY1241" s="9"/>
      <c r="BZ1241" s="9"/>
      <c r="CA1241" s="9"/>
      <c r="CB1241" s="9"/>
      <c r="CC1241" s="9"/>
      <c r="CD1241" s="9"/>
      <c r="CE1241" s="9"/>
      <c r="CF1241" s="9"/>
      <c r="CG1241" s="9"/>
    </row>
    <row r="1242" spans="1:85" ht="18" customHeight="1" x14ac:dyDescent="0.3">
      <c r="A1242" s="9">
        <f t="shared" si="95"/>
        <v>1241</v>
      </c>
      <c r="B1242" s="9" t="str">
        <f t="shared" si="96"/>
        <v/>
      </c>
      <c r="C1242" s="9"/>
      <c r="D1242" s="9"/>
      <c r="E1242" s="9">
        <f t="shared" si="97"/>
        <v>0</v>
      </c>
      <c r="F1242" s="9"/>
      <c r="G1242" s="9"/>
      <c r="H1242" s="9"/>
      <c r="I1242" s="9"/>
      <c r="J1242" s="9"/>
      <c r="K1242" s="9"/>
      <c r="L1242" s="9"/>
      <c r="M1242" s="9"/>
      <c r="N1242" s="9" t="str">
        <f t="shared" si="98"/>
        <v>NO</v>
      </c>
      <c r="O1242" s="9" t="str">
        <f t="shared" si="99"/>
        <v>🟡</v>
      </c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9"/>
      <c r="AO1242" s="9"/>
      <c r="AP1242" s="9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  <c r="BA1242" s="9"/>
      <c r="BB1242" s="9"/>
      <c r="BC1242" s="9"/>
      <c r="BD1242" s="9"/>
      <c r="BE1242" s="9"/>
      <c r="BF1242" s="9"/>
      <c r="BG1242" s="9"/>
      <c r="BH1242" s="9"/>
      <c r="BI1242" s="9"/>
      <c r="BJ1242" s="9"/>
      <c r="BK1242" s="9"/>
      <c r="BL1242" s="9"/>
      <c r="BM1242" s="9"/>
      <c r="BN1242" s="9"/>
      <c r="BO1242" s="9"/>
      <c r="BP1242" s="9"/>
      <c r="BQ1242" s="9"/>
      <c r="BR1242" s="9"/>
      <c r="BS1242" s="9"/>
      <c r="BT1242" s="9"/>
      <c r="BU1242" s="9"/>
      <c r="BV1242" s="9"/>
      <c r="BW1242" s="9"/>
      <c r="BX1242" s="9"/>
      <c r="BY1242" s="9"/>
      <c r="BZ1242" s="9"/>
      <c r="CA1242" s="9"/>
      <c r="CB1242" s="9"/>
      <c r="CC1242" s="9"/>
      <c r="CD1242" s="9"/>
      <c r="CE1242" s="9"/>
      <c r="CF1242" s="9"/>
      <c r="CG1242" s="9"/>
    </row>
    <row r="1243" spans="1:85" ht="18" customHeight="1" x14ac:dyDescent="0.3">
      <c r="A1243" s="9">
        <f t="shared" si="95"/>
        <v>1242</v>
      </c>
      <c r="B1243" s="9" t="str">
        <f t="shared" si="96"/>
        <v/>
      </c>
      <c r="C1243" s="9"/>
      <c r="D1243" s="9"/>
      <c r="E1243" s="9">
        <f t="shared" si="97"/>
        <v>0</v>
      </c>
      <c r="F1243" s="9"/>
      <c r="G1243" s="9"/>
      <c r="H1243" s="9"/>
      <c r="I1243" s="9"/>
      <c r="J1243" s="9"/>
      <c r="K1243" s="9"/>
      <c r="L1243" s="9"/>
      <c r="M1243" s="9"/>
      <c r="N1243" s="9" t="str">
        <f t="shared" si="98"/>
        <v>NO</v>
      </c>
      <c r="O1243" s="9" t="str">
        <f t="shared" si="99"/>
        <v>🟡</v>
      </c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9"/>
      <c r="AO1243" s="9"/>
      <c r="AP1243" s="9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  <c r="BA1243" s="9"/>
      <c r="BB1243" s="9"/>
      <c r="BC1243" s="9"/>
      <c r="BD1243" s="9"/>
      <c r="BE1243" s="9"/>
      <c r="BF1243" s="9"/>
      <c r="BG1243" s="9"/>
      <c r="BH1243" s="9"/>
      <c r="BI1243" s="9"/>
      <c r="BJ1243" s="9"/>
      <c r="BK1243" s="9"/>
      <c r="BL1243" s="9"/>
      <c r="BM1243" s="9"/>
      <c r="BN1243" s="9"/>
      <c r="BO1243" s="9"/>
      <c r="BP1243" s="9"/>
      <c r="BQ1243" s="9"/>
      <c r="BR1243" s="9"/>
      <c r="BS1243" s="9"/>
      <c r="BT1243" s="9"/>
      <c r="BU1243" s="9"/>
      <c r="BV1243" s="9"/>
      <c r="BW1243" s="9"/>
      <c r="BX1243" s="9"/>
      <c r="BY1243" s="9"/>
      <c r="BZ1243" s="9"/>
      <c r="CA1243" s="9"/>
      <c r="CB1243" s="9"/>
      <c r="CC1243" s="9"/>
      <c r="CD1243" s="9"/>
      <c r="CE1243" s="9"/>
      <c r="CF1243" s="9"/>
      <c r="CG1243" s="9"/>
    </row>
    <row r="1244" spans="1:85" ht="18" customHeight="1" x14ac:dyDescent="0.3">
      <c r="A1244" s="9">
        <f t="shared" si="95"/>
        <v>1243</v>
      </c>
      <c r="B1244" s="9" t="str">
        <f t="shared" si="96"/>
        <v/>
      </c>
      <c r="C1244" s="9"/>
      <c r="D1244" s="9"/>
      <c r="E1244" s="9">
        <f t="shared" si="97"/>
        <v>0</v>
      </c>
      <c r="F1244" s="9"/>
      <c r="G1244" s="9"/>
      <c r="H1244" s="9"/>
      <c r="I1244" s="9"/>
      <c r="J1244" s="9"/>
      <c r="K1244" s="9"/>
      <c r="L1244" s="9"/>
      <c r="M1244" s="9"/>
      <c r="N1244" s="9" t="str">
        <f t="shared" si="98"/>
        <v>NO</v>
      </c>
      <c r="O1244" s="9" t="str">
        <f t="shared" si="99"/>
        <v>🟡</v>
      </c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9"/>
      <c r="AO1244" s="9"/>
      <c r="AP1244" s="9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  <c r="BA1244" s="9"/>
      <c r="BB1244" s="9"/>
      <c r="BC1244" s="9"/>
      <c r="BD1244" s="9"/>
      <c r="BE1244" s="9"/>
      <c r="BF1244" s="9"/>
      <c r="BG1244" s="9"/>
      <c r="BH1244" s="9"/>
      <c r="BI1244" s="9"/>
      <c r="BJ1244" s="9"/>
      <c r="BK1244" s="9"/>
      <c r="BL1244" s="9"/>
      <c r="BM1244" s="9"/>
      <c r="BN1244" s="9"/>
      <c r="BO1244" s="9"/>
      <c r="BP1244" s="9"/>
      <c r="BQ1244" s="9"/>
      <c r="BR1244" s="9"/>
      <c r="BS1244" s="9"/>
      <c r="BT1244" s="9"/>
      <c r="BU1244" s="9"/>
      <c r="BV1244" s="9"/>
      <c r="BW1244" s="9"/>
      <c r="BX1244" s="9"/>
      <c r="BY1244" s="9"/>
      <c r="BZ1244" s="9"/>
      <c r="CA1244" s="9"/>
      <c r="CB1244" s="9"/>
      <c r="CC1244" s="9"/>
      <c r="CD1244" s="9"/>
      <c r="CE1244" s="9"/>
      <c r="CF1244" s="9"/>
      <c r="CG1244" s="9"/>
    </row>
    <row r="1245" spans="1:85" ht="18" customHeight="1" x14ac:dyDescent="0.3">
      <c r="A1245" s="9">
        <f t="shared" si="95"/>
        <v>1244</v>
      </c>
      <c r="B1245" s="9" t="str">
        <f t="shared" si="96"/>
        <v/>
      </c>
      <c r="C1245" s="9"/>
      <c r="D1245" s="9"/>
      <c r="E1245" s="9">
        <f t="shared" si="97"/>
        <v>0</v>
      </c>
      <c r="F1245" s="9"/>
      <c r="G1245" s="9"/>
      <c r="H1245" s="9"/>
      <c r="I1245" s="9"/>
      <c r="J1245" s="9"/>
      <c r="K1245" s="9"/>
      <c r="L1245" s="9"/>
      <c r="M1245" s="9"/>
      <c r="N1245" s="9" t="str">
        <f t="shared" si="98"/>
        <v>NO</v>
      </c>
      <c r="O1245" s="9" t="str">
        <f t="shared" si="99"/>
        <v>🟡</v>
      </c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9"/>
      <c r="AO1245" s="9"/>
      <c r="AP1245" s="9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  <c r="BA1245" s="9"/>
      <c r="BB1245" s="9"/>
      <c r="BC1245" s="9"/>
      <c r="BD1245" s="9"/>
      <c r="BE1245" s="9"/>
      <c r="BF1245" s="9"/>
      <c r="BG1245" s="9"/>
      <c r="BH1245" s="9"/>
      <c r="BI1245" s="9"/>
      <c r="BJ1245" s="9"/>
      <c r="BK1245" s="9"/>
      <c r="BL1245" s="9"/>
      <c r="BM1245" s="9"/>
      <c r="BN1245" s="9"/>
      <c r="BO1245" s="9"/>
      <c r="BP1245" s="9"/>
      <c r="BQ1245" s="9"/>
      <c r="BR1245" s="9"/>
      <c r="BS1245" s="9"/>
      <c r="BT1245" s="9"/>
      <c r="BU1245" s="9"/>
      <c r="BV1245" s="9"/>
      <c r="BW1245" s="9"/>
      <c r="BX1245" s="9"/>
      <c r="BY1245" s="9"/>
      <c r="BZ1245" s="9"/>
      <c r="CA1245" s="9"/>
      <c r="CB1245" s="9"/>
      <c r="CC1245" s="9"/>
      <c r="CD1245" s="9"/>
      <c r="CE1245" s="9"/>
      <c r="CF1245" s="9"/>
      <c r="CG1245" s="9"/>
    </row>
    <row r="1246" spans="1:85" ht="18" customHeight="1" x14ac:dyDescent="0.3">
      <c r="A1246" s="9">
        <f t="shared" si="95"/>
        <v>1245</v>
      </c>
      <c r="B1246" s="9" t="str">
        <f t="shared" si="96"/>
        <v/>
      </c>
      <c r="C1246" s="9"/>
      <c r="D1246" s="9"/>
      <c r="E1246" s="9">
        <f t="shared" si="97"/>
        <v>0</v>
      </c>
      <c r="F1246" s="9"/>
      <c r="G1246" s="9"/>
      <c r="H1246" s="9"/>
      <c r="I1246" s="9"/>
      <c r="J1246" s="9"/>
      <c r="K1246" s="9"/>
      <c r="L1246" s="9"/>
      <c r="M1246" s="9"/>
      <c r="N1246" s="9" t="str">
        <f t="shared" si="98"/>
        <v>NO</v>
      </c>
      <c r="O1246" s="9" t="str">
        <f t="shared" si="99"/>
        <v>🟡</v>
      </c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9"/>
      <c r="AO1246" s="9"/>
      <c r="AP1246" s="9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  <c r="BA1246" s="9"/>
      <c r="BB1246" s="9"/>
      <c r="BC1246" s="9"/>
      <c r="BD1246" s="9"/>
      <c r="BE1246" s="9"/>
      <c r="BF1246" s="9"/>
      <c r="BG1246" s="9"/>
      <c r="BH1246" s="9"/>
      <c r="BI1246" s="9"/>
      <c r="BJ1246" s="9"/>
      <c r="BK1246" s="9"/>
      <c r="BL1246" s="9"/>
      <c r="BM1246" s="9"/>
      <c r="BN1246" s="9"/>
      <c r="BO1246" s="9"/>
      <c r="BP1246" s="9"/>
      <c r="BQ1246" s="9"/>
      <c r="BR1246" s="9"/>
      <c r="BS1246" s="9"/>
      <c r="BT1246" s="9"/>
      <c r="BU1246" s="9"/>
      <c r="BV1246" s="9"/>
      <c r="BW1246" s="9"/>
      <c r="BX1246" s="9"/>
      <c r="BY1246" s="9"/>
      <c r="BZ1246" s="9"/>
      <c r="CA1246" s="9"/>
      <c r="CB1246" s="9"/>
      <c r="CC1246" s="9"/>
      <c r="CD1246" s="9"/>
      <c r="CE1246" s="9"/>
      <c r="CF1246" s="9"/>
      <c r="CG1246" s="9"/>
    </row>
    <row r="1247" spans="1:85" ht="18" customHeight="1" x14ac:dyDescent="0.3">
      <c r="A1247" s="9">
        <f t="shared" si="95"/>
        <v>1246</v>
      </c>
      <c r="B1247" s="9" t="str">
        <f t="shared" si="96"/>
        <v/>
      </c>
      <c r="C1247" s="9"/>
      <c r="D1247" s="9"/>
      <c r="E1247" s="9">
        <f t="shared" si="97"/>
        <v>0</v>
      </c>
      <c r="F1247" s="9"/>
      <c r="G1247" s="9"/>
      <c r="H1247" s="9"/>
      <c r="I1247" s="9"/>
      <c r="J1247" s="9"/>
      <c r="K1247" s="9"/>
      <c r="L1247" s="9"/>
      <c r="M1247" s="9"/>
      <c r="N1247" s="9" t="str">
        <f t="shared" si="98"/>
        <v>NO</v>
      </c>
      <c r="O1247" s="9" t="str">
        <f t="shared" si="99"/>
        <v>🟡</v>
      </c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9"/>
      <c r="AO1247" s="9"/>
      <c r="AP1247" s="9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  <c r="BA1247" s="9"/>
      <c r="BB1247" s="9"/>
      <c r="BC1247" s="9"/>
      <c r="BD1247" s="9"/>
      <c r="BE1247" s="9"/>
      <c r="BF1247" s="9"/>
      <c r="BG1247" s="9"/>
      <c r="BH1247" s="9"/>
      <c r="BI1247" s="9"/>
      <c r="BJ1247" s="9"/>
      <c r="BK1247" s="9"/>
      <c r="BL1247" s="9"/>
      <c r="BM1247" s="9"/>
      <c r="BN1247" s="9"/>
      <c r="BO1247" s="9"/>
      <c r="BP1247" s="9"/>
      <c r="BQ1247" s="9"/>
      <c r="BR1247" s="9"/>
      <c r="BS1247" s="9"/>
      <c r="BT1247" s="9"/>
      <c r="BU1247" s="9"/>
      <c r="BV1247" s="9"/>
      <c r="BW1247" s="9"/>
      <c r="BX1247" s="9"/>
      <c r="BY1247" s="9"/>
      <c r="BZ1247" s="9"/>
      <c r="CA1247" s="9"/>
      <c r="CB1247" s="9"/>
      <c r="CC1247" s="9"/>
      <c r="CD1247" s="9"/>
      <c r="CE1247" s="9"/>
      <c r="CF1247" s="9"/>
      <c r="CG1247" s="9"/>
    </row>
    <row r="1248" spans="1:85" ht="18" customHeight="1" x14ac:dyDescent="0.3">
      <c r="A1248" s="9">
        <f t="shared" si="95"/>
        <v>1247</v>
      </c>
      <c r="B1248" s="9" t="str">
        <f t="shared" si="96"/>
        <v/>
      </c>
      <c r="C1248" s="9"/>
      <c r="D1248" s="9"/>
      <c r="E1248" s="9">
        <f t="shared" si="97"/>
        <v>0</v>
      </c>
      <c r="F1248" s="9"/>
      <c r="G1248" s="9"/>
      <c r="H1248" s="9"/>
      <c r="I1248" s="9"/>
      <c r="J1248" s="9"/>
      <c r="K1248" s="9"/>
      <c r="L1248" s="9"/>
      <c r="M1248" s="9"/>
      <c r="N1248" s="9" t="str">
        <f t="shared" si="98"/>
        <v>NO</v>
      </c>
      <c r="O1248" s="9" t="str">
        <f t="shared" si="99"/>
        <v>🟡</v>
      </c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9"/>
      <c r="AO1248" s="9"/>
      <c r="AP1248" s="9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  <c r="BA1248" s="9"/>
      <c r="BB1248" s="9"/>
      <c r="BC1248" s="9"/>
      <c r="BD1248" s="9"/>
      <c r="BE1248" s="9"/>
      <c r="BF1248" s="9"/>
      <c r="BG1248" s="9"/>
      <c r="BH1248" s="9"/>
      <c r="BI1248" s="9"/>
      <c r="BJ1248" s="9"/>
      <c r="BK1248" s="9"/>
      <c r="BL1248" s="9"/>
      <c r="BM1248" s="9"/>
      <c r="BN1248" s="9"/>
      <c r="BO1248" s="9"/>
      <c r="BP1248" s="9"/>
      <c r="BQ1248" s="9"/>
      <c r="BR1248" s="9"/>
      <c r="BS1248" s="9"/>
      <c r="BT1248" s="9"/>
      <c r="BU1248" s="9"/>
      <c r="BV1248" s="9"/>
      <c r="BW1248" s="9"/>
      <c r="BX1248" s="9"/>
      <c r="BY1248" s="9"/>
      <c r="BZ1248" s="9"/>
      <c r="CA1248" s="9"/>
      <c r="CB1248" s="9"/>
      <c r="CC1248" s="9"/>
      <c r="CD1248" s="9"/>
      <c r="CE1248" s="9"/>
      <c r="CF1248" s="9"/>
      <c r="CG1248" s="9"/>
    </row>
    <row r="1249" spans="1:85" ht="18" customHeight="1" x14ac:dyDescent="0.3">
      <c r="A1249" s="9">
        <f t="shared" si="95"/>
        <v>1248</v>
      </c>
      <c r="B1249" s="9" t="str">
        <f t="shared" si="96"/>
        <v/>
      </c>
      <c r="C1249" s="9"/>
      <c r="D1249" s="9"/>
      <c r="E1249" s="9">
        <f t="shared" si="97"/>
        <v>0</v>
      </c>
      <c r="F1249" s="9"/>
      <c r="G1249" s="9"/>
      <c r="H1249" s="9"/>
      <c r="I1249" s="9"/>
      <c r="J1249" s="9"/>
      <c r="K1249" s="9"/>
      <c r="L1249" s="9"/>
      <c r="M1249" s="9"/>
      <c r="N1249" s="9" t="str">
        <f t="shared" si="98"/>
        <v>NO</v>
      </c>
      <c r="O1249" s="9" t="str">
        <f t="shared" si="99"/>
        <v>🟡</v>
      </c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9"/>
      <c r="AO1249" s="9"/>
      <c r="AP1249" s="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  <c r="BA1249" s="9"/>
      <c r="BB1249" s="9"/>
      <c r="BC1249" s="9"/>
      <c r="BD1249" s="9"/>
      <c r="BE1249" s="9"/>
      <c r="BF1249" s="9"/>
      <c r="BG1249" s="9"/>
      <c r="BH1249" s="9"/>
      <c r="BI1249" s="9"/>
      <c r="BJ1249" s="9"/>
      <c r="BK1249" s="9"/>
      <c r="BL1249" s="9"/>
      <c r="BM1249" s="9"/>
      <c r="BN1249" s="9"/>
      <c r="BO1249" s="9"/>
      <c r="BP1249" s="9"/>
      <c r="BQ1249" s="9"/>
      <c r="BR1249" s="9"/>
      <c r="BS1249" s="9"/>
      <c r="BT1249" s="9"/>
      <c r="BU1249" s="9"/>
      <c r="BV1249" s="9"/>
      <c r="BW1249" s="9"/>
      <c r="BX1249" s="9"/>
      <c r="BY1249" s="9"/>
      <c r="BZ1249" s="9"/>
      <c r="CA1249" s="9"/>
      <c r="CB1249" s="9"/>
      <c r="CC1249" s="9"/>
      <c r="CD1249" s="9"/>
      <c r="CE1249" s="9"/>
      <c r="CF1249" s="9"/>
      <c r="CG1249" s="9"/>
    </row>
    <row r="1250" spans="1:85" ht="18" customHeight="1" x14ac:dyDescent="0.3">
      <c r="A1250" s="9">
        <f t="shared" si="95"/>
        <v>1249</v>
      </c>
      <c r="B1250" s="9" t="str">
        <f t="shared" si="96"/>
        <v/>
      </c>
      <c r="C1250" s="9"/>
      <c r="D1250" s="9"/>
      <c r="E1250" s="9">
        <f t="shared" si="97"/>
        <v>0</v>
      </c>
      <c r="F1250" s="9"/>
      <c r="G1250" s="9"/>
      <c r="H1250" s="9"/>
      <c r="I1250" s="9"/>
      <c r="J1250" s="9"/>
      <c r="K1250" s="9"/>
      <c r="L1250" s="9"/>
      <c r="M1250" s="9"/>
      <c r="N1250" s="9" t="str">
        <f t="shared" si="98"/>
        <v>NO</v>
      </c>
      <c r="O1250" s="9" t="str">
        <f t="shared" si="99"/>
        <v>🟡</v>
      </c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9"/>
      <c r="AO1250" s="9"/>
      <c r="AP1250" s="9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  <c r="BA1250" s="9"/>
      <c r="BB1250" s="9"/>
      <c r="BC1250" s="9"/>
      <c r="BD1250" s="9"/>
      <c r="BE1250" s="9"/>
      <c r="BF1250" s="9"/>
      <c r="BG1250" s="9"/>
      <c r="BH1250" s="9"/>
      <c r="BI1250" s="9"/>
      <c r="BJ1250" s="9"/>
      <c r="BK1250" s="9"/>
      <c r="BL1250" s="9"/>
      <c r="BM1250" s="9"/>
      <c r="BN1250" s="9"/>
      <c r="BO1250" s="9"/>
      <c r="BP1250" s="9"/>
      <c r="BQ1250" s="9"/>
      <c r="BR1250" s="9"/>
      <c r="BS1250" s="9"/>
      <c r="BT1250" s="9"/>
      <c r="BU1250" s="9"/>
      <c r="BV1250" s="9"/>
      <c r="BW1250" s="9"/>
      <c r="BX1250" s="9"/>
      <c r="BY1250" s="9"/>
      <c r="BZ1250" s="9"/>
      <c r="CA1250" s="9"/>
      <c r="CB1250" s="9"/>
      <c r="CC1250" s="9"/>
      <c r="CD1250" s="9"/>
      <c r="CE1250" s="9"/>
      <c r="CF1250" s="9"/>
      <c r="CG1250" s="9"/>
    </row>
    <row r="1251" spans="1:85" ht="18" customHeight="1" x14ac:dyDescent="0.3">
      <c r="A1251" s="9">
        <f t="shared" si="95"/>
        <v>1250</v>
      </c>
      <c r="B1251" s="9" t="str">
        <f t="shared" si="96"/>
        <v/>
      </c>
      <c r="C1251" s="9"/>
      <c r="D1251" s="9"/>
      <c r="E1251" s="9">
        <f t="shared" si="97"/>
        <v>0</v>
      </c>
      <c r="F1251" s="9"/>
      <c r="G1251" s="9"/>
      <c r="H1251" s="9"/>
      <c r="I1251" s="9"/>
      <c r="J1251" s="9"/>
      <c r="K1251" s="9"/>
      <c r="L1251" s="9"/>
      <c r="M1251" s="9"/>
      <c r="N1251" s="9" t="str">
        <f t="shared" si="98"/>
        <v>NO</v>
      </c>
      <c r="O1251" s="9" t="str">
        <f t="shared" si="99"/>
        <v>🟡</v>
      </c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9"/>
      <c r="AO1251" s="9"/>
      <c r="AP1251" s="9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  <c r="BA1251" s="9"/>
      <c r="BB1251" s="9"/>
      <c r="BC1251" s="9"/>
      <c r="BD1251" s="9"/>
      <c r="BE1251" s="9"/>
      <c r="BF1251" s="9"/>
      <c r="BG1251" s="9"/>
      <c r="BH1251" s="9"/>
      <c r="BI1251" s="9"/>
      <c r="BJ1251" s="9"/>
      <c r="BK1251" s="9"/>
      <c r="BL1251" s="9"/>
      <c r="BM1251" s="9"/>
      <c r="BN1251" s="9"/>
      <c r="BO1251" s="9"/>
      <c r="BP1251" s="9"/>
      <c r="BQ1251" s="9"/>
      <c r="BR1251" s="9"/>
      <c r="BS1251" s="9"/>
      <c r="BT1251" s="9"/>
      <c r="BU1251" s="9"/>
      <c r="BV1251" s="9"/>
      <c r="BW1251" s="9"/>
      <c r="BX1251" s="9"/>
      <c r="BY1251" s="9"/>
      <c r="BZ1251" s="9"/>
      <c r="CA1251" s="9"/>
      <c r="CB1251" s="9"/>
      <c r="CC1251" s="9"/>
      <c r="CD1251" s="9"/>
      <c r="CE1251" s="9"/>
      <c r="CF1251" s="9"/>
      <c r="CG1251" s="9"/>
    </row>
    <row r="1252" spans="1:85" ht="18" customHeight="1" x14ac:dyDescent="0.3">
      <c r="A1252" s="9">
        <f t="shared" si="95"/>
        <v>1251</v>
      </c>
      <c r="B1252" s="9" t="str">
        <f t="shared" si="96"/>
        <v/>
      </c>
      <c r="C1252" s="9"/>
      <c r="D1252" s="9"/>
      <c r="E1252" s="9">
        <f t="shared" si="97"/>
        <v>0</v>
      </c>
      <c r="F1252" s="9"/>
      <c r="G1252" s="9"/>
      <c r="H1252" s="9"/>
      <c r="I1252" s="9"/>
      <c r="J1252" s="9"/>
      <c r="K1252" s="9"/>
      <c r="L1252" s="9"/>
      <c r="M1252" s="9"/>
      <c r="N1252" s="9" t="str">
        <f t="shared" si="98"/>
        <v>NO</v>
      </c>
      <c r="O1252" s="9" t="str">
        <f t="shared" si="99"/>
        <v>🟡</v>
      </c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9"/>
      <c r="BD1252" s="9"/>
      <c r="BE1252" s="9"/>
      <c r="BF1252" s="9"/>
      <c r="BG1252" s="9"/>
      <c r="BH1252" s="9"/>
      <c r="BI1252" s="9"/>
      <c r="BJ1252" s="9"/>
      <c r="BK1252" s="9"/>
      <c r="BL1252" s="9"/>
      <c r="BM1252" s="9"/>
      <c r="BN1252" s="9"/>
      <c r="BO1252" s="9"/>
      <c r="BP1252" s="9"/>
      <c r="BQ1252" s="9"/>
      <c r="BR1252" s="9"/>
      <c r="BS1252" s="9"/>
      <c r="BT1252" s="9"/>
      <c r="BU1252" s="9"/>
      <c r="BV1252" s="9"/>
      <c r="BW1252" s="9"/>
      <c r="BX1252" s="9"/>
      <c r="BY1252" s="9"/>
      <c r="BZ1252" s="9"/>
      <c r="CA1252" s="9"/>
      <c r="CB1252" s="9"/>
      <c r="CC1252" s="9"/>
      <c r="CD1252" s="9"/>
      <c r="CE1252" s="9"/>
      <c r="CF1252" s="9"/>
      <c r="CG1252" s="9"/>
    </row>
    <row r="1253" spans="1:85" ht="18" customHeight="1" x14ac:dyDescent="0.3">
      <c r="A1253" s="9">
        <f t="shared" si="95"/>
        <v>1252</v>
      </c>
      <c r="B1253" s="9" t="str">
        <f t="shared" si="96"/>
        <v/>
      </c>
      <c r="C1253" s="9"/>
      <c r="D1253" s="9"/>
      <c r="E1253" s="9">
        <f t="shared" si="97"/>
        <v>0</v>
      </c>
      <c r="F1253" s="9"/>
      <c r="G1253" s="9"/>
      <c r="H1253" s="9"/>
      <c r="I1253" s="9"/>
      <c r="J1253" s="9"/>
      <c r="K1253" s="9"/>
      <c r="L1253" s="9"/>
      <c r="M1253" s="9"/>
      <c r="N1253" s="9" t="str">
        <f t="shared" si="98"/>
        <v>NO</v>
      </c>
      <c r="O1253" s="9" t="str">
        <f t="shared" si="99"/>
        <v>🟡</v>
      </c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9"/>
      <c r="AO1253" s="9"/>
      <c r="AP1253" s="9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  <c r="BA1253" s="9"/>
      <c r="BB1253" s="9"/>
      <c r="BC1253" s="9"/>
      <c r="BD1253" s="9"/>
      <c r="BE1253" s="9"/>
      <c r="BF1253" s="9"/>
      <c r="BG1253" s="9"/>
      <c r="BH1253" s="9"/>
      <c r="BI1253" s="9"/>
      <c r="BJ1253" s="9"/>
      <c r="BK1253" s="9"/>
      <c r="BL1253" s="9"/>
      <c r="BM1253" s="9"/>
      <c r="BN1253" s="9"/>
      <c r="BO1253" s="9"/>
      <c r="BP1253" s="9"/>
      <c r="BQ1253" s="9"/>
      <c r="BR1253" s="9"/>
      <c r="BS1253" s="9"/>
      <c r="BT1253" s="9"/>
      <c r="BU1253" s="9"/>
      <c r="BV1253" s="9"/>
      <c r="BW1253" s="9"/>
      <c r="BX1253" s="9"/>
      <c r="BY1253" s="9"/>
      <c r="BZ1253" s="9"/>
      <c r="CA1253" s="9"/>
      <c r="CB1253" s="9"/>
      <c r="CC1253" s="9"/>
      <c r="CD1253" s="9"/>
      <c r="CE1253" s="9"/>
      <c r="CF1253" s="9"/>
      <c r="CG1253" s="9"/>
    </row>
    <row r="1254" spans="1:85" ht="18" customHeight="1" x14ac:dyDescent="0.3">
      <c r="A1254" s="9">
        <f t="shared" si="95"/>
        <v>1253</v>
      </c>
      <c r="B1254" s="9" t="str">
        <f t="shared" si="96"/>
        <v/>
      </c>
      <c r="C1254" s="9"/>
      <c r="D1254" s="9"/>
      <c r="E1254" s="9">
        <f t="shared" si="97"/>
        <v>0</v>
      </c>
      <c r="F1254" s="9"/>
      <c r="G1254" s="9"/>
      <c r="H1254" s="9"/>
      <c r="I1254" s="9"/>
      <c r="J1254" s="9"/>
      <c r="K1254" s="9"/>
      <c r="L1254" s="9"/>
      <c r="M1254" s="9"/>
      <c r="N1254" s="9" t="str">
        <f t="shared" si="98"/>
        <v>NO</v>
      </c>
      <c r="O1254" s="9" t="str">
        <f t="shared" si="99"/>
        <v>🟡</v>
      </c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9"/>
      <c r="AO1254" s="9"/>
      <c r="AP1254" s="9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  <c r="BA1254" s="9"/>
      <c r="BB1254" s="9"/>
      <c r="BC1254" s="9"/>
      <c r="BD1254" s="9"/>
      <c r="BE1254" s="9"/>
      <c r="BF1254" s="9"/>
      <c r="BG1254" s="9"/>
      <c r="BH1254" s="9"/>
      <c r="BI1254" s="9"/>
      <c r="BJ1254" s="9"/>
      <c r="BK1254" s="9"/>
      <c r="BL1254" s="9"/>
      <c r="BM1254" s="9"/>
      <c r="BN1254" s="9"/>
      <c r="BO1254" s="9"/>
      <c r="BP1254" s="9"/>
      <c r="BQ1254" s="9"/>
      <c r="BR1254" s="9"/>
      <c r="BS1254" s="9"/>
      <c r="BT1254" s="9"/>
      <c r="BU1254" s="9"/>
      <c r="BV1254" s="9"/>
      <c r="BW1254" s="9"/>
      <c r="BX1254" s="9"/>
      <c r="BY1254" s="9"/>
      <c r="BZ1254" s="9"/>
      <c r="CA1254" s="9"/>
      <c r="CB1254" s="9"/>
      <c r="CC1254" s="9"/>
      <c r="CD1254" s="9"/>
      <c r="CE1254" s="9"/>
      <c r="CF1254" s="9"/>
      <c r="CG1254" s="9"/>
    </row>
    <row r="1255" spans="1:85" ht="18" customHeight="1" x14ac:dyDescent="0.3">
      <c r="A1255" s="9">
        <f t="shared" si="95"/>
        <v>1254</v>
      </c>
      <c r="B1255" s="9" t="str">
        <f t="shared" si="96"/>
        <v/>
      </c>
      <c r="C1255" s="9"/>
      <c r="D1255" s="9"/>
      <c r="E1255" s="9">
        <f t="shared" si="97"/>
        <v>0</v>
      </c>
      <c r="F1255" s="9"/>
      <c r="G1255" s="9"/>
      <c r="H1255" s="9"/>
      <c r="I1255" s="9"/>
      <c r="J1255" s="9"/>
      <c r="K1255" s="9"/>
      <c r="L1255" s="9"/>
      <c r="M1255" s="9"/>
      <c r="N1255" s="9" t="str">
        <f t="shared" si="98"/>
        <v>NO</v>
      </c>
      <c r="O1255" s="9" t="str">
        <f t="shared" si="99"/>
        <v>🟡</v>
      </c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9"/>
      <c r="AO1255" s="9"/>
      <c r="AP1255" s="9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  <c r="BA1255" s="9"/>
      <c r="BB1255" s="9"/>
      <c r="BC1255" s="9"/>
      <c r="BD1255" s="9"/>
      <c r="BE1255" s="9"/>
      <c r="BF1255" s="9"/>
      <c r="BG1255" s="9"/>
      <c r="BH1255" s="9"/>
      <c r="BI1255" s="9"/>
      <c r="BJ1255" s="9"/>
      <c r="BK1255" s="9"/>
      <c r="BL1255" s="9"/>
      <c r="BM1255" s="9"/>
      <c r="BN1255" s="9"/>
      <c r="BO1255" s="9"/>
      <c r="BP1255" s="9"/>
      <c r="BQ1255" s="9"/>
      <c r="BR1255" s="9"/>
      <c r="BS1255" s="9"/>
      <c r="BT1255" s="9"/>
      <c r="BU1255" s="9"/>
      <c r="BV1255" s="9"/>
      <c r="BW1255" s="9"/>
      <c r="BX1255" s="9"/>
      <c r="BY1255" s="9"/>
      <c r="BZ1255" s="9"/>
      <c r="CA1255" s="9"/>
      <c r="CB1255" s="9"/>
      <c r="CC1255" s="9"/>
      <c r="CD1255" s="9"/>
      <c r="CE1255" s="9"/>
      <c r="CF1255" s="9"/>
      <c r="CG1255" s="9"/>
    </row>
    <row r="1256" spans="1:85" ht="18" customHeight="1" x14ac:dyDescent="0.3">
      <c r="A1256" s="9">
        <f t="shared" si="95"/>
        <v>1255</v>
      </c>
      <c r="B1256" s="9" t="str">
        <f t="shared" si="96"/>
        <v/>
      </c>
      <c r="C1256" s="9"/>
      <c r="D1256" s="9"/>
      <c r="E1256" s="9">
        <f t="shared" si="97"/>
        <v>0</v>
      </c>
      <c r="F1256" s="9"/>
      <c r="G1256" s="9"/>
      <c r="H1256" s="9"/>
      <c r="I1256" s="9"/>
      <c r="J1256" s="9"/>
      <c r="K1256" s="9"/>
      <c r="L1256" s="9"/>
      <c r="M1256" s="9"/>
      <c r="N1256" s="9" t="str">
        <f t="shared" si="98"/>
        <v>NO</v>
      </c>
      <c r="O1256" s="9" t="str">
        <f t="shared" si="99"/>
        <v>🟡</v>
      </c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9"/>
      <c r="AO1256" s="9"/>
      <c r="AP1256" s="9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  <c r="BA1256" s="9"/>
      <c r="BB1256" s="9"/>
      <c r="BC1256" s="9"/>
      <c r="BD1256" s="9"/>
      <c r="BE1256" s="9"/>
      <c r="BF1256" s="9"/>
      <c r="BG1256" s="9"/>
      <c r="BH1256" s="9"/>
      <c r="BI1256" s="9"/>
      <c r="BJ1256" s="9"/>
      <c r="BK1256" s="9"/>
      <c r="BL1256" s="9"/>
      <c r="BM1256" s="9"/>
      <c r="BN1256" s="9"/>
      <c r="BO1256" s="9"/>
      <c r="BP1256" s="9"/>
      <c r="BQ1256" s="9"/>
      <c r="BR1256" s="9"/>
      <c r="BS1256" s="9"/>
      <c r="BT1256" s="9"/>
      <c r="BU1256" s="9"/>
      <c r="BV1256" s="9"/>
      <c r="BW1256" s="9"/>
      <c r="BX1256" s="9"/>
      <c r="BY1256" s="9"/>
      <c r="BZ1256" s="9"/>
      <c r="CA1256" s="9"/>
      <c r="CB1256" s="9"/>
      <c r="CC1256" s="9"/>
      <c r="CD1256" s="9"/>
      <c r="CE1256" s="9"/>
      <c r="CF1256" s="9"/>
      <c r="CG1256" s="9"/>
    </row>
    <row r="1257" spans="1:85" ht="18" customHeight="1" x14ac:dyDescent="0.3">
      <c r="A1257" s="9">
        <f t="shared" si="95"/>
        <v>1256</v>
      </c>
      <c r="B1257" s="9" t="str">
        <f t="shared" si="96"/>
        <v/>
      </c>
      <c r="C1257" s="9"/>
      <c r="D1257" s="9"/>
      <c r="E1257" s="9">
        <f t="shared" si="97"/>
        <v>0</v>
      </c>
      <c r="F1257" s="9"/>
      <c r="G1257" s="9"/>
      <c r="H1257" s="9"/>
      <c r="I1257" s="9"/>
      <c r="J1257" s="9"/>
      <c r="K1257" s="9"/>
      <c r="L1257" s="9"/>
      <c r="M1257" s="9"/>
      <c r="N1257" s="9" t="str">
        <f t="shared" si="98"/>
        <v>NO</v>
      </c>
      <c r="O1257" s="9" t="str">
        <f t="shared" si="99"/>
        <v>🟡</v>
      </c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9"/>
      <c r="AO1257" s="9"/>
      <c r="AP1257" s="9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  <c r="BA1257" s="9"/>
      <c r="BB1257" s="9"/>
      <c r="BC1257" s="9"/>
      <c r="BD1257" s="9"/>
      <c r="BE1257" s="9"/>
      <c r="BF1257" s="9"/>
      <c r="BG1257" s="9"/>
      <c r="BH1257" s="9"/>
      <c r="BI1257" s="9"/>
      <c r="BJ1257" s="9"/>
      <c r="BK1257" s="9"/>
      <c r="BL1257" s="9"/>
      <c r="BM1257" s="9"/>
      <c r="BN1257" s="9"/>
      <c r="BO1257" s="9"/>
      <c r="BP1257" s="9"/>
      <c r="BQ1257" s="9"/>
      <c r="BR1257" s="9"/>
      <c r="BS1257" s="9"/>
      <c r="BT1257" s="9"/>
      <c r="BU1257" s="9"/>
      <c r="BV1257" s="9"/>
      <c r="BW1257" s="9"/>
      <c r="BX1257" s="9"/>
      <c r="BY1257" s="9"/>
      <c r="BZ1257" s="9"/>
      <c r="CA1257" s="9"/>
      <c r="CB1257" s="9"/>
      <c r="CC1257" s="9"/>
      <c r="CD1257" s="9"/>
      <c r="CE1257" s="9"/>
      <c r="CF1257" s="9"/>
      <c r="CG1257" s="9"/>
    </row>
    <row r="1258" spans="1:85" ht="18" customHeight="1" x14ac:dyDescent="0.3">
      <c r="A1258" s="9">
        <f t="shared" si="95"/>
        <v>1257</v>
      </c>
      <c r="B1258" s="9" t="str">
        <f t="shared" si="96"/>
        <v/>
      </c>
      <c r="C1258" s="9"/>
      <c r="D1258" s="9"/>
      <c r="E1258" s="9">
        <f t="shared" si="97"/>
        <v>0</v>
      </c>
      <c r="F1258" s="9"/>
      <c r="G1258" s="9"/>
      <c r="H1258" s="9"/>
      <c r="I1258" s="9"/>
      <c r="J1258" s="9"/>
      <c r="K1258" s="9"/>
      <c r="L1258" s="9"/>
      <c r="M1258" s="9"/>
      <c r="N1258" s="9" t="str">
        <f t="shared" si="98"/>
        <v>NO</v>
      </c>
      <c r="O1258" s="9" t="str">
        <f t="shared" si="99"/>
        <v>🟡</v>
      </c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9"/>
      <c r="AO1258" s="9"/>
      <c r="AP1258" s="9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  <c r="BA1258" s="9"/>
      <c r="BB1258" s="9"/>
      <c r="BC1258" s="9"/>
      <c r="BD1258" s="9"/>
      <c r="BE1258" s="9"/>
      <c r="BF1258" s="9"/>
      <c r="BG1258" s="9"/>
      <c r="BH1258" s="9"/>
      <c r="BI1258" s="9"/>
      <c r="BJ1258" s="9"/>
      <c r="BK1258" s="9"/>
      <c r="BL1258" s="9"/>
      <c r="BM1258" s="9"/>
      <c r="BN1258" s="9"/>
      <c r="BO1258" s="9"/>
      <c r="BP1258" s="9"/>
      <c r="BQ1258" s="9"/>
      <c r="BR1258" s="9"/>
      <c r="BS1258" s="9"/>
      <c r="BT1258" s="9"/>
      <c r="BU1258" s="9"/>
      <c r="BV1258" s="9"/>
      <c r="BW1258" s="9"/>
      <c r="BX1258" s="9"/>
      <c r="BY1258" s="9"/>
      <c r="BZ1258" s="9"/>
      <c r="CA1258" s="9"/>
      <c r="CB1258" s="9"/>
      <c r="CC1258" s="9"/>
      <c r="CD1258" s="9"/>
      <c r="CE1258" s="9"/>
      <c r="CF1258" s="9"/>
      <c r="CG1258" s="9"/>
    </row>
    <row r="1259" spans="1:85" ht="18" customHeight="1" x14ac:dyDescent="0.3">
      <c r="A1259" s="9">
        <f t="shared" si="95"/>
        <v>1258</v>
      </c>
      <c r="B1259" s="9" t="str">
        <f t="shared" si="96"/>
        <v/>
      </c>
      <c r="C1259" s="9"/>
      <c r="D1259" s="9"/>
      <c r="E1259" s="9">
        <f t="shared" si="97"/>
        <v>0</v>
      </c>
      <c r="F1259" s="9"/>
      <c r="G1259" s="9"/>
      <c r="H1259" s="9"/>
      <c r="I1259" s="9"/>
      <c r="J1259" s="9"/>
      <c r="K1259" s="9"/>
      <c r="L1259" s="9"/>
      <c r="M1259" s="9"/>
      <c r="N1259" s="9" t="str">
        <f t="shared" si="98"/>
        <v>NO</v>
      </c>
      <c r="O1259" s="9" t="str">
        <f t="shared" si="99"/>
        <v>🟡</v>
      </c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9"/>
      <c r="AO1259" s="9"/>
      <c r="AP1259" s="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  <c r="BA1259" s="9"/>
      <c r="BB1259" s="9"/>
      <c r="BC1259" s="9"/>
      <c r="BD1259" s="9"/>
      <c r="BE1259" s="9"/>
      <c r="BF1259" s="9"/>
      <c r="BG1259" s="9"/>
      <c r="BH1259" s="9"/>
      <c r="BI1259" s="9"/>
      <c r="BJ1259" s="9"/>
      <c r="BK1259" s="9"/>
      <c r="BL1259" s="9"/>
      <c r="BM1259" s="9"/>
      <c r="BN1259" s="9"/>
      <c r="BO1259" s="9"/>
      <c r="BP1259" s="9"/>
      <c r="BQ1259" s="9"/>
      <c r="BR1259" s="9"/>
      <c r="BS1259" s="9"/>
      <c r="BT1259" s="9"/>
      <c r="BU1259" s="9"/>
      <c r="BV1259" s="9"/>
      <c r="BW1259" s="9"/>
      <c r="BX1259" s="9"/>
      <c r="BY1259" s="9"/>
      <c r="BZ1259" s="9"/>
      <c r="CA1259" s="9"/>
      <c r="CB1259" s="9"/>
      <c r="CC1259" s="9"/>
      <c r="CD1259" s="9"/>
      <c r="CE1259" s="9"/>
      <c r="CF1259" s="9"/>
      <c r="CG1259" s="9"/>
    </row>
    <row r="1260" spans="1:85" ht="18" customHeight="1" x14ac:dyDescent="0.3">
      <c r="A1260" s="9">
        <f t="shared" si="95"/>
        <v>1259</v>
      </c>
      <c r="B1260" s="9" t="str">
        <f t="shared" si="96"/>
        <v/>
      </c>
      <c r="C1260" s="9"/>
      <c r="D1260" s="9"/>
      <c r="E1260" s="9">
        <f t="shared" si="97"/>
        <v>0</v>
      </c>
      <c r="F1260" s="9"/>
      <c r="G1260" s="9"/>
      <c r="H1260" s="9"/>
      <c r="I1260" s="9"/>
      <c r="J1260" s="9"/>
      <c r="K1260" s="9"/>
      <c r="L1260" s="9"/>
      <c r="M1260" s="9"/>
      <c r="N1260" s="9" t="str">
        <f t="shared" si="98"/>
        <v>NO</v>
      </c>
      <c r="O1260" s="9" t="str">
        <f t="shared" si="99"/>
        <v>🟡</v>
      </c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9"/>
      <c r="AO1260" s="9"/>
      <c r="AP1260" s="9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  <c r="BA1260" s="9"/>
      <c r="BB1260" s="9"/>
      <c r="BC1260" s="9"/>
      <c r="BD1260" s="9"/>
      <c r="BE1260" s="9"/>
      <c r="BF1260" s="9"/>
      <c r="BG1260" s="9"/>
      <c r="BH1260" s="9"/>
      <c r="BI1260" s="9"/>
      <c r="BJ1260" s="9"/>
      <c r="BK1260" s="9"/>
      <c r="BL1260" s="9"/>
      <c r="BM1260" s="9"/>
      <c r="BN1260" s="9"/>
      <c r="BO1260" s="9"/>
      <c r="BP1260" s="9"/>
      <c r="BQ1260" s="9"/>
      <c r="BR1260" s="9"/>
      <c r="BS1260" s="9"/>
      <c r="BT1260" s="9"/>
      <c r="BU1260" s="9"/>
      <c r="BV1260" s="9"/>
      <c r="BW1260" s="9"/>
      <c r="BX1260" s="9"/>
      <c r="BY1260" s="9"/>
      <c r="BZ1260" s="9"/>
      <c r="CA1260" s="9"/>
      <c r="CB1260" s="9"/>
      <c r="CC1260" s="9"/>
      <c r="CD1260" s="9"/>
      <c r="CE1260" s="9"/>
      <c r="CF1260" s="9"/>
      <c r="CG1260" s="9"/>
    </row>
    <row r="1261" spans="1:85" ht="18" customHeight="1" x14ac:dyDescent="0.3">
      <c r="A1261" s="9">
        <f t="shared" si="95"/>
        <v>1260</v>
      </c>
      <c r="B1261" s="9" t="str">
        <f t="shared" si="96"/>
        <v/>
      </c>
      <c r="C1261" s="9"/>
      <c r="D1261" s="9"/>
      <c r="E1261" s="9">
        <f t="shared" si="97"/>
        <v>0</v>
      </c>
      <c r="F1261" s="9"/>
      <c r="G1261" s="9"/>
      <c r="H1261" s="9"/>
      <c r="I1261" s="9"/>
      <c r="J1261" s="9"/>
      <c r="K1261" s="9"/>
      <c r="L1261" s="9"/>
      <c r="M1261" s="9"/>
      <c r="N1261" s="9" t="str">
        <f t="shared" si="98"/>
        <v>NO</v>
      </c>
      <c r="O1261" s="9" t="str">
        <f t="shared" si="99"/>
        <v>🟡</v>
      </c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9"/>
      <c r="AO1261" s="9"/>
      <c r="AP1261" s="9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  <c r="BA1261" s="9"/>
      <c r="BB1261" s="9"/>
      <c r="BC1261" s="9"/>
      <c r="BD1261" s="9"/>
      <c r="BE1261" s="9"/>
      <c r="BF1261" s="9"/>
      <c r="BG1261" s="9"/>
      <c r="BH1261" s="9"/>
      <c r="BI1261" s="9"/>
      <c r="BJ1261" s="9"/>
      <c r="BK1261" s="9"/>
      <c r="BL1261" s="9"/>
      <c r="BM1261" s="9"/>
      <c r="BN1261" s="9"/>
      <c r="BO1261" s="9"/>
      <c r="BP1261" s="9"/>
      <c r="BQ1261" s="9"/>
      <c r="BR1261" s="9"/>
      <c r="BS1261" s="9"/>
      <c r="BT1261" s="9"/>
      <c r="BU1261" s="9"/>
      <c r="BV1261" s="9"/>
      <c r="BW1261" s="9"/>
      <c r="BX1261" s="9"/>
      <c r="BY1261" s="9"/>
      <c r="BZ1261" s="9"/>
      <c r="CA1261" s="9"/>
      <c r="CB1261" s="9"/>
      <c r="CC1261" s="9"/>
      <c r="CD1261" s="9"/>
      <c r="CE1261" s="9"/>
      <c r="CF1261" s="9"/>
      <c r="CG1261" s="9"/>
    </row>
    <row r="1262" spans="1:85" ht="18" customHeight="1" x14ac:dyDescent="0.3">
      <c r="A1262" s="9">
        <f t="shared" si="95"/>
        <v>1261</v>
      </c>
      <c r="B1262" s="9" t="str">
        <f t="shared" si="96"/>
        <v/>
      </c>
      <c r="C1262" s="9"/>
      <c r="D1262" s="9"/>
      <c r="E1262" s="9">
        <f t="shared" si="97"/>
        <v>0</v>
      </c>
      <c r="F1262" s="9"/>
      <c r="G1262" s="9"/>
      <c r="H1262" s="9"/>
      <c r="I1262" s="9"/>
      <c r="J1262" s="9"/>
      <c r="K1262" s="9"/>
      <c r="L1262" s="9"/>
      <c r="M1262" s="9"/>
      <c r="N1262" s="9" t="str">
        <f t="shared" si="98"/>
        <v>NO</v>
      </c>
      <c r="O1262" s="9" t="str">
        <f t="shared" si="99"/>
        <v>🟡</v>
      </c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9"/>
      <c r="AO1262" s="9"/>
      <c r="AP1262" s="9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  <c r="BA1262" s="9"/>
      <c r="BB1262" s="9"/>
      <c r="BC1262" s="9"/>
      <c r="BD1262" s="9"/>
      <c r="BE1262" s="9"/>
      <c r="BF1262" s="9"/>
      <c r="BG1262" s="9"/>
      <c r="BH1262" s="9"/>
      <c r="BI1262" s="9"/>
      <c r="BJ1262" s="9"/>
      <c r="BK1262" s="9"/>
      <c r="BL1262" s="9"/>
      <c r="BM1262" s="9"/>
      <c r="BN1262" s="9"/>
      <c r="BO1262" s="9"/>
      <c r="BP1262" s="9"/>
      <c r="BQ1262" s="9"/>
      <c r="BR1262" s="9"/>
      <c r="BS1262" s="9"/>
      <c r="BT1262" s="9"/>
      <c r="BU1262" s="9"/>
      <c r="BV1262" s="9"/>
      <c r="BW1262" s="9"/>
      <c r="BX1262" s="9"/>
      <c r="BY1262" s="9"/>
      <c r="BZ1262" s="9"/>
      <c r="CA1262" s="9"/>
      <c r="CB1262" s="9"/>
      <c r="CC1262" s="9"/>
      <c r="CD1262" s="9"/>
      <c r="CE1262" s="9"/>
      <c r="CF1262" s="9"/>
      <c r="CG1262" s="9"/>
    </row>
    <row r="1263" spans="1:85" ht="18" customHeight="1" x14ac:dyDescent="0.3">
      <c r="A1263" s="9">
        <f t="shared" si="95"/>
        <v>1262</v>
      </c>
      <c r="B1263" s="9" t="str">
        <f t="shared" si="96"/>
        <v/>
      </c>
      <c r="C1263" s="9"/>
      <c r="D1263" s="9"/>
      <c r="E1263" s="9">
        <f t="shared" si="97"/>
        <v>0</v>
      </c>
      <c r="F1263" s="9"/>
      <c r="G1263" s="9"/>
      <c r="H1263" s="9"/>
      <c r="I1263" s="9"/>
      <c r="J1263" s="9"/>
      <c r="K1263" s="9"/>
      <c r="L1263" s="9"/>
      <c r="M1263" s="9"/>
      <c r="N1263" s="9" t="str">
        <f t="shared" si="98"/>
        <v>NO</v>
      </c>
      <c r="O1263" s="9" t="str">
        <f t="shared" si="99"/>
        <v>🟡</v>
      </c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9"/>
      <c r="AO1263" s="9"/>
      <c r="AP1263" s="9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  <c r="BA1263" s="9"/>
      <c r="BB1263" s="9"/>
      <c r="BC1263" s="9"/>
      <c r="BD1263" s="9"/>
      <c r="BE1263" s="9"/>
      <c r="BF1263" s="9"/>
      <c r="BG1263" s="9"/>
      <c r="BH1263" s="9"/>
      <c r="BI1263" s="9"/>
      <c r="BJ1263" s="9"/>
      <c r="BK1263" s="9"/>
      <c r="BL1263" s="9"/>
      <c r="BM1263" s="9"/>
      <c r="BN1263" s="9"/>
      <c r="BO1263" s="9"/>
      <c r="BP1263" s="9"/>
      <c r="BQ1263" s="9"/>
      <c r="BR1263" s="9"/>
      <c r="BS1263" s="9"/>
      <c r="BT1263" s="9"/>
      <c r="BU1263" s="9"/>
      <c r="BV1263" s="9"/>
      <c r="BW1263" s="9"/>
      <c r="BX1263" s="9"/>
      <c r="BY1263" s="9"/>
      <c r="BZ1263" s="9"/>
      <c r="CA1263" s="9"/>
      <c r="CB1263" s="9"/>
      <c r="CC1263" s="9"/>
      <c r="CD1263" s="9"/>
      <c r="CE1263" s="9"/>
      <c r="CF1263" s="9"/>
      <c r="CG1263" s="9"/>
    </row>
    <row r="1264" spans="1:85" ht="18" customHeight="1" x14ac:dyDescent="0.3">
      <c r="A1264" s="9">
        <f t="shared" si="95"/>
        <v>1263</v>
      </c>
      <c r="B1264" s="9" t="str">
        <f t="shared" si="96"/>
        <v/>
      </c>
      <c r="C1264" s="9"/>
      <c r="D1264" s="9"/>
      <c r="E1264" s="9">
        <f t="shared" si="97"/>
        <v>0</v>
      </c>
      <c r="F1264" s="9"/>
      <c r="G1264" s="9"/>
      <c r="H1264" s="9"/>
      <c r="I1264" s="9"/>
      <c r="J1264" s="9"/>
      <c r="K1264" s="9"/>
      <c r="L1264" s="9"/>
      <c r="M1264" s="9"/>
      <c r="N1264" s="9" t="str">
        <f t="shared" si="98"/>
        <v>NO</v>
      </c>
      <c r="O1264" s="9" t="str">
        <f t="shared" si="99"/>
        <v>🟡</v>
      </c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9"/>
      <c r="AO1264" s="9"/>
      <c r="AP1264" s="9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  <c r="BA1264" s="9"/>
      <c r="BB1264" s="9"/>
      <c r="BC1264" s="9"/>
      <c r="BD1264" s="9"/>
      <c r="BE1264" s="9"/>
      <c r="BF1264" s="9"/>
      <c r="BG1264" s="9"/>
      <c r="BH1264" s="9"/>
      <c r="BI1264" s="9"/>
      <c r="BJ1264" s="9"/>
      <c r="BK1264" s="9"/>
      <c r="BL1264" s="9"/>
      <c r="BM1264" s="9"/>
      <c r="BN1264" s="9"/>
      <c r="BO1264" s="9"/>
      <c r="BP1264" s="9"/>
      <c r="BQ1264" s="9"/>
      <c r="BR1264" s="9"/>
      <c r="BS1264" s="9"/>
      <c r="BT1264" s="9"/>
      <c r="BU1264" s="9"/>
      <c r="BV1264" s="9"/>
      <c r="BW1264" s="9"/>
      <c r="BX1264" s="9"/>
      <c r="BY1264" s="9"/>
      <c r="BZ1264" s="9"/>
      <c r="CA1264" s="9"/>
      <c r="CB1264" s="9"/>
      <c r="CC1264" s="9"/>
      <c r="CD1264" s="9"/>
      <c r="CE1264" s="9"/>
      <c r="CF1264" s="9"/>
      <c r="CG1264" s="9"/>
    </row>
    <row r="1265" spans="1:85" ht="18" customHeight="1" x14ac:dyDescent="0.3">
      <c r="A1265" s="9">
        <f t="shared" si="95"/>
        <v>1264</v>
      </c>
      <c r="B1265" s="9" t="str">
        <f t="shared" si="96"/>
        <v/>
      </c>
      <c r="C1265" s="9"/>
      <c r="D1265" s="9"/>
      <c r="E1265" s="9">
        <f t="shared" si="97"/>
        <v>0</v>
      </c>
      <c r="F1265" s="9"/>
      <c r="G1265" s="9"/>
      <c r="H1265" s="9"/>
      <c r="I1265" s="9"/>
      <c r="J1265" s="9"/>
      <c r="K1265" s="9"/>
      <c r="L1265" s="9"/>
      <c r="M1265" s="9"/>
      <c r="N1265" s="9" t="str">
        <f t="shared" si="98"/>
        <v>NO</v>
      </c>
      <c r="O1265" s="9" t="str">
        <f t="shared" si="99"/>
        <v>🟡</v>
      </c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9"/>
      <c r="AO1265" s="9"/>
      <c r="AP1265" s="9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  <c r="BA1265" s="9"/>
      <c r="BB1265" s="9"/>
      <c r="BC1265" s="9"/>
      <c r="BD1265" s="9"/>
      <c r="BE1265" s="9"/>
      <c r="BF1265" s="9"/>
      <c r="BG1265" s="9"/>
      <c r="BH1265" s="9"/>
      <c r="BI1265" s="9"/>
      <c r="BJ1265" s="9"/>
      <c r="BK1265" s="9"/>
      <c r="BL1265" s="9"/>
      <c r="BM1265" s="9"/>
      <c r="BN1265" s="9"/>
      <c r="BO1265" s="9"/>
      <c r="BP1265" s="9"/>
      <c r="BQ1265" s="9"/>
      <c r="BR1265" s="9"/>
      <c r="BS1265" s="9"/>
      <c r="BT1265" s="9"/>
      <c r="BU1265" s="9"/>
      <c r="BV1265" s="9"/>
      <c r="BW1265" s="9"/>
      <c r="BX1265" s="9"/>
      <c r="BY1265" s="9"/>
      <c r="BZ1265" s="9"/>
      <c r="CA1265" s="9"/>
      <c r="CB1265" s="9"/>
      <c r="CC1265" s="9"/>
      <c r="CD1265" s="9"/>
      <c r="CE1265" s="9"/>
      <c r="CF1265" s="9"/>
      <c r="CG1265" s="9"/>
    </row>
    <row r="1266" spans="1:85" ht="18" customHeight="1" x14ac:dyDescent="0.3">
      <c r="A1266" s="9">
        <f t="shared" si="95"/>
        <v>1265</v>
      </c>
      <c r="B1266" s="9" t="str">
        <f t="shared" si="96"/>
        <v/>
      </c>
      <c r="C1266" s="9"/>
      <c r="D1266" s="9"/>
      <c r="E1266" s="9">
        <f t="shared" si="97"/>
        <v>0</v>
      </c>
      <c r="F1266" s="9"/>
      <c r="G1266" s="9"/>
      <c r="H1266" s="9"/>
      <c r="I1266" s="9"/>
      <c r="J1266" s="9"/>
      <c r="K1266" s="9"/>
      <c r="L1266" s="9"/>
      <c r="M1266" s="9"/>
      <c r="N1266" s="9" t="str">
        <f t="shared" si="98"/>
        <v>NO</v>
      </c>
      <c r="O1266" s="9" t="str">
        <f t="shared" si="99"/>
        <v>🟡</v>
      </c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9"/>
      <c r="BD1266" s="9"/>
      <c r="BE1266" s="9"/>
      <c r="BF1266" s="9"/>
      <c r="BG1266" s="9"/>
      <c r="BH1266" s="9"/>
      <c r="BI1266" s="9"/>
      <c r="BJ1266" s="9"/>
      <c r="BK1266" s="9"/>
      <c r="BL1266" s="9"/>
      <c r="BM1266" s="9"/>
      <c r="BN1266" s="9"/>
      <c r="BO1266" s="9"/>
      <c r="BP1266" s="9"/>
      <c r="BQ1266" s="9"/>
      <c r="BR1266" s="9"/>
      <c r="BS1266" s="9"/>
      <c r="BT1266" s="9"/>
      <c r="BU1266" s="9"/>
      <c r="BV1266" s="9"/>
      <c r="BW1266" s="9"/>
      <c r="BX1266" s="9"/>
      <c r="BY1266" s="9"/>
      <c r="BZ1266" s="9"/>
      <c r="CA1266" s="9"/>
      <c r="CB1266" s="9"/>
      <c r="CC1266" s="9"/>
      <c r="CD1266" s="9"/>
      <c r="CE1266" s="9"/>
      <c r="CF1266" s="9"/>
      <c r="CG1266" s="9"/>
    </row>
    <row r="1267" spans="1:85" ht="18" customHeight="1" x14ac:dyDescent="0.3">
      <c r="A1267" s="9">
        <f t="shared" si="95"/>
        <v>1266</v>
      </c>
      <c r="B1267" s="9" t="str">
        <f t="shared" si="96"/>
        <v/>
      </c>
      <c r="C1267" s="9"/>
      <c r="D1267" s="9"/>
      <c r="E1267" s="9">
        <f t="shared" si="97"/>
        <v>0</v>
      </c>
      <c r="F1267" s="9"/>
      <c r="G1267" s="9"/>
      <c r="H1267" s="9"/>
      <c r="I1267" s="9"/>
      <c r="J1267" s="9"/>
      <c r="K1267" s="9"/>
      <c r="L1267" s="9"/>
      <c r="M1267" s="9"/>
      <c r="N1267" s="9" t="str">
        <f t="shared" si="98"/>
        <v>NO</v>
      </c>
      <c r="O1267" s="9" t="str">
        <f t="shared" si="99"/>
        <v>🟡</v>
      </c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9"/>
      <c r="BD1267" s="9"/>
      <c r="BE1267" s="9"/>
      <c r="BF1267" s="9"/>
      <c r="BG1267" s="9"/>
      <c r="BH1267" s="9"/>
      <c r="BI1267" s="9"/>
      <c r="BJ1267" s="9"/>
      <c r="BK1267" s="9"/>
      <c r="BL1267" s="9"/>
      <c r="BM1267" s="9"/>
      <c r="BN1267" s="9"/>
      <c r="BO1267" s="9"/>
      <c r="BP1267" s="9"/>
      <c r="BQ1267" s="9"/>
      <c r="BR1267" s="9"/>
      <c r="BS1267" s="9"/>
      <c r="BT1267" s="9"/>
      <c r="BU1267" s="9"/>
      <c r="BV1267" s="9"/>
      <c r="BW1267" s="9"/>
      <c r="BX1267" s="9"/>
      <c r="BY1267" s="9"/>
      <c r="BZ1267" s="9"/>
      <c r="CA1267" s="9"/>
      <c r="CB1267" s="9"/>
      <c r="CC1267" s="9"/>
      <c r="CD1267" s="9"/>
      <c r="CE1267" s="9"/>
      <c r="CF1267" s="9"/>
      <c r="CG1267" s="9"/>
    </row>
    <row r="1268" spans="1:85" ht="18" customHeight="1" x14ac:dyDescent="0.3">
      <c r="A1268" s="9">
        <f t="shared" si="95"/>
        <v>1267</v>
      </c>
      <c r="B1268" s="9" t="str">
        <f t="shared" si="96"/>
        <v/>
      </c>
      <c r="C1268" s="9"/>
      <c r="D1268" s="9"/>
      <c r="E1268" s="9">
        <f t="shared" si="97"/>
        <v>0</v>
      </c>
      <c r="F1268" s="9"/>
      <c r="G1268" s="9"/>
      <c r="H1268" s="9"/>
      <c r="I1268" s="9"/>
      <c r="J1268" s="9"/>
      <c r="K1268" s="9"/>
      <c r="L1268" s="9"/>
      <c r="M1268" s="9"/>
      <c r="N1268" s="9" t="str">
        <f t="shared" si="98"/>
        <v>NO</v>
      </c>
      <c r="O1268" s="9" t="str">
        <f t="shared" si="99"/>
        <v>🟡</v>
      </c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9"/>
      <c r="BD1268" s="9"/>
      <c r="BE1268" s="9"/>
      <c r="BF1268" s="9"/>
      <c r="BG1268" s="9"/>
      <c r="BH1268" s="9"/>
      <c r="BI1268" s="9"/>
      <c r="BJ1268" s="9"/>
      <c r="BK1268" s="9"/>
      <c r="BL1268" s="9"/>
      <c r="BM1268" s="9"/>
      <c r="BN1268" s="9"/>
      <c r="BO1268" s="9"/>
      <c r="BP1268" s="9"/>
      <c r="BQ1268" s="9"/>
      <c r="BR1268" s="9"/>
      <c r="BS1268" s="9"/>
      <c r="BT1268" s="9"/>
      <c r="BU1268" s="9"/>
      <c r="BV1268" s="9"/>
      <c r="BW1268" s="9"/>
      <c r="BX1268" s="9"/>
      <c r="BY1268" s="9"/>
      <c r="BZ1268" s="9"/>
      <c r="CA1268" s="9"/>
      <c r="CB1268" s="9"/>
      <c r="CC1268" s="9"/>
      <c r="CD1268" s="9"/>
      <c r="CE1268" s="9"/>
      <c r="CF1268" s="9"/>
      <c r="CG1268" s="9"/>
    </row>
    <row r="1269" spans="1:85" ht="18" customHeight="1" x14ac:dyDescent="0.3">
      <c r="A1269" s="9">
        <f t="shared" si="95"/>
        <v>1268</v>
      </c>
      <c r="B1269" s="9" t="str">
        <f t="shared" si="96"/>
        <v/>
      </c>
      <c r="C1269" s="9"/>
      <c r="D1269" s="9"/>
      <c r="E1269" s="9">
        <f t="shared" si="97"/>
        <v>0</v>
      </c>
      <c r="F1269" s="9"/>
      <c r="G1269" s="9"/>
      <c r="H1269" s="9"/>
      <c r="I1269" s="9"/>
      <c r="J1269" s="9"/>
      <c r="K1269" s="9"/>
      <c r="L1269" s="9"/>
      <c r="M1269" s="9"/>
      <c r="N1269" s="9" t="str">
        <f t="shared" si="98"/>
        <v>NO</v>
      </c>
      <c r="O1269" s="9" t="str">
        <f t="shared" si="99"/>
        <v>🟡</v>
      </c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9"/>
      <c r="BD1269" s="9"/>
      <c r="BE1269" s="9"/>
      <c r="BF1269" s="9"/>
      <c r="BG1269" s="9"/>
      <c r="BH1269" s="9"/>
      <c r="BI1269" s="9"/>
      <c r="BJ1269" s="9"/>
      <c r="BK1269" s="9"/>
      <c r="BL1269" s="9"/>
      <c r="BM1269" s="9"/>
      <c r="BN1269" s="9"/>
      <c r="BO1269" s="9"/>
      <c r="BP1269" s="9"/>
      <c r="BQ1269" s="9"/>
      <c r="BR1269" s="9"/>
      <c r="BS1269" s="9"/>
      <c r="BT1269" s="9"/>
      <c r="BU1269" s="9"/>
      <c r="BV1269" s="9"/>
      <c r="BW1269" s="9"/>
      <c r="BX1269" s="9"/>
      <c r="BY1269" s="9"/>
      <c r="BZ1269" s="9"/>
      <c r="CA1269" s="9"/>
      <c r="CB1269" s="9"/>
      <c r="CC1269" s="9"/>
      <c r="CD1269" s="9"/>
      <c r="CE1269" s="9"/>
      <c r="CF1269" s="9"/>
      <c r="CG1269" s="9"/>
    </row>
    <row r="1270" spans="1:85" ht="18" customHeight="1" x14ac:dyDescent="0.3">
      <c r="A1270" s="9">
        <f t="shared" si="95"/>
        <v>1269</v>
      </c>
      <c r="B1270" s="9" t="str">
        <f t="shared" si="96"/>
        <v/>
      </c>
      <c r="C1270" s="9"/>
      <c r="D1270" s="9"/>
      <c r="E1270" s="9">
        <f t="shared" si="97"/>
        <v>0</v>
      </c>
      <c r="F1270" s="9"/>
      <c r="G1270" s="9"/>
      <c r="H1270" s="9"/>
      <c r="I1270" s="9"/>
      <c r="J1270" s="9"/>
      <c r="K1270" s="9"/>
      <c r="L1270" s="9"/>
      <c r="M1270" s="9"/>
      <c r="N1270" s="9" t="str">
        <f t="shared" si="98"/>
        <v>NO</v>
      </c>
      <c r="O1270" s="9" t="str">
        <f t="shared" si="99"/>
        <v>🟡</v>
      </c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9"/>
      <c r="BD1270" s="9"/>
      <c r="BE1270" s="9"/>
      <c r="BF1270" s="9"/>
      <c r="BG1270" s="9"/>
      <c r="BH1270" s="9"/>
      <c r="BI1270" s="9"/>
      <c r="BJ1270" s="9"/>
      <c r="BK1270" s="9"/>
      <c r="BL1270" s="9"/>
      <c r="BM1270" s="9"/>
      <c r="BN1270" s="9"/>
      <c r="BO1270" s="9"/>
      <c r="BP1270" s="9"/>
      <c r="BQ1270" s="9"/>
      <c r="BR1270" s="9"/>
      <c r="BS1270" s="9"/>
      <c r="BT1270" s="9"/>
      <c r="BU1270" s="9"/>
      <c r="BV1270" s="9"/>
      <c r="BW1270" s="9"/>
      <c r="BX1270" s="9"/>
      <c r="BY1270" s="9"/>
      <c r="BZ1270" s="9"/>
      <c r="CA1270" s="9"/>
      <c r="CB1270" s="9"/>
      <c r="CC1270" s="9"/>
      <c r="CD1270" s="9"/>
      <c r="CE1270" s="9"/>
      <c r="CF1270" s="9"/>
      <c r="CG1270" s="9"/>
    </row>
    <row r="1271" spans="1:85" ht="18" customHeight="1" x14ac:dyDescent="0.3">
      <c r="A1271" s="9">
        <f t="shared" si="95"/>
        <v>1270</v>
      </c>
      <c r="B1271" s="9" t="str">
        <f t="shared" si="96"/>
        <v/>
      </c>
      <c r="C1271" s="9"/>
      <c r="D1271" s="9"/>
      <c r="E1271" s="9">
        <f t="shared" si="97"/>
        <v>0</v>
      </c>
      <c r="F1271" s="9"/>
      <c r="G1271" s="9"/>
      <c r="H1271" s="9"/>
      <c r="I1271" s="9"/>
      <c r="J1271" s="9"/>
      <c r="K1271" s="9"/>
      <c r="L1271" s="9"/>
      <c r="M1271" s="9"/>
      <c r="N1271" s="9" t="str">
        <f t="shared" si="98"/>
        <v>NO</v>
      </c>
      <c r="O1271" s="9" t="str">
        <f t="shared" si="99"/>
        <v>🟡</v>
      </c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9"/>
      <c r="BD1271" s="9"/>
      <c r="BE1271" s="9"/>
      <c r="BF1271" s="9"/>
      <c r="BG1271" s="9"/>
      <c r="BH1271" s="9"/>
      <c r="BI1271" s="9"/>
      <c r="BJ1271" s="9"/>
      <c r="BK1271" s="9"/>
      <c r="BL1271" s="9"/>
      <c r="BM1271" s="9"/>
      <c r="BN1271" s="9"/>
      <c r="BO1271" s="9"/>
      <c r="BP1271" s="9"/>
      <c r="BQ1271" s="9"/>
      <c r="BR1271" s="9"/>
      <c r="BS1271" s="9"/>
      <c r="BT1271" s="9"/>
      <c r="BU1271" s="9"/>
      <c r="BV1271" s="9"/>
      <c r="BW1271" s="9"/>
      <c r="BX1271" s="9"/>
      <c r="BY1271" s="9"/>
      <c r="BZ1271" s="9"/>
      <c r="CA1271" s="9"/>
      <c r="CB1271" s="9"/>
      <c r="CC1271" s="9"/>
      <c r="CD1271" s="9"/>
      <c r="CE1271" s="9"/>
      <c r="CF1271" s="9"/>
      <c r="CG1271" s="9"/>
    </row>
    <row r="1272" spans="1:85" ht="18" customHeight="1" x14ac:dyDescent="0.3">
      <c r="A1272" s="9">
        <f t="shared" si="95"/>
        <v>1271</v>
      </c>
      <c r="B1272" s="9" t="str">
        <f t="shared" si="96"/>
        <v/>
      </c>
      <c r="C1272" s="9"/>
      <c r="D1272" s="9"/>
      <c r="E1272" s="9">
        <f t="shared" si="97"/>
        <v>0</v>
      </c>
      <c r="F1272" s="9"/>
      <c r="G1272" s="9"/>
      <c r="H1272" s="9"/>
      <c r="I1272" s="9"/>
      <c r="J1272" s="9"/>
      <c r="K1272" s="9"/>
      <c r="L1272" s="9"/>
      <c r="M1272" s="9"/>
      <c r="N1272" s="9" t="str">
        <f t="shared" si="98"/>
        <v>NO</v>
      </c>
      <c r="O1272" s="9" t="str">
        <f t="shared" si="99"/>
        <v>🟡</v>
      </c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9"/>
      <c r="BH1272" s="9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9"/>
      <c r="BT1272" s="9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9"/>
      <c r="CF1272" s="9"/>
      <c r="CG1272" s="9"/>
    </row>
    <row r="1273" spans="1:85" ht="18" customHeight="1" x14ac:dyDescent="0.3">
      <c r="A1273" s="9">
        <f t="shared" si="95"/>
        <v>1272</v>
      </c>
      <c r="B1273" s="9" t="str">
        <f t="shared" si="96"/>
        <v/>
      </c>
      <c r="C1273" s="9"/>
      <c r="D1273" s="9"/>
      <c r="E1273" s="9">
        <f t="shared" si="97"/>
        <v>0</v>
      </c>
      <c r="F1273" s="9"/>
      <c r="G1273" s="9"/>
      <c r="H1273" s="9"/>
      <c r="I1273" s="9"/>
      <c r="J1273" s="9"/>
      <c r="K1273" s="9"/>
      <c r="L1273" s="9"/>
      <c r="M1273" s="9"/>
      <c r="N1273" s="9" t="str">
        <f t="shared" si="98"/>
        <v>NO</v>
      </c>
      <c r="O1273" s="9" t="str">
        <f t="shared" si="99"/>
        <v>🟡</v>
      </c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9"/>
      <c r="BD1273" s="9"/>
      <c r="BE1273" s="9"/>
      <c r="BF1273" s="9"/>
      <c r="BG1273" s="9"/>
      <c r="BH1273" s="9"/>
      <c r="BI1273" s="9"/>
      <c r="BJ1273" s="9"/>
      <c r="BK1273" s="9"/>
      <c r="BL1273" s="9"/>
      <c r="BM1273" s="9"/>
      <c r="BN1273" s="9"/>
      <c r="BO1273" s="9"/>
      <c r="BP1273" s="9"/>
      <c r="BQ1273" s="9"/>
      <c r="BR1273" s="9"/>
      <c r="BS1273" s="9"/>
      <c r="BT1273" s="9"/>
      <c r="BU1273" s="9"/>
      <c r="BV1273" s="9"/>
      <c r="BW1273" s="9"/>
      <c r="BX1273" s="9"/>
      <c r="BY1273" s="9"/>
      <c r="BZ1273" s="9"/>
      <c r="CA1273" s="9"/>
      <c r="CB1273" s="9"/>
      <c r="CC1273" s="9"/>
      <c r="CD1273" s="9"/>
      <c r="CE1273" s="9"/>
      <c r="CF1273" s="9"/>
      <c r="CG1273" s="9"/>
    </row>
    <row r="1274" spans="1:85" ht="18" customHeight="1" x14ac:dyDescent="0.3">
      <c r="A1274" s="9">
        <f t="shared" si="95"/>
        <v>1273</v>
      </c>
      <c r="B1274" s="9" t="str">
        <f t="shared" si="96"/>
        <v/>
      </c>
      <c r="C1274" s="9"/>
      <c r="D1274" s="9"/>
      <c r="E1274" s="9">
        <f t="shared" si="97"/>
        <v>0</v>
      </c>
      <c r="F1274" s="9"/>
      <c r="G1274" s="9"/>
      <c r="H1274" s="9"/>
      <c r="I1274" s="9"/>
      <c r="J1274" s="9"/>
      <c r="K1274" s="9"/>
      <c r="L1274" s="9"/>
      <c r="M1274" s="9"/>
      <c r="N1274" s="9" t="str">
        <f t="shared" si="98"/>
        <v>NO</v>
      </c>
      <c r="O1274" s="9" t="str">
        <f t="shared" si="99"/>
        <v>🟡</v>
      </c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9"/>
      <c r="BD1274" s="9"/>
      <c r="BE1274" s="9"/>
      <c r="BF1274" s="9"/>
      <c r="BG1274" s="9"/>
      <c r="BH1274" s="9"/>
      <c r="BI1274" s="9"/>
      <c r="BJ1274" s="9"/>
      <c r="BK1274" s="9"/>
      <c r="BL1274" s="9"/>
      <c r="BM1274" s="9"/>
      <c r="BN1274" s="9"/>
      <c r="BO1274" s="9"/>
      <c r="BP1274" s="9"/>
      <c r="BQ1274" s="9"/>
      <c r="BR1274" s="9"/>
      <c r="BS1274" s="9"/>
      <c r="BT1274" s="9"/>
      <c r="BU1274" s="9"/>
      <c r="BV1274" s="9"/>
      <c r="BW1274" s="9"/>
      <c r="BX1274" s="9"/>
      <c r="BY1274" s="9"/>
      <c r="BZ1274" s="9"/>
      <c r="CA1274" s="9"/>
      <c r="CB1274" s="9"/>
      <c r="CC1274" s="9"/>
      <c r="CD1274" s="9"/>
      <c r="CE1274" s="9"/>
      <c r="CF1274" s="9"/>
      <c r="CG1274" s="9"/>
    </row>
    <row r="1275" spans="1:85" ht="18" customHeight="1" x14ac:dyDescent="0.3">
      <c r="A1275" s="9">
        <f t="shared" si="95"/>
        <v>1274</v>
      </c>
      <c r="B1275" s="9" t="str">
        <f t="shared" si="96"/>
        <v/>
      </c>
      <c r="C1275" s="9"/>
      <c r="D1275" s="9"/>
      <c r="E1275" s="9">
        <f t="shared" si="97"/>
        <v>0</v>
      </c>
      <c r="F1275" s="9"/>
      <c r="G1275" s="9"/>
      <c r="H1275" s="9"/>
      <c r="I1275" s="9"/>
      <c r="J1275" s="9"/>
      <c r="K1275" s="9"/>
      <c r="L1275" s="9"/>
      <c r="M1275" s="9"/>
      <c r="N1275" s="9" t="str">
        <f t="shared" si="98"/>
        <v>NO</v>
      </c>
      <c r="O1275" s="9" t="str">
        <f t="shared" si="99"/>
        <v>🟡</v>
      </c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9"/>
      <c r="BD1275" s="9"/>
      <c r="BE1275" s="9"/>
      <c r="BF1275" s="9"/>
      <c r="BG1275" s="9"/>
      <c r="BH1275" s="9"/>
      <c r="BI1275" s="9"/>
      <c r="BJ1275" s="9"/>
      <c r="BK1275" s="9"/>
      <c r="BL1275" s="9"/>
      <c r="BM1275" s="9"/>
      <c r="BN1275" s="9"/>
      <c r="BO1275" s="9"/>
      <c r="BP1275" s="9"/>
      <c r="BQ1275" s="9"/>
      <c r="BR1275" s="9"/>
      <c r="BS1275" s="9"/>
      <c r="BT1275" s="9"/>
      <c r="BU1275" s="9"/>
      <c r="BV1275" s="9"/>
      <c r="BW1275" s="9"/>
      <c r="BX1275" s="9"/>
      <c r="BY1275" s="9"/>
      <c r="BZ1275" s="9"/>
      <c r="CA1275" s="9"/>
      <c r="CB1275" s="9"/>
      <c r="CC1275" s="9"/>
      <c r="CD1275" s="9"/>
      <c r="CE1275" s="9"/>
      <c r="CF1275" s="9"/>
      <c r="CG1275" s="9"/>
    </row>
    <row r="1276" spans="1:85" ht="18" customHeight="1" x14ac:dyDescent="0.3">
      <c r="A1276" s="9">
        <f t="shared" si="95"/>
        <v>1275</v>
      </c>
      <c r="B1276" s="9" t="str">
        <f t="shared" si="96"/>
        <v/>
      </c>
      <c r="C1276" s="9"/>
      <c r="D1276" s="9"/>
      <c r="E1276" s="9">
        <f t="shared" si="97"/>
        <v>0</v>
      </c>
      <c r="F1276" s="9"/>
      <c r="G1276" s="9"/>
      <c r="H1276" s="9"/>
      <c r="I1276" s="9"/>
      <c r="J1276" s="9"/>
      <c r="K1276" s="9"/>
      <c r="L1276" s="9"/>
      <c r="M1276" s="9"/>
      <c r="N1276" s="9" t="str">
        <f t="shared" si="98"/>
        <v>NO</v>
      </c>
      <c r="O1276" s="9" t="str">
        <f t="shared" si="99"/>
        <v>🟡</v>
      </c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9"/>
      <c r="BD1276" s="9"/>
      <c r="BE1276" s="9"/>
      <c r="BF1276" s="9"/>
      <c r="BG1276" s="9"/>
      <c r="BH1276" s="9"/>
      <c r="BI1276" s="9"/>
      <c r="BJ1276" s="9"/>
      <c r="BK1276" s="9"/>
      <c r="BL1276" s="9"/>
      <c r="BM1276" s="9"/>
      <c r="BN1276" s="9"/>
      <c r="BO1276" s="9"/>
      <c r="BP1276" s="9"/>
      <c r="BQ1276" s="9"/>
      <c r="BR1276" s="9"/>
      <c r="BS1276" s="9"/>
      <c r="BT1276" s="9"/>
      <c r="BU1276" s="9"/>
      <c r="BV1276" s="9"/>
      <c r="BW1276" s="9"/>
      <c r="BX1276" s="9"/>
      <c r="BY1276" s="9"/>
      <c r="BZ1276" s="9"/>
      <c r="CA1276" s="9"/>
      <c r="CB1276" s="9"/>
      <c r="CC1276" s="9"/>
      <c r="CD1276" s="9"/>
      <c r="CE1276" s="9"/>
      <c r="CF1276" s="9"/>
      <c r="CG1276" s="9"/>
    </row>
    <row r="1277" spans="1:85" ht="18" customHeight="1" x14ac:dyDescent="0.3">
      <c r="A1277" s="9">
        <f t="shared" si="95"/>
        <v>1276</v>
      </c>
      <c r="B1277" s="9" t="str">
        <f t="shared" si="96"/>
        <v/>
      </c>
      <c r="C1277" s="9"/>
      <c r="D1277" s="9"/>
      <c r="E1277" s="9">
        <f t="shared" si="97"/>
        <v>0</v>
      </c>
      <c r="F1277" s="9"/>
      <c r="G1277" s="9"/>
      <c r="H1277" s="9"/>
      <c r="I1277" s="9"/>
      <c r="J1277" s="9"/>
      <c r="K1277" s="9"/>
      <c r="L1277" s="9"/>
      <c r="M1277" s="9"/>
      <c r="N1277" s="9" t="str">
        <f t="shared" si="98"/>
        <v>NO</v>
      </c>
      <c r="O1277" s="9" t="str">
        <f t="shared" si="99"/>
        <v>🟡</v>
      </c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9"/>
      <c r="BD1277" s="9"/>
      <c r="BE1277" s="9"/>
      <c r="BF1277" s="9"/>
      <c r="BG1277" s="9"/>
      <c r="BH1277" s="9"/>
      <c r="BI1277" s="9"/>
      <c r="BJ1277" s="9"/>
      <c r="BK1277" s="9"/>
      <c r="BL1277" s="9"/>
      <c r="BM1277" s="9"/>
      <c r="BN1277" s="9"/>
      <c r="BO1277" s="9"/>
      <c r="BP1277" s="9"/>
      <c r="BQ1277" s="9"/>
      <c r="BR1277" s="9"/>
      <c r="BS1277" s="9"/>
      <c r="BT1277" s="9"/>
      <c r="BU1277" s="9"/>
      <c r="BV1277" s="9"/>
      <c r="BW1277" s="9"/>
      <c r="BX1277" s="9"/>
      <c r="BY1277" s="9"/>
      <c r="BZ1277" s="9"/>
      <c r="CA1277" s="9"/>
      <c r="CB1277" s="9"/>
      <c r="CC1277" s="9"/>
      <c r="CD1277" s="9"/>
      <c r="CE1277" s="9"/>
      <c r="CF1277" s="9"/>
      <c r="CG1277" s="9"/>
    </row>
    <row r="1278" spans="1:85" ht="18" customHeight="1" x14ac:dyDescent="0.3">
      <c r="A1278" s="9">
        <f t="shared" si="95"/>
        <v>1277</v>
      </c>
      <c r="B1278" s="9" t="str">
        <f t="shared" si="96"/>
        <v/>
      </c>
      <c r="C1278" s="9"/>
      <c r="D1278" s="9"/>
      <c r="E1278" s="9">
        <f t="shared" si="97"/>
        <v>0</v>
      </c>
      <c r="F1278" s="9"/>
      <c r="G1278" s="9"/>
      <c r="H1278" s="9"/>
      <c r="I1278" s="9"/>
      <c r="J1278" s="9"/>
      <c r="K1278" s="9"/>
      <c r="L1278" s="9"/>
      <c r="M1278" s="9"/>
      <c r="N1278" s="9" t="str">
        <f t="shared" si="98"/>
        <v>NO</v>
      </c>
      <c r="O1278" s="9" t="str">
        <f t="shared" si="99"/>
        <v>🟡</v>
      </c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9"/>
      <c r="BD1278" s="9"/>
      <c r="BE1278" s="9"/>
      <c r="BF1278" s="9"/>
      <c r="BG1278" s="9"/>
      <c r="BH1278" s="9"/>
      <c r="BI1278" s="9"/>
      <c r="BJ1278" s="9"/>
      <c r="BK1278" s="9"/>
      <c r="BL1278" s="9"/>
      <c r="BM1278" s="9"/>
      <c r="BN1278" s="9"/>
      <c r="BO1278" s="9"/>
      <c r="BP1278" s="9"/>
      <c r="BQ1278" s="9"/>
      <c r="BR1278" s="9"/>
      <c r="BS1278" s="9"/>
      <c r="BT1278" s="9"/>
      <c r="BU1278" s="9"/>
      <c r="BV1278" s="9"/>
      <c r="BW1278" s="9"/>
      <c r="BX1278" s="9"/>
      <c r="BY1278" s="9"/>
      <c r="BZ1278" s="9"/>
      <c r="CA1278" s="9"/>
      <c r="CB1278" s="9"/>
      <c r="CC1278" s="9"/>
      <c r="CD1278" s="9"/>
      <c r="CE1278" s="9"/>
      <c r="CF1278" s="9"/>
      <c r="CG1278" s="9"/>
    </row>
    <row r="1279" spans="1:85" ht="18" customHeight="1" x14ac:dyDescent="0.3">
      <c r="A1279" s="9">
        <f t="shared" si="95"/>
        <v>1278</v>
      </c>
      <c r="B1279" s="9" t="str">
        <f t="shared" si="96"/>
        <v/>
      </c>
      <c r="C1279" s="9"/>
      <c r="D1279" s="9"/>
      <c r="E1279" s="9">
        <f t="shared" si="97"/>
        <v>0</v>
      </c>
      <c r="F1279" s="9"/>
      <c r="G1279" s="9"/>
      <c r="H1279" s="9"/>
      <c r="I1279" s="9"/>
      <c r="J1279" s="9"/>
      <c r="K1279" s="9"/>
      <c r="L1279" s="9"/>
      <c r="M1279" s="9"/>
      <c r="N1279" s="9" t="str">
        <f t="shared" si="98"/>
        <v>NO</v>
      </c>
      <c r="O1279" s="9" t="str">
        <f t="shared" si="99"/>
        <v>🟡</v>
      </c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9"/>
      <c r="BD1279" s="9"/>
      <c r="BE1279" s="9"/>
      <c r="BF1279" s="9"/>
      <c r="BG1279" s="9"/>
      <c r="BH1279" s="9"/>
      <c r="BI1279" s="9"/>
      <c r="BJ1279" s="9"/>
      <c r="BK1279" s="9"/>
      <c r="BL1279" s="9"/>
      <c r="BM1279" s="9"/>
      <c r="BN1279" s="9"/>
      <c r="BO1279" s="9"/>
      <c r="BP1279" s="9"/>
      <c r="BQ1279" s="9"/>
      <c r="BR1279" s="9"/>
      <c r="BS1279" s="9"/>
      <c r="BT1279" s="9"/>
      <c r="BU1279" s="9"/>
      <c r="BV1279" s="9"/>
      <c r="BW1279" s="9"/>
      <c r="BX1279" s="9"/>
      <c r="BY1279" s="9"/>
      <c r="BZ1279" s="9"/>
      <c r="CA1279" s="9"/>
      <c r="CB1279" s="9"/>
      <c r="CC1279" s="9"/>
      <c r="CD1279" s="9"/>
      <c r="CE1279" s="9"/>
      <c r="CF1279" s="9"/>
      <c r="CG1279" s="9"/>
    </row>
    <row r="1280" spans="1:85" ht="18" customHeight="1" x14ac:dyDescent="0.3">
      <c r="A1280" s="9">
        <f t="shared" si="95"/>
        <v>1279</v>
      </c>
      <c r="B1280" s="9" t="str">
        <f t="shared" si="96"/>
        <v/>
      </c>
      <c r="C1280" s="9"/>
      <c r="D1280" s="9"/>
      <c r="E1280" s="9">
        <f t="shared" si="97"/>
        <v>0</v>
      </c>
      <c r="F1280" s="9"/>
      <c r="G1280" s="9"/>
      <c r="H1280" s="9"/>
      <c r="I1280" s="9"/>
      <c r="J1280" s="9"/>
      <c r="K1280" s="9"/>
      <c r="L1280" s="9"/>
      <c r="M1280" s="9"/>
      <c r="N1280" s="9" t="str">
        <f t="shared" si="98"/>
        <v>NO</v>
      </c>
      <c r="O1280" s="9" t="str">
        <f t="shared" si="99"/>
        <v>🟡</v>
      </c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9"/>
      <c r="BD1280" s="9"/>
      <c r="BE1280" s="9"/>
      <c r="BF1280" s="9"/>
      <c r="BG1280" s="9"/>
      <c r="BH1280" s="9"/>
      <c r="BI1280" s="9"/>
      <c r="BJ1280" s="9"/>
      <c r="BK1280" s="9"/>
      <c r="BL1280" s="9"/>
      <c r="BM1280" s="9"/>
      <c r="BN1280" s="9"/>
      <c r="BO1280" s="9"/>
      <c r="BP1280" s="9"/>
      <c r="BQ1280" s="9"/>
      <c r="BR1280" s="9"/>
      <c r="BS1280" s="9"/>
      <c r="BT1280" s="9"/>
      <c r="BU1280" s="9"/>
      <c r="BV1280" s="9"/>
      <c r="BW1280" s="9"/>
      <c r="BX1280" s="9"/>
      <c r="BY1280" s="9"/>
      <c r="BZ1280" s="9"/>
      <c r="CA1280" s="9"/>
      <c r="CB1280" s="9"/>
      <c r="CC1280" s="9"/>
      <c r="CD1280" s="9"/>
      <c r="CE1280" s="9"/>
      <c r="CF1280" s="9"/>
      <c r="CG1280" s="9"/>
    </row>
    <row r="1281" spans="1:85" ht="18" customHeight="1" x14ac:dyDescent="0.3">
      <c r="A1281" s="9">
        <f t="shared" ref="A1281:A1344" si="100">IF(COUNTA(C1281:K1281)=0,"",ROW()-1)</f>
        <v>1280</v>
      </c>
      <c r="B1281" s="9" t="str">
        <f t="shared" ref="B1281:B1344" si="101">IF($F1281&lt;&gt;"",$A1281,"")</f>
        <v/>
      </c>
      <c r="C1281" s="9"/>
      <c r="D1281" s="9"/>
      <c r="E1281" s="9">
        <f t="shared" ref="E1281:E1344" si="102">IF(UPPER($J1281)="NO","",$M1281)</f>
        <v>0</v>
      </c>
      <c r="F1281" s="9"/>
      <c r="G1281" s="9"/>
      <c r="H1281" s="9"/>
      <c r="I1281" s="9"/>
      <c r="J1281" s="9"/>
      <c r="K1281" s="9"/>
      <c r="L1281" s="9"/>
      <c r="M1281" s="9"/>
      <c r="N1281" s="9" t="str">
        <f t="shared" ref="N1281:N1344" si="103">IF(AND(UPPER($M1281)="VIP",UPPER($J1281)="SI",$F1281&lt;&gt;""),"SI","NO")</f>
        <v>NO</v>
      </c>
      <c r="O1281" s="9" t="str">
        <f t="shared" ref="O1281:O1344" si="104">IF(UPPER($J1281)="SI","🟢",IF(UPPER($J1281)="NO","🔴","🟡"))</f>
        <v>🟡</v>
      </c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9"/>
      <c r="BD1281" s="9"/>
      <c r="BE1281" s="9"/>
      <c r="BF1281" s="9"/>
      <c r="BG1281" s="9"/>
      <c r="BH1281" s="9"/>
      <c r="BI1281" s="9"/>
      <c r="BJ1281" s="9"/>
      <c r="BK1281" s="9"/>
      <c r="BL1281" s="9"/>
      <c r="BM1281" s="9"/>
      <c r="BN1281" s="9"/>
      <c r="BO1281" s="9"/>
      <c r="BP1281" s="9"/>
      <c r="BQ1281" s="9"/>
      <c r="BR1281" s="9"/>
      <c r="BS1281" s="9"/>
      <c r="BT1281" s="9"/>
      <c r="BU1281" s="9"/>
      <c r="BV1281" s="9"/>
      <c r="BW1281" s="9"/>
      <c r="BX1281" s="9"/>
      <c r="BY1281" s="9"/>
      <c r="BZ1281" s="9"/>
      <c r="CA1281" s="9"/>
      <c r="CB1281" s="9"/>
      <c r="CC1281" s="9"/>
      <c r="CD1281" s="9"/>
      <c r="CE1281" s="9"/>
      <c r="CF1281" s="9"/>
      <c r="CG1281" s="9"/>
    </row>
    <row r="1282" spans="1:85" ht="18" customHeight="1" x14ac:dyDescent="0.3">
      <c r="A1282" s="9">
        <f t="shared" si="100"/>
        <v>1281</v>
      </c>
      <c r="B1282" s="9" t="str">
        <f t="shared" si="101"/>
        <v/>
      </c>
      <c r="C1282" s="9"/>
      <c r="D1282" s="9"/>
      <c r="E1282" s="9">
        <f t="shared" si="102"/>
        <v>0</v>
      </c>
      <c r="F1282" s="9"/>
      <c r="G1282" s="9"/>
      <c r="H1282" s="9"/>
      <c r="I1282" s="9"/>
      <c r="J1282" s="9"/>
      <c r="K1282" s="9"/>
      <c r="L1282" s="9"/>
      <c r="M1282" s="9"/>
      <c r="N1282" s="9" t="str">
        <f t="shared" si="103"/>
        <v>NO</v>
      </c>
      <c r="O1282" s="9" t="str">
        <f t="shared" si="104"/>
        <v>🟡</v>
      </c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9"/>
      <c r="BD1282" s="9"/>
      <c r="BE1282" s="9"/>
      <c r="BF1282" s="9"/>
      <c r="BG1282" s="9"/>
      <c r="BH1282" s="9"/>
      <c r="BI1282" s="9"/>
      <c r="BJ1282" s="9"/>
      <c r="BK1282" s="9"/>
      <c r="BL1282" s="9"/>
      <c r="BM1282" s="9"/>
      <c r="BN1282" s="9"/>
      <c r="BO1282" s="9"/>
      <c r="BP1282" s="9"/>
      <c r="BQ1282" s="9"/>
      <c r="BR1282" s="9"/>
      <c r="BS1282" s="9"/>
      <c r="BT1282" s="9"/>
      <c r="BU1282" s="9"/>
      <c r="BV1282" s="9"/>
      <c r="BW1282" s="9"/>
      <c r="BX1282" s="9"/>
      <c r="BY1282" s="9"/>
      <c r="BZ1282" s="9"/>
      <c r="CA1282" s="9"/>
      <c r="CB1282" s="9"/>
      <c r="CC1282" s="9"/>
      <c r="CD1282" s="9"/>
      <c r="CE1282" s="9"/>
      <c r="CF1282" s="9"/>
      <c r="CG1282" s="9"/>
    </row>
    <row r="1283" spans="1:85" ht="18" customHeight="1" x14ac:dyDescent="0.3">
      <c r="A1283" s="9">
        <f t="shared" si="100"/>
        <v>1282</v>
      </c>
      <c r="B1283" s="9" t="str">
        <f t="shared" si="101"/>
        <v/>
      </c>
      <c r="C1283" s="9"/>
      <c r="D1283" s="9"/>
      <c r="E1283" s="9">
        <f t="shared" si="102"/>
        <v>0</v>
      </c>
      <c r="F1283" s="9"/>
      <c r="G1283" s="9"/>
      <c r="H1283" s="9"/>
      <c r="I1283" s="9"/>
      <c r="J1283" s="9"/>
      <c r="K1283" s="9"/>
      <c r="L1283" s="9"/>
      <c r="M1283" s="9"/>
      <c r="N1283" s="9" t="str">
        <f t="shared" si="103"/>
        <v>NO</v>
      </c>
      <c r="O1283" s="9" t="str">
        <f t="shared" si="104"/>
        <v>🟡</v>
      </c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9"/>
      <c r="AO1283" s="9"/>
      <c r="AP1283" s="9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  <c r="BA1283" s="9"/>
      <c r="BB1283" s="9"/>
      <c r="BC1283" s="9"/>
      <c r="BD1283" s="9"/>
      <c r="BE1283" s="9"/>
      <c r="BF1283" s="9"/>
      <c r="BG1283" s="9"/>
      <c r="BH1283" s="9"/>
      <c r="BI1283" s="9"/>
      <c r="BJ1283" s="9"/>
      <c r="BK1283" s="9"/>
      <c r="BL1283" s="9"/>
      <c r="BM1283" s="9"/>
      <c r="BN1283" s="9"/>
      <c r="BO1283" s="9"/>
      <c r="BP1283" s="9"/>
      <c r="BQ1283" s="9"/>
      <c r="BR1283" s="9"/>
      <c r="BS1283" s="9"/>
      <c r="BT1283" s="9"/>
      <c r="BU1283" s="9"/>
      <c r="BV1283" s="9"/>
      <c r="BW1283" s="9"/>
      <c r="BX1283" s="9"/>
      <c r="BY1283" s="9"/>
      <c r="BZ1283" s="9"/>
      <c r="CA1283" s="9"/>
      <c r="CB1283" s="9"/>
      <c r="CC1283" s="9"/>
      <c r="CD1283" s="9"/>
      <c r="CE1283" s="9"/>
      <c r="CF1283" s="9"/>
      <c r="CG1283" s="9"/>
    </row>
    <row r="1284" spans="1:85" ht="18" customHeight="1" x14ac:dyDescent="0.3">
      <c r="A1284" s="9">
        <f t="shared" si="100"/>
        <v>1283</v>
      </c>
      <c r="B1284" s="9" t="str">
        <f t="shared" si="101"/>
        <v/>
      </c>
      <c r="C1284" s="9"/>
      <c r="D1284" s="9"/>
      <c r="E1284" s="9">
        <f t="shared" si="102"/>
        <v>0</v>
      </c>
      <c r="F1284" s="9"/>
      <c r="G1284" s="9"/>
      <c r="H1284" s="9"/>
      <c r="I1284" s="9"/>
      <c r="J1284" s="9"/>
      <c r="K1284" s="9"/>
      <c r="L1284" s="9"/>
      <c r="M1284" s="9"/>
      <c r="N1284" s="9" t="str">
        <f t="shared" si="103"/>
        <v>NO</v>
      </c>
      <c r="O1284" s="9" t="str">
        <f t="shared" si="104"/>
        <v>🟡</v>
      </c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9"/>
      <c r="AO1284" s="9"/>
      <c r="AP1284" s="9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  <c r="BA1284" s="9"/>
      <c r="BB1284" s="9"/>
      <c r="BC1284" s="9"/>
      <c r="BD1284" s="9"/>
      <c r="BE1284" s="9"/>
      <c r="BF1284" s="9"/>
      <c r="BG1284" s="9"/>
      <c r="BH1284" s="9"/>
      <c r="BI1284" s="9"/>
      <c r="BJ1284" s="9"/>
      <c r="BK1284" s="9"/>
      <c r="BL1284" s="9"/>
      <c r="BM1284" s="9"/>
      <c r="BN1284" s="9"/>
      <c r="BO1284" s="9"/>
      <c r="BP1284" s="9"/>
      <c r="BQ1284" s="9"/>
      <c r="BR1284" s="9"/>
      <c r="BS1284" s="9"/>
      <c r="BT1284" s="9"/>
      <c r="BU1284" s="9"/>
      <c r="BV1284" s="9"/>
      <c r="BW1284" s="9"/>
      <c r="BX1284" s="9"/>
      <c r="BY1284" s="9"/>
      <c r="BZ1284" s="9"/>
      <c r="CA1284" s="9"/>
      <c r="CB1284" s="9"/>
      <c r="CC1284" s="9"/>
      <c r="CD1284" s="9"/>
      <c r="CE1284" s="9"/>
      <c r="CF1284" s="9"/>
      <c r="CG1284" s="9"/>
    </row>
    <row r="1285" spans="1:85" ht="18" customHeight="1" x14ac:dyDescent="0.3">
      <c r="A1285" s="9">
        <f t="shared" si="100"/>
        <v>1284</v>
      </c>
      <c r="B1285" s="9" t="str">
        <f t="shared" si="101"/>
        <v/>
      </c>
      <c r="C1285" s="9"/>
      <c r="D1285" s="9"/>
      <c r="E1285" s="9">
        <f t="shared" si="102"/>
        <v>0</v>
      </c>
      <c r="F1285" s="9"/>
      <c r="G1285" s="9"/>
      <c r="H1285" s="9"/>
      <c r="I1285" s="9"/>
      <c r="J1285" s="9"/>
      <c r="K1285" s="9"/>
      <c r="L1285" s="9"/>
      <c r="M1285" s="9"/>
      <c r="N1285" s="9" t="str">
        <f t="shared" si="103"/>
        <v>NO</v>
      </c>
      <c r="O1285" s="9" t="str">
        <f t="shared" si="104"/>
        <v>🟡</v>
      </c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9"/>
      <c r="AO1285" s="9"/>
      <c r="AP1285" s="9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  <c r="BA1285" s="9"/>
      <c r="BB1285" s="9"/>
      <c r="BC1285" s="9"/>
      <c r="BD1285" s="9"/>
      <c r="BE1285" s="9"/>
      <c r="BF1285" s="9"/>
      <c r="BG1285" s="9"/>
      <c r="BH1285" s="9"/>
      <c r="BI1285" s="9"/>
      <c r="BJ1285" s="9"/>
      <c r="BK1285" s="9"/>
      <c r="BL1285" s="9"/>
      <c r="BM1285" s="9"/>
      <c r="BN1285" s="9"/>
      <c r="BO1285" s="9"/>
      <c r="BP1285" s="9"/>
      <c r="BQ1285" s="9"/>
      <c r="BR1285" s="9"/>
      <c r="BS1285" s="9"/>
      <c r="BT1285" s="9"/>
      <c r="BU1285" s="9"/>
      <c r="BV1285" s="9"/>
      <c r="BW1285" s="9"/>
      <c r="BX1285" s="9"/>
      <c r="BY1285" s="9"/>
      <c r="BZ1285" s="9"/>
      <c r="CA1285" s="9"/>
      <c r="CB1285" s="9"/>
      <c r="CC1285" s="9"/>
      <c r="CD1285" s="9"/>
      <c r="CE1285" s="9"/>
      <c r="CF1285" s="9"/>
      <c r="CG1285" s="9"/>
    </row>
    <row r="1286" spans="1:85" ht="18" customHeight="1" x14ac:dyDescent="0.3">
      <c r="A1286" s="9">
        <f t="shared" si="100"/>
        <v>1285</v>
      </c>
      <c r="B1286" s="9" t="str">
        <f t="shared" si="101"/>
        <v/>
      </c>
      <c r="C1286" s="9"/>
      <c r="D1286" s="9"/>
      <c r="E1286" s="9">
        <f t="shared" si="102"/>
        <v>0</v>
      </c>
      <c r="F1286" s="9"/>
      <c r="G1286" s="9"/>
      <c r="H1286" s="9"/>
      <c r="I1286" s="9"/>
      <c r="J1286" s="9"/>
      <c r="K1286" s="9"/>
      <c r="L1286" s="9"/>
      <c r="M1286" s="9"/>
      <c r="N1286" s="9" t="str">
        <f t="shared" si="103"/>
        <v>NO</v>
      </c>
      <c r="O1286" s="9" t="str">
        <f t="shared" si="104"/>
        <v>🟡</v>
      </c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9"/>
      <c r="AO1286" s="9"/>
      <c r="AP1286" s="9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  <c r="BA1286" s="9"/>
      <c r="BB1286" s="9"/>
      <c r="BC1286" s="9"/>
      <c r="BD1286" s="9"/>
      <c r="BE1286" s="9"/>
      <c r="BF1286" s="9"/>
      <c r="BG1286" s="9"/>
      <c r="BH1286" s="9"/>
      <c r="BI1286" s="9"/>
      <c r="BJ1286" s="9"/>
      <c r="BK1286" s="9"/>
      <c r="BL1286" s="9"/>
      <c r="BM1286" s="9"/>
      <c r="BN1286" s="9"/>
      <c r="BO1286" s="9"/>
      <c r="BP1286" s="9"/>
      <c r="BQ1286" s="9"/>
      <c r="BR1286" s="9"/>
      <c r="BS1286" s="9"/>
      <c r="BT1286" s="9"/>
      <c r="BU1286" s="9"/>
      <c r="BV1286" s="9"/>
      <c r="BW1286" s="9"/>
      <c r="BX1286" s="9"/>
      <c r="BY1286" s="9"/>
      <c r="BZ1286" s="9"/>
      <c r="CA1286" s="9"/>
      <c r="CB1286" s="9"/>
      <c r="CC1286" s="9"/>
      <c r="CD1286" s="9"/>
      <c r="CE1286" s="9"/>
      <c r="CF1286" s="9"/>
      <c r="CG1286" s="9"/>
    </row>
    <row r="1287" spans="1:85" ht="18" customHeight="1" x14ac:dyDescent="0.3">
      <c r="A1287" s="9">
        <f t="shared" si="100"/>
        <v>1286</v>
      </c>
      <c r="B1287" s="9" t="str">
        <f t="shared" si="101"/>
        <v/>
      </c>
      <c r="C1287" s="9"/>
      <c r="D1287" s="9"/>
      <c r="E1287" s="9">
        <f t="shared" si="102"/>
        <v>0</v>
      </c>
      <c r="F1287" s="9"/>
      <c r="G1287" s="9"/>
      <c r="H1287" s="9"/>
      <c r="I1287" s="9"/>
      <c r="J1287" s="9"/>
      <c r="K1287" s="9"/>
      <c r="L1287" s="9"/>
      <c r="M1287" s="9"/>
      <c r="N1287" s="9" t="str">
        <f t="shared" si="103"/>
        <v>NO</v>
      </c>
      <c r="O1287" s="9" t="str">
        <f t="shared" si="104"/>
        <v>🟡</v>
      </c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9"/>
      <c r="AO1287" s="9"/>
      <c r="AP1287" s="9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  <c r="BA1287" s="9"/>
      <c r="BB1287" s="9"/>
      <c r="BC1287" s="9"/>
      <c r="BD1287" s="9"/>
      <c r="BE1287" s="9"/>
      <c r="BF1287" s="9"/>
      <c r="BG1287" s="9"/>
      <c r="BH1287" s="9"/>
      <c r="BI1287" s="9"/>
      <c r="BJ1287" s="9"/>
      <c r="BK1287" s="9"/>
      <c r="BL1287" s="9"/>
      <c r="BM1287" s="9"/>
      <c r="BN1287" s="9"/>
      <c r="BO1287" s="9"/>
      <c r="BP1287" s="9"/>
      <c r="BQ1287" s="9"/>
      <c r="BR1287" s="9"/>
      <c r="BS1287" s="9"/>
      <c r="BT1287" s="9"/>
      <c r="BU1287" s="9"/>
      <c r="BV1287" s="9"/>
      <c r="BW1287" s="9"/>
      <c r="BX1287" s="9"/>
      <c r="BY1287" s="9"/>
      <c r="BZ1287" s="9"/>
      <c r="CA1287" s="9"/>
      <c r="CB1287" s="9"/>
      <c r="CC1287" s="9"/>
      <c r="CD1287" s="9"/>
      <c r="CE1287" s="9"/>
      <c r="CF1287" s="9"/>
      <c r="CG1287" s="9"/>
    </row>
    <row r="1288" spans="1:85" ht="18" customHeight="1" x14ac:dyDescent="0.3">
      <c r="A1288" s="9">
        <f t="shared" si="100"/>
        <v>1287</v>
      </c>
      <c r="B1288" s="9" t="str">
        <f t="shared" si="101"/>
        <v/>
      </c>
      <c r="C1288" s="9"/>
      <c r="D1288" s="9"/>
      <c r="E1288" s="9">
        <f t="shared" si="102"/>
        <v>0</v>
      </c>
      <c r="F1288" s="9"/>
      <c r="G1288" s="9"/>
      <c r="H1288" s="9"/>
      <c r="I1288" s="9"/>
      <c r="J1288" s="9"/>
      <c r="K1288" s="9"/>
      <c r="L1288" s="9"/>
      <c r="M1288" s="9"/>
      <c r="N1288" s="9" t="str">
        <f t="shared" si="103"/>
        <v>NO</v>
      </c>
      <c r="O1288" s="9" t="str">
        <f t="shared" si="104"/>
        <v>🟡</v>
      </c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9"/>
      <c r="AO1288" s="9"/>
      <c r="AP1288" s="9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  <c r="BA1288" s="9"/>
      <c r="BB1288" s="9"/>
      <c r="BC1288" s="9"/>
      <c r="BD1288" s="9"/>
      <c r="BE1288" s="9"/>
      <c r="BF1288" s="9"/>
      <c r="BG1288" s="9"/>
      <c r="BH1288" s="9"/>
      <c r="BI1288" s="9"/>
      <c r="BJ1288" s="9"/>
      <c r="BK1288" s="9"/>
      <c r="BL1288" s="9"/>
      <c r="BM1288" s="9"/>
      <c r="BN1288" s="9"/>
      <c r="BO1288" s="9"/>
      <c r="BP1288" s="9"/>
      <c r="BQ1288" s="9"/>
      <c r="BR1288" s="9"/>
      <c r="BS1288" s="9"/>
      <c r="BT1288" s="9"/>
      <c r="BU1288" s="9"/>
      <c r="BV1288" s="9"/>
      <c r="BW1288" s="9"/>
      <c r="BX1288" s="9"/>
      <c r="BY1288" s="9"/>
      <c r="BZ1288" s="9"/>
      <c r="CA1288" s="9"/>
      <c r="CB1288" s="9"/>
      <c r="CC1288" s="9"/>
      <c r="CD1288" s="9"/>
      <c r="CE1288" s="9"/>
      <c r="CF1288" s="9"/>
      <c r="CG1288" s="9"/>
    </row>
    <row r="1289" spans="1:85" ht="18" customHeight="1" x14ac:dyDescent="0.3">
      <c r="A1289" s="9">
        <f t="shared" si="100"/>
        <v>1288</v>
      </c>
      <c r="B1289" s="9" t="str">
        <f t="shared" si="101"/>
        <v/>
      </c>
      <c r="C1289" s="9"/>
      <c r="D1289" s="9"/>
      <c r="E1289" s="9">
        <f t="shared" si="102"/>
        <v>0</v>
      </c>
      <c r="F1289" s="9"/>
      <c r="G1289" s="9"/>
      <c r="H1289" s="9"/>
      <c r="I1289" s="9"/>
      <c r="J1289" s="9"/>
      <c r="K1289" s="9"/>
      <c r="L1289" s="9"/>
      <c r="M1289" s="9"/>
      <c r="N1289" s="9" t="str">
        <f t="shared" si="103"/>
        <v>NO</v>
      </c>
      <c r="O1289" s="9" t="str">
        <f t="shared" si="104"/>
        <v>🟡</v>
      </c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9"/>
      <c r="AO1289" s="9"/>
      <c r="AP1289" s="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  <c r="BA1289" s="9"/>
      <c r="BB1289" s="9"/>
      <c r="BC1289" s="9"/>
      <c r="BD1289" s="9"/>
      <c r="BE1289" s="9"/>
      <c r="BF1289" s="9"/>
      <c r="BG1289" s="9"/>
      <c r="BH1289" s="9"/>
      <c r="BI1289" s="9"/>
      <c r="BJ1289" s="9"/>
      <c r="BK1289" s="9"/>
      <c r="BL1289" s="9"/>
      <c r="BM1289" s="9"/>
      <c r="BN1289" s="9"/>
      <c r="BO1289" s="9"/>
      <c r="BP1289" s="9"/>
      <c r="BQ1289" s="9"/>
      <c r="BR1289" s="9"/>
      <c r="BS1289" s="9"/>
      <c r="BT1289" s="9"/>
      <c r="BU1289" s="9"/>
      <c r="BV1289" s="9"/>
      <c r="BW1289" s="9"/>
      <c r="BX1289" s="9"/>
      <c r="BY1289" s="9"/>
      <c r="BZ1289" s="9"/>
      <c r="CA1289" s="9"/>
      <c r="CB1289" s="9"/>
      <c r="CC1289" s="9"/>
      <c r="CD1289" s="9"/>
      <c r="CE1289" s="9"/>
      <c r="CF1289" s="9"/>
      <c r="CG1289" s="9"/>
    </row>
    <row r="1290" spans="1:85" ht="18" customHeight="1" x14ac:dyDescent="0.3">
      <c r="A1290" s="9">
        <f t="shared" si="100"/>
        <v>1289</v>
      </c>
      <c r="B1290" s="9" t="str">
        <f t="shared" si="101"/>
        <v/>
      </c>
      <c r="C1290" s="9"/>
      <c r="D1290" s="9"/>
      <c r="E1290" s="9">
        <f t="shared" si="102"/>
        <v>0</v>
      </c>
      <c r="F1290" s="9"/>
      <c r="G1290" s="9"/>
      <c r="H1290" s="9"/>
      <c r="I1290" s="9"/>
      <c r="J1290" s="9"/>
      <c r="K1290" s="9"/>
      <c r="L1290" s="9"/>
      <c r="M1290" s="9"/>
      <c r="N1290" s="9" t="str">
        <f t="shared" si="103"/>
        <v>NO</v>
      </c>
      <c r="O1290" s="9" t="str">
        <f t="shared" si="104"/>
        <v>🟡</v>
      </c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9"/>
      <c r="AO1290" s="9"/>
      <c r="AP1290" s="9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  <c r="BA1290" s="9"/>
      <c r="BB1290" s="9"/>
      <c r="BC1290" s="9"/>
      <c r="BD1290" s="9"/>
      <c r="BE1290" s="9"/>
      <c r="BF1290" s="9"/>
      <c r="BG1290" s="9"/>
      <c r="BH1290" s="9"/>
      <c r="BI1290" s="9"/>
      <c r="BJ1290" s="9"/>
      <c r="BK1290" s="9"/>
      <c r="BL1290" s="9"/>
      <c r="BM1290" s="9"/>
      <c r="BN1290" s="9"/>
      <c r="BO1290" s="9"/>
      <c r="BP1290" s="9"/>
      <c r="BQ1290" s="9"/>
      <c r="BR1290" s="9"/>
      <c r="BS1290" s="9"/>
      <c r="BT1290" s="9"/>
      <c r="BU1290" s="9"/>
      <c r="BV1290" s="9"/>
      <c r="BW1290" s="9"/>
      <c r="BX1290" s="9"/>
      <c r="BY1290" s="9"/>
      <c r="BZ1290" s="9"/>
      <c r="CA1290" s="9"/>
      <c r="CB1290" s="9"/>
      <c r="CC1290" s="9"/>
      <c r="CD1290" s="9"/>
      <c r="CE1290" s="9"/>
      <c r="CF1290" s="9"/>
      <c r="CG1290" s="9"/>
    </row>
    <row r="1291" spans="1:85" ht="18" customHeight="1" x14ac:dyDescent="0.3">
      <c r="A1291" s="9">
        <f t="shared" si="100"/>
        <v>1290</v>
      </c>
      <c r="B1291" s="9" t="str">
        <f t="shared" si="101"/>
        <v/>
      </c>
      <c r="C1291" s="9"/>
      <c r="D1291" s="9"/>
      <c r="E1291" s="9">
        <f t="shared" si="102"/>
        <v>0</v>
      </c>
      <c r="F1291" s="9"/>
      <c r="G1291" s="9"/>
      <c r="H1291" s="9"/>
      <c r="I1291" s="9"/>
      <c r="J1291" s="9"/>
      <c r="K1291" s="9"/>
      <c r="L1291" s="9"/>
      <c r="M1291" s="9"/>
      <c r="N1291" s="9" t="str">
        <f t="shared" si="103"/>
        <v>NO</v>
      </c>
      <c r="O1291" s="9" t="str">
        <f t="shared" si="104"/>
        <v>🟡</v>
      </c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9"/>
      <c r="AO1291" s="9"/>
      <c r="AP1291" s="9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  <c r="BA1291" s="9"/>
      <c r="BB1291" s="9"/>
      <c r="BC1291" s="9"/>
      <c r="BD1291" s="9"/>
      <c r="BE1291" s="9"/>
      <c r="BF1291" s="9"/>
      <c r="BG1291" s="9"/>
      <c r="BH1291" s="9"/>
      <c r="BI1291" s="9"/>
      <c r="BJ1291" s="9"/>
      <c r="BK1291" s="9"/>
      <c r="BL1291" s="9"/>
      <c r="BM1291" s="9"/>
      <c r="BN1291" s="9"/>
      <c r="BO1291" s="9"/>
      <c r="BP1291" s="9"/>
      <c r="BQ1291" s="9"/>
      <c r="BR1291" s="9"/>
      <c r="BS1291" s="9"/>
      <c r="BT1291" s="9"/>
      <c r="BU1291" s="9"/>
      <c r="BV1291" s="9"/>
      <c r="BW1291" s="9"/>
      <c r="BX1291" s="9"/>
      <c r="BY1291" s="9"/>
      <c r="BZ1291" s="9"/>
      <c r="CA1291" s="9"/>
      <c r="CB1291" s="9"/>
      <c r="CC1291" s="9"/>
      <c r="CD1291" s="9"/>
      <c r="CE1291" s="9"/>
      <c r="CF1291" s="9"/>
      <c r="CG1291" s="9"/>
    </row>
    <row r="1292" spans="1:85" ht="18" customHeight="1" x14ac:dyDescent="0.3">
      <c r="A1292" s="9">
        <f t="shared" si="100"/>
        <v>1291</v>
      </c>
      <c r="B1292" s="9" t="str">
        <f t="shared" si="101"/>
        <v/>
      </c>
      <c r="C1292" s="9"/>
      <c r="D1292" s="9"/>
      <c r="E1292" s="9">
        <f t="shared" si="102"/>
        <v>0</v>
      </c>
      <c r="F1292" s="9"/>
      <c r="G1292" s="9"/>
      <c r="H1292" s="9"/>
      <c r="I1292" s="9"/>
      <c r="J1292" s="9"/>
      <c r="K1292" s="9"/>
      <c r="L1292" s="9"/>
      <c r="M1292" s="9"/>
      <c r="N1292" s="9" t="str">
        <f t="shared" si="103"/>
        <v>NO</v>
      </c>
      <c r="O1292" s="9" t="str">
        <f t="shared" si="104"/>
        <v>🟡</v>
      </c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9"/>
      <c r="AO1292" s="9"/>
      <c r="AP1292" s="9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  <c r="BA1292" s="9"/>
      <c r="BB1292" s="9"/>
      <c r="BC1292" s="9"/>
      <c r="BD1292" s="9"/>
      <c r="BE1292" s="9"/>
      <c r="BF1292" s="9"/>
      <c r="BG1292" s="9"/>
      <c r="BH1292" s="9"/>
      <c r="BI1292" s="9"/>
      <c r="BJ1292" s="9"/>
      <c r="BK1292" s="9"/>
      <c r="BL1292" s="9"/>
      <c r="BM1292" s="9"/>
      <c r="BN1292" s="9"/>
      <c r="BO1292" s="9"/>
      <c r="BP1292" s="9"/>
      <c r="BQ1292" s="9"/>
      <c r="BR1292" s="9"/>
      <c r="BS1292" s="9"/>
      <c r="BT1292" s="9"/>
      <c r="BU1292" s="9"/>
      <c r="BV1292" s="9"/>
      <c r="BW1292" s="9"/>
      <c r="BX1292" s="9"/>
      <c r="BY1292" s="9"/>
      <c r="BZ1292" s="9"/>
      <c r="CA1292" s="9"/>
      <c r="CB1292" s="9"/>
      <c r="CC1292" s="9"/>
      <c r="CD1292" s="9"/>
      <c r="CE1292" s="9"/>
      <c r="CF1292" s="9"/>
      <c r="CG1292" s="9"/>
    </row>
    <row r="1293" spans="1:85" ht="18" customHeight="1" x14ac:dyDescent="0.3">
      <c r="A1293" s="9">
        <f t="shared" si="100"/>
        <v>1292</v>
      </c>
      <c r="B1293" s="9" t="str">
        <f t="shared" si="101"/>
        <v/>
      </c>
      <c r="C1293" s="9"/>
      <c r="D1293" s="9"/>
      <c r="E1293" s="9">
        <f t="shared" si="102"/>
        <v>0</v>
      </c>
      <c r="F1293" s="9"/>
      <c r="G1293" s="9"/>
      <c r="H1293" s="9"/>
      <c r="I1293" s="9"/>
      <c r="J1293" s="9"/>
      <c r="K1293" s="9"/>
      <c r="L1293" s="9"/>
      <c r="M1293" s="9"/>
      <c r="N1293" s="9" t="str">
        <f t="shared" si="103"/>
        <v>NO</v>
      </c>
      <c r="O1293" s="9" t="str">
        <f t="shared" si="104"/>
        <v>🟡</v>
      </c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  <c r="AN1293" s="9"/>
      <c r="AO1293" s="9"/>
      <c r="AP1293" s="9"/>
      <c r="AQ1293" s="9"/>
      <c r="AR1293" s="9"/>
      <c r="AS1293" s="9"/>
      <c r="AT1293" s="9"/>
      <c r="AU1293" s="9"/>
      <c r="AV1293" s="9"/>
      <c r="AW1293" s="9"/>
      <c r="AX1293" s="9"/>
      <c r="AY1293" s="9"/>
      <c r="AZ1293" s="9"/>
      <c r="BA1293" s="9"/>
      <c r="BB1293" s="9"/>
      <c r="BC1293" s="9"/>
      <c r="BD1293" s="9"/>
      <c r="BE1293" s="9"/>
      <c r="BF1293" s="9"/>
      <c r="BG1293" s="9"/>
      <c r="BH1293" s="9"/>
      <c r="BI1293" s="9"/>
      <c r="BJ1293" s="9"/>
      <c r="BK1293" s="9"/>
      <c r="BL1293" s="9"/>
      <c r="BM1293" s="9"/>
      <c r="BN1293" s="9"/>
      <c r="BO1293" s="9"/>
      <c r="BP1293" s="9"/>
      <c r="BQ1293" s="9"/>
      <c r="BR1293" s="9"/>
      <c r="BS1293" s="9"/>
      <c r="BT1293" s="9"/>
      <c r="BU1293" s="9"/>
      <c r="BV1293" s="9"/>
      <c r="BW1293" s="9"/>
      <c r="BX1293" s="9"/>
      <c r="BY1293" s="9"/>
      <c r="BZ1293" s="9"/>
      <c r="CA1293" s="9"/>
      <c r="CB1293" s="9"/>
      <c r="CC1293" s="9"/>
      <c r="CD1293" s="9"/>
      <c r="CE1293" s="9"/>
      <c r="CF1293" s="9"/>
      <c r="CG1293" s="9"/>
    </row>
    <row r="1294" spans="1:85" ht="18" customHeight="1" x14ac:dyDescent="0.3">
      <c r="A1294" s="9">
        <f t="shared" si="100"/>
        <v>1293</v>
      </c>
      <c r="B1294" s="9" t="str">
        <f t="shared" si="101"/>
        <v/>
      </c>
      <c r="C1294" s="9"/>
      <c r="D1294" s="9"/>
      <c r="E1294" s="9">
        <f t="shared" si="102"/>
        <v>0</v>
      </c>
      <c r="F1294" s="9"/>
      <c r="G1294" s="9"/>
      <c r="H1294" s="9"/>
      <c r="I1294" s="9"/>
      <c r="J1294" s="9"/>
      <c r="K1294" s="9"/>
      <c r="L1294" s="9"/>
      <c r="M1294" s="9"/>
      <c r="N1294" s="9" t="str">
        <f t="shared" si="103"/>
        <v>NO</v>
      </c>
      <c r="O1294" s="9" t="str">
        <f t="shared" si="104"/>
        <v>🟡</v>
      </c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9"/>
      <c r="AO1294" s="9"/>
      <c r="AP1294" s="9"/>
      <c r="AQ1294" s="9"/>
      <c r="AR1294" s="9"/>
      <c r="AS1294" s="9"/>
      <c r="AT1294" s="9"/>
      <c r="AU1294" s="9"/>
      <c r="AV1294" s="9"/>
      <c r="AW1294" s="9"/>
      <c r="AX1294" s="9"/>
      <c r="AY1294" s="9"/>
      <c r="AZ1294" s="9"/>
      <c r="BA1294" s="9"/>
      <c r="BB1294" s="9"/>
      <c r="BC1294" s="9"/>
      <c r="BD1294" s="9"/>
      <c r="BE1294" s="9"/>
      <c r="BF1294" s="9"/>
      <c r="BG1294" s="9"/>
      <c r="BH1294" s="9"/>
      <c r="BI1294" s="9"/>
      <c r="BJ1294" s="9"/>
      <c r="BK1294" s="9"/>
      <c r="BL1294" s="9"/>
      <c r="BM1294" s="9"/>
      <c r="BN1294" s="9"/>
      <c r="BO1294" s="9"/>
      <c r="BP1294" s="9"/>
      <c r="BQ1294" s="9"/>
      <c r="BR1294" s="9"/>
      <c r="BS1294" s="9"/>
      <c r="BT1294" s="9"/>
      <c r="BU1294" s="9"/>
      <c r="BV1294" s="9"/>
      <c r="BW1294" s="9"/>
      <c r="BX1294" s="9"/>
      <c r="BY1294" s="9"/>
      <c r="BZ1294" s="9"/>
      <c r="CA1294" s="9"/>
      <c r="CB1294" s="9"/>
      <c r="CC1294" s="9"/>
      <c r="CD1294" s="9"/>
      <c r="CE1294" s="9"/>
      <c r="CF1294" s="9"/>
      <c r="CG1294" s="9"/>
    </row>
    <row r="1295" spans="1:85" ht="18" customHeight="1" x14ac:dyDescent="0.3">
      <c r="A1295" s="9">
        <f t="shared" si="100"/>
        <v>1294</v>
      </c>
      <c r="B1295" s="9" t="str">
        <f t="shared" si="101"/>
        <v/>
      </c>
      <c r="C1295" s="9"/>
      <c r="D1295" s="9"/>
      <c r="E1295" s="9">
        <f t="shared" si="102"/>
        <v>0</v>
      </c>
      <c r="F1295" s="9"/>
      <c r="G1295" s="9"/>
      <c r="H1295" s="9"/>
      <c r="I1295" s="9"/>
      <c r="J1295" s="9"/>
      <c r="K1295" s="9"/>
      <c r="L1295" s="9"/>
      <c r="M1295" s="9"/>
      <c r="N1295" s="9" t="str">
        <f t="shared" si="103"/>
        <v>NO</v>
      </c>
      <c r="O1295" s="9" t="str">
        <f t="shared" si="104"/>
        <v>🟡</v>
      </c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9"/>
      <c r="AO1295" s="9"/>
      <c r="AP1295" s="9"/>
      <c r="AQ1295" s="9"/>
      <c r="AR1295" s="9"/>
      <c r="AS1295" s="9"/>
      <c r="AT1295" s="9"/>
      <c r="AU1295" s="9"/>
      <c r="AV1295" s="9"/>
      <c r="AW1295" s="9"/>
      <c r="AX1295" s="9"/>
      <c r="AY1295" s="9"/>
      <c r="AZ1295" s="9"/>
      <c r="BA1295" s="9"/>
      <c r="BB1295" s="9"/>
      <c r="BC1295" s="9"/>
      <c r="BD1295" s="9"/>
      <c r="BE1295" s="9"/>
      <c r="BF1295" s="9"/>
      <c r="BG1295" s="9"/>
      <c r="BH1295" s="9"/>
      <c r="BI1295" s="9"/>
      <c r="BJ1295" s="9"/>
      <c r="BK1295" s="9"/>
      <c r="BL1295" s="9"/>
      <c r="BM1295" s="9"/>
      <c r="BN1295" s="9"/>
      <c r="BO1295" s="9"/>
      <c r="BP1295" s="9"/>
      <c r="BQ1295" s="9"/>
      <c r="BR1295" s="9"/>
      <c r="BS1295" s="9"/>
      <c r="BT1295" s="9"/>
      <c r="BU1295" s="9"/>
      <c r="BV1295" s="9"/>
      <c r="BW1295" s="9"/>
      <c r="BX1295" s="9"/>
      <c r="BY1295" s="9"/>
      <c r="BZ1295" s="9"/>
      <c r="CA1295" s="9"/>
      <c r="CB1295" s="9"/>
      <c r="CC1295" s="9"/>
      <c r="CD1295" s="9"/>
      <c r="CE1295" s="9"/>
      <c r="CF1295" s="9"/>
      <c r="CG1295" s="9"/>
    </row>
    <row r="1296" spans="1:85" ht="18" customHeight="1" x14ac:dyDescent="0.3">
      <c r="A1296" s="9">
        <f t="shared" si="100"/>
        <v>1295</v>
      </c>
      <c r="B1296" s="9" t="str">
        <f t="shared" si="101"/>
        <v/>
      </c>
      <c r="C1296" s="9"/>
      <c r="D1296" s="9"/>
      <c r="E1296" s="9">
        <f t="shared" si="102"/>
        <v>0</v>
      </c>
      <c r="F1296" s="9"/>
      <c r="G1296" s="9"/>
      <c r="H1296" s="9"/>
      <c r="I1296" s="9"/>
      <c r="J1296" s="9"/>
      <c r="K1296" s="9"/>
      <c r="L1296" s="9"/>
      <c r="M1296" s="9"/>
      <c r="N1296" s="9" t="str">
        <f t="shared" si="103"/>
        <v>NO</v>
      </c>
      <c r="O1296" s="9" t="str">
        <f t="shared" si="104"/>
        <v>🟡</v>
      </c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9"/>
      <c r="AO1296" s="9"/>
      <c r="AP1296" s="9"/>
      <c r="AQ1296" s="9"/>
      <c r="AR1296" s="9"/>
      <c r="AS1296" s="9"/>
      <c r="AT1296" s="9"/>
      <c r="AU1296" s="9"/>
      <c r="AV1296" s="9"/>
      <c r="AW1296" s="9"/>
      <c r="AX1296" s="9"/>
      <c r="AY1296" s="9"/>
      <c r="AZ1296" s="9"/>
      <c r="BA1296" s="9"/>
      <c r="BB1296" s="9"/>
      <c r="BC1296" s="9"/>
      <c r="BD1296" s="9"/>
      <c r="BE1296" s="9"/>
      <c r="BF1296" s="9"/>
      <c r="BG1296" s="9"/>
      <c r="BH1296" s="9"/>
      <c r="BI1296" s="9"/>
      <c r="BJ1296" s="9"/>
      <c r="BK1296" s="9"/>
      <c r="BL1296" s="9"/>
      <c r="BM1296" s="9"/>
      <c r="BN1296" s="9"/>
      <c r="BO1296" s="9"/>
      <c r="BP1296" s="9"/>
      <c r="BQ1296" s="9"/>
      <c r="BR1296" s="9"/>
      <c r="BS1296" s="9"/>
      <c r="BT1296" s="9"/>
      <c r="BU1296" s="9"/>
      <c r="BV1296" s="9"/>
      <c r="BW1296" s="9"/>
      <c r="BX1296" s="9"/>
      <c r="BY1296" s="9"/>
      <c r="BZ1296" s="9"/>
      <c r="CA1296" s="9"/>
      <c r="CB1296" s="9"/>
      <c r="CC1296" s="9"/>
      <c r="CD1296" s="9"/>
      <c r="CE1296" s="9"/>
      <c r="CF1296" s="9"/>
      <c r="CG1296" s="9"/>
    </row>
    <row r="1297" spans="1:85" ht="18" customHeight="1" x14ac:dyDescent="0.3">
      <c r="A1297" s="9">
        <f t="shared" si="100"/>
        <v>1296</v>
      </c>
      <c r="B1297" s="9" t="str">
        <f t="shared" si="101"/>
        <v/>
      </c>
      <c r="C1297" s="9"/>
      <c r="D1297" s="9"/>
      <c r="E1297" s="9">
        <f t="shared" si="102"/>
        <v>0</v>
      </c>
      <c r="F1297" s="9"/>
      <c r="G1297" s="9"/>
      <c r="H1297" s="9"/>
      <c r="I1297" s="9"/>
      <c r="J1297" s="9"/>
      <c r="K1297" s="9"/>
      <c r="L1297" s="9"/>
      <c r="M1297" s="9"/>
      <c r="N1297" s="9" t="str">
        <f t="shared" si="103"/>
        <v>NO</v>
      </c>
      <c r="O1297" s="9" t="str">
        <f t="shared" si="104"/>
        <v>🟡</v>
      </c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9"/>
      <c r="AO1297" s="9"/>
      <c r="AP1297" s="9"/>
      <c r="AQ1297" s="9"/>
      <c r="AR1297" s="9"/>
      <c r="AS1297" s="9"/>
      <c r="AT1297" s="9"/>
      <c r="AU1297" s="9"/>
      <c r="AV1297" s="9"/>
      <c r="AW1297" s="9"/>
      <c r="AX1297" s="9"/>
      <c r="AY1297" s="9"/>
      <c r="AZ1297" s="9"/>
      <c r="BA1297" s="9"/>
      <c r="BB1297" s="9"/>
      <c r="BC1297" s="9"/>
      <c r="BD1297" s="9"/>
      <c r="BE1297" s="9"/>
      <c r="BF1297" s="9"/>
      <c r="BG1297" s="9"/>
      <c r="BH1297" s="9"/>
      <c r="BI1297" s="9"/>
      <c r="BJ1297" s="9"/>
      <c r="BK1297" s="9"/>
      <c r="BL1297" s="9"/>
      <c r="BM1297" s="9"/>
      <c r="BN1297" s="9"/>
      <c r="BO1297" s="9"/>
      <c r="BP1297" s="9"/>
      <c r="BQ1297" s="9"/>
      <c r="BR1297" s="9"/>
      <c r="BS1297" s="9"/>
      <c r="BT1297" s="9"/>
      <c r="BU1297" s="9"/>
      <c r="BV1297" s="9"/>
      <c r="BW1297" s="9"/>
      <c r="BX1297" s="9"/>
      <c r="BY1297" s="9"/>
      <c r="BZ1297" s="9"/>
      <c r="CA1297" s="9"/>
      <c r="CB1297" s="9"/>
      <c r="CC1297" s="9"/>
      <c r="CD1297" s="9"/>
      <c r="CE1297" s="9"/>
      <c r="CF1297" s="9"/>
      <c r="CG1297" s="9"/>
    </row>
    <row r="1298" spans="1:85" ht="18" customHeight="1" x14ac:dyDescent="0.3">
      <c r="A1298" s="9">
        <f t="shared" si="100"/>
        <v>1297</v>
      </c>
      <c r="B1298" s="9" t="str">
        <f t="shared" si="101"/>
        <v/>
      </c>
      <c r="C1298" s="9"/>
      <c r="D1298" s="9"/>
      <c r="E1298" s="9">
        <f t="shared" si="102"/>
        <v>0</v>
      </c>
      <c r="F1298" s="9"/>
      <c r="G1298" s="9"/>
      <c r="H1298" s="9"/>
      <c r="I1298" s="9"/>
      <c r="J1298" s="9"/>
      <c r="K1298" s="9"/>
      <c r="L1298" s="9"/>
      <c r="M1298" s="9"/>
      <c r="N1298" s="9" t="str">
        <f t="shared" si="103"/>
        <v>NO</v>
      </c>
      <c r="O1298" s="9" t="str">
        <f t="shared" si="104"/>
        <v>🟡</v>
      </c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9"/>
      <c r="AO1298" s="9"/>
      <c r="AP1298" s="9"/>
      <c r="AQ1298" s="9"/>
      <c r="AR1298" s="9"/>
      <c r="AS1298" s="9"/>
      <c r="AT1298" s="9"/>
      <c r="AU1298" s="9"/>
      <c r="AV1298" s="9"/>
      <c r="AW1298" s="9"/>
      <c r="AX1298" s="9"/>
      <c r="AY1298" s="9"/>
      <c r="AZ1298" s="9"/>
      <c r="BA1298" s="9"/>
      <c r="BB1298" s="9"/>
      <c r="BC1298" s="9"/>
      <c r="BD1298" s="9"/>
      <c r="BE1298" s="9"/>
      <c r="BF1298" s="9"/>
      <c r="BG1298" s="9"/>
      <c r="BH1298" s="9"/>
      <c r="BI1298" s="9"/>
      <c r="BJ1298" s="9"/>
      <c r="BK1298" s="9"/>
      <c r="BL1298" s="9"/>
      <c r="BM1298" s="9"/>
      <c r="BN1298" s="9"/>
      <c r="BO1298" s="9"/>
      <c r="BP1298" s="9"/>
      <c r="BQ1298" s="9"/>
      <c r="BR1298" s="9"/>
      <c r="BS1298" s="9"/>
      <c r="BT1298" s="9"/>
      <c r="BU1298" s="9"/>
      <c r="BV1298" s="9"/>
      <c r="BW1298" s="9"/>
      <c r="BX1298" s="9"/>
      <c r="BY1298" s="9"/>
      <c r="BZ1298" s="9"/>
      <c r="CA1298" s="9"/>
      <c r="CB1298" s="9"/>
      <c r="CC1298" s="9"/>
      <c r="CD1298" s="9"/>
      <c r="CE1298" s="9"/>
      <c r="CF1298" s="9"/>
      <c r="CG1298" s="9"/>
    </row>
    <row r="1299" spans="1:85" ht="18" customHeight="1" x14ac:dyDescent="0.3">
      <c r="A1299" s="9">
        <f t="shared" si="100"/>
        <v>1298</v>
      </c>
      <c r="B1299" s="9" t="str">
        <f t="shared" si="101"/>
        <v/>
      </c>
      <c r="C1299" s="9"/>
      <c r="D1299" s="9"/>
      <c r="E1299" s="9">
        <f t="shared" si="102"/>
        <v>0</v>
      </c>
      <c r="F1299" s="9"/>
      <c r="G1299" s="9"/>
      <c r="H1299" s="9"/>
      <c r="I1299" s="9"/>
      <c r="J1299" s="9"/>
      <c r="K1299" s="9"/>
      <c r="L1299" s="9"/>
      <c r="M1299" s="9"/>
      <c r="N1299" s="9" t="str">
        <f t="shared" si="103"/>
        <v>NO</v>
      </c>
      <c r="O1299" s="9" t="str">
        <f t="shared" si="104"/>
        <v>🟡</v>
      </c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9"/>
      <c r="AO1299" s="9"/>
      <c r="AP1299" s="9"/>
      <c r="AQ1299" s="9"/>
      <c r="AR1299" s="9"/>
      <c r="AS1299" s="9"/>
      <c r="AT1299" s="9"/>
      <c r="AU1299" s="9"/>
      <c r="AV1299" s="9"/>
      <c r="AW1299" s="9"/>
      <c r="AX1299" s="9"/>
      <c r="AY1299" s="9"/>
      <c r="AZ1299" s="9"/>
      <c r="BA1299" s="9"/>
      <c r="BB1299" s="9"/>
      <c r="BC1299" s="9"/>
      <c r="BD1299" s="9"/>
      <c r="BE1299" s="9"/>
      <c r="BF1299" s="9"/>
      <c r="BG1299" s="9"/>
      <c r="BH1299" s="9"/>
      <c r="BI1299" s="9"/>
      <c r="BJ1299" s="9"/>
      <c r="BK1299" s="9"/>
      <c r="BL1299" s="9"/>
      <c r="BM1299" s="9"/>
      <c r="BN1299" s="9"/>
      <c r="BO1299" s="9"/>
      <c r="BP1299" s="9"/>
      <c r="BQ1299" s="9"/>
      <c r="BR1299" s="9"/>
      <c r="BS1299" s="9"/>
      <c r="BT1299" s="9"/>
      <c r="BU1299" s="9"/>
      <c r="BV1299" s="9"/>
      <c r="BW1299" s="9"/>
      <c r="BX1299" s="9"/>
      <c r="BY1299" s="9"/>
      <c r="BZ1299" s="9"/>
      <c r="CA1299" s="9"/>
      <c r="CB1299" s="9"/>
      <c r="CC1299" s="9"/>
      <c r="CD1299" s="9"/>
      <c r="CE1299" s="9"/>
      <c r="CF1299" s="9"/>
      <c r="CG1299" s="9"/>
    </row>
    <row r="1300" spans="1:85" x14ac:dyDescent="0.3">
      <c r="A1300" s="9">
        <f t="shared" si="100"/>
        <v>1299</v>
      </c>
      <c r="B1300" s="9" t="str">
        <f t="shared" si="101"/>
        <v/>
      </c>
      <c r="C1300" s="9"/>
      <c r="D1300" s="9"/>
      <c r="E1300" s="9">
        <f t="shared" si="102"/>
        <v>0</v>
      </c>
      <c r="F1300" s="9"/>
      <c r="G1300" s="9"/>
      <c r="H1300" s="9"/>
      <c r="I1300" s="9"/>
      <c r="J1300" s="9"/>
      <c r="K1300" s="9"/>
      <c r="L1300" s="9"/>
      <c r="M1300" s="9"/>
      <c r="N1300" s="9" t="str">
        <f t="shared" si="103"/>
        <v>NO</v>
      </c>
      <c r="O1300" s="9" t="str">
        <f t="shared" si="104"/>
        <v>🟡</v>
      </c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9"/>
      <c r="AO1300" s="9"/>
      <c r="AP1300" s="9"/>
      <c r="AQ1300" s="9"/>
      <c r="AR1300" s="9"/>
      <c r="AS1300" s="9"/>
      <c r="AT1300" s="9"/>
      <c r="AU1300" s="9"/>
      <c r="AV1300" s="9"/>
      <c r="AW1300" s="9"/>
      <c r="AX1300" s="9"/>
      <c r="AY1300" s="9"/>
      <c r="AZ1300" s="9"/>
      <c r="BA1300" s="9"/>
      <c r="BB1300" s="9"/>
      <c r="BC1300" s="9"/>
      <c r="BD1300" s="9"/>
      <c r="BE1300" s="9"/>
      <c r="BF1300" s="9"/>
      <c r="BG1300" s="9"/>
      <c r="BH1300" s="9"/>
      <c r="BI1300" s="9"/>
      <c r="BJ1300" s="9"/>
      <c r="BK1300" s="9"/>
      <c r="BL1300" s="9"/>
      <c r="BM1300" s="9"/>
      <c r="BN1300" s="9"/>
      <c r="BO1300" s="9"/>
      <c r="BP1300" s="9"/>
      <c r="BQ1300" s="9"/>
      <c r="BR1300" s="9"/>
      <c r="BS1300" s="9"/>
      <c r="BT1300" s="9"/>
      <c r="BU1300" s="9"/>
      <c r="BV1300" s="9"/>
      <c r="BW1300" s="9"/>
      <c r="BX1300" s="9"/>
      <c r="BY1300" s="9"/>
      <c r="BZ1300" s="9"/>
      <c r="CA1300" s="9"/>
      <c r="CB1300" s="9"/>
      <c r="CC1300" s="9"/>
      <c r="CD1300" s="9"/>
      <c r="CE1300" s="9"/>
      <c r="CF1300" s="9"/>
      <c r="CG1300" s="9"/>
    </row>
    <row r="1301" spans="1:85" x14ac:dyDescent="0.3">
      <c r="A1301" s="9">
        <f t="shared" si="100"/>
        <v>1300</v>
      </c>
      <c r="B1301" s="9" t="str">
        <f t="shared" si="101"/>
        <v/>
      </c>
      <c r="C1301" s="9"/>
      <c r="D1301" s="9"/>
      <c r="E1301" s="9">
        <f t="shared" si="102"/>
        <v>0</v>
      </c>
      <c r="F1301" s="9"/>
      <c r="G1301" s="9"/>
      <c r="H1301" s="9"/>
      <c r="I1301" s="9"/>
      <c r="J1301" s="9"/>
      <c r="K1301" s="9"/>
      <c r="L1301" s="9"/>
      <c r="M1301" s="9"/>
      <c r="N1301" s="9" t="str">
        <f t="shared" si="103"/>
        <v>NO</v>
      </c>
      <c r="O1301" s="9" t="str">
        <f t="shared" si="104"/>
        <v>🟡</v>
      </c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9"/>
      <c r="AO1301" s="9"/>
      <c r="AP1301" s="9"/>
      <c r="AQ1301" s="9"/>
      <c r="AR1301" s="9"/>
      <c r="AS1301" s="9"/>
      <c r="AT1301" s="9"/>
      <c r="AU1301" s="9"/>
      <c r="AV1301" s="9"/>
      <c r="AW1301" s="9"/>
      <c r="AX1301" s="9"/>
      <c r="AY1301" s="9"/>
      <c r="AZ1301" s="9"/>
      <c r="BA1301" s="9"/>
      <c r="BB1301" s="9"/>
      <c r="BC1301" s="9"/>
      <c r="BD1301" s="9"/>
      <c r="BE1301" s="9"/>
      <c r="BF1301" s="9"/>
      <c r="BG1301" s="9"/>
      <c r="BH1301" s="9"/>
      <c r="BI1301" s="9"/>
      <c r="BJ1301" s="9"/>
      <c r="BK1301" s="9"/>
      <c r="BL1301" s="9"/>
      <c r="BM1301" s="9"/>
      <c r="BN1301" s="9"/>
      <c r="BO1301" s="9"/>
      <c r="BP1301" s="9"/>
      <c r="BQ1301" s="9"/>
      <c r="BR1301" s="9"/>
      <c r="BS1301" s="9"/>
      <c r="BT1301" s="9"/>
      <c r="BU1301" s="9"/>
      <c r="BV1301" s="9"/>
      <c r="BW1301" s="9"/>
      <c r="BX1301" s="9"/>
      <c r="BY1301" s="9"/>
      <c r="BZ1301" s="9"/>
      <c r="CA1301" s="9"/>
      <c r="CB1301" s="9"/>
      <c r="CC1301" s="9"/>
      <c r="CD1301" s="9"/>
      <c r="CE1301" s="9"/>
      <c r="CF1301" s="9"/>
      <c r="CG1301" s="9"/>
    </row>
    <row r="1302" spans="1:85" x14ac:dyDescent="0.3">
      <c r="A1302" s="9">
        <f t="shared" si="100"/>
        <v>1301</v>
      </c>
      <c r="B1302" s="9" t="str">
        <f t="shared" si="101"/>
        <v/>
      </c>
      <c r="C1302" s="9"/>
      <c r="D1302" s="9"/>
      <c r="E1302" s="9">
        <f t="shared" si="102"/>
        <v>0</v>
      </c>
      <c r="F1302" s="9"/>
      <c r="G1302" s="9"/>
      <c r="H1302" s="9"/>
      <c r="I1302" s="9"/>
      <c r="J1302" s="9"/>
      <c r="K1302" s="9"/>
      <c r="L1302" s="9"/>
      <c r="M1302" s="9"/>
      <c r="N1302" s="9" t="str">
        <f t="shared" si="103"/>
        <v>NO</v>
      </c>
      <c r="O1302" s="9" t="str">
        <f t="shared" si="104"/>
        <v>🟡</v>
      </c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9"/>
      <c r="AO1302" s="9"/>
      <c r="AP1302" s="9"/>
      <c r="AQ1302" s="9"/>
      <c r="AR1302" s="9"/>
      <c r="AS1302" s="9"/>
      <c r="AT1302" s="9"/>
      <c r="AU1302" s="9"/>
      <c r="AV1302" s="9"/>
      <c r="AW1302" s="9"/>
      <c r="AX1302" s="9"/>
      <c r="AY1302" s="9"/>
      <c r="AZ1302" s="9"/>
      <c r="BA1302" s="9"/>
      <c r="BB1302" s="9"/>
      <c r="BC1302" s="9"/>
      <c r="BD1302" s="9"/>
      <c r="BE1302" s="9"/>
      <c r="BF1302" s="9"/>
      <c r="BG1302" s="9"/>
      <c r="BH1302" s="9"/>
      <c r="BI1302" s="9"/>
      <c r="BJ1302" s="9"/>
      <c r="BK1302" s="9"/>
      <c r="BL1302" s="9"/>
      <c r="BM1302" s="9"/>
      <c r="BN1302" s="9"/>
      <c r="BO1302" s="9"/>
      <c r="BP1302" s="9"/>
      <c r="BQ1302" s="9"/>
      <c r="BR1302" s="9"/>
      <c r="BS1302" s="9"/>
      <c r="BT1302" s="9"/>
      <c r="BU1302" s="9"/>
      <c r="BV1302" s="9"/>
      <c r="BW1302" s="9"/>
      <c r="BX1302" s="9"/>
      <c r="BY1302" s="9"/>
      <c r="BZ1302" s="9"/>
      <c r="CA1302" s="9"/>
      <c r="CB1302" s="9"/>
      <c r="CC1302" s="9"/>
      <c r="CD1302" s="9"/>
      <c r="CE1302" s="9"/>
      <c r="CF1302" s="9"/>
      <c r="CG1302" s="9"/>
    </row>
    <row r="1303" spans="1:85" x14ac:dyDescent="0.3">
      <c r="A1303" s="9">
        <f t="shared" si="100"/>
        <v>1302</v>
      </c>
      <c r="B1303" s="9" t="str">
        <f t="shared" si="101"/>
        <v/>
      </c>
      <c r="C1303" s="9"/>
      <c r="D1303" s="9"/>
      <c r="E1303" s="9">
        <f t="shared" si="102"/>
        <v>0</v>
      </c>
      <c r="F1303" s="9"/>
      <c r="G1303" s="9"/>
      <c r="H1303" s="9"/>
      <c r="I1303" s="9"/>
      <c r="J1303" s="9"/>
      <c r="K1303" s="9"/>
      <c r="L1303" s="9"/>
      <c r="M1303" s="9"/>
      <c r="N1303" s="9" t="str">
        <f t="shared" si="103"/>
        <v>NO</v>
      </c>
      <c r="O1303" s="9" t="str">
        <f t="shared" si="104"/>
        <v>🟡</v>
      </c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9"/>
      <c r="AO1303" s="9"/>
      <c r="AP1303" s="9"/>
      <c r="AQ1303" s="9"/>
      <c r="AR1303" s="9"/>
      <c r="AS1303" s="9"/>
      <c r="AT1303" s="9"/>
      <c r="AU1303" s="9"/>
      <c r="AV1303" s="9"/>
      <c r="AW1303" s="9"/>
      <c r="AX1303" s="9"/>
      <c r="AY1303" s="9"/>
      <c r="AZ1303" s="9"/>
      <c r="BA1303" s="9"/>
      <c r="BB1303" s="9"/>
      <c r="BC1303" s="9"/>
      <c r="BD1303" s="9"/>
      <c r="BE1303" s="9"/>
      <c r="BF1303" s="9"/>
      <c r="BG1303" s="9"/>
      <c r="BH1303" s="9"/>
      <c r="BI1303" s="9"/>
      <c r="BJ1303" s="9"/>
      <c r="BK1303" s="9"/>
      <c r="BL1303" s="9"/>
      <c r="BM1303" s="9"/>
      <c r="BN1303" s="9"/>
      <c r="BO1303" s="9"/>
      <c r="BP1303" s="9"/>
      <c r="BQ1303" s="9"/>
      <c r="BR1303" s="9"/>
      <c r="BS1303" s="9"/>
      <c r="BT1303" s="9"/>
      <c r="BU1303" s="9"/>
      <c r="BV1303" s="9"/>
      <c r="BW1303" s="9"/>
      <c r="BX1303" s="9"/>
      <c r="BY1303" s="9"/>
      <c r="BZ1303" s="9"/>
      <c r="CA1303" s="9"/>
      <c r="CB1303" s="9"/>
      <c r="CC1303" s="9"/>
      <c r="CD1303" s="9"/>
      <c r="CE1303" s="9"/>
      <c r="CF1303" s="9"/>
      <c r="CG1303" s="9"/>
    </row>
    <row r="1304" spans="1:85" x14ac:dyDescent="0.3">
      <c r="A1304" s="9">
        <f t="shared" si="100"/>
        <v>1303</v>
      </c>
      <c r="B1304" s="9" t="str">
        <f t="shared" si="101"/>
        <v/>
      </c>
      <c r="C1304" s="9"/>
      <c r="D1304" s="9"/>
      <c r="E1304" s="9">
        <f t="shared" si="102"/>
        <v>0</v>
      </c>
      <c r="F1304" s="9"/>
      <c r="G1304" s="9"/>
      <c r="H1304" s="9"/>
      <c r="I1304" s="9"/>
      <c r="J1304" s="9"/>
      <c r="K1304" s="9"/>
      <c r="L1304" s="9"/>
      <c r="M1304" s="9"/>
      <c r="N1304" s="9" t="str">
        <f t="shared" si="103"/>
        <v>NO</v>
      </c>
      <c r="O1304" s="9" t="str">
        <f t="shared" si="104"/>
        <v>🟡</v>
      </c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9"/>
      <c r="AO1304" s="9"/>
      <c r="AP1304" s="9"/>
      <c r="AQ1304" s="9"/>
      <c r="AR1304" s="9"/>
      <c r="AS1304" s="9"/>
      <c r="AT1304" s="9"/>
      <c r="AU1304" s="9"/>
      <c r="AV1304" s="9"/>
      <c r="AW1304" s="9"/>
      <c r="AX1304" s="9"/>
      <c r="AY1304" s="9"/>
      <c r="AZ1304" s="9"/>
      <c r="BA1304" s="9"/>
      <c r="BB1304" s="9"/>
      <c r="BC1304" s="9"/>
      <c r="BD1304" s="9"/>
      <c r="BE1304" s="9"/>
      <c r="BF1304" s="9"/>
      <c r="BG1304" s="9"/>
      <c r="BH1304" s="9"/>
      <c r="BI1304" s="9"/>
      <c r="BJ1304" s="9"/>
      <c r="BK1304" s="9"/>
      <c r="BL1304" s="9"/>
      <c r="BM1304" s="9"/>
      <c r="BN1304" s="9"/>
      <c r="BO1304" s="9"/>
      <c r="BP1304" s="9"/>
      <c r="BQ1304" s="9"/>
      <c r="BR1304" s="9"/>
      <c r="BS1304" s="9"/>
      <c r="BT1304" s="9"/>
      <c r="BU1304" s="9"/>
      <c r="BV1304" s="9"/>
      <c r="BW1304" s="9"/>
      <c r="BX1304" s="9"/>
      <c r="BY1304" s="9"/>
      <c r="BZ1304" s="9"/>
      <c r="CA1304" s="9"/>
      <c r="CB1304" s="9"/>
      <c r="CC1304" s="9"/>
      <c r="CD1304" s="9"/>
      <c r="CE1304" s="9"/>
      <c r="CF1304" s="9"/>
      <c r="CG1304" s="9"/>
    </row>
    <row r="1305" spans="1:85" x14ac:dyDescent="0.3">
      <c r="A1305" s="9">
        <f t="shared" si="100"/>
        <v>1304</v>
      </c>
      <c r="B1305" s="9" t="str">
        <f t="shared" si="101"/>
        <v/>
      </c>
      <c r="C1305" s="9"/>
      <c r="D1305" s="9"/>
      <c r="E1305" s="9">
        <f t="shared" si="102"/>
        <v>0</v>
      </c>
      <c r="F1305" s="9"/>
      <c r="G1305" s="9"/>
      <c r="H1305" s="9"/>
      <c r="I1305" s="9"/>
      <c r="J1305" s="9"/>
      <c r="K1305" s="9"/>
      <c r="L1305" s="9"/>
      <c r="M1305" s="9"/>
      <c r="N1305" s="9" t="str">
        <f t="shared" si="103"/>
        <v>NO</v>
      </c>
      <c r="O1305" s="9" t="str">
        <f t="shared" si="104"/>
        <v>🟡</v>
      </c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9"/>
      <c r="AO1305" s="9"/>
      <c r="AP1305" s="9"/>
      <c r="AQ1305" s="9"/>
      <c r="AR1305" s="9"/>
      <c r="AS1305" s="9"/>
      <c r="AT1305" s="9"/>
      <c r="AU1305" s="9"/>
      <c r="AV1305" s="9"/>
      <c r="AW1305" s="9"/>
      <c r="AX1305" s="9"/>
      <c r="AY1305" s="9"/>
      <c r="AZ1305" s="9"/>
      <c r="BA1305" s="9"/>
      <c r="BB1305" s="9"/>
      <c r="BC1305" s="9"/>
      <c r="BD1305" s="9"/>
      <c r="BE1305" s="9"/>
      <c r="BF1305" s="9"/>
      <c r="BG1305" s="9"/>
      <c r="BH1305" s="9"/>
      <c r="BI1305" s="9"/>
      <c r="BJ1305" s="9"/>
      <c r="BK1305" s="9"/>
      <c r="BL1305" s="9"/>
      <c r="BM1305" s="9"/>
      <c r="BN1305" s="9"/>
      <c r="BO1305" s="9"/>
      <c r="BP1305" s="9"/>
      <c r="BQ1305" s="9"/>
      <c r="BR1305" s="9"/>
      <c r="BS1305" s="9"/>
      <c r="BT1305" s="9"/>
      <c r="BU1305" s="9"/>
      <c r="BV1305" s="9"/>
      <c r="BW1305" s="9"/>
      <c r="BX1305" s="9"/>
      <c r="BY1305" s="9"/>
      <c r="BZ1305" s="9"/>
      <c r="CA1305" s="9"/>
      <c r="CB1305" s="9"/>
      <c r="CC1305" s="9"/>
      <c r="CD1305" s="9"/>
      <c r="CE1305" s="9"/>
      <c r="CF1305" s="9"/>
      <c r="CG1305" s="9"/>
    </row>
    <row r="1306" spans="1:85" x14ac:dyDescent="0.3">
      <c r="A1306" s="9">
        <f t="shared" si="100"/>
        <v>1305</v>
      </c>
      <c r="B1306" s="9" t="str">
        <f t="shared" si="101"/>
        <v/>
      </c>
      <c r="C1306" s="9"/>
      <c r="D1306" s="9"/>
      <c r="E1306" s="9">
        <f t="shared" si="102"/>
        <v>0</v>
      </c>
      <c r="F1306" s="9"/>
      <c r="G1306" s="9"/>
      <c r="H1306" s="9"/>
      <c r="I1306" s="9"/>
      <c r="J1306" s="9"/>
      <c r="K1306" s="9"/>
      <c r="L1306" s="9"/>
      <c r="M1306" s="9"/>
      <c r="N1306" s="9" t="str">
        <f t="shared" si="103"/>
        <v>NO</v>
      </c>
      <c r="O1306" s="9" t="str">
        <f t="shared" si="104"/>
        <v>🟡</v>
      </c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9"/>
      <c r="AO1306" s="9"/>
      <c r="AP1306" s="9"/>
      <c r="AQ1306" s="9"/>
      <c r="AR1306" s="9"/>
      <c r="AS1306" s="9"/>
      <c r="AT1306" s="9"/>
      <c r="AU1306" s="9"/>
      <c r="AV1306" s="9"/>
      <c r="AW1306" s="9"/>
      <c r="AX1306" s="9"/>
      <c r="AY1306" s="9"/>
      <c r="AZ1306" s="9"/>
      <c r="BA1306" s="9"/>
      <c r="BB1306" s="9"/>
      <c r="BC1306" s="9"/>
      <c r="BD1306" s="9"/>
      <c r="BE1306" s="9"/>
      <c r="BF1306" s="9"/>
      <c r="BG1306" s="9"/>
      <c r="BH1306" s="9"/>
      <c r="BI1306" s="9"/>
      <c r="BJ1306" s="9"/>
      <c r="BK1306" s="9"/>
      <c r="BL1306" s="9"/>
      <c r="BM1306" s="9"/>
      <c r="BN1306" s="9"/>
      <c r="BO1306" s="9"/>
      <c r="BP1306" s="9"/>
      <c r="BQ1306" s="9"/>
      <c r="BR1306" s="9"/>
      <c r="BS1306" s="9"/>
      <c r="BT1306" s="9"/>
      <c r="BU1306" s="9"/>
      <c r="BV1306" s="9"/>
      <c r="BW1306" s="9"/>
      <c r="BX1306" s="9"/>
      <c r="BY1306" s="9"/>
      <c r="BZ1306" s="9"/>
      <c r="CA1306" s="9"/>
      <c r="CB1306" s="9"/>
      <c r="CC1306" s="9"/>
      <c r="CD1306" s="9"/>
      <c r="CE1306" s="9"/>
      <c r="CF1306" s="9"/>
      <c r="CG1306" s="9"/>
    </row>
    <row r="1307" spans="1:85" x14ac:dyDescent="0.3">
      <c r="A1307" s="9">
        <f t="shared" si="100"/>
        <v>1306</v>
      </c>
      <c r="B1307" s="9" t="str">
        <f t="shared" si="101"/>
        <v/>
      </c>
      <c r="C1307" s="9"/>
      <c r="D1307" s="9"/>
      <c r="E1307" s="9">
        <f t="shared" si="102"/>
        <v>0</v>
      </c>
      <c r="F1307" s="9"/>
      <c r="G1307" s="9"/>
      <c r="H1307" s="9"/>
      <c r="I1307" s="9"/>
      <c r="J1307" s="9"/>
      <c r="K1307" s="9"/>
      <c r="L1307" s="9"/>
      <c r="M1307" s="9"/>
      <c r="N1307" s="9" t="str">
        <f t="shared" si="103"/>
        <v>NO</v>
      </c>
      <c r="O1307" s="9" t="str">
        <f t="shared" si="104"/>
        <v>🟡</v>
      </c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9"/>
      <c r="AO1307" s="9"/>
      <c r="AP1307" s="9"/>
      <c r="AQ1307" s="9"/>
      <c r="AR1307" s="9"/>
      <c r="AS1307" s="9"/>
      <c r="AT1307" s="9"/>
      <c r="AU1307" s="9"/>
      <c r="AV1307" s="9"/>
      <c r="AW1307" s="9"/>
      <c r="AX1307" s="9"/>
      <c r="AY1307" s="9"/>
      <c r="AZ1307" s="9"/>
      <c r="BA1307" s="9"/>
      <c r="BB1307" s="9"/>
      <c r="BC1307" s="9"/>
      <c r="BD1307" s="9"/>
      <c r="BE1307" s="9"/>
      <c r="BF1307" s="9"/>
      <c r="BG1307" s="9"/>
      <c r="BH1307" s="9"/>
      <c r="BI1307" s="9"/>
      <c r="BJ1307" s="9"/>
      <c r="BK1307" s="9"/>
      <c r="BL1307" s="9"/>
      <c r="BM1307" s="9"/>
      <c r="BN1307" s="9"/>
      <c r="BO1307" s="9"/>
      <c r="BP1307" s="9"/>
      <c r="BQ1307" s="9"/>
      <c r="BR1307" s="9"/>
      <c r="BS1307" s="9"/>
      <c r="BT1307" s="9"/>
      <c r="BU1307" s="9"/>
      <c r="BV1307" s="9"/>
      <c r="BW1307" s="9"/>
      <c r="BX1307" s="9"/>
      <c r="BY1307" s="9"/>
      <c r="BZ1307" s="9"/>
      <c r="CA1307" s="9"/>
      <c r="CB1307" s="9"/>
      <c r="CC1307" s="9"/>
      <c r="CD1307" s="9"/>
      <c r="CE1307" s="9"/>
      <c r="CF1307" s="9"/>
      <c r="CG1307" s="9"/>
    </row>
    <row r="1308" spans="1:85" x14ac:dyDescent="0.3">
      <c r="A1308" s="9">
        <f t="shared" si="100"/>
        <v>1307</v>
      </c>
      <c r="B1308" s="9" t="str">
        <f t="shared" si="101"/>
        <v/>
      </c>
      <c r="C1308" s="9"/>
      <c r="D1308" s="9"/>
      <c r="E1308" s="9">
        <f t="shared" si="102"/>
        <v>0</v>
      </c>
      <c r="F1308" s="9"/>
      <c r="G1308" s="9"/>
      <c r="H1308" s="9"/>
      <c r="I1308" s="9"/>
      <c r="J1308" s="9"/>
      <c r="K1308" s="9"/>
      <c r="L1308" s="9"/>
      <c r="M1308" s="9"/>
      <c r="N1308" s="9" t="str">
        <f t="shared" si="103"/>
        <v>NO</v>
      </c>
      <c r="O1308" s="9" t="str">
        <f t="shared" si="104"/>
        <v>🟡</v>
      </c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9"/>
      <c r="AO1308" s="9"/>
      <c r="AP1308" s="9"/>
      <c r="AQ1308" s="9"/>
      <c r="AR1308" s="9"/>
      <c r="AS1308" s="9"/>
      <c r="AT1308" s="9"/>
      <c r="AU1308" s="9"/>
      <c r="AV1308" s="9"/>
      <c r="AW1308" s="9"/>
      <c r="AX1308" s="9"/>
      <c r="AY1308" s="9"/>
      <c r="AZ1308" s="9"/>
      <c r="BA1308" s="9"/>
      <c r="BB1308" s="9"/>
      <c r="BC1308" s="9"/>
      <c r="BD1308" s="9"/>
      <c r="BE1308" s="9"/>
      <c r="BF1308" s="9"/>
      <c r="BG1308" s="9"/>
      <c r="BH1308" s="9"/>
      <c r="BI1308" s="9"/>
      <c r="BJ1308" s="9"/>
      <c r="BK1308" s="9"/>
      <c r="BL1308" s="9"/>
      <c r="BM1308" s="9"/>
      <c r="BN1308" s="9"/>
      <c r="BO1308" s="9"/>
      <c r="BP1308" s="9"/>
      <c r="BQ1308" s="9"/>
      <c r="BR1308" s="9"/>
      <c r="BS1308" s="9"/>
      <c r="BT1308" s="9"/>
      <c r="BU1308" s="9"/>
      <c r="BV1308" s="9"/>
      <c r="BW1308" s="9"/>
      <c r="BX1308" s="9"/>
      <c r="BY1308" s="9"/>
      <c r="BZ1308" s="9"/>
      <c r="CA1308" s="9"/>
      <c r="CB1308" s="9"/>
      <c r="CC1308" s="9"/>
      <c r="CD1308" s="9"/>
      <c r="CE1308" s="9"/>
      <c r="CF1308" s="9"/>
      <c r="CG1308" s="9"/>
    </row>
    <row r="1309" spans="1:85" x14ac:dyDescent="0.3">
      <c r="A1309" s="9">
        <f t="shared" si="100"/>
        <v>1308</v>
      </c>
      <c r="B1309" s="9" t="str">
        <f t="shared" si="101"/>
        <v/>
      </c>
      <c r="C1309" s="9"/>
      <c r="D1309" s="9"/>
      <c r="E1309" s="9">
        <f t="shared" si="102"/>
        <v>0</v>
      </c>
      <c r="F1309" s="9"/>
      <c r="G1309" s="9"/>
      <c r="H1309" s="9"/>
      <c r="I1309" s="9"/>
      <c r="J1309" s="9"/>
      <c r="K1309" s="9"/>
      <c r="L1309" s="9"/>
      <c r="M1309" s="9"/>
      <c r="N1309" s="9" t="str">
        <f t="shared" si="103"/>
        <v>NO</v>
      </c>
      <c r="O1309" s="9" t="str">
        <f t="shared" si="104"/>
        <v>🟡</v>
      </c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9"/>
      <c r="AO1309" s="9"/>
      <c r="AP1309" s="9"/>
      <c r="AQ1309" s="9"/>
      <c r="AR1309" s="9"/>
      <c r="AS1309" s="9"/>
      <c r="AT1309" s="9"/>
      <c r="AU1309" s="9"/>
      <c r="AV1309" s="9"/>
      <c r="AW1309" s="9"/>
      <c r="AX1309" s="9"/>
      <c r="AY1309" s="9"/>
      <c r="AZ1309" s="9"/>
      <c r="BA1309" s="9"/>
      <c r="BB1309" s="9"/>
      <c r="BC1309" s="9"/>
      <c r="BD1309" s="9"/>
      <c r="BE1309" s="9"/>
      <c r="BF1309" s="9"/>
      <c r="BG1309" s="9"/>
      <c r="BH1309" s="9"/>
      <c r="BI1309" s="9"/>
      <c r="BJ1309" s="9"/>
      <c r="BK1309" s="9"/>
      <c r="BL1309" s="9"/>
      <c r="BM1309" s="9"/>
      <c r="BN1309" s="9"/>
      <c r="BO1309" s="9"/>
      <c r="BP1309" s="9"/>
      <c r="BQ1309" s="9"/>
      <c r="BR1309" s="9"/>
      <c r="BS1309" s="9"/>
      <c r="BT1309" s="9"/>
      <c r="BU1309" s="9"/>
      <c r="BV1309" s="9"/>
      <c r="BW1309" s="9"/>
      <c r="BX1309" s="9"/>
      <c r="BY1309" s="9"/>
      <c r="BZ1309" s="9"/>
      <c r="CA1309" s="9"/>
      <c r="CB1309" s="9"/>
      <c r="CC1309" s="9"/>
      <c r="CD1309" s="9"/>
      <c r="CE1309" s="9"/>
      <c r="CF1309" s="9"/>
      <c r="CG1309" s="9"/>
    </row>
    <row r="1310" spans="1:85" x14ac:dyDescent="0.3">
      <c r="A1310" s="9">
        <f t="shared" si="100"/>
        <v>1309</v>
      </c>
      <c r="B1310" s="9" t="str">
        <f t="shared" si="101"/>
        <v/>
      </c>
      <c r="C1310" s="9"/>
      <c r="D1310" s="9"/>
      <c r="E1310" s="9">
        <f t="shared" si="102"/>
        <v>0</v>
      </c>
      <c r="F1310" s="9"/>
      <c r="G1310" s="9"/>
      <c r="H1310" s="9"/>
      <c r="I1310" s="9"/>
      <c r="J1310" s="9"/>
      <c r="K1310" s="9"/>
      <c r="L1310" s="9"/>
      <c r="M1310" s="9"/>
      <c r="N1310" s="9" t="str">
        <f t="shared" si="103"/>
        <v>NO</v>
      </c>
      <c r="O1310" s="9" t="str">
        <f t="shared" si="104"/>
        <v>🟡</v>
      </c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9"/>
      <c r="AO1310" s="9"/>
      <c r="AP1310" s="9"/>
      <c r="AQ1310" s="9"/>
      <c r="AR1310" s="9"/>
      <c r="AS1310" s="9"/>
      <c r="AT1310" s="9"/>
      <c r="AU1310" s="9"/>
      <c r="AV1310" s="9"/>
      <c r="AW1310" s="9"/>
      <c r="AX1310" s="9"/>
      <c r="AY1310" s="9"/>
      <c r="AZ1310" s="9"/>
      <c r="BA1310" s="9"/>
      <c r="BB1310" s="9"/>
      <c r="BC1310" s="9"/>
      <c r="BD1310" s="9"/>
      <c r="BE1310" s="9"/>
      <c r="BF1310" s="9"/>
      <c r="BG1310" s="9"/>
      <c r="BH1310" s="9"/>
      <c r="BI1310" s="9"/>
      <c r="BJ1310" s="9"/>
      <c r="BK1310" s="9"/>
      <c r="BL1310" s="9"/>
      <c r="BM1310" s="9"/>
      <c r="BN1310" s="9"/>
      <c r="BO1310" s="9"/>
      <c r="BP1310" s="9"/>
      <c r="BQ1310" s="9"/>
      <c r="BR1310" s="9"/>
      <c r="BS1310" s="9"/>
      <c r="BT1310" s="9"/>
      <c r="BU1310" s="9"/>
      <c r="BV1310" s="9"/>
      <c r="BW1310" s="9"/>
      <c r="BX1310" s="9"/>
      <c r="BY1310" s="9"/>
      <c r="BZ1310" s="9"/>
      <c r="CA1310" s="9"/>
      <c r="CB1310" s="9"/>
      <c r="CC1310" s="9"/>
      <c r="CD1310" s="9"/>
      <c r="CE1310" s="9"/>
      <c r="CF1310" s="9"/>
      <c r="CG1310" s="9"/>
    </row>
    <row r="1311" spans="1:85" x14ac:dyDescent="0.3">
      <c r="A1311" s="9">
        <f t="shared" si="100"/>
        <v>1310</v>
      </c>
      <c r="B1311" s="9" t="str">
        <f t="shared" si="101"/>
        <v/>
      </c>
      <c r="C1311" s="9"/>
      <c r="D1311" s="9"/>
      <c r="E1311" s="9">
        <f t="shared" si="102"/>
        <v>0</v>
      </c>
      <c r="F1311" s="9"/>
      <c r="G1311" s="9"/>
      <c r="H1311" s="9"/>
      <c r="I1311" s="9"/>
      <c r="J1311" s="9"/>
      <c r="K1311" s="9"/>
      <c r="L1311" s="9"/>
      <c r="M1311" s="9"/>
      <c r="N1311" s="9" t="str">
        <f t="shared" si="103"/>
        <v>NO</v>
      </c>
      <c r="O1311" s="9" t="str">
        <f t="shared" si="104"/>
        <v>🟡</v>
      </c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  <c r="AN1311" s="9"/>
      <c r="AO1311" s="9"/>
      <c r="AP1311" s="9"/>
      <c r="AQ1311" s="9"/>
      <c r="AR1311" s="9"/>
      <c r="AS1311" s="9"/>
      <c r="AT1311" s="9"/>
      <c r="AU1311" s="9"/>
      <c r="AV1311" s="9"/>
      <c r="AW1311" s="9"/>
      <c r="AX1311" s="9"/>
      <c r="AY1311" s="9"/>
      <c r="AZ1311" s="9"/>
      <c r="BA1311" s="9"/>
      <c r="BB1311" s="9"/>
      <c r="BC1311" s="9"/>
      <c r="BD1311" s="9"/>
      <c r="BE1311" s="9"/>
      <c r="BF1311" s="9"/>
      <c r="BG1311" s="9"/>
      <c r="BH1311" s="9"/>
      <c r="BI1311" s="9"/>
      <c r="BJ1311" s="9"/>
      <c r="BK1311" s="9"/>
      <c r="BL1311" s="9"/>
      <c r="BM1311" s="9"/>
      <c r="BN1311" s="9"/>
      <c r="BO1311" s="9"/>
      <c r="BP1311" s="9"/>
      <c r="BQ1311" s="9"/>
      <c r="BR1311" s="9"/>
      <c r="BS1311" s="9"/>
      <c r="BT1311" s="9"/>
      <c r="BU1311" s="9"/>
      <c r="BV1311" s="9"/>
      <c r="BW1311" s="9"/>
      <c r="BX1311" s="9"/>
      <c r="BY1311" s="9"/>
      <c r="BZ1311" s="9"/>
      <c r="CA1311" s="9"/>
      <c r="CB1311" s="9"/>
      <c r="CC1311" s="9"/>
      <c r="CD1311" s="9"/>
      <c r="CE1311" s="9"/>
      <c r="CF1311" s="9"/>
      <c r="CG1311" s="9"/>
    </row>
    <row r="1312" spans="1:85" x14ac:dyDescent="0.3">
      <c r="A1312" s="9">
        <f t="shared" si="100"/>
        <v>1311</v>
      </c>
      <c r="B1312" s="9" t="str">
        <f t="shared" si="101"/>
        <v/>
      </c>
      <c r="C1312" s="9"/>
      <c r="D1312" s="9"/>
      <c r="E1312" s="9">
        <f t="shared" si="102"/>
        <v>0</v>
      </c>
      <c r="F1312" s="9"/>
      <c r="G1312" s="9"/>
      <c r="H1312" s="9"/>
      <c r="I1312" s="9"/>
      <c r="J1312" s="9"/>
      <c r="K1312" s="9"/>
      <c r="L1312" s="9"/>
      <c r="M1312" s="9"/>
      <c r="N1312" s="9" t="str">
        <f t="shared" si="103"/>
        <v>NO</v>
      </c>
      <c r="O1312" s="9" t="str">
        <f t="shared" si="104"/>
        <v>🟡</v>
      </c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9"/>
      <c r="AO1312" s="9"/>
      <c r="AP1312" s="9"/>
      <c r="AQ1312" s="9"/>
      <c r="AR1312" s="9"/>
      <c r="AS1312" s="9"/>
      <c r="AT1312" s="9"/>
      <c r="AU1312" s="9"/>
      <c r="AV1312" s="9"/>
      <c r="AW1312" s="9"/>
      <c r="AX1312" s="9"/>
      <c r="AY1312" s="9"/>
      <c r="AZ1312" s="9"/>
      <c r="BA1312" s="9"/>
      <c r="BB1312" s="9"/>
      <c r="BC1312" s="9"/>
      <c r="BD1312" s="9"/>
      <c r="BE1312" s="9"/>
      <c r="BF1312" s="9"/>
      <c r="BG1312" s="9"/>
      <c r="BH1312" s="9"/>
      <c r="BI1312" s="9"/>
      <c r="BJ1312" s="9"/>
      <c r="BK1312" s="9"/>
      <c r="BL1312" s="9"/>
      <c r="BM1312" s="9"/>
      <c r="BN1312" s="9"/>
      <c r="BO1312" s="9"/>
      <c r="BP1312" s="9"/>
      <c r="BQ1312" s="9"/>
      <c r="BR1312" s="9"/>
      <c r="BS1312" s="9"/>
      <c r="BT1312" s="9"/>
      <c r="BU1312" s="9"/>
      <c r="BV1312" s="9"/>
      <c r="BW1312" s="9"/>
      <c r="BX1312" s="9"/>
      <c r="BY1312" s="9"/>
      <c r="BZ1312" s="9"/>
      <c r="CA1312" s="9"/>
      <c r="CB1312" s="9"/>
      <c r="CC1312" s="9"/>
      <c r="CD1312" s="9"/>
      <c r="CE1312" s="9"/>
      <c r="CF1312" s="9"/>
      <c r="CG1312" s="9"/>
    </row>
    <row r="1313" spans="1:85" x14ac:dyDescent="0.3">
      <c r="A1313" s="9">
        <f t="shared" si="100"/>
        <v>1312</v>
      </c>
      <c r="B1313" s="9" t="str">
        <f t="shared" si="101"/>
        <v/>
      </c>
      <c r="C1313" s="9"/>
      <c r="D1313" s="9"/>
      <c r="E1313" s="9">
        <f t="shared" si="102"/>
        <v>0</v>
      </c>
      <c r="F1313" s="9"/>
      <c r="G1313" s="9"/>
      <c r="H1313" s="9"/>
      <c r="I1313" s="9"/>
      <c r="J1313" s="9"/>
      <c r="K1313" s="9"/>
      <c r="L1313" s="9"/>
      <c r="M1313" s="9"/>
      <c r="N1313" s="9" t="str">
        <f t="shared" si="103"/>
        <v>NO</v>
      </c>
      <c r="O1313" s="9" t="str">
        <f t="shared" si="104"/>
        <v>🟡</v>
      </c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  <c r="AN1313" s="9"/>
      <c r="AO1313" s="9"/>
      <c r="AP1313" s="9"/>
      <c r="AQ1313" s="9"/>
      <c r="AR1313" s="9"/>
      <c r="AS1313" s="9"/>
      <c r="AT1313" s="9"/>
      <c r="AU1313" s="9"/>
      <c r="AV1313" s="9"/>
      <c r="AW1313" s="9"/>
      <c r="AX1313" s="9"/>
      <c r="AY1313" s="9"/>
      <c r="AZ1313" s="9"/>
      <c r="BA1313" s="9"/>
      <c r="BB1313" s="9"/>
      <c r="BC1313" s="9"/>
      <c r="BD1313" s="9"/>
      <c r="BE1313" s="9"/>
      <c r="BF1313" s="9"/>
      <c r="BG1313" s="9"/>
      <c r="BH1313" s="9"/>
      <c r="BI1313" s="9"/>
      <c r="BJ1313" s="9"/>
      <c r="BK1313" s="9"/>
      <c r="BL1313" s="9"/>
      <c r="BM1313" s="9"/>
      <c r="BN1313" s="9"/>
      <c r="BO1313" s="9"/>
      <c r="BP1313" s="9"/>
      <c r="BQ1313" s="9"/>
      <c r="BR1313" s="9"/>
      <c r="BS1313" s="9"/>
      <c r="BT1313" s="9"/>
      <c r="BU1313" s="9"/>
      <c r="BV1313" s="9"/>
      <c r="BW1313" s="9"/>
      <c r="BX1313" s="9"/>
      <c r="BY1313" s="9"/>
      <c r="BZ1313" s="9"/>
      <c r="CA1313" s="9"/>
      <c r="CB1313" s="9"/>
      <c r="CC1313" s="9"/>
      <c r="CD1313" s="9"/>
      <c r="CE1313" s="9"/>
      <c r="CF1313" s="9"/>
      <c r="CG1313" s="9"/>
    </row>
    <row r="1314" spans="1:85" x14ac:dyDescent="0.3">
      <c r="A1314" s="9">
        <f t="shared" si="100"/>
        <v>1313</v>
      </c>
      <c r="B1314" s="9" t="str">
        <f t="shared" si="101"/>
        <v/>
      </c>
      <c r="C1314" s="9"/>
      <c r="D1314" s="9"/>
      <c r="E1314" s="9">
        <f t="shared" si="102"/>
        <v>0</v>
      </c>
      <c r="F1314" s="9"/>
      <c r="G1314" s="9"/>
      <c r="H1314" s="9"/>
      <c r="I1314" s="9"/>
      <c r="J1314" s="9"/>
      <c r="K1314" s="9"/>
      <c r="L1314" s="9"/>
      <c r="M1314" s="9"/>
      <c r="N1314" s="9" t="str">
        <f t="shared" si="103"/>
        <v>NO</v>
      </c>
      <c r="O1314" s="9" t="str">
        <f t="shared" si="104"/>
        <v>🟡</v>
      </c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9"/>
      <c r="AO1314" s="9"/>
      <c r="AP1314" s="9"/>
      <c r="AQ1314" s="9"/>
      <c r="AR1314" s="9"/>
      <c r="AS1314" s="9"/>
      <c r="AT1314" s="9"/>
      <c r="AU1314" s="9"/>
      <c r="AV1314" s="9"/>
      <c r="AW1314" s="9"/>
      <c r="AX1314" s="9"/>
      <c r="AY1314" s="9"/>
      <c r="AZ1314" s="9"/>
      <c r="BA1314" s="9"/>
      <c r="BB1314" s="9"/>
      <c r="BC1314" s="9"/>
      <c r="BD1314" s="9"/>
      <c r="BE1314" s="9"/>
      <c r="BF1314" s="9"/>
      <c r="BG1314" s="9"/>
      <c r="BH1314" s="9"/>
      <c r="BI1314" s="9"/>
      <c r="BJ1314" s="9"/>
      <c r="BK1314" s="9"/>
      <c r="BL1314" s="9"/>
      <c r="BM1314" s="9"/>
      <c r="BN1314" s="9"/>
      <c r="BO1314" s="9"/>
      <c r="BP1314" s="9"/>
      <c r="BQ1314" s="9"/>
      <c r="BR1314" s="9"/>
      <c r="BS1314" s="9"/>
      <c r="BT1314" s="9"/>
      <c r="BU1314" s="9"/>
      <c r="BV1314" s="9"/>
      <c r="BW1314" s="9"/>
      <c r="BX1314" s="9"/>
      <c r="BY1314" s="9"/>
      <c r="BZ1314" s="9"/>
      <c r="CA1314" s="9"/>
      <c r="CB1314" s="9"/>
      <c r="CC1314" s="9"/>
      <c r="CD1314" s="9"/>
      <c r="CE1314" s="9"/>
      <c r="CF1314" s="9"/>
      <c r="CG1314" s="9"/>
    </row>
    <row r="1315" spans="1:85" x14ac:dyDescent="0.3">
      <c r="A1315" s="9">
        <f t="shared" si="100"/>
        <v>1314</v>
      </c>
      <c r="B1315" s="9" t="str">
        <f t="shared" si="101"/>
        <v/>
      </c>
      <c r="C1315" s="9"/>
      <c r="D1315" s="9"/>
      <c r="E1315" s="9">
        <f t="shared" si="102"/>
        <v>0</v>
      </c>
      <c r="F1315" s="9"/>
      <c r="G1315" s="9"/>
      <c r="H1315" s="9"/>
      <c r="I1315" s="9"/>
      <c r="J1315" s="9"/>
      <c r="K1315" s="9"/>
      <c r="L1315" s="9"/>
      <c r="M1315" s="9"/>
      <c r="N1315" s="9" t="str">
        <f t="shared" si="103"/>
        <v>NO</v>
      </c>
      <c r="O1315" s="9" t="str">
        <f t="shared" si="104"/>
        <v>🟡</v>
      </c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  <c r="AN1315" s="9"/>
      <c r="AO1315" s="9"/>
      <c r="AP1315" s="9"/>
      <c r="AQ1315" s="9"/>
      <c r="AR1315" s="9"/>
      <c r="AS1315" s="9"/>
      <c r="AT1315" s="9"/>
      <c r="AU1315" s="9"/>
      <c r="AV1315" s="9"/>
      <c r="AW1315" s="9"/>
      <c r="AX1315" s="9"/>
      <c r="AY1315" s="9"/>
      <c r="AZ1315" s="9"/>
      <c r="BA1315" s="9"/>
      <c r="BB1315" s="9"/>
      <c r="BC1315" s="9"/>
      <c r="BD1315" s="9"/>
      <c r="BE1315" s="9"/>
      <c r="BF1315" s="9"/>
      <c r="BG1315" s="9"/>
      <c r="BH1315" s="9"/>
      <c r="BI1315" s="9"/>
      <c r="BJ1315" s="9"/>
      <c r="BK1315" s="9"/>
      <c r="BL1315" s="9"/>
      <c r="BM1315" s="9"/>
      <c r="BN1315" s="9"/>
      <c r="BO1315" s="9"/>
      <c r="BP1315" s="9"/>
      <c r="BQ1315" s="9"/>
      <c r="BR1315" s="9"/>
      <c r="BS1315" s="9"/>
      <c r="BT1315" s="9"/>
      <c r="BU1315" s="9"/>
      <c r="BV1315" s="9"/>
      <c r="BW1315" s="9"/>
      <c r="BX1315" s="9"/>
      <c r="BY1315" s="9"/>
      <c r="BZ1315" s="9"/>
      <c r="CA1315" s="9"/>
      <c r="CB1315" s="9"/>
      <c r="CC1315" s="9"/>
      <c r="CD1315" s="9"/>
      <c r="CE1315" s="9"/>
      <c r="CF1315" s="9"/>
      <c r="CG1315" s="9"/>
    </row>
    <row r="1316" spans="1:85" x14ac:dyDescent="0.3">
      <c r="A1316" s="9">
        <f t="shared" si="100"/>
        <v>1315</v>
      </c>
      <c r="B1316" s="9" t="str">
        <f t="shared" si="101"/>
        <v/>
      </c>
      <c r="C1316" s="9"/>
      <c r="D1316" s="9"/>
      <c r="E1316" s="9">
        <f t="shared" si="102"/>
        <v>0</v>
      </c>
      <c r="F1316" s="9"/>
      <c r="G1316" s="9"/>
      <c r="H1316" s="9"/>
      <c r="I1316" s="9"/>
      <c r="J1316" s="9"/>
      <c r="K1316" s="9"/>
      <c r="L1316" s="9"/>
      <c r="M1316" s="9"/>
      <c r="N1316" s="9" t="str">
        <f t="shared" si="103"/>
        <v>NO</v>
      </c>
      <c r="O1316" s="9" t="str">
        <f t="shared" si="104"/>
        <v>🟡</v>
      </c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  <c r="AN1316" s="9"/>
      <c r="AO1316" s="9"/>
      <c r="AP1316" s="9"/>
      <c r="AQ1316" s="9"/>
      <c r="AR1316" s="9"/>
      <c r="AS1316" s="9"/>
      <c r="AT1316" s="9"/>
      <c r="AU1316" s="9"/>
      <c r="AV1316" s="9"/>
      <c r="AW1316" s="9"/>
      <c r="AX1316" s="9"/>
      <c r="AY1316" s="9"/>
      <c r="AZ1316" s="9"/>
      <c r="BA1316" s="9"/>
      <c r="BB1316" s="9"/>
      <c r="BC1316" s="9"/>
      <c r="BD1316" s="9"/>
      <c r="BE1316" s="9"/>
      <c r="BF1316" s="9"/>
      <c r="BG1316" s="9"/>
      <c r="BH1316" s="9"/>
      <c r="BI1316" s="9"/>
      <c r="BJ1316" s="9"/>
      <c r="BK1316" s="9"/>
      <c r="BL1316" s="9"/>
      <c r="BM1316" s="9"/>
      <c r="BN1316" s="9"/>
      <c r="BO1316" s="9"/>
      <c r="BP1316" s="9"/>
      <c r="BQ1316" s="9"/>
      <c r="BR1316" s="9"/>
      <c r="BS1316" s="9"/>
      <c r="BT1316" s="9"/>
      <c r="BU1316" s="9"/>
      <c r="BV1316" s="9"/>
      <c r="BW1316" s="9"/>
      <c r="BX1316" s="9"/>
      <c r="BY1316" s="9"/>
      <c r="BZ1316" s="9"/>
      <c r="CA1316" s="9"/>
      <c r="CB1316" s="9"/>
      <c r="CC1316" s="9"/>
      <c r="CD1316" s="9"/>
      <c r="CE1316" s="9"/>
      <c r="CF1316" s="9"/>
      <c r="CG1316" s="9"/>
    </row>
    <row r="1317" spans="1:85" x14ac:dyDescent="0.3">
      <c r="A1317" s="9">
        <f t="shared" si="100"/>
        <v>1316</v>
      </c>
      <c r="B1317" s="9" t="str">
        <f t="shared" si="101"/>
        <v/>
      </c>
      <c r="C1317" s="9"/>
      <c r="D1317" s="9"/>
      <c r="E1317" s="9">
        <f t="shared" si="102"/>
        <v>0</v>
      </c>
      <c r="F1317" s="9"/>
      <c r="G1317" s="9"/>
      <c r="H1317" s="9"/>
      <c r="I1317" s="9"/>
      <c r="J1317" s="9"/>
      <c r="K1317" s="9"/>
      <c r="L1317" s="9"/>
      <c r="M1317" s="9"/>
      <c r="N1317" s="9" t="str">
        <f t="shared" si="103"/>
        <v>NO</v>
      </c>
      <c r="O1317" s="9" t="str">
        <f t="shared" si="104"/>
        <v>🟡</v>
      </c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9"/>
      <c r="AO1317" s="9"/>
      <c r="AP1317" s="9"/>
      <c r="AQ1317" s="9"/>
      <c r="AR1317" s="9"/>
      <c r="AS1317" s="9"/>
      <c r="AT1317" s="9"/>
      <c r="AU1317" s="9"/>
      <c r="AV1317" s="9"/>
      <c r="AW1317" s="9"/>
      <c r="AX1317" s="9"/>
      <c r="AY1317" s="9"/>
      <c r="AZ1317" s="9"/>
      <c r="BA1317" s="9"/>
      <c r="BB1317" s="9"/>
      <c r="BC1317" s="9"/>
      <c r="BD1317" s="9"/>
      <c r="BE1317" s="9"/>
      <c r="BF1317" s="9"/>
      <c r="BG1317" s="9"/>
      <c r="BH1317" s="9"/>
      <c r="BI1317" s="9"/>
      <c r="BJ1317" s="9"/>
      <c r="BK1317" s="9"/>
      <c r="BL1317" s="9"/>
      <c r="BM1317" s="9"/>
      <c r="BN1317" s="9"/>
      <c r="BO1317" s="9"/>
      <c r="BP1317" s="9"/>
      <c r="BQ1317" s="9"/>
      <c r="BR1317" s="9"/>
      <c r="BS1317" s="9"/>
      <c r="BT1317" s="9"/>
      <c r="BU1317" s="9"/>
      <c r="BV1317" s="9"/>
      <c r="BW1317" s="9"/>
      <c r="BX1317" s="9"/>
      <c r="BY1317" s="9"/>
      <c r="BZ1317" s="9"/>
      <c r="CA1317" s="9"/>
      <c r="CB1317" s="9"/>
      <c r="CC1317" s="9"/>
      <c r="CD1317" s="9"/>
      <c r="CE1317" s="9"/>
      <c r="CF1317" s="9"/>
      <c r="CG1317" s="9"/>
    </row>
    <row r="1318" spans="1:85" x14ac:dyDescent="0.3">
      <c r="A1318" s="9">
        <f t="shared" si="100"/>
        <v>1317</v>
      </c>
      <c r="B1318" s="9" t="str">
        <f t="shared" si="101"/>
        <v/>
      </c>
      <c r="C1318" s="9"/>
      <c r="D1318" s="9"/>
      <c r="E1318" s="9">
        <f t="shared" si="102"/>
        <v>0</v>
      </c>
      <c r="F1318" s="9"/>
      <c r="G1318" s="9"/>
      <c r="H1318" s="9"/>
      <c r="I1318" s="9"/>
      <c r="J1318" s="9"/>
      <c r="K1318" s="9"/>
      <c r="L1318" s="9"/>
      <c r="M1318" s="9"/>
      <c r="N1318" s="9" t="str">
        <f t="shared" si="103"/>
        <v>NO</v>
      </c>
      <c r="O1318" s="9" t="str">
        <f t="shared" si="104"/>
        <v>🟡</v>
      </c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9"/>
      <c r="AO1318" s="9"/>
      <c r="AP1318" s="9"/>
      <c r="AQ1318" s="9"/>
      <c r="AR1318" s="9"/>
      <c r="AS1318" s="9"/>
      <c r="AT1318" s="9"/>
      <c r="AU1318" s="9"/>
      <c r="AV1318" s="9"/>
      <c r="AW1318" s="9"/>
      <c r="AX1318" s="9"/>
      <c r="AY1318" s="9"/>
      <c r="AZ1318" s="9"/>
      <c r="BA1318" s="9"/>
      <c r="BB1318" s="9"/>
      <c r="BC1318" s="9"/>
      <c r="BD1318" s="9"/>
      <c r="BE1318" s="9"/>
      <c r="BF1318" s="9"/>
      <c r="BG1318" s="9"/>
      <c r="BH1318" s="9"/>
      <c r="BI1318" s="9"/>
      <c r="BJ1318" s="9"/>
      <c r="BK1318" s="9"/>
      <c r="BL1318" s="9"/>
      <c r="BM1318" s="9"/>
      <c r="BN1318" s="9"/>
      <c r="BO1318" s="9"/>
      <c r="BP1318" s="9"/>
      <c r="BQ1318" s="9"/>
      <c r="BR1318" s="9"/>
      <c r="BS1318" s="9"/>
      <c r="BT1318" s="9"/>
      <c r="BU1318" s="9"/>
      <c r="BV1318" s="9"/>
      <c r="BW1318" s="9"/>
      <c r="BX1318" s="9"/>
      <c r="BY1318" s="9"/>
      <c r="BZ1318" s="9"/>
      <c r="CA1318" s="9"/>
      <c r="CB1318" s="9"/>
      <c r="CC1318" s="9"/>
      <c r="CD1318" s="9"/>
      <c r="CE1318" s="9"/>
      <c r="CF1318" s="9"/>
      <c r="CG1318" s="9"/>
    </row>
    <row r="1319" spans="1:85" x14ac:dyDescent="0.3">
      <c r="A1319" s="9">
        <f t="shared" si="100"/>
        <v>1318</v>
      </c>
      <c r="B1319" s="9" t="str">
        <f t="shared" si="101"/>
        <v/>
      </c>
      <c r="C1319" s="9"/>
      <c r="D1319" s="9"/>
      <c r="E1319" s="9">
        <f t="shared" si="102"/>
        <v>0</v>
      </c>
      <c r="F1319" s="9"/>
      <c r="G1319" s="9"/>
      <c r="H1319" s="9"/>
      <c r="I1319" s="9"/>
      <c r="J1319" s="9"/>
      <c r="K1319" s="9"/>
      <c r="L1319" s="9"/>
      <c r="M1319" s="9"/>
      <c r="N1319" s="9" t="str">
        <f t="shared" si="103"/>
        <v>NO</v>
      </c>
      <c r="O1319" s="9" t="str">
        <f t="shared" si="104"/>
        <v>🟡</v>
      </c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  <c r="AN1319" s="9"/>
      <c r="AO1319" s="9"/>
      <c r="AP1319" s="9"/>
      <c r="AQ1319" s="9"/>
      <c r="AR1319" s="9"/>
      <c r="AS1319" s="9"/>
      <c r="AT1319" s="9"/>
      <c r="AU1319" s="9"/>
      <c r="AV1319" s="9"/>
      <c r="AW1319" s="9"/>
      <c r="AX1319" s="9"/>
      <c r="AY1319" s="9"/>
      <c r="AZ1319" s="9"/>
      <c r="BA1319" s="9"/>
      <c r="BB1319" s="9"/>
      <c r="BC1319" s="9"/>
      <c r="BD1319" s="9"/>
      <c r="BE1319" s="9"/>
      <c r="BF1319" s="9"/>
      <c r="BG1319" s="9"/>
      <c r="BH1319" s="9"/>
      <c r="BI1319" s="9"/>
      <c r="BJ1319" s="9"/>
      <c r="BK1319" s="9"/>
      <c r="BL1319" s="9"/>
      <c r="BM1319" s="9"/>
      <c r="BN1319" s="9"/>
      <c r="BO1319" s="9"/>
      <c r="BP1319" s="9"/>
      <c r="BQ1319" s="9"/>
      <c r="BR1319" s="9"/>
      <c r="BS1319" s="9"/>
      <c r="BT1319" s="9"/>
      <c r="BU1319" s="9"/>
      <c r="BV1319" s="9"/>
      <c r="BW1319" s="9"/>
      <c r="BX1319" s="9"/>
      <c r="BY1319" s="9"/>
      <c r="BZ1319" s="9"/>
      <c r="CA1319" s="9"/>
      <c r="CB1319" s="9"/>
      <c r="CC1319" s="9"/>
      <c r="CD1319" s="9"/>
      <c r="CE1319" s="9"/>
      <c r="CF1319" s="9"/>
      <c r="CG1319" s="9"/>
    </row>
    <row r="1320" spans="1:85" x14ac:dyDescent="0.3">
      <c r="A1320" s="9">
        <f t="shared" si="100"/>
        <v>1319</v>
      </c>
      <c r="B1320" s="9" t="str">
        <f t="shared" si="101"/>
        <v/>
      </c>
      <c r="C1320" s="9"/>
      <c r="D1320" s="9"/>
      <c r="E1320" s="9">
        <f t="shared" si="102"/>
        <v>0</v>
      </c>
      <c r="F1320" s="9"/>
      <c r="G1320" s="9"/>
      <c r="H1320" s="9"/>
      <c r="I1320" s="9"/>
      <c r="J1320" s="9"/>
      <c r="K1320" s="9"/>
      <c r="L1320" s="9"/>
      <c r="M1320" s="9"/>
      <c r="N1320" s="9" t="str">
        <f t="shared" si="103"/>
        <v>NO</v>
      </c>
      <c r="O1320" s="9" t="str">
        <f t="shared" si="104"/>
        <v>🟡</v>
      </c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9"/>
      <c r="AO1320" s="9"/>
      <c r="AP1320" s="9"/>
      <c r="AQ1320" s="9"/>
      <c r="AR1320" s="9"/>
      <c r="AS1320" s="9"/>
      <c r="AT1320" s="9"/>
      <c r="AU1320" s="9"/>
      <c r="AV1320" s="9"/>
      <c r="AW1320" s="9"/>
      <c r="AX1320" s="9"/>
      <c r="AY1320" s="9"/>
      <c r="AZ1320" s="9"/>
      <c r="BA1320" s="9"/>
      <c r="BB1320" s="9"/>
      <c r="BC1320" s="9"/>
      <c r="BD1320" s="9"/>
      <c r="BE1320" s="9"/>
      <c r="BF1320" s="9"/>
      <c r="BG1320" s="9"/>
      <c r="BH1320" s="9"/>
      <c r="BI1320" s="9"/>
      <c r="BJ1320" s="9"/>
      <c r="BK1320" s="9"/>
      <c r="BL1320" s="9"/>
      <c r="BM1320" s="9"/>
      <c r="BN1320" s="9"/>
      <c r="BO1320" s="9"/>
      <c r="BP1320" s="9"/>
      <c r="BQ1320" s="9"/>
      <c r="BR1320" s="9"/>
      <c r="BS1320" s="9"/>
      <c r="BT1320" s="9"/>
      <c r="BU1320" s="9"/>
      <c r="BV1320" s="9"/>
      <c r="BW1320" s="9"/>
      <c r="BX1320" s="9"/>
      <c r="BY1320" s="9"/>
      <c r="BZ1320" s="9"/>
      <c r="CA1320" s="9"/>
      <c r="CB1320" s="9"/>
      <c r="CC1320" s="9"/>
      <c r="CD1320" s="9"/>
      <c r="CE1320" s="9"/>
      <c r="CF1320" s="9"/>
      <c r="CG1320" s="9"/>
    </row>
    <row r="1321" spans="1:85" x14ac:dyDescent="0.3">
      <c r="A1321" s="9">
        <f t="shared" si="100"/>
        <v>1320</v>
      </c>
      <c r="B1321" s="9" t="str">
        <f t="shared" si="101"/>
        <v/>
      </c>
      <c r="C1321" s="9"/>
      <c r="D1321" s="9"/>
      <c r="E1321" s="9">
        <f t="shared" si="102"/>
        <v>0</v>
      </c>
      <c r="F1321" s="9"/>
      <c r="G1321" s="9"/>
      <c r="H1321" s="9"/>
      <c r="I1321" s="9"/>
      <c r="J1321" s="9"/>
      <c r="K1321" s="9"/>
      <c r="L1321" s="9"/>
      <c r="M1321" s="9"/>
      <c r="N1321" s="9" t="str">
        <f t="shared" si="103"/>
        <v>NO</v>
      </c>
      <c r="O1321" s="9" t="str">
        <f t="shared" si="104"/>
        <v>🟡</v>
      </c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  <c r="AN1321" s="9"/>
      <c r="AO1321" s="9"/>
      <c r="AP1321" s="9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  <c r="BA1321" s="9"/>
      <c r="BB1321" s="9"/>
      <c r="BC1321" s="9"/>
      <c r="BD1321" s="9"/>
      <c r="BE1321" s="9"/>
      <c r="BF1321" s="9"/>
      <c r="BG1321" s="9"/>
      <c r="BH1321" s="9"/>
      <c r="BI1321" s="9"/>
      <c r="BJ1321" s="9"/>
      <c r="BK1321" s="9"/>
      <c r="BL1321" s="9"/>
      <c r="BM1321" s="9"/>
      <c r="BN1321" s="9"/>
      <c r="BO1321" s="9"/>
      <c r="BP1321" s="9"/>
      <c r="BQ1321" s="9"/>
      <c r="BR1321" s="9"/>
      <c r="BS1321" s="9"/>
      <c r="BT1321" s="9"/>
      <c r="BU1321" s="9"/>
      <c r="BV1321" s="9"/>
      <c r="BW1321" s="9"/>
      <c r="BX1321" s="9"/>
      <c r="BY1321" s="9"/>
      <c r="BZ1321" s="9"/>
      <c r="CA1321" s="9"/>
      <c r="CB1321" s="9"/>
      <c r="CC1321" s="9"/>
      <c r="CD1321" s="9"/>
      <c r="CE1321" s="9"/>
      <c r="CF1321" s="9"/>
      <c r="CG1321" s="9"/>
    </row>
    <row r="1322" spans="1:85" x14ac:dyDescent="0.3">
      <c r="A1322" s="9">
        <f t="shared" si="100"/>
        <v>1321</v>
      </c>
      <c r="B1322" s="9" t="str">
        <f t="shared" si="101"/>
        <v/>
      </c>
      <c r="C1322" s="9"/>
      <c r="D1322" s="9"/>
      <c r="E1322" s="9">
        <f t="shared" si="102"/>
        <v>0</v>
      </c>
      <c r="F1322" s="9"/>
      <c r="G1322" s="9"/>
      <c r="H1322" s="9"/>
      <c r="I1322" s="9"/>
      <c r="J1322" s="9"/>
      <c r="K1322" s="9"/>
      <c r="L1322" s="9"/>
      <c r="M1322" s="9"/>
      <c r="N1322" s="9" t="str">
        <f t="shared" si="103"/>
        <v>NO</v>
      </c>
      <c r="O1322" s="9" t="str">
        <f t="shared" si="104"/>
        <v>🟡</v>
      </c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9"/>
      <c r="AO1322" s="9"/>
      <c r="AP1322" s="9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  <c r="BA1322" s="9"/>
      <c r="BB1322" s="9"/>
      <c r="BC1322" s="9"/>
      <c r="BD1322" s="9"/>
      <c r="BE1322" s="9"/>
      <c r="BF1322" s="9"/>
      <c r="BG1322" s="9"/>
      <c r="BH1322" s="9"/>
      <c r="BI1322" s="9"/>
      <c r="BJ1322" s="9"/>
      <c r="BK1322" s="9"/>
      <c r="BL1322" s="9"/>
      <c r="BM1322" s="9"/>
      <c r="BN1322" s="9"/>
      <c r="BO1322" s="9"/>
      <c r="BP1322" s="9"/>
      <c r="BQ1322" s="9"/>
      <c r="BR1322" s="9"/>
      <c r="BS1322" s="9"/>
      <c r="BT1322" s="9"/>
      <c r="BU1322" s="9"/>
      <c r="BV1322" s="9"/>
      <c r="BW1322" s="9"/>
      <c r="BX1322" s="9"/>
      <c r="BY1322" s="9"/>
      <c r="BZ1322" s="9"/>
      <c r="CA1322" s="9"/>
      <c r="CB1322" s="9"/>
      <c r="CC1322" s="9"/>
      <c r="CD1322" s="9"/>
      <c r="CE1322" s="9"/>
      <c r="CF1322" s="9"/>
      <c r="CG1322" s="9"/>
    </row>
    <row r="1323" spans="1:85" x14ac:dyDescent="0.3">
      <c r="A1323" s="9">
        <f t="shared" si="100"/>
        <v>1322</v>
      </c>
      <c r="B1323" s="9" t="str">
        <f t="shared" si="101"/>
        <v/>
      </c>
      <c r="C1323" s="9"/>
      <c r="D1323" s="9"/>
      <c r="E1323" s="9">
        <f t="shared" si="102"/>
        <v>0</v>
      </c>
      <c r="F1323" s="9"/>
      <c r="G1323" s="9"/>
      <c r="H1323" s="9"/>
      <c r="I1323" s="9"/>
      <c r="J1323" s="9"/>
      <c r="K1323" s="9"/>
      <c r="L1323" s="9"/>
      <c r="M1323" s="9"/>
      <c r="N1323" s="9" t="str">
        <f t="shared" si="103"/>
        <v>NO</v>
      </c>
      <c r="O1323" s="9" t="str">
        <f t="shared" si="104"/>
        <v>🟡</v>
      </c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  <c r="AN1323" s="9"/>
      <c r="AO1323" s="9"/>
      <c r="AP1323" s="9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  <c r="BA1323" s="9"/>
      <c r="BB1323" s="9"/>
      <c r="BC1323" s="9"/>
      <c r="BD1323" s="9"/>
      <c r="BE1323" s="9"/>
      <c r="BF1323" s="9"/>
      <c r="BG1323" s="9"/>
      <c r="BH1323" s="9"/>
      <c r="BI1323" s="9"/>
      <c r="BJ1323" s="9"/>
      <c r="BK1323" s="9"/>
      <c r="BL1323" s="9"/>
      <c r="BM1323" s="9"/>
      <c r="BN1323" s="9"/>
      <c r="BO1323" s="9"/>
      <c r="BP1323" s="9"/>
      <c r="BQ1323" s="9"/>
      <c r="BR1323" s="9"/>
      <c r="BS1323" s="9"/>
      <c r="BT1323" s="9"/>
      <c r="BU1323" s="9"/>
      <c r="BV1323" s="9"/>
      <c r="BW1323" s="9"/>
      <c r="BX1323" s="9"/>
      <c r="BY1323" s="9"/>
      <c r="BZ1323" s="9"/>
      <c r="CA1323" s="9"/>
      <c r="CB1323" s="9"/>
      <c r="CC1323" s="9"/>
      <c r="CD1323" s="9"/>
      <c r="CE1323" s="9"/>
      <c r="CF1323" s="9"/>
      <c r="CG1323" s="9"/>
    </row>
    <row r="1324" spans="1:85" x14ac:dyDescent="0.3">
      <c r="A1324" s="9">
        <f t="shared" si="100"/>
        <v>1323</v>
      </c>
      <c r="B1324" s="9" t="str">
        <f t="shared" si="101"/>
        <v/>
      </c>
      <c r="C1324" s="9"/>
      <c r="D1324" s="9"/>
      <c r="E1324" s="9">
        <f t="shared" si="102"/>
        <v>0</v>
      </c>
      <c r="F1324" s="9"/>
      <c r="G1324" s="9"/>
      <c r="H1324" s="9"/>
      <c r="I1324" s="9"/>
      <c r="J1324" s="9"/>
      <c r="K1324" s="9"/>
      <c r="L1324" s="9"/>
      <c r="M1324" s="9"/>
      <c r="N1324" s="9" t="str">
        <f t="shared" si="103"/>
        <v>NO</v>
      </c>
      <c r="O1324" s="9" t="str">
        <f t="shared" si="104"/>
        <v>🟡</v>
      </c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9"/>
      <c r="AO1324" s="9"/>
      <c r="AP1324" s="9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  <c r="BA1324" s="9"/>
      <c r="BB1324" s="9"/>
      <c r="BC1324" s="9"/>
      <c r="BD1324" s="9"/>
      <c r="BE1324" s="9"/>
      <c r="BF1324" s="9"/>
      <c r="BG1324" s="9"/>
      <c r="BH1324" s="9"/>
      <c r="BI1324" s="9"/>
      <c r="BJ1324" s="9"/>
      <c r="BK1324" s="9"/>
      <c r="BL1324" s="9"/>
      <c r="BM1324" s="9"/>
      <c r="BN1324" s="9"/>
      <c r="BO1324" s="9"/>
      <c r="BP1324" s="9"/>
      <c r="BQ1324" s="9"/>
      <c r="BR1324" s="9"/>
      <c r="BS1324" s="9"/>
      <c r="BT1324" s="9"/>
      <c r="BU1324" s="9"/>
      <c r="BV1324" s="9"/>
      <c r="BW1324" s="9"/>
      <c r="BX1324" s="9"/>
      <c r="BY1324" s="9"/>
      <c r="BZ1324" s="9"/>
      <c r="CA1324" s="9"/>
      <c r="CB1324" s="9"/>
      <c r="CC1324" s="9"/>
      <c r="CD1324" s="9"/>
      <c r="CE1324" s="9"/>
      <c r="CF1324" s="9"/>
      <c r="CG1324" s="9"/>
    </row>
    <row r="1325" spans="1:85" x14ac:dyDescent="0.3">
      <c r="A1325" s="9">
        <f t="shared" si="100"/>
        <v>1324</v>
      </c>
      <c r="B1325" s="9" t="str">
        <f t="shared" si="101"/>
        <v/>
      </c>
      <c r="C1325" s="9"/>
      <c r="D1325" s="9"/>
      <c r="E1325" s="9">
        <f t="shared" si="102"/>
        <v>0</v>
      </c>
      <c r="F1325" s="9"/>
      <c r="G1325" s="9"/>
      <c r="H1325" s="9"/>
      <c r="I1325" s="9"/>
      <c r="J1325" s="9"/>
      <c r="K1325" s="9"/>
      <c r="L1325" s="9"/>
      <c r="M1325" s="9"/>
      <c r="N1325" s="9" t="str">
        <f t="shared" si="103"/>
        <v>NO</v>
      </c>
      <c r="O1325" s="9" t="str">
        <f t="shared" si="104"/>
        <v>🟡</v>
      </c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9"/>
      <c r="AO1325" s="9"/>
      <c r="AP1325" s="9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  <c r="BA1325" s="9"/>
      <c r="BB1325" s="9"/>
      <c r="BC1325" s="9"/>
      <c r="BD1325" s="9"/>
      <c r="BE1325" s="9"/>
      <c r="BF1325" s="9"/>
      <c r="BG1325" s="9"/>
      <c r="BH1325" s="9"/>
      <c r="BI1325" s="9"/>
      <c r="BJ1325" s="9"/>
      <c r="BK1325" s="9"/>
      <c r="BL1325" s="9"/>
      <c r="BM1325" s="9"/>
      <c r="BN1325" s="9"/>
      <c r="BO1325" s="9"/>
      <c r="BP1325" s="9"/>
      <c r="BQ1325" s="9"/>
      <c r="BR1325" s="9"/>
      <c r="BS1325" s="9"/>
      <c r="BT1325" s="9"/>
      <c r="BU1325" s="9"/>
      <c r="BV1325" s="9"/>
      <c r="BW1325" s="9"/>
      <c r="BX1325" s="9"/>
      <c r="BY1325" s="9"/>
      <c r="BZ1325" s="9"/>
      <c r="CA1325" s="9"/>
      <c r="CB1325" s="9"/>
      <c r="CC1325" s="9"/>
      <c r="CD1325" s="9"/>
      <c r="CE1325" s="9"/>
      <c r="CF1325" s="9"/>
      <c r="CG1325" s="9"/>
    </row>
    <row r="1326" spans="1:85" x14ac:dyDescent="0.3">
      <c r="A1326" s="9">
        <f t="shared" si="100"/>
        <v>1325</v>
      </c>
      <c r="B1326" s="9" t="str">
        <f t="shared" si="101"/>
        <v/>
      </c>
      <c r="C1326" s="9"/>
      <c r="D1326" s="9"/>
      <c r="E1326" s="9">
        <f t="shared" si="102"/>
        <v>0</v>
      </c>
      <c r="F1326" s="9"/>
      <c r="G1326" s="9"/>
      <c r="H1326" s="9"/>
      <c r="I1326" s="9"/>
      <c r="J1326" s="9"/>
      <c r="K1326" s="9"/>
      <c r="L1326" s="9"/>
      <c r="M1326" s="9"/>
      <c r="N1326" s="9" t="str">
        <f t="shared" si="103"/>
        <v>NO</v>
      </c>
      <c r="O1326" s="9" t="str">
        <f t="shared" si="104"/>
        <v>🟡</v>
      </c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9"/>
      <c r="AO1326" s="9"/>
      <c r="AP1326" s="9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  <c r="BA1326" s="9"/>
      <c r="BB1326" s="9"/>
      <c r="BC1326" s="9"/>
      <c r="BD1326" s="9"/>
      <c r="BE1326" s="9"/>
      <c r="BF1326" s="9"/>
      <c r="BG1326" s="9"/>
      <c r="BH1326" s="9"/>
      <c r="BI1326" s="9"/>
      <c r="BJ1326" s="9"/>
      <c r="BK1326" s="9"/>
      <c r="BL1326" s="9"/>
      <c r="BM1326" s="9"/>
      <c r="BN1326" s="9"/>
      <c r="BO1326" s="9"/>
      <c r="BP1326" s="9"/>
      <c r="BQ1326" s="9"/>
      <c r="BR1326" s="9"/>
      <c r="BS1326" s="9"/>
      <c r="BT1326" s="9"/>
      <c r="BU1326" s="9"/>
      <c r="BV1326" s="9"/>
      <c r="BW1326" s="9"/>
      <c r="BX1326" s="9"/>
      <c r="BY1326" s="9"/>
      <c r="BZ1326" s="9"/>
      <c r="CA1326" s="9"/>
      <c r="CB1326" s="9"/>
      <c r="CC1326" s="9"/>
      <c r="CD1326" s="9"/>
      <c r="CE1326" s="9"/>
      <c r="CF1326" s="9"/>
      <c r="CG1326" s="9"/>
    </row>
    <row r="1327" spans="1:85" x14ac:dyDescent="0.3">
      <c r="A1327" s="9">
        <f t="shared" si="100"/>
        <v>1326</v>
      </c>
      <c r="B1327" s="9" t="str">
        <f t="shared" si="101"/>
        <v/>
      </c>
      <c r="C1327" s="9"/>
      <c r="D1327" s="9"/>
      <c r="E1327" s="9">
        <f t="shared" si="102"/>
        <v>0</v>
      </c>
      <c r="F1327" s="9"/>
      <c r="G1327" s="9"/>
      <c r="H1327" s="9"/>
      <c r="I1327" s="9"/>
      <c r="J1327" s="9"/>
      <c r="K1327" s="9"/>
      <c r="L1327" s="9"/>
      <c r="M1327" s="9"/>
      <c r="N1327" s="9" t="str">
        <f t="shared" si="103"/>
        <v>NO</v>
      </c>
      <c r="O1327" s="9" t="str">
        <f t="shared" si="104"/>
        <v>🟡</v>
      </c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9"/>
      <c r="AO1327" s="9"/>
      <c r="AP1327" s="9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  <c r="BA1327" s="9"/>
      <c r="BB1327" s="9"/>
      <c r="BC1327" s="9"/>
      <c r="BD1327" s="9"/>
      <c r="BE1327" s="9"/>
      <c r="BF1327" s="9"/>
      <c r="BG1327" s="9"/>
      <c r="BH1327" s="9"/>
      <c r="BI1327" s="9"/>
      <c r="BJ1327" s="9"/>
      <c r="BK1327" s="9"/>
      <c r="BL1327" s="9"/>
      <c r="BM1327" s="9"/>
      <c r="BN1327" s="9"/>
      <c r="BO1327" s="9"/>
      <c r="BP1327" s="9"/>
      <c r="BQ1327" s="9"/>
      <c r="BR1327" s="9"/>
      <c r="BS1327" s="9"/>
      <c r="BT1327" s="9"/>
      <c r="BU1327" s="9"/>
      <c r="BV1327" s="9"/>
      <c r="BW1327" s="9"/>
      <c r="BX1327" s="9"/>
      <c r="BY1327" s="9"/>
      <c r="BZ1327" s="9"/>
      <c r="CA1327" s="9"/>
      <c r="CB1327" s="9"/>
      <c r="CC1327" s="9"/>
      <c r="CD1327" s="9"/>
      <c r="CE1327" s="9"/>
      <c r="CF1327" s="9"/>
      <c r="CG1327" s="9"/>
    </row>
    <row r="1328" spans="1:85" x14ac:dyDescent="0.3">
      <c r="A1328" s="9">
        <f t="shared" si="100"/>
        <v>1327</v>
      </c>
      <c r="B1328" s="9" t="str">
        <f t="shared" si="101"/>
        <v/>
      </c>
      <c r="C1328" s="9"/>
      <c r="D1328" s="9"/>
      <c r="E1328" s="9">
        <f t="shared" si="102"/>
        <v>0</v>
      </c>
      <c r="F1328" s="9"/>
      <c r="G1328" s="9"/>
      <c r="H1328" s="9"/>
      <c r="I1328" s="9"/>
      <c r="J1328" s="9"/>
      <c r="K1328" s="9"/>
      <c r="L1328" s="9"/>
      <c r="M1328" s="9"/>
      <c r="N1328" s="9" t="str">
        <f t="shared" si="103"/>
        <v>NO</v>
      </c>
      <c r="O1328" s="9" t="str">
        <f t="shared" si="104"/>
        <v>🟡</v>
      </c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9"/>
      <c r="AO1328" s="9"/>
      <c r="AP1328" s="9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  <c r="BA1328" s="9"/>
      <c r="BB1328" s="9"/>
      <c r="BC1328" s="9"/>
      <c r="BD1328" s="9"/>
      <c r="BE1328" s="9"/>
      <c r="BF1328" s="9"/>
      <c r="BG1328" s="9"/>
      <c r="BH1328" s="9"/>
      <c r="BI1328" s="9"/>
      <c r="BJ1328" s="9"/>
      <c r="BK1328" s="9"/>
      <c r="BL1328" s="9"/>
      <c r="BM1328" s="9"/>
      <c r="BN1328" s="9"/>
      <c r="BO1328" s="9"/>
      <c r="BP1328" s="9"/>
      <c r="BQ1328" s="9"/>
      <c r="BR1328" s="9"/>
      <c r="BS1328" s="9"/>
      <c r="BT1328" s="9"/>
      <c r="BU1328" s="9"/>
      <c r="BV1328" s="9"/>
      <c r="BW1328" s="9"/>
      <c r="BX1328" s="9"/>
      <c r="BY1328" s="9"/>
      <c r="BZ1328" s="9"/>
      <c r="CA1328" s="9"/>
      <c r="CB1328" s="9"/>
      <c r="CC1328" s="9"/>
      <c r="CD1328" s="9"/>
      <c r="CE1328" s="9"/>
      <c r="CF1328" s="9"/>
      <c r="CG1328" s="9"/>
    </row>
    <row r="1329" spans="1:85" x14ac:dyDescent="0.3">
      <c r="A1329" s="9">
        <f t="shared" si="100"/>
        <v>1328</v>
      </c>
      <c r="B1329" s="9" t="str">
        <f t="shared" si="101"/>
        <v/>
      </c>
      <c r="C1329" s="9"/>
      <c r="D1329" s="9"/>
      <c r="E1329" s="9">
        <f t="shared" si="102"/>
        <v>0</v>
      </c>
      <c r="F1329" s="9"/>
      <c r="G1329" s="9"/>
      <c r="H1329" s="9"/>
      <c r="I1329" s="9"/>
      <c r="J1329" s="9"/>
      <c r="K1329" s="9"/>
      <c r="L1329" s="9"/>
      <c r="M1329" s="9"/>
      <c r="N1329" s="9" t="str">
        <f t="shared" si="103"/>
        <v>NO</v>
      </c>
      <c r="O1329" s="9" t="str">
        <f t="shared" si="104"/>
        <v>🟡</v>
      </c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9"/>
      <c r="AO1329" s="9"/>
      <c r="AP1329" s="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  <c r="BA1329" s="9"/>
      <c r="BB1329" s="9"/>
      <c r="BC1329" s="9"/>
      <c r="BD1329" s="9"/>
      <c r="BE1329" s="9"/>
      <c r="BF1329" s="9"/>
      <c r="BG1329" s="9"/>
      <c r="BH1329" s="9"/>
      <c r="BI1329" s="9"/>
      <c r="BJ1329" s="9"/>
      <c r="BK1329" s="9"/>
      <c r="BL1329" s="9"/>
      <c r="BM1329" s="9"/>
      <c r="BN1329" s="9"/>
      <c r="BO1329" s="9"/>
      <c r="BP1329" s="9"/>
      <c r="BQ1329" s="9"/>
      <c r="BR1329" s="9"/>
      <c r="BS1329" s="9"/>
      <c r="BT1329" s="9"/>
      <c r="BU1329" s="9"/>
      <c r="BV1329" s="9"/>
      <c r="BW1329" s="9"/>
      <c r="BX1329" s="9"/>
      <c r="BY1329" s="9"/>
      <c r="BZ1329" s="9"/>
      <c r="CA1329" s="9"/>
      <c r="CB1329" s="9"/>
      <c r="CC1329" s="9"/>
      <c r="CD1329" s="9"/>
      <c r="CE1329" s="9"/>
      <c r="CF1329" s="9"/>
      <c r="CG1329" s="9"/>
    </row>
    <row r="1330" spans="1:85" x14ac:dyDescent="0.3">
      <c r="A1330" s="9">
        <f t="shared" si="100"/>
        <v>1329</v>
      </c>
      <c r="B1330" s="9" t="str">
        <f t="shared" si="101"/>
        <v/>
      </c>
      <c r="C1330" s="9"/>
      <c r="D1330" s="9"/>
      <c r="E1330" s="9">
        <f t="shared" si="102"/>
        <v>0</v>
      </c>
      <c r="F1330" s="9"/>
      <c r="G1330" s="9"/>
      <c r="H1330" s="9"/>
      <c r="I1330" s="9"/>
      <c r="J1330" s="9"/>
      <c r="K1330" s="9"/>
      <c r="L1330" s="9"/>
      <c r="M1330" s="9"/>
      <c r="N1330" s="9" t="str">
        <f t="shared" si="103"/>
        <v>NO</v>
      </c>
      <c r="O1330" s="9" t="str">
        <f t="shared" si="104"/>
        <v>🟡</v>
      </c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9"/>
      <c r="AO1330" s="9"/>
      <c r="AP1330" s="9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  <c r="BA1330" s="9"/>
      <c r="BB1330" s="9"/>
      <c r="BC1330" s="9"/>
      <c r="BD1330" s="9"/>
      <c r="BE1330" s="9"/>
      <c r="BF1330" s="9"/>
      <c r="BG1330" s="9"/>
      <c r="BH1330" s="9"/>
      <c r="BI1330" s="9"/>
      <c r="BJ1330" s="9"/>
      <c r="BK1330" s="9"/>
      <c r="BL1330" s="9"/>
      <c r="BM1330" s="9"/>
      <c r="BN1330" s="9"/>
      <c r="BO1330" s="9"/>
      <c r="BP1330" s="9"/>
      <c r="BQ1330" s="9"/>
      <c r="BR1330" s="9"/>
      <c r="BS1330" s="9"/>
      <c r="BT1330" s="9"/>
      <c r="BU1330" s="9"/>
      <c r="BV1330" s="9"/>
      <c r="BW1330" s="9"/>
      <c r="BX1330" s="9"/>
      <c r="BY1330" s="9"/>
      <c r="BZ1330" s="9"/>
      <c r="CA1330" s="9"/>
      <c r="CB1330" s="9"/>
      <c r="CC1330" s="9"/>
      <c r="CD1330" s="9"/>
      <c r="CE1330" s="9"/>
      <c r="CF1330" s="9"/>
      <c r="CG1330" s="9"/>
    </row>
    <row r="1331" spans="1:85" x14ac:dyDescent="0.3">
      <c r="A1331" s="9">
        <f t="shared" si="100"/>
        <v>1330</v>
      </c>
      <c r="B1331" s="9" t="str">
        <f t="shared" si="101"/>
        <v/>
      </c>
      <c r="C1331" s="9"/>
      <c r="D1331" s="9"/>
      <c r="E1331" s="9">
        <f t="shared" si="102"/>
        <v>0</v>
      </c>
      <c r="F1331" s="9"/>
      <c r="G1331" s="9"/>
      <c r="H1331" s="9"/>
      <c r="I1331" s="9"/>
      <c r="J1331" s="9"/>
      <c r="K1331" s="9"/>
      <c r="L1331" s="9"/>
      <c r="M1331" s="9"/>
      <c r="N1331" s="9" t="str">
        <f t="shared" si="103"/>
        <v>NO</v>
      </c>
      <c r="O1331" s="9" t="str">
        <f t="shared" si="104"/>
        <v>🟡</v>
      </c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9"/>
      <c r="AO1331" s="9"/>
      <c r="AP1331" s="9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  <c r="BA1331" s="9"/>
      <c r="BB1331" s="9"/>
      <c r="BC1331" s="9"/>
      <c r="BD1331" s="9"/>
      <c r="BE1331" s="9"/>
      <c r="BF1331" s="9"/>
      <c r="BG1331" s="9"/>
      <c r="BH1331" s="9"/>
      <c r="BI1331" s="9"/>
      <c r="BJ1331" s="9"/>
      <c r="BK1331" s="9"/>
      <c r="BL1331" s="9"/>
      <c r="BM1331" s="9"/>
      <c r="BN1331" s="9"/>
      <c r="BO1331" s="9"/>
      <c r="BP1331" s="9"/>
      <c r="BQ1331" s="9"/>
      <c r="BR1331" s="9"/>
      <c r="BS1331" s="9"/>
      <c r="BT1331" s="9"/>
      <c r="BU1331" s="9"/>
      <c r="BV1331" s="9"/>
      <c r="BW1331" s="9"/>
      <c r="BX1331" s="9"/>
      <c r="BY1331" s="9"/>
      <c r="BZ1331" s="9"/>
      <c r="CA1331" s="9"/>
      <c r="CB1331" s="9"/>
      <c r="CC1331" s="9"/>
      <c r="CD1331" s="9"/>
      <c r="CE1331" s="9"/>
      <c r="CF1331" s="9"/>
      <c r="CG1331" s="9"/>
    </row>
    <row r="1332" spans="1:85" x14ac:dyDescent="0.3">
      <c r="A1332" s="9">
        <f t="shared" si="100"/>
        <v>1331</v>
      </c>
      <c r="B1332" s="9" t="str">
        <f t="shared" si="101"/>
        <v/>
      </c>
      <c r="C1332" s="9"/>
      <c r="D1332" s="9"/>
      <c r="E1332" s="9">
        <f t="shared" si="102"/>
        <v>0</v>
      </c>
      <c r="F1332" s="9"/>
      <c r="G1332" s="9"/>
      <c r="H1332" s="9"/>
      <c r="I1332" s="9"/>
      <c r="J1332" s="9"/>
      <c r="K1332" s="9"/>
      <c r="L1332" s="9"/>
      <c r="M1332" s="9"/>
      <c r="N1332" s="9" t="str">
        <f t="shared" si="103"/>
        <v>NO</v>
      </c>
      <c r="O1332" s="9" t="str">
        <f t="shared" si="104"/>
        <v>🟡</v>
      </c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  <c r="AN1332" s="9"/>
      <c r="AO1332" s="9"/>
      <c r="AP1332" s="9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  <c r="BA1332" s="9"/>
      <c r="BB1332" s="9"/>
      <c r="BC1332" s="9"/>
      <c r="BD1332" s="9"/>
      <c r="BE1332" s="9"/>
      <c r="BF1332" s="9"/>
      <c r="BG1332" s="9"/>
      <c r="BH1332" s="9"/>
      <c r="BI1332" s="9"/>
      <c r="BJ1332" s="9"/>
      <c r="BK1332" s="9"/>
      <c r="BL1332" s="9"/>
      <c r="BM1332" s="9"/>
      <c r="BN1332" s="9"/>
      <c r="BO1332" s="9"/>
      <c r="BP1332" s="9"/>
      <c r="BQ1332" s="9"/>
      <c r="BR1332" s="9"/>
      <c r="BS1332" s="9"/>
      <c r="BT1332" s="9"/>
      <c r="BU1332" s="9"/>
      <c r="BV1332" s="9"/>
      <c r="BW1332" s="9"/>
      <c r="BX1332" s="9"/>
      <c r="BY1332" s="9"/>
      <c r="BZ1332" s="9"/>
      <c r="CA1332" s="9"/>
      <c r="CB1332" s="9"/>
      <c r="CC1332" s="9"/>
      <c r="CD1332" s="9"/>
      <c r="CE1332" s="9"/>
      <c r="CF1332" s="9"/>
      <c r="CG1332" s="9"/>
    </row>
    <row r="1333" spans="1:85" x14ac:dyDescent="0.3">
      <c r="A1333" s="9">
        <f t="shared" si="100"/>
        <v>1332</v>
      </c>
      <c r="B1333" s="9" t="str">
        <f t="shared" si="101"/>
        <v/>
      </c>
      <c r="C1333" s="9"/>
      <c r="D1333" s="9"/>
      <c r="E1333" s="9">
        <f t="shared" si="102"/>
        <v>0</v>
      </c>
      <c r="F1333" s="9"/>
      <c r="G1333" s="9"/>
      <c r="H1333" s="9"/>
      <c r="I1333" s="9"/>
      <c r="J1333" s="9"/>
      <c r="K1333" s="9"/>
      <c r="L1333" s="9"/>
      <c r="M1333" s="9"/>
      <c r="N1333" s="9" t="str">
        <f t="shared" si="103"/>
        <v>NO</v>
      </c>
      <c r="O1333" s="9" t="str">
        <f t="shared" si="104"/>
        <v>🟡</v>
      </c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9"/>
      <c r="AO1333" s="9"/>
      <c r="AP1333" s="9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  <c r="BA1333" s="9"/>
      <c r="BB1333" s="9"/>
      <c r="BC1333" s="9"/>
      <c r="BD1333" s="9"/>
      <c r="BE1333" s="9"/>
      <c r="BF1333" s="9"/>
      <c r="BG1333" s="9"/>
      <c r="BH1333" s="9"/>
      <c r="BI1333" s="9"/>
      <c r="BJ1333" s="9"/>
      <c r="BK1333" s="9"/>
      <c r="BL1333" s="9"/>
      <c r="BM1333" s="9"/>
      <c r="BN1333" s="9"/>
      <c r="BO1333" s="9"/>
      <c r="BP1333" s="9"/>
      <c r="BQ1333" s="9"/>
      <c r="BR1333" s="9"/>
      <c r="BS1333" s="9"/>
      <c r="BT1333" s="9"/>
      <c r="BU1333" s="9"/>
      <c r="BV1333" s="9"/>
      <c r="BW1333" s="9"/>
      <c r="BX1333" s="9"/>
      <c r="BY1333" s="9"/>
      <c r="BZ1333" s="9"/>
      <c r="CA1333" s="9"/>
      <c r="CB1333" s="9"/>
      <c r="CC1333" s="9"/>
      <c r="CD1333" s="9"/>
      <c r="CE1333" s="9"/>
      <c r="CF1333" s="9"/>
      <c r="CG1333" s="9"/>
    </row>
    <row r="1334" spans="1:85" x14ac:dyDescent="0.3">
      <c r="A1334" s="9">
        <f t="shared" si="100"/>
        <v>1333</v>
      </c>
      <c r="B1334" s="9" t="str">
        <f t="shared" si="101"/>
        <v/>
      </c>
      <c r="C1334" s="9"/>
      <c r="D1334" s="9"/>
      <c r="E1334" s="9">
        <f t="shared" si="102"/>
        <v>0</v>
      </c>
      <c r="F1334" s="9"/>
      <c r="G1334" s="9"/>
      <c r="H1334" s="9"/>
      <c r="I1334" s="9"/>
      <c r="J1334" s="9"/>
      <c r="K1334" s="9"/>
      <c r="L1334" s="9"/>
      <c r="M1334" s="9"/>
      <c r="N1334" s="9" t="str">
        <f t="shared" si="103"/>
        <v>NO</v>
      </c>
      <c r="O1334" s="9" t="str">
        <f t="shared" si="104"/>
        <v>🟡</v>
      </c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9"/>
      <c r="AO1334" s="9"/>
      <c r="AP1334" s="9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  <c r="BA1334" s="9"/>
      <c r="BB1334" s="9"/>
      <c r="BC1334" s="9"/>
      <c r="BD1334" s="9"/>
      <c r="BE1334" s="9"/>
      <c r="BF1334" s="9"/>
      <c r="BG1334" s="9"/>
      <c r="BH1334" s="9"/>
      <c r="BI1334" s="9"/>
      <c r="BJ1334" s="9"/>
      <c r="BK1334" s="9"/>
      <c r="BL1334" s="9"/>
      <c r="BM1334" s="9"/>
      <c r="BN1334" s="9"/>
      <c r="BO1334" s="9"/>
      <c r="BP1334" s="9"/>
      <c r="BQ1334" s="9"/>
      <c r="BR1334" s="9"/>
      <c r="BS1334" s="9"/>
      <c r="BT1334" s="9"/>
      <c r="BU1334" s="9"/>
      <c r="BV1334" s="9"/>
      <c r="BW1334" s="9"/>
      <c r="BX1334" s="9"/>
      <c r="BY1334" s="9"/>
      <c r="BZ1334" s="9"/>
      <c r="CA1334" s="9"/>
      <c r="CB1334" s="9"/>
      <c r="CC1334" s="9"/>
      <c r="CD1334" s="9"/>
      <c r="CE1334" s="9"/>
      <c r="CF1334" s="9"/>
      <c r="CG1334" s="9"/>
    </row>
    <row r="1335" spans="1:85" x14ac:dyDescent="0.3">
      <c r="A1335" s="9">
        <f t="shared" si="100"/>
        <v>1334</v>
      </c>
      <c r="B1335" s="9" t="str">
        <f t="shared" si="101"/>
        <v/>
      </c>
      <c r="C1335" s="9"/>
      <c r="D1335" s="9"/>
      <c r="E1335" s="9">
        <f t="shared" si="102"/>
        <v>0</v>
      </c>
      <c r="F1335" s="9"/>
      <c r="G1335" s="9"/>
      <c r="H1335" s="9"/>
      <c r="I1335" s="9"/>
      <c r="J1335" s="9"/>
      <c r="K1335" s="9"/>
      <c r="L1335" s="9"/>
      <c r="M1335" s="9"/>
      <c r="N1335" s="9" t="str">
        <f t="shared" si="103"/>
        <v>NO</v>
      </c>
      <c r="O1335" s="9" t="str">
        <f t="shared" si="104"/>
        <v>🟡</v>
      </c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9"/>
      <c r="AO1335" s="9"/>
      <c r="AP1335" s="9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  <c r="BA1335" s="9"/>
      <c r="BB1335" s="9"/>
      <c r="BC1335" s="9"/>
      <c r="BD1335" s="9"/>
      <c r="BE1335" s="9"/>
      <c r="BF1335" s="9"/>
      <c r="BG1335" s="9"/>
      <c r="BH1335" s="9"/>
      <c r="BI1335" s="9"/>
      <c r="BJ1335" s="9"/>
      <c r="BK1335" s="9"/>
      <c r="BL1335" s="9"/>
      <c r="BM1335" s="9"/>
      <c r="BN1335" s="9"/>
      <c r="BO1335" s="9"/>
      <c r="BP1335" s="9"/>
      <c r="BQ1335" s="9"/>
      <c r="BR1335" s="9"/>
      <c r="BS1335" s="9"/>
      <c r="BT1335" s="9"/>
      <c r="BU1335" s="9"/>
      <c r="BV1335" s="9"/>
      <c r="BW1335" s="9"/>
      <c r="BX1335" s="9"/>
      <c r="BY1335" s="9"/>
      <c r="BZ1335" s="9"/>
      <c r="CA1335" s="9"/>
      <c r="CB1335" s="9"/>
      <c r="CC1335" s="9"/>
      <c r="CD1335" s="9"/>
      <c r="CE1335" s="9"/>
      <c r="CF1335" s="9"/>
      <c r="CG1335" s="9"/>
    </row>
    <row r="1336" spans="1:85" x14ac:dyDescent="0.3">
      <c r="A1336" s="9">
        <f t="shared" si="100"/>
        <v>1335</v>
      </c>
      <c r="B1336" s="9" t="str">
        <f t="shared" si="101"/>
        <v/>
      </c>
      <c r="C1336" s="9"/>
      <c r="D1336" s="9"/>
      <c r="E1336" s="9">
        <f t="shared" si="102"/>
        <v>0</v>
      </c>
      <c r="F1336" s="9"/>
      <c r="G1336" s="9"/>
      <c r="H1336" s="9"/>
      <c r="I1336" s="9"/>
      <c r="J1336" s="9"/>
      <c r="K1336" s="9"/>
      <c r="L1336" s="9"/>
      <c r="M1336" s="9"/>
      <c r="N1336" s="9" t="str">
        <f t="shared" si="103"/>
        <v>NO</v>
      </c>
      <c r="O1336" s="9" t="str">
        <f t="shared" si="104"/>
        <v>🟡</v>
      </c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  <c r="AN1336" s="9"/>
      <c r="AO1336" s="9"/>
      <c r="AP1336" s="9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  <c r="BA1336" s="9"/>
      <c r="BB1336" s="9"/>
      <c r="BC1336" s="9"/>
      <c r="BD1336" s="9"/>
      <c r="BE1336" s="9"/>
      <c r="BF1336" s="9"/>
      <c r="BG1336" s="9"/>
      <c r="BH1336" s="9"/>
      <c r="BI1336" s="9"/>
      <c r="BJ1336" s="9"/>
      <c r="BK1336" s="9"/>
      <c r="BL1336" s="9"/>
      <c r="BM1336" s="9"/>
      <c r="BN1336" s="9"/>
      <c r="BO1336" s="9"/>
      <c r="BP1336" s="9"/>
      <c r="BQ1336" s="9"/>
      <c r="BR1336" s="9"/>
      <c r="BS1336" s="9"/>
      <c r="BT1336" s="9"/>
      <c r="BU1336" s="9"/>
      <c r="BV1336" s="9"/>
      <c r="BW1336" s="9"/>
      <c r="BX1336" s="9"/>
      <c r="BY1336" s="9"/>
      <c r="BZ1336" s="9"/>
      <c r="CA1336" s="9"/>
      <c r="CB1336" s="9"/>
      <c r="CC1336" s="9"/>
      <c r="CD1336" s="9"/>
      <c r="CE1336" s="9"/>
      <c r="CF1336" s="9"/>
      <c r="CG1336" s="9"/>
    </row>
    <row r="1337" spans="1:85" x14ac:dyDescent="0.3">
      <c r="A1337" s="9">
        <f t="shared" si="100"/>
        <v>1336</v>
      </c>
      <c r="B1337" s="9" t="str">
        <f t="shared" si="101"/>
        <v/>
      </c>
      <c r="C1337" s="9"/>
      <c r="D1337" s="9"/>
      <c r="E1337" s="9">
        <f t="shared" si="102"/>
        <v>0</v>
      </c>
      <c r="F1337" s="9"/>
      <c r="G1337" s="9"/>
      <c r="H1337" s="9"/>
      <c r="I1337" s="9"/>
      <c r="J1337" s="9"/>
      <c r="K1337" s="9"/>
      <c r="L1337" s="9"/>
      <c r="M1337" s="9"/>
      <c r="N1337" s="9" t="str">
        <f t="shared" si="103"/>
        <v>NO</v>
      </c>
      <c r="O1337" s="9" t="str">
        <f t="shared" si="104"/>
        <v>🟡</v>
      </c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9"/>
      <c r="AO1337" s="9"/>
      <c r="AP1337" s="9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  <c r="BA1337" s="9"/>
      <c r="BB1337" s="9"/>
      <c r="BC1337" s="9"/>
      <c r="BD1337" s="9"/>
      <c r="BE1337" s="9"/>
      <c r="BF1337" s="9"/>
      <c r="BG1337" s="9"/>
      <c r="BH1337" s="9"/>
      <c r="BI1337" s="9"/>
      <c r="BJ1337" s="9"/>
      <c r="BK1337" s="9"/>
      <c r="BL1337" s="9"/>
      <c r="BM1337" s="9"/>
      <c r="BN1337" s="9"/>
      <c r="BO1337" s="9"/>
      <c r="BP1337" s="9"/>
      <c r="BQ1337" s="9"/>
      <c r="BR1337" s="9"/>
      <c r="BS1337" s="9"/>
      <c r="BT1337" s="9"/>
      <c r="BU1337" s="9"/>
      <c r="BV1337" s="9"/>
      <c r="BW1337" s="9"/>
      <c r="BX1337" s="9"/>
      <c r="BY1337" s="9"/>
      <c r="BZ1337" s="9"/>
      <c r="CA1337" s="9"/>
      <c r="CB1337" s="9"/>
      <c r="CC1337" s="9"/>
      <c r="CD1337" s="9"/>
      <c r="CE1337" s="9"/>
      <c r="CF1337" s="9"/>
      <c r="CG1337" s="9"/>
    </row>
    <row r="1338" spans="1:85" x14ac:dyDescent="0.3">
      <c r="A1338" s="9">
        <f t="shared" si="100"/>
        <v>1337</v>
      </c>
      <c r="B1338" s="9" t="str">
        <f t="shared" si="101"/>
        <v/>
      </c>
      <c r="C1338" s="9"/>
      <c r="D1338" s="9"/>
      <c r="E1338" s="9">
        <f t="shared" si="102"/>
        <v>0</v>
      </c>
      <c r="F1338" s="9"/>
      <c r="G1338" s="9"/>
      <c r="H1338" s="9"/>
      <c r="I1338" s="9"/>
      <c r="J1338" s="9"/>
      <c r="K1338" s="9"/>
      <c r="L1338" s="9"/>
      <c r="M1338" s="9"/>
      <c r="N1338" s="9" t="str">
        <f t="shared" si="103"/>
        <v>NO</v>
      </c>
      <c r="O1338" s="9" t="str">
        <f t="shared" si="104"/>
        <v>🟡</v>
      </c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  <c r="AN1338" s="9"/>
      <c r="AO1338" s="9"/>
      <c r="AP1338" s="9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  <c r="BA1338" s="9"/>
      <c r="BB1338" s="9"/>
      <c r="BC1338" s="9"/>
      <c r="BD1338" s="9"/>
      <c r="BE1338" s="9"/>
      <c r="BF1338" s="9"/>
      <c r="BG1338" s="9"/>
      <c r="BH1338" s="9"/>
      <c r="BI1338" s="9"/>
      <c r="BJ1338" s="9"/>
      <c r="BK1338" s="9"/>
      <c r="BL1338" s="9"/>
      <c r="BM1338" s="9"/>
      <c r="BN1338" s="9"/>
      <c r="BO1338" s="9"/>
      <c r="BP1338" s="9"/>
      <c r="BQ1338" s="9"/>
      <c r="BR1338" s="9"/>
      <c r="BS1338" s="9"/>
      <c r="BT1338" s="9"/>
      <c r="BU1338" s="9"/>
      <c r="BV1338" s="9"/>
      <c r="BW1338" s="9"/>
      <c r="BX1338" s="9"/>
      <c r="BY1338" s="9"/>
      <c r="BZ1338" s="9"/>
      <c r="CA1338" s="9"/>
      <c r="CB1338" s="9"/>
      <c r="CC1338" s="9"/>
      <c r="CD1338" s="9"/>
      <c r="CE1338" s="9"/>
      <c r="CF1338" s="9"/>
      <c r="CG1338" s="9"/>
    </row>
    <row r="1339" spans="1:85" x14ac:dyDescent="0.3">
      <c r="A1339" s="9">
        <f t="shared" si="100"/>
        <v>1338</v>
      </c>
      <c r="B1339" s="9" t="str">
        <f t="shared" si="101"/>
        <v/>
      </c>
      <c r="C1339" s="9"/>
      <c r="D1339" s="9"/>
      <c r="E1339" s="9">
        <f t="shared" si="102"/>
        <v>0</v>
      </c>
      <c r="F1339" s="9"/>
      <c r="G1339" s="9"/>
      <c r="H1339" s="9"/>
      <c r="I1339" s="9"/>
      <c r="J1339" s="9"/>
      <c r="K1339" s="9"/>
      <c r="L1339" s="9"/>
      <c r="M1339" s="9"/>
      <c r="N1339" s="9" t="str">
        <f t="shared" si="103"/>
        <v>NO</v>
      </c>
      <c r="O1339" s="9" t="str">
        <f t="shared" si="104"/>
        <v>🟡</v>
      </c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9"/>
      <c r="AO1339" s="9"/>
      <c r="AP1339" s="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  <c r="BA1339" s="9"/>
      <c r="BB1339" s="9"/>
      <c r="BC1339" s="9"/>
      <c r="BD1339" s="9"/>
      <c r="BE1339" s="9"/>
      <c r="BF1339" s="9"/>
      <c r="BG1339" s="9"/>
      <c r="BH1339" s="9"/>
      <c r="BI1339" s="9"/>
      <c r="BJ1339" s="9"/>
      <c r="BK1339" s="9"/>
      <c r="BL1339" s="9"/>
      <c r="BM1339" s="9"/>
      <c r="BN1339" s="9"/>
      <c r="BO1339" s="9"/>
      <c r="BP1339" s="9"/>
      <c r="BQ1339" s="9"/>
      <c r="BR1339" s="9"/>
      <c r="BS1339" s="9"/>
      <c r="BT1339" s="9"/>
      <c r="BU1339" s="9"/>
      <c r="BV1339" s="9"/>
      <c r="BW1339" s="9"/>
      <c r="BX1339" s="9"/>
      <c r="BY1339" s="9"/>
      <c r="BZ1339" s="9"/>
      <c r="CA1339" s="9"/>
      <c r="CB1339" s="9"/>
      <c r="CC1339" s="9"/>
      <c r="CD1339" s="9"/>
      <c r="CE1339" s="9"/>
      <c r="CF1339" s="9"/>
      <c r="CG1339" s="9"/>
    </row>
    <row r="1340" spans="1:85" x14ac:dyDescent="0.3">
      <c r="A1340" s="9">
        <f t="shared" si="100"/>
        <v>1339</v>
      </c>
      <c r="B1340" s="9" t="str">
        <f t="shared" si="101"/>
        <v/>
      </c>
      <c r="C1340" s="9"/>
      <c r="D1340" s="9"/>
      <c r="E1340" s="9">
        <f t="shared" si="102"/>
        <v>0</v>
      </c>
      <c r="F1340" s="9"/>
      <c r="G1340" s="9"/>
      <c r="H1340" s="9"/>
      <c r="I1340" s="9"/>
      <c r="J1340" s="9"/>
      <c r="K1340" s="9"/>
      <c r="L1340" s="9"/>
      <c r="M1340" s="9"/>
      <c r="N1340" s="9" t="str">
        <f t="shared" si="103"/>
        <v>NO</v>
      </c>
      <c r="O1340" s="9" t="str">
        <f t="shared" si="104"/>
        <v>🟡</v>
      </c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  <c r="AN1340" s="9"/>
      <c r="AO1340" s="9"/>
      <c r="AP1340" s="9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  <c r="BA1340" s="9"/>
      <c r="BB1340" s="9"/>
      <c r="BC1340" s="9"/>
      <c r="BD1340" s="9"/>
      <c r="BE1340" s="9"/>
      <c r="BF1340" s="9"/>
      <c r="BG1340" s="9"/>
      <c r="BH1340" s="9"/>
      <c r="BI1340" s="9"/>
      <c r="BJ1340" s="9"/>
      <c r="BK1340" s="9"/>
      <c r="BL1340" s="9"/>
      <c r="BM1340" s="9"/>
      <c r="BN1340" s="9"/>
      <c r="BO1340" s="9"/>
      <c r="BP1340" s="9"/>
      <c r="BQ1340" s="9"/>
      <c r="BR1340" s="9"/>
      <c r="BS1340" s="9"/>
      <c r="BT1340" s="9"/>
      <c r="BU1340" s="9"/>
      <c r="BV1340" s="9"/>
      <c r="BW1340" s="9"/>
      <c r="BX1340" s="9"/>
      <c r="BY1340" s="9"/>
      <c r="BZ1340" s="9"/>
      <c r="CA1340" s="9"/>
      <c r="CB1340" s="9"/>
      <c r="CC1340" s="9"/>
      <c r="CD1340" s="9"/>
      <c r="CE1340" s="9"/>
      <c r="CF1340" s="9"/>
      <c r="CG1340" s="9"/>
    </row>
    <row r="1341" spans="1:85" x14ac:dyDescent="0.3">
      <c r="A1341" s="9">
        <f t="shared" si="100"/>
        <v>1340</v>
      </c>
      <c r="B1341" s="9" t="str">
        <f t="shared" si="101"/>
        <v/>
      </c>
      <c r="C1341" s="9"/>
      <c r="D1341" s="9"/>
      <c r="E1341" s="9">
        <f t="shared" si="102"/>
        <v>0</v>
      </c>
      <c r="F1341" s="9"/>
      <c r="G1341" s="9"/>
      <c r="H1341" s="9"/>
      <c r="I1341" s="9"/>
      <c r="J1341" s="9"/>
      <c r="K1341" s="9"/>
      <c r="L1341" s="9"/>
      <c r="M1341" s="9"/>
      <c r="N1341" s="9" t="str">
        <f t="shared" si="103"/>
        <v>NO</v>
      </c>
      <c r="O1341" s="9" t="str">
        <f t="shared" si="104"/>
        <v>🟡</v>
      </c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9"/>
      <c r="AO1341" s="9"/>
      <c r="AP1341" s="9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  <c r="BA1341" s="9"/>
      <c r="BB1341" s="9"/>
      <c r="BC1341" s="9"/>
      <c r="BD1341" s="9"/>
      <c r="BE1341" s="9"/>
      <c r="BF1341" s="9"/>
      <c r="BG1341" s="9"/>
      <c r="BH1341" s="9"/>
      <c r="BI1341" s="9"/>
      <c r="BJ1341" s="9"/>
      <c r="BK1341" s="9"/>
      <c r="BL1341" s="9"/>
      <c r="BM1341" s="9"/>
      <c r="BN1341" s="9"/>
      <c r="BO1341" s="9"/>
      <c r="BP1341" s="9"/>
      <c r="BQ1341" s="9"/>
      <c r="BR1341" s="9"/>
      <c r="BS1341" s="9"/>
      <c r="BT1341" s="9"/>
      <c r="BU1341" s="9"/>
      <c r="BV1341" s="9"/>
      <c r="BW1341" s="9"/>
      <c r="BX1341" s="9"/>
      <c r="BY1341" s="9"/>
      <c r="BZ1341" s="9"/>
      <c r="CA1341" s="9"/>
      <c r="CB1341" s="9"/>
      <c r="CC1341" s="9"/>
      <c r="CD1341" s="9"/>
      <c r="CE1341" s="9"/>
      <c r="CF1341" s="9"/>
      <c r="CG1341" s="9"/>
    </row>
    <row r="1342" spans="1:85" x14ac:dyDescent="0.3">
      <c r="A1342" s="9">
        <f t="shared" si="100"/>
        <v>1341</v>
      </c>
      <c r="B1342" s="9" t="str">
        <f t="shared" si="101"/>
        <v/>
      </c>
      <c r="C1342" s="9"/>
      <c r="D1342" s="9"/>
      <c r="E1342" s="9">
        <f t="shared" si="102"/>
        <v>0</v>
      </c>
      <c r="F1342" s="9"/>
      <c r="G1342" s="9"/>
      <c r="H1342" s="9"/>
      <c r="I1342" s="9"/>
      <c r="J1342" s="9"/>
      <c r="K1342" s="9"/>
      <c r="L1342" s="9"/>
      <c r="M1342" s="9"/>
      <c r="N1342" s="9" t="str">
        <f t="shared" si="103"/>
        <v>NO</v>
      </c>
      <c r="O1342" s="9" t="str">
        <f t="shared" si="104"/>
        <v>🟡</v>
      </c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  <c r="AN1342" s="9"/>
      <c r="AO1342" s="9"/>
      <c r="AP1342" s="9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  <c r="BA1342" s="9"/>
      <c r="BB1342" s="9"/>
      <c r="BC1342" s="9"/>
      <c r="BD1342" s="9"/>
      <c r="BE1342" s="9"/>
      <c r="BF1342" s="9"/>
      <c r="BG1342" s="9"/>
      <c r="BH1342" s="9"/>
      <c r="BI1342" s="9"/>
      <c r="BJ1342" s="9"/>
      <c r="BK1342" s="9"/>
      <c r="BL1342" s="9"/>
      <c r="BM1342" s="9"/>
      <c r="BN1342" s="9"/>
      <c r="BO1342" s="9"/>
      <c r="BP1342" s="9"/>
      <c r="BQ1342" s="9"/>
      <c r="BR1342" s="9"/>
      <c r="BS1342" s="9"/>
      <c r="BT1342" s="9"/>
      <c r="BU1342" s="9"/>
      <c r="BV1342" s="9"/>
      <c r="BW1342" s="9"/>
      <c r="BX1342" s="9"/>
      <c r="BY1342" s="9"/>
      <c r="BZ1342" s="9"/>
      <c r="CA1342" s="9"/>
      <c r="CB1342" s="9"/>
      <c r="CC1342" s="9"/>
      <c r="CD1342" s="9"/>
      <c r="CE1342" s="9"/>
      <c r="CF1342" s="9"/>
      <c r="CG1342" s="9"/>
    </row>
    <row r="1343" spans="1:85" x14ac:dyDescent="0.3">
      <c r="A1343" s="9">
        <f t="shared" si="100"/>
        <v>1342</v>
      </c>
      <c r="B1343" s="9" t="str">
        <f t="shared" si="101"/>
        <v/>
      </c>
      <c r="C1343" s="9"/>
      <c r="D1343" s="9"/>
      <c r="E1343" s="9">
        <f t="shared" si="102"/>
        <v>0</v>
      </c>
      <c r="F1343" s="9"/>
      <c r="G1343" s="9"/>
      <c r="H1343" s="9"/>
      <c r="I1343" s="9"/>
      <c r="J1343" s="9"/>
      <c r="K1343" s="9"/>
      <c r="L1343" s="9"/>
      <c r="M1343" s="9"/>
      <c r="N1343" s="9" t="str">
        <f t="shared" si="103"/>
        <v>NO</v>
      </c>
      <c r="O1343" s="9" t="str">
        <f t="shared" si="104"/>
        <v>🟡</v>
      </c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  <c r="AN1343" s="9"/>
      <c r="AO1343" s="9"/>
      <c r="AP1343" s="9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  <c r="BA1343" s="9"/>
      <c r="BB1343" s="9"/>
      <c r="BC1343" s="9"/>
      <c r="BD1343" s="9"/>
      <c r="BE1343" s="9"/>
      <c r="BF1343" s="9"/>
      <c r="BG1343" s="9"/>
      <c r="BH1343" s="9"/>
      <c r="BI1343" s="9"/>
      <c r="BJ1343" s="9"/>
      <c r="BK1343" s="9"/>
      <c r="BL1343" s="9"/>
      <c r="BM1343" s="9"/>
      <c r="BN1343" s="9"/>
      <c r="BO1343" s="9"/>
      <c r="BP1343" s="9"/>
      <c r="BQ1343" s="9"/>
      <c r="BR1343" s="9"/>
      <c r="BS1343" s="9"/>
      <c r="BT1343" s="9"/>
      <c r="BU1343" s="9"/>
      <c r="BV1343" s="9"/>
      <c r="BW1343" s="9"/>
      <c r="BX1343" s="9"/>
      <c r="BY1343" s="9"/>
      <c r="BZ1343" s="9"/>
      <c r="CA1343" s="9"/>
      <c r="CB1343" s="9"/>
      <c r="CC1343" s="9"/>
      <c r="CD1343" s="9"/>
      <c r="CE1343" s="9"/>
      <c r="CF1343" s="9"/>
      <c r="CG1343" s="9"/>
    </row>
    <row r="1344" spans="1:85" x14ac:dyDescent="0.3">
      <c r="A1344" s="9">
        <f t="shared" si="100"/>
        <v>1343</v>
      </c>
      <c r="B1344" s="9" t="str">
        <f t="shared" si="101"/>
        <v/>
      </c>
      <c r="C1344" s="9"/>
      <c r="D1344" s="9"/>
      <c r="E1344" s="9">
        <f t="shared" si="102"/>
        <v>0</v>
      </c>
      <c r="F1344" s="9"/>
      <c r="G1344" s="9"/>
      <c r="H1344" s="9"/>
      <c r="I1344" s="9"/>
      <c r="J1344" s="9"/>
      <c r="K1344" s="9"/>
      <c r="L1344" s="9"/>
      <c r="M1344" s="9"/>
      <c r="N1344" s="9" t="str">
        <f t="shared" si="103"/>
        <v>NO</v>
      </c>
      <c r="O1344" s="9" t="str">
        <f t="shared" si="104"/>
        <v>🟡</v>
      </c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9"/>
      <c r="AO1344" s="9"/>
      <c r="AP1344" s="9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  <c r="BA1344" s="9"/>
      <c r="BB1344" s="9"/>
      <c r="BC1344" s="9"/>
      <c r="BD1344" s="9"/>
      <c r="BE1344" s="9"/>
      <c r="BF1344" s="9"/>
      <c r="BG1344" s="9"/>
      <c r="BH1344" s="9"/>
      <c r="BI1344" s="9"/>
      <c r="BJ1344" s="9"/>
      <c r="BK1344" s="9"/>
      <c r="BL1344" s="9"/>
      <c r="BM1344" s="9"/>
      <c r="BN1344" s="9"/>
      <c r="BO1344" s="9"/>
      <c r="BP1344" s="9"/>
      <c r="BQ1344" s="9"/>
      <c r="BR1344" s="9"/>
      <c r="BS1344" s="9"/>
      <c r="BT1344" s="9"/>
      <c r="BU1344" s="9"/>
      <c r="BV1344" s="9"/>
      <c r="BW1344" s="9"/>
      <c r="BX1344" s="9"/>
      <c r="BY1344" s="9"/>
      <c r="BZ1344" s="9"/>
      <c r="CA1344" s="9"/>
      <c r="CB1344" s="9"/>
      <c r="CC1344" s="9"/>
      <c r="CD1344" s="9"/>
      <c r="CE1344" s="9"/>
      <c r="CF1344" s="9"/>
      <c r="CG1344" s="9"/>
    </row>
    <row r="1345" spans="1:85" x14ac:dyDescent="0.3">
      <c r="A1345" s="9">
        <f t="shared" ref="A1345:A1402" si="105">IF(COUNTA(C1345:K1345)=0,"",ROW()-1)</f>
        <v>1344</v>
      </c>
      <c r="B1345" s="9" t="str">
        <f t="shared" ref="B1345:B1402" si="106">IF($F1345&lt;&gt;"",$A1345,"")</f>
        <v/>
      </c>
      <c r="C1345" s="9"/>
      <c r="D1345" s="9"/>
      <c r="E1345" s="9">
        <f t="shared" ref="E1345:E1402" si="107">IF(UPPER($J1345)="NO","",$M1345)</f>
        <v>0</v>
      </c>
      <c r="F1345" s="9"/>
      <c r="G1345" s="9"/>
      <c r="H1345" s="9"/>
      <c r="I1345" s="9"/>
      <c r="J1345" s="9"/>
      <c r="K1345" s="9"/>
      <c r="L1345" s="9"/>
      <c r="M1345" s="9"/>
      <c r="N1345" s="9" t="str">
        <f t="shared" ref="N1345:N1402" si="108">IF(AND(UPPER($M1345)="VIP",UPPER($J1345)="SI",$F1345&lt;&gt;""),"SI","NO")</f>
        <v>NO</v>
      </c>
      <c r="O1345" s="9" t="str">
        <f t="shared" ref="O1345:O1402" si="109">IF(UPPER($J1345)="SI","🟢",IF(UPPER($J1345)="NO","🔴","🟡"))</f>
        <v>🟡</v>
      </c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  <c r="AN1345" s="9"/>
      <c r="AO1345" s="9"/>
      <c r="AP1345" s="9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  <c r="BA1345" s="9"/>
      <c r="BB1345" s="9"/>
      <c r="BC1345" s="9"/>
      <c r="BD1345" s="9"/>
      <c r="BE1345" s="9"/>
      <c r="BF1345" s="9"/>
      <c r="BG1345" s="9"/>
      <c r="BH1345" s="9"/>
      <c r="BI1345" s="9"/>
      <c r="BJ1345" s="9"/>
      <c r="BK1345" s="9"/>
      <c r="BL1345" s="9"/>
      <c r="BM1345" s="9"/>
      <c r="BN1345" s="9"/>
      <c r="BO1345" s="9"/>
      <c r="BP1345" s="9"/>
      <c r="BQ1345" s="9"/>
      <c r="BR1345" s="9"/>
      <c r="BS1345" s="9"/>
      <c r="BT1345" s="9"/>
      <c r="BU1345" s="9"/>
      <c r="BV1345" s="9"/>
      <c r="BW1345" s="9"/>
      <c r="BX1345" s="9"/>
      <c r="BY1345" s="9"/>
      <c r="BZ1345" s="9"/>
      <c r="CA1345" s="9"/>
      <c r="CB1345" s="9"/>
      <c r="CC1345" s="9"/>
      <c r="CD1345" s="9"/>
      <c r="CE1345" s="9"/>
      <c r="CF1345" s="9"/>
      <c r="CG1345" s="9"/>
    </row>
    <row r="1346" spans="1:85" x14ac:dyDescent="0.3">
      <c r="A1346" s="9">
        <f t="shared" si="105"/>
        <v>1345</v>
      </c>
      <c r="B1346" s="9" t="str">
        <f t="shared" si="106"/>
        <v/>
      </c>
      <c r="C1346" s="9"/>
      <c r="D1346" s="9"/>
      <c r="E1346" s="9">
        <f t="shared" si="107"/>
        <v>0</v>
      </c>
      <c r="F1346" s="9"/>
      <c r="G1346" s="9"/>
      <c r="H1346" s="9"/>
      <c r="I1346" s="9"/>
      <c r="J1346" s="9"/>
      <c r="K1346" s="9"/>
      <c r="L1346" s="9"/>
      <c r="M1346" s="9"/>
      <c r="N1346" s="9" t="str">
        <f t="shared" si="108"/>
        <v>NO</v>
      </c>
      <c r="O1346" s="9" t="str">
        <f t="shared" si="109"/>
        <v>🟡</v>
      </c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9"/>
      <c r="BH1346" s="9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9"/>
      <c r="BT1346" s="9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9"/>
      <c r="CF1346" s="9"/>
      <c r="CG1346" s="9"/>
    </row>
    <row r="1347" spans="1:85" x14ac:dyDescent="0.3">
      <c r="A1347" s="9">
        <f t="shared" si="105"/>
        <v>1346</v>
      </c>
      <c r="B1347" s="9" t="str">
        <f t="shared" si="106"/>
        <v/>
      </c>
      <c r="C1347" s="9"/>
      <c r="D1347" s="9"/>
      <c r="E1347" s="9">
        <f t="shared" si="107"/>
        <v>0</v>
      </c>
      <c r="F1347" s="9"/>
      <c r="G1347" s="9"/>
      <c r="H1347" s="9"/>
      <c r="I1347" s="9"/>
      <c r="J1347" s="9"/>
      <c r="K1347" s="9"/>
      <c r="L1347" s="9"/>
      <c r="M1347" s="9"/>
      <c r="N1347" s="9" t="str">
        <f t="shared" si="108"/>
        <v>NO</v>
      </c>
      <c r="O1347" s="9" t="str">
        <f t="shared" si="109"/>
        <v>🟡</v>
      </c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  <c r="AN1347" s="9"/>
      <c r="AO1347" s="9"/>
      <c r="AP1347" s="9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  <c r="BA1347" s="9"/>
      <c r="BB1347" s="9"/>
      <c r="BC1347" s="9"/>
      <c r="BD1347" s="9"/>
      <c r="BE1347" s="9"/>
      <c r="BF1347" s="9"/>
      <c r="BG1347" s="9"/>
      <c r="BH1347" s="9"/>
      <c r="BI1347" s="9"/>
      <c r="BJ1347" s="9"/>
      <c r="BK1347" s="9"/>
      <c r="BL1347" s="9"/>
      <c r="BM1347" s="9"/>
      <c r="BN1347" s="9"/>
      <c r="BO1347" s="9"/>
      <c r="BP1347" s="9"/>
      <c r="BQ1347" s="9"/>
      <c r="BR1347" s="9"/>
      <c r="BS1347" s="9"/>
      <c r="BT1347" s="9"/>
      <c r="BU1347" s="9"/>
      <c r="BV1347" s="9"/>
      <c r="BW1347" s="9"/>
      <c r="BX1347" s="9"/>
      <c r="BY1347" s="9"/>
      <c r="BZ1347" s="9"/>
      <c r="CA1347" s="9"/>
      <c r="CB1347" s="9"/>
      <c r="CC1347" s="9"/>
      <c r="CD1347" s="9"/>
      <c r="CE1347" s="9"/>
      <c r="CF1347" s="9"/>
      <c r="CG1347" s="9"/>
    </row>
    <row r="1348" spans="1:85" x14ac:dyDescent="0.3">
      <c r="A1348" s="9">
        <f t="shared" si="105"/>
        <v>1347</v>
      </c>
      <c r="B1348" s="9" t="str">
        <f t="shared" si="106"/>
        <v/>
      </c>
      <c r="C1348" s="9"/>
      <c r="D1348" s="9"/>
      <c r="E1348" s="9">
        <f t="shared" si="107"/>
        <v>0</v>
      </c>
      <c r="F1348" s="9"/>
      <c r="G1348" s="9"/>
      <c r="H1348" s="9"/>
      <c r="I1348" s="9"/>
      <c r="J1348" s="9"/>
      <c r="K1348" s="9"/>
      <c r="L1348" s="9"/>
      <c r="M1348" s="9"/>
      <c r="N1348" s="9" t="str">
        <f t="shared" si="108"/>
        <v>NO</v>
      </c>
      <c r="O1348" s="9" t="str">
        <f t="shared" si="109"/>
        <v>🟡</v>
      </c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9"/>
      <c r="AO1348" s="9"/>
      <c r="AP1348" s="9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  <c r="BA1348" s="9"/>
      <c r="BB1348" s="9"/>
      <c r="BC1348" s="9"/>
      <c r="BD1348" s="9"/>
      <c r="BE1348" s="9"/>
      <c r="BF1348" s="9"/>
      <c r="BG1348" s="9"/>
      <c r="BH1348" s="9"/>
      <c r="BI1348" s="9"/>
      <c r="BJ1348" s="9"/>
      <c r="BK1348" s="9"/>
      <c r="BL1348" s="9"/>
      <c r="BM1348" s="9"/>
      <c r="BN1348" s="9"/>
      <c r="BO1348" s="9"/>
      <c r="BP1348" s="9"/>
      <c r="BQ1348" s="9"/>
      <c r="BR1348" s="9"/>
      <c r="BS1348" s="9"/>
      <c r="BT1348" s="9"/>
      <c r="BU1348" s="9"/>
      <c r="BV1348" s="9"/>
      <c r="BW1348" s="9"/>
      <c r="BX1348" s="9"/>
      <c r="BY1348" s="9"/>
      <c r="BZ1348" s="9"/>
      <c r="CA1348" s="9"/>
      <c r="CB1348" s="9"/>
      <c r="CC1348" s="9"/>
      <c r="CD1348" s="9"/>
      <c r="CE1348" s="9"/>
      <c r="CF1348" s="9"/>
      <c r="CG1348" s="9"/>
    </row>
    <row r="1349" spans="1:85" x14ac:dyDescent="0.3">
      <c r="A1349" s="9">
        <f t="shared" si="105"/>
        <v>1348</v>
      </c>
      <c r="B1349" s="9" t="str">
        <f t="shared" si="106"/>
        <v/>
      </c>
      <c r="C1349" s="9"/>
      <c r="D1349" s="9"/>
      <c r="E1349" s="9">
        <f t="shared" si="107"/>
        <v>0</v>
      </c>
      <c r="F1349" s="9"/>
      <c r="G1349" s="9"/>
      <c r="H1349" s="9"/>
      <c r="I1349" s="9"/>
      <c r="J1349" s="9"/>
      <c r="K1349" s="9"/>
      <c r="L1349" s="9"/>
      <c r="M1349" s="9"/>
      <c r="N1349" s="9" t="str">
        <f t="shared" si="108"/>
        <v>NO</v>
      </c>
      <c r="O1349" s="9" t="str">
        <f t="shared" si="109"/>
        <v>🟡</v>
      </c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  <c r="AN1349" s="9"/>
      <c r="AO1349" s="9"/>
      <c r="AP1349" s="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  <c r="BA1349" s="9"/>
      <c r="BB1349" s="9"/>
      <c r="BC1349" s="9"/>
      <c r="BD1349" s="9"/>
      <c r="BE1349" s="9"/>
      <c r="BF1349" s="9"/>
      <c r="BG1349" s="9"/>
      <c r="BH1349" s="9"/>
      <c r="BI1349" s="9"/>
      <c r="BJ1349" s="9"/>
      <c r="BK1349" s="9"/>
      <c r="BL1349" s="9"/>
      <c r="BM1349" s="9"/>
      <c r="BN1349" s="9"/>
      <c r="BO1349" s="9"/>
      <c r="BP1349" s="9"/>
      <c r="BQ1349" s="9"/>
      <c r="BR1349" s="9"/>
      <c r="BS1349" s="9"/>
      <c r="BT1349" s="9"/>
      <c r="BU1349" s="9"/>
      <c r="BV1349" s="9"/>
      <c r="BW1349" s="9"/>
      <c r="BX1349" s="9"/>
      <c r="BY1349" s="9"/>
      <c r="BZ1349" s="9"/>
      <c r="CA1349" s="9"/>
      <c r="CB1349" s="9"/>
      <c r="CC1349" s="9"/>
      <c r="CD1349" s="9"/>
      <c r="CE1349" s="9"/>
      <c r="CF1349" s="9"/>
      <c r="CG1349" s="9"/>
    </row>
    <row r="1350" spans="1:85" x14ac:dyDescent="0.3">
      <c r="A1350" s="9">
        <f t="shared" si="105"/>
        <v>1349</v>
      </c>
      <c r="B1350" s="9" t="str">
        <f t="shared" si="106"/>
        <v/>
      </c>
      <c r="C1350" s="9"/>
      <c r="D1350" s="9"/>
      <c r="E1350" s="9">
        <f t="shared" si="107"/>
        <v>0</v>
      </c>
      <c r="F1350" s="9"/>
      <c r="G1350" s="9"/>
      <c r="H1350" s="9"/>
      <c r="I1350" s="9"/>
      <c r="J1350" s="9"/>
      <c r="K1350" s="9"/>
      <c r="L1350" s="9"/>
      <c r="M1350" s="9"/>
      <c r="N1350" s="9" t="str">
        <f t="shared" si="108"/>
        <v>NO</v>
      </c>
      <c r="O1350" s="9" t="str">
        <f t="shared" si="109"/>
        <v>🟡</v>
      </c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  <c r="AN1350" s="9"/>
      <c r="AO1350" s="9"/>
      <c r="AP1350" s="9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  <c r="BA1350" s="9"/>
      <c r="BB1350" s="9"/>
      <c r="BC1350" s="9"/>
      <c r="BD1350" s="9"/>
      <c r="BE1350" s="9"/>
      <c r="BF1350" s="9"/>
      <c r="BG1350" s="9"/>
      <c r="BH1350" s="9"/>
      <c r="BI1350" s="9"/>
      <c r="BJ1350" s="9"/>
      <c r="BK1350" s="9"/>
      <c r="BL1350" s="9"/>
      <c r="BM1350" s="9"/>
      <c r="BN1350" s="9"/>
      <c r="BO1350" s="9"/>
      <c r="BP1350" s="9"/>
      <c r="BQ1350" s="9"/>
      <c r="BR1350" s="9"/>
      <c r="BS1350" s="9"/>
      <c r="BT1350" s="9"/>
      <c r="BU1350" s="9"/>
      <c r="BV1350" s="9"/>
      <c r="BW1350" s="9"/>
      <c r="BX1350" s="9"/>
      <c r="BY1350" s="9"/>
      <c r="BZ1350" s="9"/>
      <c r="CA1350" s="9"/>
      <c r="CB1350" s="9"/>
      <c r="CC1350" s="9"/>
      <c r="CD1350" s="9"/>
      <c r="CE1350" s="9"/>
      <c r="CF1350" s="9"/>
      <c r="CG1350" s="9"/>
    </row>
    <row r="1351" spans="1:85" x14ac:dyDescent="0.3">
      <c r="A1351" s="9">
        <f t="shared" si="105"/>
        <v>1350</v>
      </c>
      <c r="B1351" s="9" t="str">
        <f t="shared" si="106"/>
        <v/>
      </c>
      <c r="C1351" s="9"/>
      <c r="D1351" s="9"/>
      <c r="E1351" s="9">
        <f t="shared" si="107"/>
        <v>0</v>
      </c>
      <c r="F1351" s="9"/>
      <c r="G1351" s="9"/>
      <c r="H1351" s="9"/>
      <c r="I1351" s="9"/>
      <c r="J1351" s="9"/>
      <c r="K1351" s="9"/>
      <c r="L1351" s="9"/>
      <c r="M1351" s="9"/>
      <c r="N1351" s="9" t="str">
        <f t="shared" si="108"/>
        <v>NO</v>
      </c>
      <c r="O1351" s="9" t="str">
        <f t="shared" si="109"/>
        <v>🟡</v>
      </c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9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  <c r="BA1351" s="9"/>
      <c r="BB1351" s="9"/>
      <c r="BC1351" s="9"/>
      <c r="BD1351" s="9"/>
      <c r="BE1351" s="9"/>
      <c r="BF1351" s="9"/>
      <c r="BG1351" s="9"/>
      <c r="BH1351" s="9"/>
      <c r="BI1351" s="9"/>
      <c r="BJ1351" s="9"/>
      <c r="BK1351" s="9"/>
      <c r="BL1351" s="9"/>
      <c r="BM1351" s="9"/>
      <c r="BN1351" s="9"/>
      <c r="BO1351" s="9"/>
      <c r="BP1351" s="9"/>
      <c r="BQ1351" s="9"/>
      <c r="BR1351" s="9"/>
      <c r="BS1351" s="9"/>
      <c r="BT1351" s="9"/>
      <c r="BU1351" s="9"/>
      <c r="BV1351" s="9"/>
      <c r="BW1351" s="9"/>
      <c r="BX1351" s="9"/>
      <c r="BY1351" s="9"/>
      <c r="BZ1351" s="9"/>
      <c r="CA1351" s="9"/>
      <c r="CB1351" s="9"/>
      <c r="CC1351" s="9"/>
      <c r="CD1351" s="9"/>
      <c r="CE1351" s="9"/>
      <c r="CF1351" s="9"/>
      <c r="CG1351" s="9"/>
    </row>
    <row r="1352" spans="1:85" x14ac:dyDescent="0.3">
      <c r="A1352" s="9">
        <f t="shared" si="105"/>
        <v>1351</v>
      </c>
      <c r="B1352" s="9" t="str">
        <f t="shared" si="106"/>
        <v/>
      </c>
      <c r="C1352" s="9"/>
      <c r="D1352" s="9"/>
      <c r="E1352" s="9">
        <f t="shared" si="107"/>
        <v>0</v>
      </c>
      <c r="F1352" s="9"/>
      <c r="G1352" s="9"/>
      <c r="H1352" s="9"/>
      <c r="I1352" s="9"/>
      <c r="J1352" s="9"/>
      <c r="K1352" s="9"/>
      <c r="L1352" s="9"/>
      <c r="M1352" s="9"/>
      <c r="N1352" s="9" t="str">
        <f t="shared" si="108"/>
        <v>NO</v>
      </c>
      <c r="O1352" s="9" t="str">
        <f t="shared" si="109"/>
        <v>🟡</v>
      </c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  <c r="AN1352" s="9"/>
      <c r="AO1352" s="9"/>
      <c r="AP1352" s="9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  <c r="BA1352" s="9"/>
      <c r="BB1352" s="9"/>
      <c r="BC1352" s="9"/>
      <c r="BD1352" s="9"/>
      <c r="BE1352" s="9"/>
      <c r="BF1352" s="9"/>
      <c r="BG1352" s="9"/>
      <c r="BH1352" s="9"/>
      <c r="BI1352" s="9"/>
      <c r="BJ1352" s="9"/>
      <c r="BK1352" s="9"/>
      <c r="BL1352" s="9"/>
      <c r="BM1352" s="9"/>
      <c r="BN1352" s="9"/>
      <c r="BO1352" s="9"/>
      <c r="BP1352" s="9"/>
      <c r="BQ1352" s="9"/>
      <c r="BR1352" s="9"/>
      <c r="BS1352" s="9"/>
      <c r="BT1352" s="9"/>
      <c r="BU1352" s="9"/>
      <c r="BV1352" s="9"/>
      <c r="BW1352" s="9"/>
      <c r="BX1352" s="9"/>
      <c r="BY1352" s="9"/>
      <c r="BZ1352" s="9"/>
      <c r="CA1352" s="9"/>
      <c r="CB1352" s="9"/>
      <c r="CC1352" s="9"/>
      <c r="CD1352" s="9"/>
      <c r="CE1352" s="9"/>
      <c r="CF1352" s="9"/>
      <c r="CG1352" s="9"/>
    </row>
    <row r="1353" spans="1:85" x14ac:dyDescent="0.3">
      <c r="A1353" s="9">
        <f t="shared" si="105"/>
        <v>1352</v>
      </c>
      <c r="B1353" s="9" t="str">
        <f t="shared" si="106"/>
        <v/>
      </c>
      <c r="C1353" s="9"/>
      <c r="D1353" s="9"/>
      <c r="E1353" s="9">
        <f t="shared" si="107"/>
        <v>0</v>
      </c>
      <c r="F1353" s="9"/>
      <c r="G1353" s="9"/>
      <c r="H1353" s="9"/>
      <c r="I1353" s="9"/>
      <c r="J1353" s="9"/>
      <c r="K1353" s="9"/>
      <c r="L1353" s="9"/>
      <c r="M1353" s="9"/>
      <c r="N1353" s="9" t="str">
        <f t="shared" si="108"/>
        <v>NO</v>
      </c>
      <c r="O1353" s="9" t="str">
        <f t="shared" si="109"/>
        <v>🟡</v>
      </c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  <c r="AN1353" s="9"/>
      <c r="AO1353" s="9"/>
      <c r="AP1353" s="9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  <c r="BA1353" s="9"/>
      <c r="BB1353" s="9"/>
      <c r="BC1353" s="9"/>
      <c r="BD1353" s="9"/>
      <c r="BE1353" s="9"/>
      <c r="BF1353" s="9"/>
      <c r="BG1353" s="9"/>
      <c r="BH1353" s="9"/>
      <c r="BI1353" s="9"/>
      <c r="BJ1353" s="9"/>
      <c r="BK1353" s="9"/>
      <c r="BL1353" s="9"/>
      <c r="BM1353" s="9"/>
      <c r="BN1353" s="9"/>
      <c r="BO1353" s="9"/>
      <c r="BP1353" s="9"/>
      <c r="BQ1353" s="9"/>
      <c r="BR1353" s="9"/>
      <c r="BS1353" s="9"/>
      <c r="BT1353" s="9"/>
      <c r="BU1353" s="9"/>
      <c r="BV1353" s="9"/>
      <c r="BW1353" s="9"/>
      <c r="BX1353" s="9"/>
      <c r="BY1353" s="9"/>
      <c r="BZ1353" s="9"/>
      <c r="CA1353" s="9"/>
      <c r="CB1353" s="9"/>
      <c r="CC1353" s="9"/>
      <c r="CD1353" s="9"/>
      <c r="CE1353" s="9"/>
      <c r="CF1353" s="9"/>
      <c r="CG1353" s="9"/>
    </row>
    <row r="1354" spans="1:85" x14ac:dyDescent="0.3">
      <c r="A1354" s="9">
        <f t="shared" si="105"/>
        <v>1353</v>
      </c>
      <c r="B1354" s="9" t="str">
        <f t="shared" si="106"/>
        <v/>
      </c>
      <c r="C1354" s="9"/>
      <c r="D1354" s="9"/>
      <c r="E1354" s="9">
        <f t="shared" si="107"/>
        <v>0</v>
      </c>
      <c r="F1354" s="9"/>
      <c r="G1354" s="9"/>
      <c r="H1354" s="9"/>
      <c r="I1354" s="9"/>
      <c r="J1354" s="9"/>
      <c r="K1354" s="9"/>
      <c r="L1354" s="9"/>
      <c r="M1354" s="9"/>
      <c r="N1354" s="9" t="str">
        <f t="shared" si="108"/>
        <v>NO</v>
      </c>
      <c r="O1354" s="9" t="str">
        <f t="shared" si="109"/>
        <v>🟡</v>
      </c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9"/>
      <c r="AO1354" s="9"/>
      <c r="AP1354" s="9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  <c r="BA1354" s="9"/>
      <c r="BB1354" s="9"/>
      <c r="BC1354" s="9"/>
      <c r="BD1354" s="9"/>
      <c r="BE1354" s="9"/>
      <c r="BF1354" s="9"/>
      <c r="BG1354" s="9"/>
      <c r="BH1354" s="9"/>
      <c r="BI1354" s="9"/>
      <c r="BJ1354" s="9"/>
      <c r="BK1354" s="9"/>
      <c r="BL1354" s="9"/>
      <c r="BM1354" s="9"/>
      <c r="BN1354" s="9"/>
      <c r="BO1354" s="9"/>
      <c r="BP1354" s="9"/>
      <c r="BQ1354" s="9"/>
      <c r="BR1354" s="9"/>
      <c r="BS1354" s="9"/>
      <c r="BT1354" s="9"/>
      <c r="BU1354" s="9"/>
      <c r="BV1354" s="9"/>
      <c r="BW1354" s="9"/>
      <c r="BX1354" s="9"/>
      <c r="BY1354" s="9"/>
      <c r="BZ1354" s="9"/>
      <c r="CA1354" s="9"/>
      <c r="CB1354" s="9"/>
      <c r="CC1354" s="9"/>
      <c r="CD1354" s="9"/>
      <c r="CE1354" s="9"/>
      <c r="CF1354" s="9"/>
      <c r="CG1354" s="9"/>
    </row>
    <row r="1355" spans="1:85" x14ac:dyDescent="0.3">
      <c r="A1355" s="9">
        <f t="shared" si="105"/>
        <v>1354</v>
      </c>
      <c r="B1355" s="9" t="str">
        <f t="shared" si="106"/>
        <v/>
      </c>
      <c r="C1355" s="9"/>
      <c r="D1355" s="9"/>
      <c r="E1355" s="9">
        <f t="shared" si="107"/>
        <v>0</v>
      </c>
      <c r="F1355" s="9"/>
      <c r="G1355" s="9"/>
      <c r="H1355" s="9"/>
      <c r="I1355" s="9"/>
      <c r="J1355" s="9"/>
      <c r="K1355" s="9"/>
      <c r="L1355" s="9"/>
      <c r="M1355" s="9"/>
      <c r="N1355" s="9" t="str">
        <f t="shared" si="108"/>
        <v>NO</v>
      </c>
      <c r="O1355" s="9" t="str">
        <f t="shared" si="109"/>
        <v>🟡</v>
      </c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  <c r="AN1355" s="9"/>
      <c r="AO1355" s="9"/>
      <c r="AP1355" s="9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  <c r="BA1355" s="9"/>
      <c r="BB1355" s="9"/>
      <c r="BC1355" s="9"/>
      <c r="BD1355" s="9"/>
      <c r="BE1355" s="9"/>
      <c r="BF1355" s="9"/>
      <c r="BG1355" s="9"/>
      <c r="BH1355" s="9"/>
      <c r="BI1355" s="9"/>
      <c r="BJ1355" s="9"/>
      <c r="BK1355" s="9"/>
      <c r="BL1355" s="9"/>
      <c r="BM1355" s="9"/>
      <c r="BN1355" s="9"/>
      <c r="BO1355" s="9"/>
      <c r="BP1355" s="9"/>
      <c r="BQ1355" s="9"/>
      <c r="BR1355" s="9"/>
      <c r="BS1355" s="9"/>
      <c r="BT1355" s="9"/>
      <c r="BU1355" s="9"/>
      <c r="BV1355" s="9"/>
      <c r="BW1355" s="9"/>
      <c r="BX1355" s="9"/>
      <c r="BY1355" s="9"/>
      <c r="BZ1355" s="9"/>
      <c r="CA1355" s="9"/>
      <c r="CB1355" s="9"/>
      <c r="CC1355" s="9"/>
      <c r="CD1355" s="9"/>
      <c r="CE1355" s="9"/>
      <c r="CF1355" s="9"/>
      <c r="CG1355" s="9"/>
    </row>
    <row r="1356" spans="1:85" x14ac:dyDescent="0.3">
      <c r="A1356" s="9">
        <f t="shared" si="105"/>
        <v>1355</v>
      </c>
      <c r="B1356" s="9" t="str">
        <f t="shared" si="106"/>
        <v/>
      </c>
      <c r="C1356" s="9"/>
      <c r="D1356" s="9"/>
      <c r="E1356" s="9">
        <f t="shared" si="107"/>
        <v>0</v>
      </c>
      <c r="F1356" s="9"/>
      <c r="G1356" s="9"/>
      <c r="H1356" s="9"/>
      <c r="I1356" s="9"/>
      <c r="J1356" s="9"/>
      <c r="K1356" s="9"/>
      <c r="L1356" s="9"/>
      <c r="M1356" s="9"/>
      <c r="N1356" s="9" t="str">
        <f t="shared" si="108"/>
        <v>NO</v>
      </c>
      <c r="O1356" s="9" t="str">
        <f t="shared" si="109"/>
        <v>🟡</v>
      </c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  <c r="AN1356" s="9"/>
      <c r="AO1356" s="9"/>
      <c r="AP1356" s="9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  <c r="BA1356" s="9"/>
      <c r="BB1356" s="9"/>
      <c r="BC1356" s="9"/>
      <c r="BD1356" s="9"/>
      <c r="BE1356" s="9"/>
      <c r="BF1356" s="9"/>
      <c r="BG1356" s="9"/>
      <c r="BH1356" s="9"/>
      <c r="BI1356" s="9"/>
      <c r="BJ1356" s="9"/>
      <c r="BK1356" s="9"/>
      <c r="BL1356" s="9"/>
      <c r="BM1356" s="9"/>
      <c r="BN1356" s="9"/>
      <c r="BO1356" s="9"/>
      <c r="BP1356" s="9"/>
      <c r="BQ1356" s="9"/>
      <c r="BR1356" s="9"/>
      <c r="BS1356" s="9"/>
      <c r="BT1356" s="9"/>
      <c r="BU1356" s="9"/>
      <c r="BV1356" s="9"/>
      <c r="BW1356" s="9"/>
      <c r="BX1356" s="9"/>
      <c r="BY1356" s="9"/>
      <c r="BZ1356" s="9"/>
      <c r="CA1356" s="9"/>
      <c r="CB1356" s="9"/>
      <c r="CC1356" s="9"/>
      <c r="CD1356" s="9"/>
      <c r="CE1356" s="9"/>
      <c r="CF1356" s="9"/>
      <c r="CG1356" s="9"/>
    </row>
    <row r="1357" spans="1:85" x14ac:dyDescent="0.3">
      <c r="A1357" s="9">
        <f t="shared" si="105"/>
        <v>1356</v>
      </c>
      <c r="B1357" s="9" t="str">
        <f t="shared" si="106"/>
        <v/>
      </c>
      <c r="C1357" s="9"/>
      <c r="D1357" s="9"/>
      <c r="E1357" s="9">
        <f t="shared" si="107"/>
        <v>0</v>
      </c>
      <c r="F1357" s="9"/>
      <c r="G1357" s="9"/>
      <c r="H1357" s="9"/>
      <c r="I1357" s="9"/>
      <c r="J1357" s="9"/>
      <c r="K1357" s="9"/>
      <c r="L1357" s="9"/>
      <c r="M1357" s="9"/>
      <c r="N1357" s="9" t="str">
        <f t="shared" si="108"/>
        <v>NO</v>
      </c>
      <c r="O1357" s="9" t="str">
        <f t="shared" si="109"/>
        <v>🟡</v>
      </c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9"/>
      <c r="AO1357" s="9"/>
      <c r="AP1357" s="9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  <c r="BA1357" s="9"/>
      <c r="BB1357" s="9"/>
      <c r="BC1357" s="9"/>
      <c r="BD1357" s="9"/>
      <c r="BE1357" s="9"/>
      <c r="BF1357" s="9"/>
      <c r="BG1357" s="9"/>
      <c r="BH1357" s="9"/>
      <c r="BI1357" s="9"/>
      <c r="BJ1357" s="9"/>
      <c r="BK1357" s="9"/>
      <c r="BL1357" s="9"/>
      <c r="BM1357" s="9"/>
      <c r="BN1357" s="9"/>
      <c r="BO1357" s="9"/>
      <c r="BP1357" s="9"/>
      <c r="BQ1357" s="9"/>
      <c r="BR1357" s="9"/>
      <c r="BS1357" s="9"/>
      <c r="BT1357" s="9"/>
      <c r="BU1357" s="9"/>
      <c r="BV1357" s="9"/>
      <c r="BW1357" s="9"/>
      <c r="BX1357" s="9"/>
      <c r="BY1357" s="9"/>
      <c r="BZ1357" s="9"/>
      <c r="CA1357" s="9"/>
      <c r="CB1357" s="9"/>
      <c r="CC1357" s="9"/>
      <c r="CD1357" s="9"/>
      <c r="CE1357" s="9"/>
      <c r="CF1357" s="9"/>
      <c r="CG1357" s="9"/>
    </row>
    <row r="1358" spans="1:85" x14ac:dyDescent="0.3">
      <c r="A1358" s="9">
        <f t="shared" si="105"/>
        <v>1357</v>
      </c>
      <c r="B1358" s="9" t="str">
        <f t="shared" si="106"/>
        <v/>
      </c>
      <c r="C1358" s="9"/>
      <c r="D1358" s="9"/>
      <c r="E1358" s="9">
        <f t="shared" si="107"/>
        <v>0</v>
      </c>
      <c r="F1358" s="9"/>
      <c r="G1358" s="9"/>
      <c r="H1358" s="9"/>
      <c r="I1358" s="9"/>
      <c r="J1358" s="9"/>
      <c r="K1358" s="9"/>
      <c r="L1358" s="9"/>
      <c r="M1358" s="9"/>
      <c r="N1358" s="9" t="str">
        <f t="shared" si="108"/>
        <v>NO</v>
      </c>
      <c r="O1358" s="9" t="str">
        <f t="shared" si="109"/>
        <v>🟡</v>
      </c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9"/>
      <c r="AO1358" s="9"/>
      <c r="AP1358" s="9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  <c r="BA1358" s="9"/>
      <c r="BB1358" s="9"/>
      <c r="BC1358" s="9"/>
      <c r="BD1358" s="9"/>
      <c r="BE1358" s="9"/>
      <c r="BF1358" s="9"/>
      <c r="BG1358" s="9"/>
      <c r="BH1358" s="9"/>
      <c r="BI1358" s="9"/>
      <c r="BJ1358" s="9"/>
      <c r="BK1358" s="9"/>
      <c r="BL1358" s="9"/>
      <c r="BM1358" s="9"/>
      <c r="BN1358" s="9"/>
      <c r="BO1358" s="9"/>
      <c r="BP1358" s="9"/>
      <c r="BQ1358" s="9"/>
      <c r="BR1358" s="9"/>
      <c r="BS1358" s="9"/>
      <c r="BT1358" s="9"/>
      <c r="BU1358" s="9"/>
      <c r="BV1358" s="9"/>
      <c r="BW1358" s="9"/>
      <c r="BX1358" s="9"/>
      <c r="BY1358" s="9"/>
      <c r="BZ1358" s="9"/>
      <c r="CA1358" s="9"/>
      <c r="CB1358" s="9"/>
      <c r="CC1358" s="9"/>
      <c r="CD1358" s="9"/>
      <c r="CE1358" s="9"/>
      <c r="CF1358" s="9"/>
      <c r="CG1358" s="9"/>
    </row>
    <row r="1359" spans="1:85" x14ac:dyDescent="0.3">
      <c r="A1359" s="9">
        <f t="shared" si="105"/>
        <v>1358</v>
      </c>
      <c r="B1359" s="9" t="str">
        <f t="shared" si="106"/>
        <v/>
      </c>
      <c r="C1359" s="9"/>
      <c r="D1359" s="9"/>
      <c r="E1359" s="9">
        <f t="shared" si="107"/>
        <v>0</v>
      </c>
      <c r="F1359" s="9"/>
      <c r="G1359" s="9"/>
      <c r="H1359" s="9"/>
      <c r="I1359" s="9"/>
      <c r="J1359" s="9"/>
      <c r="K1359" s="9"/>
      <c r="L1359" s="9"/>
      <c r="M1359" s="9"/>
      <c r="N1359" s="9" t="str">
        <f t="shared" si="108"/>
        <v>NO</v>
      </c>
      <c r="O1359" s="9" t="str">
        <f t="shared" si="109"/>
        <v>🟡</v>
      </c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  <c r="AN1359" s="9"/>
      <c r="AO1359" s="9"/>
      <c r="AP1359" s="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  <c r="BA1359" s="9"/>
      <c r="BB1359" s="9"/>
      <c r="BC1359" s="9"/>
      <c r="BD1359" s="9"/>
      <c r="BE1359" s="9"/>
      <c r="BF1359" s="9"/>
      <c r="BG1359" s="9"/>
      <c r="BH1359" s="9"/>
      <c r="BI1359" s="9"/>
      <c r="BJ1359" s="9"/>
      <c r="BK1359" s="9"/>
      <c r="BL1359" s="9"/>
      <c r="BM1359" s="9"/>
      <c r="BN1359" s="9"/>
      <c r="BO1359" s="9"/>
      <c r="BP1359" s="9"/>
      <c r="BQ1359" s="9"/>
      <c r="BR1359" s="9"/>
      <c r="BS1359" s="9"/>
      <c r="BT1359" s="9"/>
      <c r="BU1359" s="9"/>
      <c r="BV1359" s="9"/>
      <c r="BW1359" s="9"/>
      <c r="BX1359" s="9"/>
      <c r="BY1359" s="9"/>
      <c r="BZ1359" s="9"/>
      <c r="CA1359" s="9"/>
      <c r="CB1359" s="9"/>
      <c r="CC1359" s="9"/>
      <c r="CD1359" s="9"/>
      <c r="CE1359" s="9"/>
      <c r="CF1359" s="9"/>
      <c r="CG1359" s="9"/>
    </row>
    <row r="1360" spans="1:85" x14ac:dyDescent="0.3">
      <c r="A1360" s="9">
        <f t="shared" si="105"/>
        <v>1359</v>
      </c>
      <c r="B1360" s="9" t="str">
        <f t="shared" si="106"/>
        <v/>
      </c>
      <c r="C1360" s="9"/>
      <c r="D1360" s="9"/>
      <c r="E1360" s="9">
        <f t="shared" si="107"/>
        <v>0</v>
      </c>
      <c r="F1360" s="9"/>
      <c r="G1360" s="9"/>
      <c r="H1360" s="9"/>
      <c r="I1360" s="9"/>
      <c r="J1360" s="9"/>
      <c r="K1360" s="9"/>
      <c r="L1360" s="9"/>
      <c r="M1360" s="9"/>
      <c r="N1360" s="9" t="str">
        <f t="shared" si="108"/>
        <v>NO</v>
      </c>
      <c r="O1360" s="9" t="str">
        <f t="shared" si="109"/>
        <v>🟡</v>
      </c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9"/>
      <c r="AO1360" s="9"/>
      <c r="AP1360" s="9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  <c r="BA1360" s="9"/>
      <c r="BB1360" s="9"/>
      <c r="BC1360" s="9"/>
      <c r="BD1360" s="9"/>
      <c r="BE1360" s="9"/>
      <c r="BF1360" s="9"/>
      <c r="BG1360" s="9"/>
      <c r="BH1360" s="9"/>
      <c r="BI1360" s="9"/>
      <c r="BJ1360" s="9"/>
      <c r="BK1360" s="9"/>
      <c r="BL1360" s="9"/>
      <c r="BM1360" s="9"/>
      <c r="BN1360" s="9"/>
      <c r="BO1360" s="9"/>
      <c r="BP1360" s="9"/>
      <c r="BQ1360" s="9"/>
      <c r="BR1360" s="9"/>
      <c r="BS1360" s="9"/>
      <c r="BT1360" s="9"/>
      <c r="BU1360" s="9"/>
      <c r="BV1360" s="9"/>
      <c r="BW1360" s="9"/>
      <c r="BX1360" s="9"/>
      <c r="BY1360" s="9"/>
      <c r="BZ1360" s="9"/>
      <c r="CA1360" s="9"/>
      <c r="CB1360" s="9"/>
      <c r="CC1360" s="9"/>
      <c r="CD1360" s="9"/>
      <c r="CE1360" s="9"/>
      <c r="CF1360" s="9"/>
      <c r="CG1360" s="9"/>
    </row>
    <row r="1361" spans="1:85" x14ac:dyDescent="0.3">
      <c r="A1361" s="9">
        <f t="shared" si="105"/>
        <v>1360</v>
      </c>
      <c r="B1361" s="9" t="str">
        <f t="shared" si="106"/>
        <v/>
      </c>
      <c r="C1361" s="9"/>
      <c r="D1361" s="9"/>
      <c r="E1361" s="9">
        <f t="shared" si="107"/>
        <v>0</v>
      </c>
      <c r="F1361" s="9"/>
      <c r="G1361" s="9"/>
      <c r="H1361" s="9"/>
      <c r="I1361" s="9"/>
      <c r="J1361" s="9"/>
      <c r="K1361" s="9"/>
      <c r="L1361" s="9"/>
      <c r="M1361" s="9"/>
      <c r="N1361" s="9" t="str">
        <f t="shared" si="108"/>
        <v>NO</v>
      </c>
      <c r="O1361" s="9" t="str">
        <f t="shared" si="109"/>
        <v>🟡</v>
      </c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9"/>
      <c r="AO1361" s="9"/>
      <c r="AP1361" s="9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  <c r="BA1361" s="9"/>
      <c r="BB1361" s="9"/>
      <c r="BC1361" s="9"/>
      <c r="BD1361" s="9"/>
      <c r="BE1361" s="9"/>
      <c r="BF1361" s="9"/>
      <c r="BG1361" s="9"/>
      <c r="BH1361" s="9"/>
      <c r="BI1361" s="9"/>
      <c r="BJ1361" s="9"/>
      <c r="BK1361" s="9"/>
      <c r="BL1361" s="9"/>
      <c r="BM1361" s="9"/>
      <c r="BN1361" s="9"/>
      <c r="BO1361" s="9"/>
      <c r="BP1361" s="9"/>
      <c r="BQ1361" s="9"/>
      <c r="BR1361" s="9"/>
      <c r="BS1361" s="9"/>
      <c r="BT1361" s="9"/>
      <c r="BU1361" s="9"/>
      <c r="BV1361" s="9"/>
      <c r="BW1361" s="9"/>
      <c r="BX1361" s="9"/>
      <c r="BY1361" s="9"/>
      <c r="BZ1361" s="9"/>
      <c r="CA1361" s="9"/>
      <c r="CB1361" s="9"/>
      <c r="CC1361" s="9"/>
      <c r="CD1361" s="9"/>
      <c r="CE1361" s="9"/>
      <c r="CF1361" s="9"/>
      <c r="CG1361" s="9"/>
    </row>
    <row r="1362" spans="1:85" x14ac:dyDescent="0.3">
      <c r="A1362" s="9">
        <f t="shared" si="105"/>
        <v>1361</v>
      </c>
      <c r="B1362" s="9" t="str">
        <f t="shared" si="106"/>
        <v/>
      </c>
      <c r="C1362" s="9"/>
      <c r="D1362" s="9"/>
      <c r="E1362" s="9">
        <f t="shared" si="107"/>
        <v>0</v>
      </c>
      <c r="F1362" s="9"/>
      <c r="G1362" s="9"/>
      <c r="H1362" s="9"/>
      <c r="I1362" s="9"/>
      <c r="J1362" s="9"/>
      <c r="K1362" s="9"/>
      <c r="L1362" s="9"/>
      <c r="M1362" s="9"/>
      <c r="N1362" s="9" t="str">
        <f t="shared" si="108"/>
        <v>NO</v>
      </c>
      <c r="O1362" s="9" t="str">
        <f t="shared" si="109"/>
        <v>🟡</v>
      </c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  <c r="AN1362" s="9"/>
      <c r="AO1362" s="9"/>
      <c r="AP1362" s="9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  <c r="BA1362" s="9"/>
      <c r="BB1362" s="9"/>
      <c r="BC1362" s="9"/>
      <c r="BD1362" s="9"/>
      <c r="BE1362" s="9"/>
      <c r="BF1362" s="9"/>
      <c r="BG1362" s="9"/>
      <c r="BH1362" s="9"/>
      <c r="BI1362" s="9"/>
      <c r="BJ1362" s="9"/>
      <c r="BK1362" s="9"/>
      <c r="BL1362" s="9"/>
      <c r="BM1362" s="9"/>
      <c r="BN1362" s="9"/>
      <c r="BO1362" s="9"/>
      <c r="BP1362" s="9"/>
      <c r="BQ1362" s="9"/>
      <c r="BR1362" s="9"/>
      <c r="BS1362" s="9"/>
      <c r="BT1362" s="9"/>
      <c r="BU1362" s="9"/>
      <c r="BV1362" s="9"/>
      <c r="BW1362" s="9"/>
      <c r="BX1362" s="9"/>
      <c r="BY1362" s="9"/>
      <c r="BZ1362" s="9"/>
      <c r="CA1362" s="9"/>
      <c r="CB1362" s="9"/>
      <c r="CC1362" s="9"/>
      <c r="CD1362" s="9"/>
      <c r="CE1362" s="9"/>
      <c r="CF1362" s="9"/>
      <c r="CG1362" s="9"/>
    </row>
    <row r="1363" spans="1:85" x14ac:dyDescent="0.3">
      <c r="A1363" s="9">
        <f t="shared" si="105"/>
        <v>1362</v>
      </c>
      <c r="B1363" s="9" t="str">
        <f t="shared" si="106"/>
        <v/>
      </c>
      <c r="C1363" s="9"/>
      <c r="D1363" s="9"/>
      <c r="E1363" s="9">
        <f t="shared" si="107"/>
        <v>0</v>
      </c>
      <c r="F1363" s="9"/>
      <c r="G1363" s="9"/>
      <c r="H1363" s="9"/>
      <c r="I1363" s="9"/>
      <c r="J1363" s="9"/>
      <c r="K1363" s="9"/>
      <c r="L1363" s="9"/>
      <c r="M1363" s="9"/>
      <c r="N1363" s="9" t="str">
        <f t="shared" si="108"/>
        <v>NO</v>
      </c>
      <c r="O1363" s="9" t="str">
        <f t="shared" si="109"/>
        <v>🟡</v>
      </c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9"/>
      <c r="AO1363" s="9"/>
      <c r="AP1363" s="9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  <c r="BA1363" s="9"/>
      <c r="BB1363" s="9"/>
      <c r="BC1363" s="9"/>
      <c r="BD1363" s="9"/>
      <c r="BE1363" s="9"/>
      <c r="BF1363" s="9"/>
      <c r="BG1363" s="9"/>
      <c r="BH1363" s="9"/>
      <c r="BI1363" s="9"/>
      <c r="BJ1363" s="9"/>
      <c r="BK1363" s="9"/>
      <c r="BL1363" s="9"/>
      <c r="BM1363" s="9"/>
      <c r="BN1363" s="9"/>
      <c r="BO1363" s="9"/>
      <c r="BP1363" s="9"/>
      <c r="BQ1363" s="9"/>
      <c r="BR1363" s="9"/>
      <c r="BS1363" s="9"/>
      <c r="BT1363" s="9"/>
      <c r="BU1363" s="9"/>
      <c r="BV1363" s="9"/>
      <c r="BW1363" s="9"/>
      <c r="BX1363" s="9"/>
      <c r="BY1363" s="9"/>
      <c r="BZ1363" s="9"/>
      <c r="CA1363" s="9"/>
      <c r="CB1363" s="9"/>
      <c r="CC1363" s="9"/>
      <c r="CD1363" s="9"/>
      <c r="CE1363" s="9"/>
      <c r="CF1363" s="9"/>
      <c r="CG1363" s="9"/>
    </row>
    <row r="1364" spans="1:85" x14ac:dyDescent="0.3">
      <c r="A1364" s="9">
        <f t="shared" si="105"/>
        <v>1363</v>
      </c>
      <c r="B1364" s="9" t="str">
        <f t="shared" si="106"/>
        <v/>
      </c>
      <c r="C1364" s="9"/>
      <c r="D1364" s="9"/>
      <c r="E1364" s="9">
        <f t="shared" si="107"/>
        <v>0</v>
      </c>
      <c r="F1364" s="9"/>
      <c r="G1364" s="9"/>
      <c r="H1364" s="9"/>
      <c r="I1364" s="9"/>
      <c r="J1364" s="9"/>
      <c r="K1364" s="9"/>
      <c r="L1364" s="9"/>
      <c r="M1364" s="9"/>
      <c r="N1364" s="9" t="str">
        <f t="shared" si="108"/>
        <v>NO</v>
      </c>
      <c r="O1364" s="9" t="str">
        <f t="shared" si="109"/>
        <v>🟡</v>
      </c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  <c r="AN1364" s="9"/>
      <c r="AO1364" s="9"/>
      <c r="AP1364" s="9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  <c r="BA1364" s="9"/>
      <c r="BB1364" s="9"/>
      <c r="BC1364" s="9"/>
      <c r="BD1364" s="9"/>
      <c r="BE1364" s="9"/>
      <c r="BF1364" s="9"/>
      <c r="BG1364" s="9"/>
      <c r="BH1364" s="9"/>
      <c r="BI1364" s="9"/>
      <c r="BJ1364" s="9"/>
      <c r="BK1364" s="9"/>
      <c r="BL1364" s="9"/>
      <c r="BM1364" s="9"/>
      <c r="BN1364" s="9"/>
      <c r="BO1364" s="9"/>
      <c r="BP1364" s="9"/>
      <c r="BQ1364" s="9"/>
      <c r="BR1364" s="9"/>
      <c r="BS1364" s="9"/>
      <c r="BT1364" s="9"/>
      <c r="BU1364" s="9"/>
      <c r="BV1364" s="9"/>
      <c r="BW1364" s="9"/>
      <c r="BX1364" s="9"/>
      <c r="BY1364" s="9"/>
      <c r="BZ1364" s="9"/>
      <c r="CA1364" s="9"/>
      <c r="CB1364" s="9"/>
      <c r="CC1364" s="9"/>
      <c r="CD1364" s="9"/>
      <c r="CE1364" s="9"/>
      <c r="CF1364" s="9"/>
      <c r="CG1364" s="9"/>
    </row>
    <row r="1365" spans="1:85" x14ac:dyDescent="0.3">
      <c r="A1365" s="9">
        <f t="shared" si="105"/>
        <v>1364</v>
      </c>
      <c r="B1365" s="9" t="str">
        <f t="shared" si="106"/>
        <v/>
      </c>
      <c r="C1365" s="9"/>
      <c r="D1365" s="9"/>
      <c r="E1365" s="9">
        <f t="shared" si="107"/>
        <v>0</v>
      </c>
      <c r="F1365" s="9"/>
      <c r="G1365" s="9"/>
      <c r="H1365" s="9"/>
      <c r="I1365" s="9"/>
      <c r="J1365" s="9"/>
      <c r="K1365" s="9"/>
      <c r="L1365" s="9"/>
      <c r="M1365" s="9"/>
      <c r="N1365" s="9" t="str">
        <f t="shared" si="108"/>
        <v>NO</v>
      </c>
      <c r="O1365" s="9" t="str">
        <f t="shared" si="109"/>
        <v>🟡</v>
      </c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  <c r="AN1365" s="9"/>
      <c r="AO1365" s="9"/>
      <c r="AP1365" s="9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  <c r="BA1365" s="9"/>
      <c r="BB1365" s="9"/>
      <c r="BC1365" s="9"/>
      <c r="BD1365" s="9"/>
      <c r="BE1365" s="9"/>
      <c r="BF1365" s="9"/>
      <c r="BG1365" s="9"/>
      <c r="BH1365" s="9"/>
      <c r="BI1365" s="9"/>
      <c r="BJ1365" s="9"/>
      <c r="BK1365" s="9"/>
      <c r="BL1365" s="9"/>
      <c r="BM1365" s="9"/>
      <c r="BN1365" s="9"/>
      <c r="BO1365" s="9"/>
      <c r="BP1365" s="9"/>
      <c r="BQ1365" s="9"/>
      <c r="BR1365" s="9"/>
      <c r="BS1365" s="9"/>
      <c r="BT1365" s="9"/>
      <c r="BU1365" s="9"/>
      <c r="BV1365" s="9"/>
      <c r="BW1365" s="9"/>
      <c r="BX1365" s="9"/>
      <c r="BY1365" s="9"/>
      <c r="BZ1365" s="9"/>
      <c r="CA1365" s="9"/>
      <c r="CB1365" s="9"/>
      <c r="CC1365" s="9"/>
      <c r="CD1365" s="9"/>
      <c r="CE1365" s="9"/>
      <c r="CF1365" s="9"/>
      <c r="CG1365" s="9"/>
    </row>
    <row r="1366" spans="1:85" x14ac:dyDescent="0.3">
      <c r="A1366" s="9">
        <f t="shared" si="105"/>
        <v>1365</v>
      </c>
      <c r="B1366" s="9" t="str">
        <f t="shared" si="106"/>
        <v/>
      </c>
      <c r="C1366" s="9"/>
      <c r="D1366" s="9"/>
      <c r="E1366" s="9">
        <f t="shared" si="107"/>
        <v>0</v>
      </c>
      <c r="F1366" s="9"/>
      <c r="G1366" s="9"/>
      <c r="H1366" s="9"/>
      <c r="I1366" s="9"/>
      <c r="J1366" s="9"/>
      <c r="K1366" s="9"/>
      <c r="L1366" s="9"/>
      <c r="M1366" s="9"/>
      <c r="N1366" s="9" t="str">
        <f t="shared" si="108"/>
        <v>NO</v>
      </c>
      <c r="O1366" s="9" t="str">
        <f t="shared" si="109"/>
        <v>🟡</v>
      </c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9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  <c r="BA1366" s="9"/>
      <c r="BB1366" s="9"/>
      <c r="BC1366" s="9"/>
      <c r="BD1366" s="9"/>
      <c r="BE1366" s="9"/>
      <c r="BF1366" s="9"/>
      <c r="BG1366" s="9"/>
      <c r="BH1366" s="9"/>
      <c r="BI1366" s="9"/>
      <c r="BJ1366" s="9"/>
      <c r="BK1366" s="9"/>
      <c r="BL1366" s="9"/>
      <c r="BM1366" s="9"/>
      <c r="BN1366" s="9"/>
      <c r="BO1366" s="9"/>
      <c r="BP1366" s="9"/>
      <c r="BQ1366" s="9"/>
      <c r="BR1366" s="9"/>
      <c r="BS1366" s="9"/>
      <c r="BT1366" s="9"/>
      <c r="BU1366" s="9"/>
      <c r="BV1366" s="9"/>
      <c r="BW1366" s="9"/>
      <c r="BX1366" s="9"/>
      <c r="BY1366" s="9"/>
      <c r="BZ1366" s="9"/>
      <c r="CA1366" s="9"/>
      <c r="CB1366" s="9"/>
      <c r="CC1366" s="9"/>
      <c r="CD1366" s="9"/>
      <c r="CE1366" s="9"/>
      <c r="CF1366" s="9"/>
      <c r="CG1366" s="9"/>
    </row>
    <row r="1367" spans="1:85" x14ac:dyDescent="0.3">
      <c r="A1367" s="9">
        <f t="shared" si="105"/>
        <v>1366</v>
      </c>
      <c r="B1367" s="9" t="str">
        <f t="shared" si="106"/>
        <v/>
      </c>
      <c r="C1367" s="9"/>
      <c r="D1367" s="9"/>
      <c r="E1367" s="9">
        <f t="shared" si="107"/>
        <v>0</v>
      </c>
      <c r="F1367" s="9"/>
      <c r="G1367" s="9"/>
      <c r="H1367" s="9"/>
      <c r="I1367" s="9"/>
      <c r="J1367" s="9"/>
      <c r="K1367" s="9"/>
      <c r="L1367" s="9"/>
      <c r="M1367" s="9"/>
      <c r="N1367" s="9" t="str">
        <f t="shared" si="108"/>
        <v>NO</v>
      </c>
      <c r="O1367" s="9" t="str">
        <f t="shared" si="109"/>
        <v>🟡</v>
      </c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  <c r="AN1367" s="9"/>
      <c r="AO1367" s="9"/>
      <c r="AP1367" s="9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  <c r="BA1367" s="9"/>
      <c r="BB1367" s="9"/>
      <c r="BC1367" s="9"/>
      <c r="BD1367" s="9"/>
      <c r="BE1367" s="9"/>
      <c r="BF1367" s="9"/>
      <c r="BG1367" s="9"/>
      <c r="BH1367" s="9"/>
      <c r="BI1367" s="9"/>
      <c r="BJ1367" s="9"/>
      <c r="BK1367" s="9"/>
      <c r="BL1367" s="9"/>
      <c r="BM1367" s="9"/>
      <c r="BN1367" s="9"/>
      <c r="BO1367" s="9"/>
      <c r="BP1367" s="9"/>
      <c r="BQ1367" s="9"/>
      <c r="BR1367" s="9"/>
      <c r="BS1367" s="9"/>
      <c r="BT1367" s="9"/>
      <c r="BU1367" s="9"/>
      <c r="BV1367" s="9"/>
      <c r="BW1367" s="9"/>
      <c r="BX1367" s="9"/>
      <c r="BY1367" s="9"/>
      <c r="BZ1367" s="9"/>
      <c r="CA1367" s="9"/>
      <c r="CB1367" s="9"/>
      <c r="CC1367" s="9"/>
      <c r="CD1367" s="9"/>
      <c r="CE1367" s="9"/>
      <c r="CF1367" s="9"/>
      <c r="CG1367" s="9"/>
    </row>
    <row r="1368" spans="1:85" x14ac:dyDescent="0.3">
      <c r="A1368" s="9">
        <f t="shared" si="105"/>
        <v>1367</v>
      </c>
      <c r="B1368" s="9" t="str">
        <f t="shared" si="106"/>
        <v/>
      </c>
      <c r="C1368" s="9"/>
      <c r="D1368" s="9"/>
      <c r="E1368" s="9">
        <f t="shared" si="107"/>
        <v>0</v>
      </c>
      <c r="F1368" s="9"/>
      <c r="G1368" s="9"/>
      <c r="H1368" s="9"/>
      <c r="I1368" s="9"/>
      <c r="J1368" s="9"/>
      <c r="K1368" s="9"/>
      <c r="L1368" s="9"/>
      <c r="M1368" s="9"/>
      <c r="N1368" s="9" t="str">
        <f t="shared" si="108"/>
        <v>NO</v>
      </c>
      <c r="O1368" s="9" t="str">
        <f t="shared" si="109"/>
        <v>🟡</v>
      </c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9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  <c r="BA1368" s="9"/>
      <c r="BB1368" s="9"/>
      <c r="BC1368" s="9"/>
      <c r="BD1368" s="9"/>
      <c r="BE1368" s="9"/>
      <c r="BF1368" s="9"/>
      <c r="BG1368" s="9"/>
      <c r="BH1368" s="9"/>
      <c r="BI1368" s="9"/>
      <c r="BJ1368" s="9"/>
      <c r="BK1368" s="9"/>
      <c r="BL1368" s="9"/>
      <c r="BM1368" s="9"/>
      <c r="BN1368" s="9"/>
      <c r="BO1368" s="9"/>
      <c r="BP1368" s="9"/>
      <c r="BQ1368" s="9"/>
      <c r="BR1368" s="9"/>
      <c r="BS1368" s="9"/>
      <c r="BT1368" s="9"/>
      <c r="BU1368" s="9"/>
      <c r="BV1368" s="9"/>
      <c r="BW1368" s="9"/>
      <c r="BX1368" s="9"/>
      <c r="BY1368" s="9"/>
      <c r="BZ1368" s="9"/>
      <c r="CA1368" s="9"/>
      <c r="CB1368" s="9"/>
      <c r="CC1368" s="9"/>
      <c r="CD1368" s="9"/>
      <c r="CE1368" s="9"/>
      <c r="CF1368" s="9"/>
      <c r="CG1368" s="9"/>
    </row>
    <row r="1369" spans="1:85" x14ac:dyDescent="0.3">
      <c r="A1369" s="9">
        <f t="shared" si="105"/>
        <v>1368</v>
      </c>
      <c r="B1369" s="9" t="str">
        <f t="shared" si="106"/>
        <v/>
      </c>
      <c r="C1369" s="9"/>
      <c r="D1369" s="9"/>
      <c r="E1369" s="9">
        <f t="shared" si="107"/>
        <v>0</v>
      </c>
      <c r="F1369" s="9"/>
      <c r="G1369" s="9"/>
      <c r="H1369" s="9"/>
      <c r="I1369" s="9"/>
      <c r="J1369" s="9"/>
      <c r="K1369" s="9"/>
      <c r="L1369" s="9"/>
      <c r="M1369" s="9"/>
      <c r="N1369" s="9" t="str">
        <f t="shared" si="108"/>
        <v>NO</v>
      </c>
      <c r="O1369" s="9" t="str">
        <f t="shared" si="109"/>
        <v>🟡</v>
      </c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  <c r="AN1369" s="9"/>
      <c r="AO1369" s="9"/>
      <c r="AP1369" s="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  <c r="BA1369" s="9"/>
      <c r="BB1369" s="9"/>
      <c r="BC1369" s="9"/>
      <c r="BD1369" s="9"/>
      <c r="BE1369" s="9"/>
      <c r="BF1369" s="9"/>
      <c r="BG1369" s="9"/>
      <c r="BH1369" s="9"/>
      <c r="BI1369" s="9"/>
      <c r="BJ1369" s="9"/>
      <c r="BK1369" s="9"/>
      <c r="BL1369" s="9"/>
      <c r="BM1369" s="9"/>
      <c r="BN1369" s="9"/>
      <c r="BO1369" s="9"/>
      <c r="BP1369" s="9"/>
      <c r="BQ1369" s="9"/>
      <c r="BR1369" s="9"/>
      <c r="BS1369" s="9"/>
      <c r="BT1369" s="9"/>
      <c r="BU1369" s="9"/>
      <c r="BV1369" s="9"/>
      <c r="BW1369" s="9"/>
      <c r="BX1369" s="9"/>
      <c r="BY1369" s="9"/>
      <c r="BZ1369" s="9"/>
      <c r="CA1369" s="9"/>
      <c r="CB1369" s="9"/>
      <c r="CC1369" s="9"/>
      <c r="CD1369" s="9"/>
      <c r="CE1369" s="9"/>
      <c r="CF1369" s="9"/>
      <c r="CG1369" s="9"/>
    </row>
    <row r="1370" spans="1:85" x14ac:dyDescent="0.3">
      <c r="A1370" s="9">
        <f t="shared" si="105"/>
        <v>1369</v>
      </c>
      <c r="B1370" s="9" t="str">
        <f t="shared" si="106"/>
        <v/>
      </c>
      <c r="C1370" s="9"/>
      <c r="D1370" s="9"/>
      <c r="E1370" s="9">
        <f t="shared" si="107"/>
        <v>0</v>
      </c>
      <c r="F1370" s="9"/>
      <c r="G1370" s="9"/>
      <c r="H1370" s="9"/>
      <c r="I1370" s="9"/>
      <c r="J1370" s="9"/>
      <c r="K1370" s="9"/>
      <c r="L1370" s="9"/>
      <c r="M1370" s="9"/>
      <c r="N1370" s="9" t="str">
        <f t="shared" si="108"/>
        <v>NO</v>
      </c>
      <c r="O1370" s="9" t="str">
        <f t="shared" si="109"/>
        <v>🟡</v>
      </c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9"/>
      <c r="AO1370" s="9"/>
      <c r="AP1370" s="9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  <c r="BA1370" s="9"/>
      <c r="BB1370" s="9"/>
      <c r="BC1370" s="9"/>
      <c r="BD1370" s="9"/>
      <c r="BE1370" s="9"/>
      <c r="BF1370" s="9"/>
      <c r="BG1370" s="9"/>
      <c r="BH1370" s="9"/>
      <c r="BI1370" s="9"/>
      <c r="BJ1370" s="9"/>
      <c r="BK1370" s="9"/>
      <c r="BL1370" s="9"/>
      <c r="BM1370" s="9"/>
      <c r="BN1370" s="9"/>
      <c r="BO1370" s="9"/>
      <c r="BP1370" s="9"/>
      <c r="BQ1370" s="9"/>
      <c r="BR1370" s="9"/>
      <c r="BS1370" s="9"/>
      <c r="BT1370" s="9"/>
      <c r="BU1370" s="9"/>
      <c r="BV1370" s="9"/>
      <c r="BW1370" s="9"/>
      <c r="BX1370" s="9"/>
      <c r="BY1370" s="9"/>
      <c r="BZ1370" s="9"/>
      <c r="CA1370" s="9"/>
      <c r="CB1370" s="9"/>
      <c r="CC1370" s="9"/>
      <c r="CD1370" s="9"/>
      <c r="CE1370" s="9"/>
      <c r="CF1370" s="9"/>
      <c r="CG1370" s="9"/>
    </row>
    <row r="1371" spans="1:85" x14ac:dyDescent="0.3">
      <c r="A1371" s="9">
        <f t="shared" si="105"/>
        <v>1370</v>
      </c>
      <c r="B1371" s="9" t="str">
        <f t="shared" si="106"/>
        <v/>
      </c>
      <c r="C1371" s="9"/>
      <c r="D1371" s="9"/>
      <c r="E1371" s="9">
        <f t="shared" si="107"/>
        <v>0</v>
      </c>
      <c r="F1371" s="9"/>
      <c r="G1371" s="9"/>
      <c r="H1371" s="9"/>
      <c r="I1371" s="9"/>
      <c r="J1371" s="9"/>
      <c r="K1371" s="9"/>
      <c r="L1371" s="9"/>
      <c r="M1371" s="9"/>
      <c r="N1371" s="9" t="str">
        <f t="shared" si="108"/>
        <v>NO</v>
      </c>
      <c r="O1371" s="9" t="str">
        <f t="shared" si="109"/>
        <v>🟡</v>
      </c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  <c r="AN1371" s="9"/>
      <c r="AO1371" s="9"/>
      <c r="AP1371" s="9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  <c r="BA1371" s="9"/>
      <c r="BB1371" s="9"/>
      <c r="BC1371" s="9"/>
      <c r="BD1371" s="9"/>
      <c r="BE1371" s="9"/>
      <c r="BF1371" s="9"/>
      <c r="BG1371" s="9"/>
      <c r="BH1371" s="9"/>
      <c r="BI1371" s="9"/>
      <c r="BJ1371" s="9"/>
      <c r="BK1371" s="9"/>
      <c r="BL1371" s="9"/>
      <c r="BM1371" s="9"/>
      <c r="BN1371" s="9"/>
      <c r="BO1371" s="9"/>
      <c r="BP1371" s="9"/>
      <c r="BQ1371" s="9"/>
      <c r="BR1371" s="9"/>
      <c r="BS1371" s="9"/>
      <c r="BT1371" s="9"/>
      <c r="BU1371" s="9"/>
      <c r="BV1371" s="9"/>
      <c r="BW1371" s="9"/>
      <c r="BX1371" s="9"/>
      <c r="BY1371" s="9"/>
      <c r="BZ1371" s="9"/>
      <c r="CA1371" s="9"/>
      <c r="CB1371" s="9"/>
      <c r="CC1371" s="9"/>
      <c r="CD1371" s="9"/>
      <c r="CE1371" s="9"/>
      <c r="CF1371" s="9"/>
      <c r="CG1371" s="9"/>
    </row>
    <row r="1372" spans="1:85" x14ac:dyDescent="0.3">
      <c r="A1372" s="9">
        <f t="shared" si="105"/>
        <v>1371</v>
      </c>
      <c r="B1372" s="9" t="str">
        <f t="shared" si="106"/>
        <v/>
      </c>
      <c r="C1372" s="9"/>
      <c r="D1372" s="9"/>
      <c r="E1372" s="9">
        <f t="shared" si="107"/>
        <v>0</v>
      </c>
      <c r="F1372" s="9"/>
      <c r="G1372" s="9"/>
      <c r="H1372" s="9"/>
      <c r="I1372" s="9"/>
      <c r="J1372" s="9"/>
      <c r="K1372" s="9"/>
      <c r="L1372" s="9"/>
      <c r="M1372" s="9"/>
      <c r="N1372" s="9" t="str">
        <f t="shared" si="108"/>
        <v>NO</v>
      </c>
      <c r="O1372" s="9" t="str">
        <f t="shared" si="109"/>
        <v>🟡</v>
      </c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9"/>
      <c r="BD1372" s="9"/>
      <c r="BE1372" s="9"/>
      <c r="BF1372" s="9"/>
      <c r="BG1372" s="9"/>
      <c r="BH1372" s="9"/>
      <c r="BI1372" s="9"/>
      <c r="BJ1372" s="9"/>
      <c r="BK1372" s="9"/>
      <c r="BL1372" s="9"/>
      <c r="BM1372" s="9"/>
      <c r="BN1372" s="9"/>
      <c r="BO1372" s="9"/>
      <c r="BP1372" s="9"/>
      <c r="BQ1372" s="9"/>
      <c r="BR1372" s="9"/>
      <c r="BS1372" s="9"/>
      <c r="BT1372" s="9"/>
      <c r="BU1372" s="9"/>
      <c r="BV1372" s="9"/>
      <c r="BW1372" s="9"/>
      <c r="BX1372" s="9"/>
      <c r="BY1372" s="9"/>
      <c r="BZ1372" s="9"/>
      <c r="CA1372" s="9"/>
      <c r="CB1372" s="9"/>
      <c r="CC1372" s="9"/>
      <c r="CD1372" s="9"/>
      <c r="CE1372" s="9"/>
      <c r="CF1372" s="9"/>
      <c r="CG1372" s="9"/>
    </row>
    <row r="1373" spans="1:85" x14ac:dyDescent="0.3">
      <c r="A1373" s="9">
        <f t="shared" si="105"/>
        <v>1372</v>
      </c>
      <c r="B1373" s="9" t="str">
        <f t="shared" si="106"/>
        <v/>
      </c>
      <c r="C1373" s="9"/>
      <c r="D1373" s="9"/>
      <c r="E1373" s="9">
        <f t="shared" si="107"/>
        <v>0</v>
      </c>
      <c r="F1373" s="9"/>
      <c r="G1373" s="9"/>
      <c r="H1373" s="9"/>
      <c r="I1373" s="9"/>
      <c r="J1373" s="9"/>
      <c r="K1373" s="9"/>
      <c r="L1373" s="9"/>
      <c r="M1373" s="9"/>
      <c r="N1373" s="9" t="str">
        <f t="shared" si="108"/>
        <v>NO</v>
      </c>
      <c r="O1373" s="9" t="str">
        <f t="shared" si="109"/>
        <v>🟡</v>
      </c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  <c r="AN1373" s="9"/>
      <c r="AO1373" s="9"/>
      <c r="AP1373" s="9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  <c r="BA1373" s="9"/>
      <c r="BB1373" s="9"/>
      <c r="BC1373" s="9"/>
      <c r="BD1373" s="9"/>
      <c r="BE1373" s="9"/>
      <c r="BF1373" s="9"/>
      <c r="BG1373" s="9"/>
      <c r="BH1373" s="9"/>
      <c r="BI1373" s="9"/>
      <c r="BJ1373" s="9"/>
      <c r="BK1373" s="9"/>
      <c r="BL1373" s="9"/>
      <c r="BM1373" s="9"/>
      <c r="BN1373" s="9"/>
      <c r="BO1373" s="9"/>
      <c r="BP1373" s="9"/>
      <c r="BQ1373" s="9"/>
      <c r="BR1373" s="9"/>
      <c r="BS1373" s="9"/>
      <c r="BT1373" s="9"/>
      <c r="BU1373" s="9"/>
      <c r="BV1373" s="9"/>
      <c r="BW1373" s="9"/>
      <c r="BX1373" s="9"/>
      <c r="BY1373" s="9"/>
      <c r="BZ1373" s="9"/>
      <c r="CA1373" s="9"/>
      <c r="CB1373" s="9"/>
      <c r="CC1373" s="9"/>
      <c r="CD1373" s="9"/>
      <c r="CE1373" s="9"/>
      <c r="CF1373" s="9"/>
      <c r="CG1373" s="9"/>
    </row>
    <row r="1374" spans="1:85" x14ac:dyDescent="0.3">
      <c r="A1374" s="9">
        <f t="shared" si="105"/>
        <v>1373</v>
      </c>
      <c r="B1374" s="9" t="str">
        <f t="shared" si="106"/>
        <v/>
      </c>
      <c r="C1374" s="9"/>
      <c r="D1374" s="9"/>
      <c r="E1374" s="9">
        <f t="shared" si="107"/>
        <v>0</v>
      </c>
      <c r="F1374" s="9"/>
      <c r="G1374" s="9"/>
      <c r="H1374" s="9"/>
      <c r="I1374" s="9"/>
      <c r="J1374" s="9"/>
      <c r="K1374" s="9"/>
      <c r="L1374" s="9"/>
      <c r="M1374" s="9"/>
      <c r="N1374" s="9" t="str">
        <f t="shared" si="108"/>
        <v>NO</v>
      </c>
      <c r="O1374" s="9" t="str">
        <f t="shared" si="109"/>
        <v>🟡</v>
      </c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9"/>
      <c r="AO1374" s="9"/>
      <c r="AP1374" s="9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  <c r="BA1374" s="9"/>
      <c r="BB1374" s="9"/>
      <c r="BC1374" s="9"/>
      <c r="BD1374" s="9"/>
      <c r="BE1374" s="9"/>
      <c r="BF1374" s="9"/>
      <c r="BG1374" s="9"/>
      <c r="BH1374" s="9"/>
      <c r="BI1374" s="9"/>
      <c r="BJ1374" s="9"/>
      <c r="BK1374" s="9"/>
      <c r="BL1374" s="9"/>
      <c r="BM1374" s="9"/>
      <c r="BN1374" s="9"/>
      <c r="BO1374" s="9"/>
      <c r="BP1374" s="9"/>
      <c r="BQ1374" s="9"/>
      <c r="BR1374" s="9"/>
      <c r="BS1374" s="9"/>
      <c r="BT1374" s="9"/>
      <c r="BU1374" s="9"/>
      <c r="BV1374" s="9"/>
      <c r="BW1374" s="9"/>
      <c r="BX1374" s="9"/>
      <c r="BY1374" s="9"/>
      <c r="BZ1374" s="9"/>
      <c r="CA1374" s="9"/>
      <c r="CB1374" s="9"/>
      <c r="CC1374" s="9"/>
      <c r="CD1374" s="9"/>
      <c r="CE1374" s="9"/>
      <c r="CF1374" s="9"/>
      <c r="CG1374" s="9"/>
    </row>
    <row r="1375" spans="1:85" x14ac:dyDescent="0.3">
      <c r="A1375" s="9">
        <f t="shared" si="105"/>
        <v>1374</v>
      </c>
      <c r="B1375" s="9" t="str">
        <f t="shared" si="106"/>
        <v/>
      </c>
      <c r="C1375" s="9"/>
      <c r="D1375" s="9"/>
      <c r="E1375" s="9">
        <f t="shared" si="107"/>
        <v>0</v>
      </c>
      <c r="F1375" s="9"/>
      <c r="G1375" s="9"/>
      <c r="H1375" s="9"/>
      <c r="I1375" s="9"/>
      <c r="J1375" s="9"/>
      <c r="K1375" s="9"/>
      <c r="L1375" s="9"/>
      <c r="M1375" s="9"/>
      <c r="N1375" s="9" t="str">
        <f t="shared" si="108"/>
        <v>NO</v>
      </c>
      <c r="O1375" s="9" t="str">
        <f t="shared" si="109"/>
        <v>🟡</v>
      </c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  <c r="AN1375" s="9"/>
      <c r="AO1375" s="9"/>
      <c r="AP1375" s="9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  <c r="BA1375" s="9"/>
      <c r="BB1375" s="9"/>
      <c r="BC1375" s="9"/>
      <c r="BD1375" s="9"/>
      <c r="BE1375" s="9"/>
      <c r="BF1375" s="9"/>
      <c r="BG1375" s="9"/>
      <c r="BH1375" s="9"/>
      <c r="BI1375" s="9"/>
      <c r="BJ1375" s="9"/>
      <c r="BK1375" s="9"/>
      <c r="BL1375" s="9"/>
      <c r="BM1375" s="9"/>
      <c r="BN1375" s="9"/>
      <c r="BO1375" s="9"/>
      <c r="BP1375" s="9"/>
      <c r="BQ1375" s="9"/>
      <c r="BR1375" s="9"/>
      <c r="BS1375" s="9"/>
      <c r="BT1375" s="9"/>
      <c r="BU1375" s="9"/>
      <c r="BV1375" s="9"/>
      <c r="BW1375" s="9"/>
      <c r="BX1375" s="9"/>
      <c r="BY1375" s="9"/>
      <c r="BZ1375" s="9"/>
      <c r="CA1375" s="9"/>
      <c r="CB1375" s="9"/>
      <c r="CC1375" s="9"/>
      <c r="CD1375" s="9"/>
      <c r="CE1375" s="9"/>
      <c r="CF1375" s="9"/>
      <c r="CG1375" s="9"/>
    </row>
    <row r="1376" spans="1:85" x14ac:dyDescent="0.3">
      <c r="A1376" s="9">
        <f t="shared" si="105"/>
        <v>1375</v>
      </c>
      <c r="B1376" s="9" t="str">
        <f t="shared" si="106"/>
        <v/>
      </c>
      <c r="C1376" s="9"/>
      <c r="D1376" s="9"/>
      <c r="E1376" s="9">
        <f t="shared" si="107"/>
        <v>0</v>
      </c>
      <c r="F1376" s="9"/>
      <c r="G1376" s="9"/>
      <c r="H1376" s="9"/>
      <c r="I1376" s="9"/>
      <c r="J1376" s="9"/>
      <c r="K1376" s="9"/>
      <c r="L1376" s="9"/>
      <c r="M1376" s="9"/>
      <c r="N1376" s="9" t="str">
        <f t="shared" si="108"/>
        <v>NO</v>
      </c>
      <c r="O1376" s="9" t="str">
        <f t="shared" si="109"/>
        <v>🟡</v>
      </c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  <c r="AN1376" s="9"/>
      <c r="AO1376" s="9"/>
      <c r="AP1376" s="9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  <c r="BA1376" s="9"/>
      <c r="BB1376" s="9"/>
      <c r="BC1376" s="9"/>
      <c r="BD1376" s="9"/>
      <c r="BE1376" s="9"/>
      <c r="BF1376" s="9"/>
      <c r="BG1376" s="9"/>
      <c r="BH1376" s="9"/>
      <c r="BI1376" s="9"/>
      <c r="BJ1376" s="9"/>
      <c r="BK1376" s="9"/>
      <c r="BL1376" s="9"/>
      <c r="BM1376" s="9"/>
      <c r="BN1376" s="9"/>
      <c r="BO1376" s="9"/>
      <c r="BP1376" s="9"/>
      <c r="BQ1376" s="9"/>
      <c r="BR1376" s="9"/>
      <c r="BS1376" s="9"/>
      <c r="BT1376" s="9"/>
      <c r="BU1376" s="9"/>
      <c r="BV1376" s="9"/>
      <c r="BW1376" s="9"/>
      <c r="BX1376" s="9"/>
      <c r="BY1376" s="9"/>
      <c r="BZ1376" s="9"/>
      <c r="CA1376" s="9"/>
      <c r="CB1376" s="9"/>
      <c r="CC1376" s="9"/>
      <c r="CD1376" s="9"/>
      <c r="CE1376" s="9"/>
      <c r="CF1376" s="9"/>
      <c r="CG1376" s="9"/>
    </row>
    <row r="1377" spans="1:85" x14ac:dyDescent="0.3">
      <c r="A1377" s="9">
        <f t="shared" si="105"/>
        <v>1376</v>
      </c>
      <c r="B1377" s="9" t="str">
        <f t="shared" si="106"/>
        <v/>
      </c>
      <c r="C1377" s="9"/>
      <c r="D1377" s="9"/>
      <c r="E1377" s="9">
        <f t="shared" si="107"/>
        <v>0</v>
      </c>
      <c r="F1377" s="9"/>
      <c r="G1377" s="9"/>
      <c r="H1377" s="9"/>
      <c r="I1377" s="9"/>
      <c r="J1377" s="9"/>
      <c r="K1377" s="9"/>
      <c r="L1377" s="9"/>
      <c r="M1377" s="9"/>
      <c r="N1377" s="9" t="str">
        <f t="shared" si="108"/>
        <v>NO</v>
      </c>
      <c r="O1377" s="9" t="str">
        <f t="shared" si="109"/>
        <v>🟡</v>
      </c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9"/>
      <c r="AO1377" s="9"/>
      <c r="AP1377" s="9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  <c r="BA1377" s="9"/>
      <c r="BB1377" s="9"/>
      <c r="BC1377" s="9"/>
      <c r="BD1377" s="9"/>
      <c r="BE1377" s="9"/>
      <c r="BF1377" s="9"/>
      <c r="BG1377" s="9"/>
      <c r="BH1377" s="9"/>
      <c r="BI1377" s="9"/>
      <c r="BJ1377" s="9"/>
      <c r="BK1377" s="9"/>
      <c r="BL1377" s="9"/>
      <c r="BM1377" s="9"/>
      <c r="BN1377" s="9"/>
      <c r="BO1377" s="9"/>
      <c r="BP1377" s="9"/>
      <c r="BQ1377" s="9"/>
      <c r="BR1377" s="9"/>
      <c r="BS1377" s="9"/>
      <c r="BT1377" s="9"/>
      <c r="BU1377" s="9"/>
      <c r="BV1377" s="9"/>
      <c r="BW1377" s="9"/>
      <c r="BX1377" s="9"/>
      <c r="BY1377" s="9"/>
      <c r="BZ1377" s="9"/>
      <c r="CA1377" s="9"/>
      <c r="CB1377" s="9"/>
      <c r="CC1377" s="9"/>
      <c r="CD1377" s="9"/>
      <c r="CE1377" s="9"/>
      <c r="CF1377" s="9"/>
      <c r="CG1377" s="9"/>
    </row>
    <row r="1378" spans="1:85" x14ac:dyDescent="0.3">
      <c r="A1378" s="9">
        <f t="shared" si="105"/>
        <v>1377</v>
      </c>
      <c r="B1378" s="9" t="str">
        <f t="shared" si="106"/>
        <v/>
      </c>
      <c r="C1378" s="9"/>
      <c r="D1378" s="9"/>
      <c r="E1378" s="9">
        <f t="shared" si="107"/>
        <v>0</v>
      </c>
      <c r="F1378" s="9"/>
      <c r="G1378" s="9"/>
      <c r="H1378" s="9"/>
      <c r="I1378" s="9"/>
      <c r="J1378" s="9"/>
      <c r="K1378" s="9"/>
      <c r="L1378" s="9"/>
      <c r="M1378" s="9"/>
      <c r="N1378" s="9" t="str">
        <f t="shared" si="108"/>
        <v>NO</v>
      </c>
      <c r="O1378" s="9" t="str">
        <f t="shared" si="109"/>
        <v>🟡</v>
      </c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  <c r="AN1378" s="9"/>
      <c r="AO1378" s="9"/>
      <c r="AP1378" s="9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  <c r="BA1378" s="9"/>
      <c r="BB1378" s="9"/>
      <c r="BC1378" s="9"/>
      <c r="BD1378" s="9"/>
      <c r="BE1378" s="9"/>
      <c r="BF1378" s="9"/>
      <c r="BG1378" s="9"/>
      <c r="BH1378" s="9"/>
      <c r="BI1378" s="9"/>
      <c r="BJ1378" s="9"/>
      <c r="BK1378" s="9"/>
      <c r="BL1378" s="9"/>
      <c r="BM1378" s="9"/>
      <c r="BN1378" s="9"/>
      <c r="BO1378" s="9"/>
      <c r="BP1378" s="9"/>
      <c r="BQ1378" s="9"/>
      <c r="BR1378" s="9"/>
      <c r="BS1378" s="9"/>
      <c r="BT1378" s="9"/>
      <c r="BU1378" s="9"/>
      <c r="BV1378" s="9"/>
      <c r="BW1378" s="9"/>
      <c r="BX1378" s="9"/>
      <c r="BY1378" s="9"/>
      <c r="BZ1378" s="9"/>
      <c r="CA1378" s="9"/>
      <c r="CB1378" s="9"/>
      <c r="CC1378" s="9"/>
      <c r="CD1378" s="9"/>
      <c r="CE1378" s="9"/>
      <c r="CF1378" s="9"/>
      <c r="CG1378" s="9"/>
    </row>
    <row r="1379" spans="1:85" x14ac:dyDescent="0.3">
      <c r="A1379" s="9">
        <f t="shared" si="105"/>
        <v>1378</v>
      </c>
      <c r="B1379" s="9" t="str">
        <f t="shared" si="106"/>
        <v/>
      </c>
      <c r="C1379" s="9"/>
      <c r="D1379" s="9"/>
      <c r="E1379" s="9">
        <f t="shared" si="107"/>
        <v>0</v>
      </c>
      <c r="F1379" s="9"/>
      <c r="G1379" s="9"/>
      <c r="H1379" s="9"/>
      <c r="I1379" s="9"/>
      <c r="J1379" s="9"/>
      <c r="K1379" s="9"/>
      <c r="L1379" s="9"/>
      <c r="M1379" s="9"/>
      <c r="N1379" s="9" t="str">
        <f t="shared" si="108"/>
        <v>NO</v>
      </c>
      <c r="O1379" s="9" t="str">
        <f t="shared" si="109"/>
        <v>🟡</v>
      </c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9"/>
      <c r="AO1379" s="9"/>
      <c r="AP1379" s="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  <c r="BA1379" s="9"/>
      <c r="BB1379" s="9"/>
      <c r="BC1379" s="9"/>
      <c r="BD1379" s="9"/>
      <c r="BE1379" s="9"/>
      <c r="BF1379" s="9"/>
      <c r="BG1379" s="9"/>
      <c r="BH1379" s="9"/>
      <c r="BI1379" s="9"/>
      <c r="BJ1379" s="9"/>
      <c r="BK1379" s="9"/>
      <c r="BL1379" s="9"/>
      <c r="BM1379" s="9"/>
      <c r="BN1379" s="9"/>
      <c r="BO1379" s="9"/>
      <c r="BP1379" s="9"/>
      <c r="BQ1379" s="9"/>
      <c r="BR1379" s="9"/>
      <c r="BS1379" s="9"/>
      <c r="BT1379" s="9"/>
      <c r="BU1379" s="9"/>
      <c r="BV1379" s="9"/>
      <c r="BW1379" s="9"/>
      <c r="BX1379" s="9"/>
      <c r="BY1379" s="9"/>
      <c r="BZ1379" s="9"/>
      <c r="CA1379" s="9"/>
      <c r="CB1379" s="9"/>
      <c r="CC1379" s="9"/>
      <c r="CD1379" s="9"/>
      <c r="CE1379" s="9"/>
      <c r="CF1379" s="9"/>
      <c r="CG1379" s="9"/>
    </row>
    <row r="1380" spans="1:85" x14ac:dyDescent="0.3">
      <c r="A1380" s="9">
        <f t="shared" si="105"/>
        <v>1379</v>
      </c>
      <c r="B1380" s="9" t="str">
        <f t="shared" si="106"/>
        <v/>
      </c>
      <c r="C1380" s="9"/>
      <c r="D1380" s="9"/>
      <c r="E1380" s="9">
        <f t="shared" si="107"/>
        <v>0</v>
      </c>
      <c r="F1380" s="9"/>
      <c r="G1380" s="9"/>
      <c r="H1380" s="9"/>
      <c r="I1380" s="9"/>
      <c r="J1380" s="9"/>
      <c r="K1380" s="9"/>
      <c r="L1380" s="9"/>
      <c r="M1380" s="9"/>
      <c r="N1380" s="9" t="str">
        <f t="shared" si="108"/>
        <v>NO</v>
      </c>
      <c r="O1380" s="9" t="str">
        <f t="shared" si="109"/>
        <v>🟡</v>
      </c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  <c r="AN1380" s="9"/>
      <c r="AO1380" s="9"/>
      <c r="AP1380" s="9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  <c r="BA1380" s="9"/>
      <c r="BB1380" s="9"/>
      <c r="BC1380" s="9"/>
      <c r="BD1380" s="9"/>
      <c r="BE1380" s="9"/>
      <c r="BF1380" s="9"/>
      <c r="BG1380" s="9"/>
      <c r="BH1380" s="9"/>
      <c r="BI1380" s="9"/>
      <c r="BJ1380" s="9"/>
      <c r="BK1380" s="9"/>
      <c r="BL1380" s="9"/>
      <c r="BM1380" s="9"/>
      <c r="BN1380" s="9"/>
      <c r="BO1380" s="9"/>
      <c r="BP1380" s="9"/>
      <c r="BQ1380" s="9"/>
      <c r="BR1380" s="9"/>
      <c r="BS1380" s="9"/>
      <c r="BT1380" s="9"/>
      <c r="BU1380" s="9"/>
      <c r="BV1380" s="9"/>
      <c r="BW1380" s="9"/>
      <c r="BX1380" s="9"/>
      <c r="BY1380" s="9"/>
      <c r="BZ1380" s="9"/>
      <c r="CA1380" s="9"/>
      <c r="CB1380" s="9"/>
      <c r="CC1380" s="9"/>
      <c r="CD1380" s="9"/>
      <c r="CE1380" s="9"/>
      <c r="CF1380" s="9"/>
      <c r="CG1380" s="9"/>
    </row>
    <row r="1381" spans="1:85" x14ac:dyDescent="0.3">
      <c r="A1381" s="9">
        <f t="shared" si="105"/>
        <v>1380</v>
      </c>
      <c r="B1381" s="9" t="str">
        <f t="shared" si="106"/>
        <v/>
      </c>
      <c r="C1381" s="9"/>
      <c r="D1381" s="9"/>
      <c r="E1381" s="9">
        <f t="shared" si="107"/>
        <v>0</v>
      </c>
      <c r="F1381" s="9"/>
      <c r="G1381" s="9"/>
      <c r="H1381" s="9"/>
      <c r="I1381" s="9"/>
      <c r="J1381" s="9"/>
      <c r="K1381" s="9"/>
      <c r="L1381" s="9"/>
      <c r="M1381" s="9"/>
      <c r="N1381" s="9" t="str">
        <f t="shared" si="108"/>
        <v>NO</v>
      </c>
      <c r="O1381" s="9" t="str">
        <f t="shared" si="109"/>
        <v>🟡</v>
      </c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9"/>
      <c r="AO1381" s="9"/>
      <c r="AP1381" s="9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  <c r="BA1381" s="9"/>
      <c r="BB1381" s="9"/>
      <c r="BC1381" s="9"/>
      <c r="BD1381" s="9"/>
      <c r="BE1381" s="9"/>
      <c r="BF1381" s="9"/>
      <c r="BG1381" s="9"/>
      <c r="BH1381" s="9"/>
      <c r="BI1381" s="9"/>
      <c r="BJ1381" s="9"/>
      <c r="BK1381" s="9"/>
      <c r="BL1381" s="9"/>
      <c r="BM1381" s="9"/>
      <c r="BN1381" s="9"/>
      <c r="BO1381" s="9"/>
      <c r="BP1381" s="9"/>
      <c r="BQ1381" s="9"/>
      <c r="BR1381" s="9"/>
      <c r="BS1381" s="9"/>
      <c r="BT1381" s="9"/>
      <c r="BU1381" s="9"/>
      <c r="BV1381" s="9"/>
      <c r="BW1381" s="9"/>
      <c r="BX1381" s="9"/>
      <c r="BY1381" s="9"/>
      <c r="BZ1381" s="9"/>
      <c r="CA1381" s="9"/>
      <c r="CB1381" s="9"/>
      <c r="CC1381" s="9"/>
      <c r="CD1381" s="9"/>
      <c r="CE1381" s="9"/>
      <c r="CF1381" s="9"/>
      <c r="CG1381" s="9"/>
    </row>
    <row r="1382" spans="1:85" x14ac:dyDescent="0.3">
      <c r="A1382" s="9">
        <f t="shared" si="105"/>
        <v>1381</v>
      </c>
      <c r="B1382" s="9" t="str">
        <f t="shared" si="106"/>
        <v/>
      </c>
      <c r="C1382" s="9"/>
      <c r="D1382" s="9"/>
      <c r="E1382" s="9">
        <f t="shared" si="107"/>
        <v>0</v>
      </c>
      <c r="F1382" s="9"/>
      <c r="G1382" s="9"/>
      <c r="H1382" s="9"/>
      <c r="I1382" s="9"/>
      <c r="J1382" s="9"/>
      <c r="K1382" s="9"/>
      <c r="L1382" s="9"/>
      <c r="M1382" s="9"/>
      <c r="N1382" s="9" t="str">
        <f t="shared" si="108"/>
        <v>NO</v>
      </c>
      <c r="O1382" s="9" t="str">
        <f t="shared" si="109"/>
        <v>🟡</v>
      </c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  <c r="AN1382" s="9"/>
      <c r="AO1382" s="9"/>
      <c r="AP1382" s="9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  <c r="BA1382" s="9"/>
      <c r="BB1382" s="9"/>
      <c r="BC1382" s="9"/>
      <c r="BD1382" s="9"/>
      <c r="BE1382" s="9"/>
      <c r="BF1382" s="9"/>
      <c r="BG1382" s="9"/>
      <c r="BH1382" s="9"/>
      <c r="BI1382" s="9"/>
      <c r="BJ1382" s="9"/>
      <c r="BK1382" s="9"/>
      <c r="BL1382" s="9"/>
      <c r="BM1382" s="9"/>
      <c r="BN1382" s="9"/>
      <c r="BO1382" s="9"/>
      <c r="BP1382" s="9"/>
      <c r="BQ1382" s="9"/>
      <c r="BR1382" s="9"/>
      <c r="BS1382" s="9"/>
      <c r="BT1382" s="9"/>
      <c r="BU1382" s="9"/>
      <c r="BV1382" s="9"/>
      <c r="BW1382" s="9"/>
      <c r="BX1382" s="9"/>
      <c r="BY1382" s="9"/>
      <c r="BZ1382" s="9"/>
      <c r="CA1382" s="9"/>
      <c r="CB1382" s="9"/>
      <c r="CC1382" s="9"/>
      <c r="CD1382" s="9"/>
      <c r="CE1382" s="9"/>
      <c r="CF1382" s="9"/>
      <c r="CG1382" s="9"/>
    </row>
    <row r="1383" spans="1:85" x14ac:dyDescent="0.3">
      <c r="A1383" s="9">
        <f t="shared" si="105"/>
        <v>1382</v>
      </c>
      <c r="B1383" s="9" t="str">
        <f t="shared" si="106"/>
        <v/>
      </c>
      <c r="C1383" s="9"/>
      <c r="D1383" s="9"/>
      <c r="E1383" s="9">
        <f t="shared" si="107"/>
        <v>0</v>
      </c>
      <c r="F1383" s="9"/>
      <c r="G1383" s="9"/>
      <c r="H1383" s="9"/>
      <c r="I1383" s="9"/>
      <c r="J1383" s="9"/>
      <c r="K1383" s="9"/>
      <c r="L1383" s="9"/>
      <c r="M1383" s="9"/>
      <c r="N1383" s="9" t="str">
        <f t="shared" si="108"/>
        <v>NO</v>
      </c>
      <c r="O1383" s="9" t="str">
        <f t="shared" si="109"/>
        <v>🟡</v>
      </c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  <c r="AN1383" s="9"/>
      <c r="AO1383" s="9"/>
      <c r="AP1383" s="9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  <c r="BA1383" s="9"/>
      <c r="BB1383" s="9"/>
      <c r="BC1383" s="9"/>
      <c r="BD1383" s="9"/>
      <c r="BE1383" s="9"/>
      <c r="BF1383" s="9"/>
      <c r="BG1383" s="9"/>
      <c r="BH1383" s="9"/>
      <c r="BI1383" s="9"/>
      <c r="BJ1383" s="9"/>
      <c r="BK1383" s="9"/>
      <c r="BL1383" s="9"/>
      <c r="BM1383" s="9"/>
      <c r="BN1383" s="9"/>
      <c r="BO1383" s="9"/>
      <c r="BP1383" s="9"/>
      <c r="BQ1383" s="9"/>
      <c r="BR1383" s="9"/>
      <c r="BS1383" s="9"/>
      <c r="BT1383" s="9"/>
      <c r="BU1383" s="9"/>
      <c r="BV1383" s="9"/>
      <c r="BW1383" s="9"/>
      <c r="BX1383" s="9"/>
      <c r="BY1383" s="9"/>
      <c r="BZ1383" s="9"/>
      <c r="CA1383" s="9"/>
      <c r="CB1383" s="9"/>
      <c r="CC1383" s="9"/>
      <c r="CD1383" s="9"/>
      <c r="CE1383" s="9"/>
      <c r="CF1383" s="9"/>
      <c r="CG1383" s="9"/>
    </row>
    <row r="1384" spans="1:85" x14ac:dyDescent="0.3">
      <c r="A1384" s="9">
        <f t="shared" si="105"/>
        <v>1383</v>
      </c>
      <c r="B1384" s="9" t="str">
        <f t="shared" si="106"/>
        <v/>
      </c>
      <c r="C1384" s="9"/>
      <c r="D1384" s="9"/>
      <c r="E1384" s="9">
        <f t="shared" si="107"/>
        <v>0</v>
      </c>
      <c r="F1384" s="9"/>
      <c r="G1384" s="9"/>
      <c r="H1384" s="9"/>
      <c r="I1384" s="9"/>
      <c r="J1384" s="9"/>
      <c r="K1384" s="9"/>
      <c r="L1384" s="9"/>
      <c r="M1384" s="9"/>
      <c r="N1384" s="9" t="str">
        <f t="shared" si="108"/>
        <v>NO</v>
      </c>
      <c r="O1384" s="9" t="str">
        <f t="shared" si="109"/>
        <v>🟡</v>
      </c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9"/>
      <c r="AO1384" s="9"/>
      <c r="AP1384" s="9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  <c r="BA1384" s="9"/>
      <c r="BB1384" s="9"/>
      <c r="BC1384" s="9"/>
      <c r="BD1384" s="9"/>
      <c r="BE1384" s="9"/>
      <c r="BF1384" s="9"/>
      <c r="BG1384" s="9"/>
      <c r="BH1384" s="9"/>
      <c r="BI1384" s="9"/>
      <c r="BJ1384" s="9"/>
      <c r="BK1384" s="9"/>
      <c r="BL1384" s="9"/>
      <c r="BM1384" s="9"/>
      <c r="BN1384" s="9"/>
      <c r="BO1384" s="9"/>
      <c r="BP1384" s="9"/>
      <c r="BQ1384" s="9"/>
      <c r="BR1384" s="9"/>
      <c r="BS1384" s="9"/>
      <c r="BT1384" s="9"/>
      <c r="BU1384" s="9"/>
      <c r="BV1384" s="9"/>
      <c r="BW1384" s="9"/>
      <c r="BX1384" s="9"/>
      <c r="BY1384" s="9"/>
      <c r="BZ1384" s="9"/>
      <c r="CA1384" s="9"/>
      <c r="CB1384" s="9"/>
      <c r="CC1384" s="9"/>
      <c r="CD1384" s="9"/>
      <c r="CE1384" s="9"/>
      <c r="CF1384" s="9"/>
      <c r="CG1384" s="9"/>
    </row>
    <row r="1385" spans="1:85" x14ac:dyDescent="0.3">
      <c r="A1385" s="9">
        <f t="shared" si="105"/>
        <v>1384</v>
      </c>
      <c r="B1385" s="9" t="str">
        <f t="shared" si="106"/>
        <v/>
      </c>
      <c r="C1385" s="9"/>
      <c r="D1385" s="9"/>
      <c r="E1385" s="9">
        <f t="shared" si="107"/>
        <v>0</v>
      </c>
      <c r="F1385" s="9"/>
      <c r="G1385" s="9"/>
      <c r="H1385" s="9"/>
      <c r="I1385" s="9"/>
      <c r="J1385" s="9"/>
      <c r="K1385" s="9"/>
      <c r="L1385" s="9"/>
      <c r="M1385" s="9"/>
      <c r="N1385" s="9" t="str">
        <f t="shared" si="108"/>
        <v>NO</v>
      </c>
      <c r="O1385" s="9" t="str">
        <f t="shared" si="109"/>
        <v>🟡</v>
      </c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  <c r="AN1385" s="9"/>
      <c r="AO1385" s="9"/>
      <c r="AP1385" s="9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  <c r="BA1385" s="9"/>
      <c r="BB1385" s="9"/>
      <c r="BC1385" s="9"/>
      <c r="BD1385" s="9"/>
      <c r="BE1385" s="9"/>
      <c r="BF1385" s="9"/>
      <c r="BG1385" s="9"/>
      <c r="BH1385" s="9"/>
      <c r="BI1385" s="9"/>
      <c r="BJ1385" s="9"/>
      <c r="BK1385" s="9"/>
      <c r="BL1385" s="9"/>
      <c r="BM1385" s="9"/>
      <c r="BN1385" s="9"/>
      <c r="BO1385" s="9"/>
      <c r="BP1385" s="9"/>
      <c r="BQ1385" s="9"/>
      <c r="BR1385" s="9"/>
      <c r="BS1385" s="9"/>
      <c r="BT1385" s="9"/>
      <c r="BU1385" s="9"/>
      <c r="BV1385" s="9"/>
      <c r="BW1385" s="9"/>
      <c r="BX1385" s="9"/>
      <c r="BY1385" s="9"/>
      <c r="BZ1385" s="9"/>
      <c r="CA1385" s="9"/>
      <c r="CB1385" s="9"/>
      <c r="CC1385" s="9"/>
      <c r="CD1385" s="9"/>
      <c r="CE1385" s="9"/>
      <c r="CF1385" s="9"/>
      <c r="CG1385" s="9"/>
    </row>
    <row r="1386" spans="1:85" x14ac:dyDescent="0.3">
      <c r="A1386" s="9">
        <f t="shared" si="105"/>
        <v>1385</v>
      </c>
      <c r="B1386" s="9" t="str">
        <f t="shared" si="106"/>
        <v/>
      </c>
      <c r="C1386" s="9"/>
      <c r="D1386" s="9"/>
      <c r="E1386" s="9">
        <f t="shared" si="107"/>
        <v>0</v>
      </c>
      <c r="F1386" s="9"/>
      <c r="G1386" s="9"/>
      <c r="H1386" s="9"/>
      <c r="I1386" s="9"/>
      <c r="J1386" s="9"/>
      <c r="K1386" s="9"/>
      <c r="L1386" s="9"/>
      <c r="M1386" s="9"/>
      <c r="N1386" s="9" t="str">
        <f t="shared" si="108"/>
        <v>NO</v>
      </c>
      <c r="O1386" s="9" t="str">
        <f t="shared" si="109"/>
        <v>🟡</v>
      </c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9"/>
      <c r="AO1386" s="9"/>
      <c r="AP1386" s="9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  <c r="BA1386" s="9"/>
      <c r="BB1386" s="9"/>
      <c r="BC1386" s="9"/>
      <c r="BD1386" s="9"/>
      <c r="BE1386" s="9"/>
      <c r="BF1386" s="9"/>
      <c r="BG1386" s="9"/>
      <c r="BH1386" s="9"/>
      <c r="BI1386" s="9"/>
      <c r="BJ1386" s="9"/>
      <c r="BK1386" s="9"/>
      <c r="BL1386" s="9"/>
      <c r="BM1386" s="9"/>
      <c r="BN1386" s="9"/>
      <c r="BO1386" s="9"/>
      <c r="BP1386" s="9"/>
      <c r="BQ1386" s="9"/>
      <c r="BR1386" s="9"/>
      <c r="BS1386" s="9"/>
      <c r="BT1386" s="9"/>
      <c r="BU1386" s="9"/>
      <c r="BV1386" s="9"/>
      <c r="BW1386" s="9"/>
      <c r="BX1386" s="9"/>
      <c r="BY1386" s="9"/>
      <c r="BZ1386" s="9"/>
      <c r="CA1386" s="9"/>
      <c r="CB1386" s="9"/>
      <c r="CC1386" s="9"/>
      <c r="CD1386" s="9"/>
      <c r="CE1386" s="9"/>
      <c r="CF1386" s="9"/>
      <c r="CG1386" s="9"/>
    </row>
    <row r="1387" spans="1:85" x14ac:dyDescent="0.3">
      <c r="A1387" s="9">
        <f t="shared" si="105"/>
        <v>1386</v>
      </c>
      <c r="B1387" s="9" t="str">
        <f t="shared" si="106"/>
        <v/>
      </c>
      <c r="C1387" s="9"/>
      <c r="D1387" s="9"/>
      <c r="E1387" s="9">
        <f t="shared" si="107"/>
        <v>0</v>
      </c>
      <c r="F1387" s="9"/>
      <c r="G1387" s="9"/>
      <c r="H1387" s="9"/>
      <c r="I1387" s="9"/>
      <c r="J1387" s="9"/>
      <c r="K1387" s="9"/>
      <c r="L1387" s="9"/>
      <c r="M1387" s="9"/>
      <c r="N1387" s="9" t="str">
        <f t="shared" si="108"/>
        <v>NO</v>
      </c>
      <c r="O1387" s="9" t="str">
        <f t="shared" si="109"/>
        <v>🟡</v>
      </c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  <c r="AN1387" s="9"/>
      <c r="AO1387" s="9"/>
      <c r="AP1387" s="9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  <c r="BA1387" s="9"/>
      <c r="BB1387" s="9"/>
      <c r="BC1387" s="9"/>
      <c r="BD1387" s="9"/>
      <c r="BE1387" s="9"/>
      <c r="BF1387" s="9"/>
      <c r="BG1387" s="9"/>
      <c r="BH1387" s="9"/>
      <c r="BI1387" s="9"/>
      <c r="BJ1387" s="9"/>
      <c r="BK1387" s="9"/>
      <c r="BL1387" s="9"/>
      <c r="BM1387" s="9"/>
      <c r="BN1387" s="9"/>
      <c r="BO1387" s="9"/>
      <c r="BP1387" s="9"/>
      <c r="BQ1387" s="9"/>
      <c r="BR1387" s="9"/>
      <c r="BS1387" s="9"/>
      <c r="BT1387" s="9"/>
      <c r="BU1387" s="9"/>
      <c r="BV1387" s="9"/>
      <c r="BW1387" s="9"/>
      <c r="BX1387" s="9"/>
      <c r="BY1387" s="9"/>
      <c r="BZ1387" s="9"/>
      <c r="CA1387" s="9"/>
      <c r="CB1387" s="9"/>
      <c r="CC1387" s="9"/>
      <c r="CD1387" s="9"/>
      <c r="CE1387" s="9"/>
      <c r="CF1387" s="9"/>
      <c r="CG1387" s="9"/>
    </row>
    <row r="1388" spans="1:85" x14ac:dyDescent="0.3">
      <c r="A1388" s="9">
        <f t="shared" si="105"/>
        <v>1387</v>
      </c>
      <c r="B1388" s="9" t="str">
        <f t="shared" si="106"/>
        <v/>
      </c>
      <c r="C1388" s="9"/>
      <c r="D1388" s="9"/>
      <c r="E1388" s="9">
        <f t="shared" si="107"/>
        <v>0</v>
      </c>
      <c r="F1388" s="9"/>
      <c r="G1388" s="9"/>
      <c r="H1388" s="9"/>
      <c r="I1388" s="9"/>
      <c r="J1388" s="9"/>
      <c r="K1388" s="9"/>
      <c r="L1388" s="9"/>
      <c r="M1388" s="9"/>
      <c r="N1388" s="9" t="str">
        <f t="shared" si="108"/>
        <v>NO</v>
      </c>
      <c r="O1388" s="9" t="str">
        <f t="shared" si="109"/>
        <v>🟡</v>
      </c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  <c r="AN1388" s="9"/>
      <c r="AO1388" s="9"/>
      <c r="AP1388" s="9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  <c r="BA1388" s="9"/>
      <c r="BB1388" s="9"/>
      <c r="BC1388" s="9"/>
      <c r="BD1388" s="9"/>
      <c r="BE1388" s="9"/>
      <c r="BF1388" s="9"/>
      <c r="BG1388" s="9"/>
      <c r="BH1388" s="9"/>
      <c r="BI1388" s="9"/>
      <c r="BJ1388" s="9"/>
      <c r="BK1388" s="9"/>
      <c r="BL1388" s="9"/>
      <c r="BM1388" s="9"/>
      <c r="BN1388" s="9"/>
      <c r="BO1388" s="9"/>
      <c r="BP1388" s="9"/>
      <c r="BQ1388" s="9"/>
      <c r="BR1388" s="9"/>
      <c r="BS1388" s="9"/>
      <c r="BT1388" s="9"/>
      <c r="BU1388" s="9"/>
      <c r="BV1388" s="9"/>
      <c r="BW1388" s="9"/>
      <c r="BX1388" s="9"/>
      <c r="BY1388" s="9"/>
      <c r="BZ1388" s="9"/>
      <c r="CA1388" s="9"/>
      <c r="CB1388" s="9"/>
      <c r="CC1388" s="9"/>
      <c r="CD1388" s="9"/>
      <c r="CE1388" s="9"/>
      <c r="CF1388" s="9"/>
      <c r="CG1388" s="9"/>
    </row>
    <row r="1389" spans="1:85" x14ac:dyDescent="0.3">
      <c r="A1389" s="9">
        <f t="shared" si="105"/>
        <v>1388</v>
      </c>
      <c r="B1389" s="9" t="str">
        <f t="shared" si="106"/>
        <v/>
      </c>
      <c r="C1389" s="9"/>
      <c r="D1389" s="9"/>
      <c r="E1389" s="9">
        <f t="shared" si="107"/>
        <v>0</v>
      </c>
      <c r="F1389" s="9"/>
      <c r="G1389" s="9"/>
      <c r="H1389" s="9"/>
      <c r="I1389" s="9"/>
      <c r="J1389" s="9"/>
      <c r="K1389" s="9"/>
      <c r="L1389" s="9"/>
      <c r="M1389" s="9"/>
      <c r="N1389" s="9" t="str">
        <f t="shared" si="108"/>
        <v>NO</v>
      </c>
      <c r="O1389" s="9" t="str">
        <f t="shared" si="109"/>
        <v>🟡</v>
      </c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  <c r="AN1389" s="9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  <c r="BA1389" s="9"/>
      <c r="BB1389" s="9"/>
      <c r="BC1389" s="9"/>
      <c r="BD1389" s="9"/>
      <c r="BE1389" s="9"/>
      <c r="BF1389" s="9"/>
      <c r="BG1389" s="9"/>
      <c r="BH1389" s="9"/>
      <c r="BI1389" s="9"/>
      <c r="BJ1389" s="9"/>
      <c r="BK1389" s="9"/>
      <c r="BL1389" s="9"/>
      <c r="BM1389" s="9"/>
      <c r="BN1389" s="9"/>
      <c r="BO1389" s="9"/>
      <c r="BP1389" s="9"/>
      <c r="BQ1389" s="9"/>
      <c r="BR1389" s="9"/>
      <c r="BS1389" s="9"/>
      <c r="BT1389" s="9"/>
      <c r="BU1389" s="9"/>
      <c r="BV1389" s="9"/>
      <c r="BW1389" s="9"/>
      <c r="BX1389" s="9"/>
      <c r="BY1389" s="9"/>
      <c r="BZ1389" s="9"/>
      <c r="CA1389" s="9"/>
      <c r="CB1389" s="9"/>
      <c r="CC1389" s="9"/>
      <c r="CD1389" s="9"/>
      <c r="CE1389" s="9"/>
      <c r="CF1389" s="9"/>
      <c r="CG1389" s="9"/>
    </row>
    <row r="1390" spans="1:85" x14ac:dyDescent="0.3">
      <c r="A1390" s="9">
        <f t="shared" si="105"/>
        <v>1389</v>
      </c>
      <c r="B1390" s="9" t="str">
        <f t="shared" si="106"/>
        <v/>
      </c>
      <c r="C1390" s="9"/>
      <c r="D1390" s="9"/>
      <c r="E1390" s="9">
        <f t="shared" si="107"/>
        <v>0</v>
      </c>
      <c r="F1390" s="9"/>
      <c r="G1390" s="9"/>
      <c r="H1390" s="9"/>
      <c r="I1390" s="9"/>
      <c r="J1390" s="9"/>
      <c r="K1390" s="9"/>
      <c r="L1390" s="9"/>
      <c r="M1390" s="9"/>
      <c r="N1390" s="9" t="str">
        <f t="shared" si="108"/>
        <v>NO</v>
      </c>
      <c r="O1390" s="9" t="str">
        <f t="shared" si="109"/>
        <v>🟡</v>
      </c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9"/>
      <c r="AO1390" s="9"/>
      <c r="AP1390" s="9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  <c r="BA1390" s="9"/>
      <c r="BB1390" s="9"/>
      <c r="BC1390" s="9"/>
      <c r="BD1390" s="9"/>
      <c r="BE1390" s="9"/>
      <c r="BF1390" s="9"/>
      <c r="BG1390" s="9"/>
      <c r="BH1390" s="9"/>
      <c r="BI1390" s="9"/>
      <c r="BJ1390" s="9"/>
      <c r="BK1390" s="9"/>
      <c r="BL1390" s="9"/>
      <c r="BM1390" s="9"/>
      <c r="BN1390" s="9"/>
      <c r="BO1390" s="9"/>
      <c r="BP1390" s="9"/>
      <c r="BQ1390" s="9"/>
      <c r="BR1390" s="9"/>
      <c r="BS1390" s="9"/>
      <c r="BT1390" s="9"/>
      <c r="BU1390" s="9"/>
      <c r="BV1390" s="9"/>
      <c r="BW1390" s="9"/>
      <c r="BX1390" s="9"/>
      <c r="BY1390" s="9"/>
      <c r="BZ1390" s="9"/>
      <c r="CA1390" s="9"/>
      <c r="CB1390" s="9"/>
      <c r="CC1390" s="9"/>
      <c r="CD1390" s="9"/>
      <c r="CE1390" s="9"/>
      <c r="CF1390" s="9"/>
      <c r="CG1390" s="9"/>
    </row>
    <row r="1391" spans="1:85" x14ac:dyDescent="0.3">
      <c r="A1391" s="9">
        <f t="shared" si="105"/>
        <v>1390</v>
      </c>
      <c r="B1391" s="9" t="str">
        <f t="shared" si="106"/>
        <v/>
      </c>
      <c r="C1391" s="9"/>
      <c r="D1391" s="9"/>
      <c r="E1391" s="9">
        <f t="shared" si="107"/>
        <v>0</v>
      </c>
      <c r="F1391" s="9"/>
      <c r="G1391" s="9"/>
      <c r="H1391" s="9"/>
      <c r="I1391" s="9"/>
      <c r="J1391" s="9"/>
      <c r="K1391" s="9"/>
      <c r="L1391" s="9"/>
      <c r="M1391" s="9"/>
      <c r="N1391" s="9" t="str">
        <f t="shared" si="108"/>
        <v>NO</v>
      </c>
      <c r="O1391" s="9" t="str">
        <f t="shared" si="109"/>
        <v>🟡</v>
      </c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  <c r="AN1391" s="9"/>
      <c r="AO1391" s="9"/>
      <c r="AP1391" s="9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  <c r="BA1391" s="9"/>
      <c r="BB1391" s="9"/>
      <c r="BC1391" s="9"/>
      <c r="BD1391" s="9"/>
      <c r="BE1391" s="9"/>
      <c r="BF1391" s="9"/>
      <c r="BG1391" s="9"/>
      <c r="BH1391" s="9"/>
      <c r="BI1391" s="9"/>
      <c r="BJ1391" s="9"/>
      <c r="BK1391" s="9"/>
      <c r="BL1391" s="9"/>
      <c r="BM1391" s="9"/>
      <c r="BN1391" s="9"/>
      <c r="BO1391" s="9"/>
      <c r="BP1391" s="9"/>
      <c r="BQ1391" s="9"/>
      <c r="BR1391" s="9"/>
      <c r="BS1391" s="9"/>
      <c r="BT1391" s="9"/>
      <c r="BU1391" s="9"/>
      <c r="BV1391" s="9"/>
      <c r="BW1391" s="9"/>
      <c r="BX1391" s="9"/>
      <c r="BY1391" s="9"/>
      <c r="BZ1391" s="9"/>
      <c r="CA1391" s="9"/>
      <c r="CB1391" s="9"/>
      <c r="CC1391" s="9"/>
      <c r="CD1391" s="9"/>
      <c r="CE1391" s="9"/>
      <c r="CF1391" s="9"/>
      <c r="CG1391" s="9"/>
    </row>
    <row r="1392" spans="1:85" x14ac:dyDescent="0.3">
      <c r="A1392" s="9">
        <f t="shared" si="105"/>
        <v>1391</v>
      </c>
      <c r="B1392" s="9" t="str">
        <f t="shared" si="106"/>
        <v/>
      </c>
      <c r="C1392" s="9"/>
      <c r="D1392" s="9"/>
      <c r="E1392" s="9">
        <f t="shared" si="107"/>
        <v>0</v>
      </c>
      <c r="F1392" s="9"/>
      <c r="G1392" s="9"/>
      <c r="H1392" s="9"/>
      <c r="I1392" s="9"/>
      <c r="J1392" s="9"/>
      <c r="K1392" s="9"/>
      <c r="L1392" s="9"/>
      <c r="M1392" s="9"/>
      <c r="N1392" s="9" t="str">
        <f t="shared" si="108"/>
        <v>NO</v>
      </c>
      <c r="O1392" s="9" t="str">
        <f t="shared" si="109"/>
        <v>🟡</v>
      </c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9"/>
      <c r="AO1392" s="9"/>
      <c r="AP1392" s="9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  <c r="BA1392" s="9"/>
      <c r="BB1392" s="9"/>
      <c r="BC1392" s="9"/>
      <c r="BD1392" s="9"/>
      <c r="BE1392" s="9"/>
      <c r="BF1392" s="9"/>
      <c r="BG1392" s="9"/>
      <c r="BH1392" s="9"/>
      <c r="BI1392" s="9"/>
      <c r="BJ1392" s="9"/>
      <c r="BK1392" s="9"/>
      <c r="BL1392" s="9"/>
      <c r="BM1392" s="9"/>
      <c r="BN1392" s="9"/>
      <c r="BO1392" s="9"/>
      <c r="BP1392" s="9"/>
      <c r="BQ1392" s="9"/>
      <c r="BR1392" s="9"/>
      <c r="BS1392" s="9"/>
      <c r="BT1392" s="9"/>
      <c r="BU1392" s="9"/>
      <c r="BV1392" s="9"/>
      <c r="BW1392" s="9"/>
      <c r="BX1392" s="9"/>
      <c r="BY1392" s="9"/>
      <c r="BZ1392" s="9"/>
      <c r="CA1392" s="9"/>
      <c r="CB1392" s="9"/>
      <c r="CC1392" s="9"/>
      <c r="CD1392" s="9"/>
      <c r="CE1392" s="9"/>
      <c r="CF1392" s="9"/>
      <c r="CG1392" s="9"/>
    </row>
    <row r="1393" spans="1:85" x14ac:dyDescent="0.3">
      <c r="A1393" s="9">
        <f t="shared" si="105"/>
        <v>1392</v>
      </c>
      <c r="B1393" s="9" t="str">
        <f t="shared" si="106"/>
        <v/>
      </c>
      <c r="C1393" s="9"/>
      <c r="D1393" s="9"/>
      <c r="E1393" s="9">
        <f t="shared" si="107"/>
        <v>0</v>
      </c>
      <c r="F1393" s="9"/>
      <c r="G1393" s="9"/>
      <c r="H1393" s="9"/>
      <c r="I1393" s="9"/>
      <c r="J1393" s="9"/>
      <c r="K1393" s="9"/>
      <c r="L1393" s="9"/>
      <c r="M1393" s="9"/>
      <c r="N1393" s="9" t="str">
        <f t="shared" si="108"/>
        <v>NO</v>
      </c>
      <c r="O1393" s="9" t="str">
        <f t="shared" si="109"/>
        <v>🟡</v>
      </c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  <c r="AN1393" s="9"/>
      <c r="AO1393" s="9"/>
      <c r="AP1393" s="9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  <c r="BA1393" s="9"/>
      <c r="BB1393" s="9"/>
      <c r="BC1393" s="9"/>
      <c r="BD1393" s="9"/>
      <c r="BE1393" s="9"/>
      <c r="BF1393" s="9"/>
      <c r="BG1393" s="9"/>
      <c r="BH1393" s="9"/>
      <c r="BI1393" s="9"/>
      <c r="BJ1393" s="9"/>
      <c r="BK1393" s="9"/>
      <c r="BL1393" s="9"/>
      <c r="BM1393" s="9"/>
      <c r="BN1393" s="9"/>
      <c r="BO1393" s="9"/>
      <c r="BP1393" s="9"/>
      <c r="BQ1393" s="9"/>
      <c r="BR1393" s="9"/>
      <c r="BS1393" s="9"/>
      <c r="BT1393" s="9"/>
      <c r="BU1393" s="9"/>
      <c r="BV1393" s="9"/>
      <c r="BW1393" s="9"/>
      <c r="BX1393" s="9"/>
      <c r="BY1393" s="9"/>
      <c r="BZ1393" s="9"/>
      <c r="CA1393" s="9"/>
      <c r="CB1393" s="9"/>
      <c r="CC1393" s="9"/>
      <c r="CD1393" s="9"/>
      <c r="CE1393" s="9"/>
      <c r="CF1393" s="9"/>
      <c r="CG1393" s="9"/>
    </row>
    <row r="1394" spans="1:85" x14ac:dyDescent="0.3">
      <c r="A1394" s="9">
        <f t="shared" si="105"/>
        <v>1393</v>
      </c>
      <c r="B1394" s="9" t="str">
        <f t="shared" si="106"/>
        <v/>
      </c>
      <c r="C1394" s="9"/>
      <c r="D1394" s="9"/>
      <c r="E1394" s="9">
        <f t="shared" si="107"/>
        <v>0</v>
      </c>
      <c r="F1394" s="9"/>
      <c r="G1394" s="9"/>
      <c r="H1394" s="9"/>
      <c r="I1394" s="9"/>
      <c r="J1394" s="9"/>
      <c r="K1394" s="9"/>
      <c r="L1394" s="9"/>
      <c r="M1394" s="9"/>
      <c r="N1394" s="9" t="str">
        <f t="shared" si="108"/>
        <v>NO</v>
      </c>
      <c r="O1394" s="9" t="str">
        <f t="shared" si="109"/>
        <v>🟡</v>
      </c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  <c r="AN1394" s="9"/>
      <c r="AO1394" s="9"/>
      <c r="AP1394" s="9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  <c r="BA1394" s="9"/>
      <c r="BB1394" s="9"/>
      <c r="BC1394" s="9"/>
      <c r="BD1394" s="9"/>
      <c r="BE1394" s="9"/>
      <c r="BF1394" s="9"/>
      <c r="BG1394" s="9"/>
      <c r="BH1394" s="9"/>
      <c r="BI1394" s="9"/>
      <c r="BJ1394" s="9"/>
      <c r="BK1394" s="9"/>
      <c r="BL1394" s="9"/>
      <c r="BM1394" s="9"/>
      <c r="BN1394" s="9"/>
      <c r="BO1394" s="9"/>
      <c r="BP1394" s="9"/>
      <c r="BQ1394" s="9"/>
      <c r="BR1394" s="9"/>
      <c r="BS1394" s="9"/>
      <c r="BT1394" s="9"/>
      <c r="BU1394" s="9"/>
      <c r="BV1394" s="9"/>
      <c r="BW1394" s="9"/>
      <c r="BX1394" s="9"/>
      <c r="BY1394" s="9"/>
      <c r="BZ1394" s="9"/>
      <c r="CA1394" s="9"/>
      <c r="CB1394" s="9"/>
      <c r="CC1394" s="9"/>
      <c r="CD1394" s="9"/>
      <c r="CE1394" s="9"/>
      <c r="CF1394" s="9"/>
      <c r="CG1394" s="9"/>
    </row>
    <row r="1395" spans="1:85" x14ac:dyDescent="0.3">
      <c r="A1395" s="9">
        <f t="shared" si="105"/>
        <v>1394</v>
      </c>
      <c r="B1395" s="9" t="str">
        <f t="shared" si="106"/>
        <v/>
      </c>
      <c r="C1395" s="9"/>
      <c r="D1395" s="9"/>
      <c r="E1395" s="9">
        <f t="shared" si="107"/>
        <v>0</v>
      </c>
      <c r="F1395" s="9"/>
      <c r="G1395" s="9"/>
      <c r="H1395" s="9"/>
      <c r="I1395" s="9"/>
      <c r="J1395" s="9"/>
      <c r="K1395" s="9"/>
      <c r="L1395" s="9"/>
      <c r="M1395" s="9"/>
      <c r="N1395" s="9" t="str">
        <f t="shared" si="108"/>
        <v>NO</v>
      </c>
      <c r="O1395" s="9" t="str">
        <f t="shared" si="109"/>
        <v>🟡</v>
      </c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9"/>
      <c r="AO1395" s="9"/>
      <c r="AP1395" s="9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  <c r="BA1395" s="9"/>
      <c r="BB1395" s="9"/>
      <c r="BC1395" s="9"/>
      <c r="BD1395" s="9"/>
      <c r="BE1395" s="9"/>
      <c r="BF1395" s="9"/>
      <c r="BG1395" s="9"/>
      <c r="BH1395" s="9"/>
      <c r="BI1395" s="9"/>
      <c r="BJ1395" s="9"/>
      <c r="BK1395" s="9"/>
      <c r="BL1395" s="9"/>
      <c r="BM1395" s="9"/>
      <c r="BN1395" s="9"/>
      <c r="BO1395" s="9"/>
      <c r="BP1395" s="9"/>
      <c r="BQ1395" s="9"/>
      <c r="BR1395" s="9"/>
      <c r="BS1395" s="9"/>
      <c r="BT1395" s="9"/>
      <c r="BU1395" s="9"/>
      <c r="BV1395" s="9"/>
      <c r="BW1395" s="9"/>
      <c r="BX1395" s="9"/>
      <c r="BY1395" s="9"/>
      <c r="BZ1395" s="9"/>
      <c r="CA1395" s="9"/>
      <c r="CB1395" s="9"/>
      <c r="CC1395" s="9"/>
      <c r="CD1395" s="9"/>
      <c r="CE1395" s="9"/>
      <c r="CF1395" s="9"/>
      <c r="CG1395" s="9"/>
    </row>
    <row r="1396" spans="1:85" x14ac:dyDescent="0.3">
      <c r="A1396" s="9">
        <f t="shared" si="105"/>
        <v>1395</v>
      </c>
      <c r="B1396" s="9" t="str">
        <f t="shared" si="106"/>
        <v/>
      </c>
      <c r="C1396" s="9"/>
      <c r="D1396" s="9"/>
      <c r="E1396" s="9">
        <f t="shared" si="107"/>
        <v>0</v>
      </c>
      <c r="F1396" s="9"/>
      <c r="G1396" s="9"/>
      <c r="H1396" s="9"/>
      <c r="I1396" s="9"/>
      <c r="J1396" s="9"/>
      <c r="K1396" s="9"/>
      <c r="L1396" s="9"/>
      <c r="M1396" s="9"/>
      <c r="N1396" s="9" t="str">
        <f t="shared" si="108"/>
        <v>NO</v>
      </c>
      <c r="O1396" s="9" t="str">
        <f t="shared" si="109"/>
        <v>🟡</v>
      </c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  <c r="AN1396" s="9"/>
      <c r="AO1396" s="9"/>
      <c r="AP1396" s="9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  <c r="BA1396" s="9"/>
      <c r="BB1396" s="9"/>
      <c r="BC1396" s="9"/>
      <c r="BD1396" s="9"/>
      <c r="BE1396" s="9"/>
      <c r="BF1396" s="9"/>
      <c r="BG1396" s="9"/>
      <c r="BH1396" s="9"/>
      <c r="BI1396" s="9"/>
      <c r="BJ1396" s="9"/>
      <c r="BK1396" s="9"/>
      <c r="BL1396" s="9"/>
      <c r="BM1396" s="9"/>
      <c r="BN1396" s="9"/>
      <c r="BO1396" s="9"/>
      <c r="BP1396" s="9"/>
      <c r="BQ1396" s="9"/>
      <c r="BR1396" s="9"/>
      <c r="BS1396" s="9"/>
      <c r="BT1396" s="9"/>
      <c r="BU1396" s="9"/>
      <c r="BV1396" s="9"/>
      <c r="BW1396" s="9"/>
      <c r="BX1396" s="9"/>
      <c r="BY1396" s="9"/>
      <c r="BZ1396" s="9"/>
      <c r="CA1396" s="9"/>
      <c r="CB1396" s="9"/>
      <c r="CC1396" s="9"/>
      <c r="CD1396" s="9"/>
      <c r="CE1396" s="9"/>
      <c r="CF1396" s="9"/>
      <c r="CG1396" s="9"/>
    </row>
    <row r="1397" spans="1:85" x14ac:dyDescent="0.3">
      <c r="A1397" s="9">
        <f t="shared" si="105"/>
        <v>1396</v>
      </c>
      <c r="B1397" s="9" t="str">
        <f t="shared" si="106"/>
        <v/>
      </c>
      <c r="C1397" s="9"/>
      <c r="D1397" s="9"/>
      <c r="E1397" s="9">
        <f t="shared" si="107"/>
        <v>0</v>
      </c>
      <c r="F1397" s="9"/>
      <c r="G1397" s="9"/>
      <c r="H1397" s="9"/>
      <c r="I1397" s="9"/>
      <c r="J1397" s="9"/>
      <c r="K1397" s="9"/>
      <c r="L1397" s="9"/>
      <c r="M1397" s="9"/>
      <c r="N1397" s="9" t="str">
        <f t="shared" si="108"/>
        <v>NO</v>
      </c>
      <c r="O1397" s="9" t="str">
        <f t="shared" si="109"/>
        <v>🟡</v>
      </c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  <c r="AN1397" s="9"/>
      <c r="AO1397" s="9"/>
      <c r="AP1397" s="9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  <c r="BA1397" s="9"/>
      <c r="BB1397" s="9"/>
      <c r="BC1397" s="9"/>
      <c r="BD1397" s="9"/>
      <c r="BE1397" s="9"/>
      <c r="BF1397" s="9"/>
      <c r="BG1397" s="9"/>
      <c r="BH1397" s="9"/>
      <c r="BI1397" s="9"/>
      <c r="BJ1397" s="9"/>
      <c r="BK1397" s="9"/>
      <c r="BL1397" s="9"/>
      <c r="BM1397" s="9"/>
      <c r="BN1397" s="9"/>
      <c r="BO1397" s="9"/>
      <c r="BP1397" s="9"/>
      <c r="BQ1397" s="9"/>
      <c r="BR1397" s="9"/>
      <c r="BS1397" s="9"/>
      <c r="BT1397" s="9"/>
      <c r="BU1397" s="9"/>
      <c r="BV1397" s="9"/>
      <c r="BW1397" s="9"/>
      <c r="BX1397" s="9"/>
      <c r="BY1397" s="9"/>
      <c r="BZ1397" s="9"/>
      <c r="CA1397" s="9"/>
      <c r="CB1397" s="9"/>
      <c r="CC1397" s="9"/>
      <c r="CD1397" s="9"/>
      <c r="CE1397" s="9"/>
      <c r="CF1397" s="9"/>
      <c r="CG1397" s="9"/>
    </row>
    <row r="1398" spans="1:85" x14ac:dyDescent="0.3">
      <c r="A1398" s="9">
        <f t="shared" si="105"/>
        <v>1397</v>
      </c>
      <c r="B1398" s="9" t="str">
        <f t="shared" si="106"/>
        <v/>
      </c>
      <c r="C1398" s="9"/>
      <c r="D1398" s="9"/>
      <c r="E1398" s="9">
        <f t="shared" si="107"/>
        <v>0</v>
      </c>
      <c r="F1398" s="9"/>
      <c r="G1398" s="9"/>
      <c r="H1398" s="9"/>
      <c r="I1398" s="9"/>
      <c r="J1398" s="9"/>
      <c r="K1398" s="9"/>
      <c r="L1398" s="9"/>
      <c r="M1398" s="9"/>
      <c r="N1398" s="9" t="str">
        <f t="shared" si="108"/>
        <v>NO</v>
      </c>
      <c r="O1398" s="9" t="str">
        <f t="shared" si="109"/>
        <v>🟡</v>
      </c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9"/>
      <c r="AO1398" s="9"/>
      <c r="AP1398" s="9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  <c r="BA1398" s="9"/>
      <c r="BB1398" s="9"/>
      <c r="BC1398" s="9"/>
      <c r="BD1398" s="9"/>
      <c r="BE1398" s="9"/>
      <c r="BF1398" s="9"/>
      <c r="BG1398" s="9"/>
      <c r="BH1398" s="9"/>
      <c r="BI1398" s="9"/>
      <c r="BJ1398" s="9"/>
      <c r="BK1398" s="9"/>
      <c r="BL1398" s="9"/>
      <c r="BM1398" s="9"/>
      <c r="BN1398" s="9"/>
      <c r="BO1398" s="9"/>
      <c r="BP1398" s="9"/>
      <c r="BQ1398" s="9"/>
      <c r="BR1398" s="9"/>
      <c r="BS1398" s="9"/>
      <c r="BT1398" s="9"/>
      <c r="BU1398" s="9"/>
      <c r="BV1398" s="9"/>
      <c r="BW1398" s="9"/>
      <c r="BX1398" s="9"/>
      <c r="BY1398" s="9"/>
      <c r="BZ1398" s="9"/>
      <c r="CA1398" s="9"/>
      <c r="CB1398" s="9"/>
      <c r="CC1398" s="9"/>
      <c r="CD1398" s="9"/>
      <c r="CE1398" s="9"/>
      <c r="CF1398" s="9"/>
      <c r="CG1398" s="9"/>
    </row>
    <row r="1399" spans="1:85" x14ac:dyDescent="0.3">
      <c r="A1399" s="9">
        <f t="shared" si="105"/>
        <v>1398</v>
      </c>
      <c r="B1399" s="9" t="str">
        <f t="shared" si="106"/>
        <v/>
      </c>
      <c r="C1399" s="9"/>
      <c r="D1399" s="9"/>
      <c r="E1399" s="9">
        <f t="shared" si="107"/>
        <v>0</v>
      </c>
      <c r="F1399" s="9"/>
      <c r="G1399" s="9"/>
      <c r="H1399" s="9"/>
      <c r="I1399" s="9"/>
      <c r="J1399" s="9"/>
      <c r="K1399" s="9"/>
      <c r="L1399" s="9"/>
      <c r="M1399" s="9"/>
      <c r="N1399" s="9" t="str">
        <f t="shared" si="108"/>
        <v>NO</v>
      </c>
      <c r="O1399" s="9" t="str">
        <f t="shared" si="109"/>
        <v>🟡</v>
      </c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9"/>
      <c r="BD1399" s="9"/>
      <c r="BE1399" s="9"/>
      <c r="BF1399" s="9"/>
      <c r="BG1399" s="9"/>
      <c r="BH1399" s="9"/>
      <c r="BI1399" s="9"/>
      <c r="BJ1399" s="9"/>
      <c r="BK1399" s="9"/>
      <c r="BL1399" s="9"/>
      <c r="BM1399" s="9"/>
      <c r="BN1399" s="9"/>
      <c r="BO1399" s="9"/>
      <c r="BP1399" s="9"/>
      <c r="BQ1399" s="9"/>
      <c r="BR1399" s="9"/>
      <c r="BS1399" s="9"/>
      <c r="BT1399" s="9"/>
      <c r="BU1399" s="9"/>
      <c r="BV1399" s="9"/>
      <c r="BW1399" s="9"/>
      <c r="BX1399" s="9"/>
      <c r="BY1399" s="9"/>
      <c r="BZ1399" s="9"/>
      <c r="CA1399" s="9"/>
      <c r="CB1399" s="9"/>
      <c r="CC1399" s="9"/>
      <c r="CD1399" s="9"/>
      <c r="CE1399" s="9"/>
      <c r="CF1399" s="9"/>
      <c r="CG1399" s="9"/>
    </row>
    <row r="1400" spans="1:85" x14ac:dyDescent="0.3">
      <c r="A1400" s="9">
        <f t="shared" si="105"/>
        <v>1399</v>
      </c>
      <c r="B1400" s="9" t="str">
        <f t="shared" si="106"/>
        <v/>
      </c>
      <c r="C1400" s="9"/>
      <c r="D1400" s="9"/>
      <c r="E1400" s="9">
        <f t="shared" si="107"/>
        <v>0</v>
      </c>
      <c r="F1400" s="9"/>
      <c r="G1400" s="9"/>
      <c r="H1400" s="9"/>
      <c r="I1400" s="9"/>
      <c r="J1400" s="9"/>
      <c r="K1400" s="9"/>
      <c r="L1400" s="9"/>
      <c r="M1400" s="9"/>
      <c r="N1400" s="9" t="str">
        <f t="shared" si="108"/>
        <v>NO</v>
      </c>
      <c r="O1400" s="9" t="str">
        <f t="shared" si="109"/>
        <v>🟡</v>
      </c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9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  <c r="BA1400" s="9"/>
      <c r="BB1400" s="9"/>
      <c r="BC1400" s="9"/>
      <c r="BD1400" s="9"/>
      <c r="BE1400" s="9"/>
      <c r="BF1400" s="9"/>
      <c r="BG1400" s="9"/>
      <c r="BH1400" s="9"/>
      <c r="BI1400" s="9"/>
      <c r="BJ1400" s="9"/>
      <c r="BK1400" s="9"/>
      <c r="BL1400" s="9"/>
      <c r="BM1400" s="9"/>
      <c r="BN1400" s="9"/>
      <c r="BO1400" s="9"/>
      <c r="BP1400" s="9"/>
      <c r="BQ1400" s="9"/>
      <c r="BR1400" s="9"/>
      <c r="BS1400" s="9"/>
      <c r="BT1400" s="9"/>
      <c r="BU1400" s="9"/>
      <c r="BV1400" s="9"/>
      <c r="BW1400" s="9"/>
      <c r="BX1400" s="9"/>
      <c r="BY1400" s="9"/>
      <c r="BZ1400" s="9"/>
      <c r="CA1400" s="9"/>
      <c r="CB1400" s="9"/>
      <c r="CC1400" s="9"/>
      <c r="CD1400" s="9"/>
      <c r="CE1400" s="9"/>
      <c r="CF1400" s="9"/>
      <c r="CG1400" s="9"/>
    </row>
    <row r="1401" spans="1:85" x14ac:dyDescent="0.3">
      <c r="A1401" s="9">
        <f t="shared" si="105"/>
        <v>1400</v>
      </c>
      <c r="B1401" s="9" t="str">
        <f t="shared" si="106"/>
        <v/>
      </c>
      <c r="C1401" s="9"/>
      <c r="D1401" s="9"/>
      <c r="E1401" s="9">
        <f t="shared" si="107"/>
        <v>0</v>
      </c>
      <c r="F1401" s="9"/>
      <c r="G1401" s="9"/>
      <c r="H1401" s="9"/>
      <c r="I1401" s="9"/>
      <c r="J1401" s="9"/>
      <c r="K1401" s="9"/>
      <c r="L1401" s="9"/>
      <c r="M1401" s="9"/>
      <c r="N1401" s="9" t="str">
        <f t="shared" si="108"/>
        <v>NO</v>
      </c>
      <c r="O1401" s="9" t="str">
        <f t="shared" si="109"/>
        <v>🟡</v>
      </c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9"/>
      <c r="AO1401" s="9"/>
      <c r="AP1401" s="9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  <c r="BA1401" s="9"/>
      <c r="BB1401" s="9"/>
      <c r="BC1401" s="9"/>
      <c r="BD1401" s="9"/>
      <c r="BE1401" s="9"/>
      <c r="BF1401" s="9"/>
      <c r="BG1401" s="9"/>
      <c r="BH1401" s="9"/>
      <c r="BI1401" s="9"/>
      <c r="BJ1401" s="9"/>
      <c r="BK1401" s="9"/>
      <c r="BL1401" s="9"/>
      <c r="BM1401" s="9"/>
      <c r="BN1401" s="9"/>
      <c r="BO1401" s="9"/>
      <c r="BP1401" s="9"/>
      <c r="BQ1401" s="9"/>
      <c r="BR1401" s="9"/>
      <c r="BS1401" s="9"/>
      <c r="BT1401" s="9"/>
      <c r="BU1401" s="9"/>
      <c r="BV1401" s="9"/>
      <c r="BW1401" s="9"/>
      <c r="BX1401" s="9"/>
      <c r="BY1401" s="9"/>
      <c r="BZ1401" s="9"/>
      <c r="CA1401" s="9"/>
      <c r="CB1401" s="9"/>
      <c r="CC1401" s="9"/>
      <c r="CD1401" s="9"/>
      <c r="CE1401" s="9"/>
      <c r="CF1401" s="9"/>
      <c r="CG1401" s="9"/>
    </row>
    <row r="1402" spans="1:85" x14ac:dyDescent="0.3">
      <c r="A1402" s="9">
        <f t="shared" si="105"/>
        <v>1401</v>
      </c>
      <c r="B1402" s="9" t="str">
        <f t="shared" si="106"/>
        <v/>
      </c>
      <c r="C1402" s="9"/>
      <c r="D1402" s="9"/>
      <c r="E1402" s="9">
        <f t="shared" si="107"/>
        <v>0</v>
      </c>
      <c r="F1402" s="9"/>
      <c r="G1402" s="9"/>
      <c r="H1402" s="9"/>
      <c r="I1402" s="9"/>
      <c r="J1402" s="9"/>
      <c r="K1402" s="9"/>
      <c r="L1402" s="9"/>
      <c r="M1402" s="9"/>
      <c r="N1402" s="9" t="str">
        <f t="shared" si="108"/>
        <v>NO</v>
      </c>
      <c r="O1402" s="9" t="str">
        <f t="shared" si="109"/>
        <v>🟡</v>
      </c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  <c r="AN1402" s="9"/>
      <c r="AO1402" s="9"/>
      <c r="AP1402" s="9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  <c r="BA1402" s="9"/>
      <c r="BB1402" s="9"/>
      <c r="BC1402" s="9"/>
      <c r="BD1402" s="9"/>
      <c r="BE1402" s="9"/>
      <c r="BF1402" s="9"/>
      <c r="BG1402" s="9"/>
      <c r="BH1402" s="9"/>
      <c r="BI1402" s="9"/>
      <c r="BJ1402" s="9"/>
      <c r="BK1402" s="9"/>
      <c r="BL1402" s="9"/>
      <c r="BM1402" s="9"/>
      <c r="BN1402" s="9"/>
      <c r="BO1402" s="9"/>
      <c r="BP1402" s="9"/>
      <c r="BQ1402" s="9"/>
      <c r="BR1402" s="9"/>
      <c r="BS1402" s="9"/>
      <c r="BT1402" s="9"/>
      <c r="BU1402" s="9"/>
      <c r="BV1402" s="9"/>
      <c r="BW1402" s="9"/>
      <c r="BX1402" s="9"/>
      <c r="BY1402" s="9"/>
      <c r="BZ1402" s="9"/>
      <c r="CA1402" s="9"/>
      <c r="CB1402" s="9"/>
      <c r="CC1402" s="9"/>
      <c r="CD1402" s="9"/>
      <c r="CE1402" s="9"/>
      <c r="CF1402" s="9"/>
      <c r="CG1402" s="9"/>
    </row>
  </sheetData>
  <autoFilter ref="A1:CH1402" xr:uid="{ABF72B39-74D6-4335-97A5-24BFBCD8733F}"/>
  <conditionalFormatting sqref="J2:J721">
    <cfRule type="expression" dxfId="10" priority="2">
      <formula>$J2="SI"</formula>
    </cfRule>
    <cfRule type="expression" dxfId="9" priority="3">
      <formula>$J2="NO"</formula>
    </cfRule>
    <cfRule type="expression" dxfId="8" priority="4">
      <formula>OR($J2="PENDIENTE",$J2="")</formula>
    </cfRule>
    <cfRule type="expression" dxfId="7" priority="5">
      <formula>$J2="SI"</formula>
    </cfRule>
    <cfRule type="expression" dxfId="6" priority="6">
      <formula>$J2="NO"</formula>
    </cfRule>
    <cfRule type="cellIs" dxfId="5" priority="7" operator="equal">
      <formula>"SI"</formula>
    </cfRule>
    <cfRule type="cellIs" dxfId="4" priority="8" operator="equal">
      <formula>"NO"</formula>
    </cfRule>
    <cfRule type="cellIs" dxfId="3" priority="9" operator="equal">
      <formula>"PENDIENTE"</formula>
    </cfRule>
  </conditionalFormatting>
  <conditionalFormatting sqref="J2:J1202">
    <cfRule type="expression" dxfId="2" priority="10">
      <formula>UPPER($J2)="SI"</formula>
    </cfRule>
    <cfRule type="expression" dxfId="1" priority="11">
      <formula>UPPER($J2)="NO"</formula>
    </cfRule>
    <cfRule type="expression" dxfId="0" priority="12">
      <formula>OR(UPPER($J2)="PENDIENTE",$J2="")</formula>
    </cfRule>
  </conditionalFormatting>
  <dataValidations count="4">
    <dataValidation type="list" showInputMessage="1" promptTitle="Asistencia" prompt="Seleccione SI, NO o Pendiente." sqref="I264 I306 K460 K473:K508" xr:uid="{00000000-0002-0000-0000-000000000000}">
      <formula1>"SI,NO,Pendiente,"</formula1>
      <formula2>0</formula2>
    </dataValidation>
    <dataValidation type="list" sqref="J2:J1015" xr:uid="{00000000-0002-0000-0000-000001000000}">
      <formula1>"SI,NO,PENDIENTE"</formula1>
      <formula2>0</formula2>
    </dataValidation>
    <dataValidation type="list" sqref="J2:J1202" xr:uid="{00000000-0002-0000-0000-000002000000}">
      <formula1>"SI,NO,PENDIENTE"</formula1>
    </dataValidation>
    <dataValidation type="list" allowBlank="1" sqref="J2:J1202" xr:uid="{00000000-0002-0000-0000-000003000000}">
      <formula1>"SI,NO,PENDIENTE"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00000000-0002-0000-0000-000004000000}">
          <x14:formula1>
            <xm:f>'PARAMETROS VIP'!$A$2:$A$157</xm:f>
          </x14:formula1>
          <xm:sqref>P2:P1399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0"/>
  <sheetViews>
    <sheetView showGridLines="0" workbookViewId="0">
      <selection sqref="A1:J1"/>
    </sheetView>
  </sheetViews>
  <sheetFormatPr baseColWidth="10" defaultColWidth="8.7109375" defaultRowHeight="15" x14ac:dyDescent="0.25"/>
  <cols>
    <col min="1" max="1" width="24" style="6" customWidth="1"/>
    <col min="2" max="2" width="12" style="6" customWidth="1"/>
    <col min="3" max="3" width="20" style="6" customWidth="1"/>
    <col min="4" max="4" width="3.85546875" style="6" customWidth="1"/>
    <col min="5" max="5" width="16" style="6" customWidth="1"/>
    <col min="6" max="8" width="12" style="6" customWidth="1"/>
    <col min="9" max="10" width="14" customWidth="1"/>
    <col min="11" max="11" width="12" style="6" customWidth="1"/>
    <col min="12" max="13" width="22" customWidth="1"/>
  </cols>
  <sheetData>
    <row r="1" spans="1:13" ht="18" customHeight="1" x14ac:dyDescent="0.25">
      <c r="A1" s="63" t="s">
        <v>2849</v>
      </c>
      <c r="B1" s="64"/>
      <c r="C1" s="64"/>
      <c r="D1" s="64"/>
      <c r="E1" s="64"/>
      <c r="F1" s="64"/>
      <c r="G1" s="64"/>
      <c r="H1" s="64"/>
      <c r="I1" s="64"/>
      <c r="J1" s="64"/>
      <c r="K1" s="9"/>
      <c r="L1" s="52" t="s">
        <v>2879</v>
      </c>
      <c r="M1" s="52"/>
    </row>
    <row r="2" spans="1:13" ht="18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t="s">
        <v>2880</v>
      </c>
      <c r="M2">
        <f>SUMPRODUCT((MAESTRO!$M$2:$M$1399="VIP")*(MAESTRO!$J$2:$J$1399="SI")*(MAESTRO!$F$2:$F$1399&lt;&gt;""))</f>
        <v>138</v>
      </c>
    </row>
    <row r="3" spans="1:13" ht="18" customHeight="1" x14ac:dyDescent="0.2">
      <c r="A3" s="46" t="s">
        <v>2850</v>
      </c>
      <c r="B3" s="46" t="s">
        <v>2851</v>
      </c>
      <c r="C3" s="46" t="s">
        <v>2852</v>
      </c>
      <c r="D3" s="47"/>
      <c r="E3" s="46" t="s">
        <v>4</v>
      </c>
      <c r="F3" s="46" t="s">
        <v>2853</v>
      </c>
      <c r="G3" s="46" t="s">
        <v>22</v>
      </c>
      <c r="H3" s="46" t="s">
        <v>71</v>
      </c>
      <c r="I3" s="46" t="s">
        <v>57</v>
      </c>
      <c r="J3" s="46" t="s">
        <v>13</v>
      </c>
      <c r="K3" s="9"/>
      <c r="L3" t="s">
        <v>2881</v>
      </c>
      <c r="M3">
        <f>155</f>
        <v>155</v>
      </c>
    </row>
    <row r="4" spans="1:13" ht="18" customHeight="1" x14ac:dyDescent="0.2">
      <c r="A4" s="26" t="s">
        <v>2854</v>
      </c>
      <c r="B4" s="27">
        <f>COUNTA(MAESTRO!$F$2:$F$1202)</f>
        <v>717</v>
      </c>
      <c r="C4" s="26" t="s">
        <v>5</v>
      </c>
      <c r="D4" s="9"/>
      <c r="E4" s="48" t="s">
        <v>24</v>
      </c>
      <c r="F4" s="49">
        <f>COUNTIFS(MAESTRO!$F$2:$F$1202,"&lt;&gt;",MAESTRO!$M$2:$M$1202,E4)</f>
        <v>317</v>
      </c>
      <c r="G4" s="49">
        <f>COUNTIFS(MAESTRO!$F$2:$F$1202,"&lt;&gt;",MAESTRO!$M$2:$M$1202,E4,MAESTRO!$J$2:$J$1202,"SI")</f>
        <v>138</v>
      </c>
      <c r="H4" s="49">
        <f>COUNTIFS(MAESTRO!$F$2:$F$1202,"&lt;&gt;",MAESTRO!$M$2:$M$1202,E4,MAESTRO!$J$2:$J$1202,"NO")</f>
        <v>100</v>
      </c>
      <c r="I4" s="49">
        <f>F4-G4-H4</f>
        <v>79</v>
      </c>
      <c r="J4" s="49">
        <f>COUNTIFS(MAESTRO!$F$2:$F$1202,"&lt;&gt;",MAESTRO!$E$2:$E$1202,E4,MAESTRO!$N$2:$N$1202,"SI")</f>
        <v>137</v>
      </c>
      <c r="K4" s="9"/>
      <c r="L4" t="s">
        <v>2882</v>
      </c>
      <c r="M4" t="e">
        <f>SUMPRODUCT((LISTADO [1]VIP!$A$2:$A$1400&lt;&gt;"")*(LISTADO [1]VIP!$A$2:$A$1400&lt;&gt;"PENDIENTE POR ASIGNAR"))</f>
        <v>#NAME?</v>
      </c>
    </row>
    <row r="5" spans="1:13" ht="18" customHeight="1" x14ac:dyDescent="0.2">
      <c r="A5" s="26" t="s">
        <v>2855</v>
      </c>
      <c r="B5" s="27">
        <f>COUNTIFS(MAESTRO!$F$2:$F$1202,"&lt;&gt;",MAESTRO!$J$2:$J$1202,"SI")</f>
        <v>411</v>
      </c>
      <c r="C5" s="26" t="s">
        <v>9</v>
      </c>
      <c r="D5" s="9"/>
      <c r="E5" s="26" t="s">
        <v>659</v>
      </c>
      <c r="F5" s="27">
        <f>COUNTIFS(MAESTRO!$F$2:$F$1202,"&lt;&gt;",MAESTRO!$M$2:$M$1202,E5)</f>
        <v>170</v>
      </c>
      <c r="G5" s="27">
        <f>COUNTIFS(MAESTRO!$F$2:$F$1202,"&lt;&gt;",MAESTRO!$M$2:$M$1202,E5,MAESTRO!$J$2:$J$1202,"SI")</f>
        <v>137</v>
      </c>
      <c r="H5" s="27">
        <f>COUNTIFS(MAESTRO!$F$2:$F$1202,"&lt;&gt;",MAESTRO!$M$2:$M$1202,E5,MAESTRO!$J$2:$J$1202,"NO")</f>
        <v>16</v>
      </c>
      <c r="I5" s="27">
        <f>F5-G5-H5</f>
        <v>17</v>
      </c>
      <c r="J5" s="27">
        <f>COUNTIFS(MAESTRO!$F$2:$F$1202,"&lt;&gt;",MAESTRO!$E$2:$E$1202,E5,MAESTRO!$N$2:$N$1202,"SI")</f>
        <v>1</v>
      </c>
      <c r="K5" s="9"/>
      <c r="L5" t="s">
        <v>2883</v>
      </c>
      <c r="M5" t="e">
        <f>SUMPRODUCT((LISTADO [1]VIP!$A$2:$A$1400="PENDIENTE POR ASIGNAR"))</f>
        <v>#NAME?</v>
      </c>
    </row>
    <row r="6" spans="1:13" ht="18" customHeight="1" x14ac:dyDescent="0.2">
      <c r="A6" s="26" t="s">
        <v>2856</v>
      </c>
      <c r="B6" s="27">
        <f>COUNTIFS(MAESTRO!$F$2:$F$1202,"&lt;&gt;",MAESTRO!$J$2:$J$1202,"NO")</f>
        <v>177</v>
      </c>
      <c r="C6" s="26" t="s">
        <v>9</v>
      </c>
      <c r="D6" s="9"/>
      <c r="E6" s="48" t="s">
        <v>1261</v>
      </c>
      <c r="F6" s="49">
        <f>COUNTIFS(MAESTRO!$F$2:$F$1202,"&lt;&gt;",MAESTRO!$M$2:$M$1202,E6)</f>
        <v>191</v>
      </c>
      <c r="G6" s="49">
        <f>COUNTIFS(MAESTRO!$F$2:$F$1202,"&lt;&gt;",MAESTRO!$M$2:$M$1202,E6,MAESTRO!$J$2:$J$1202,"SI")</f>
        <v>130</v>
      </c>
      <c r="H6" s="49">
        <f>COUNTIFS(MAESTRO!$F$2:$F$1202,"&lt;&gt;",MAESTRO!$M$2:$M$1202,E6,MAESTRO!$J$2:$J$1202,"NO")</f>
        <v>31</v>
      </c>
      <c r="I6" s="49">
        <f>F6-G6-H6</f>
        <v>30</v>
      </c>
      <c r="J6" s="49">
        <f>COUNTIFS(MAESTRO!$F$2:$F$1202,"&lt;&gt;",MAESTRO!$E$2:$E$1202,E6,MAESTRO!$N$2:$N$1202,"SI")</f>
        <v>0</v>
      </c>
      <c r="K6" s="9"/>
      <c r="L6" s="9"/>
      <c r="M6" s="9"/>
    </row>
    <row r="7" spans="1:13" ht="18" customHeight="1" x14ac:dyDescent="0.2">
      <c r="A7" s="26" t="s">
        <v>2857</v>
      </c>
      <c r="B7" s="27">
        <f>B4-B5-B6</f>
        <v>129</v>
      </c>
      <c r="C7" s="26" t="s">
        <v>9</v>
      </c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ht="18" customHeight="1" x14ac:dyDescent="0.2">
      <c r="A8" s="26" t="s">
        <v>2858</v>
      </c>
      <c r="B8" s="27">
        <f>COUNTIFS(MAESTRO!$F$2:$F$1202,"&lt;&gt;",MAESTRO!$N$2:$N$1202,"SI")</f>
        <v>138</v>
      </c>
      <c r="C8" s="26" t="s">
        <v>2859</v>
      </c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ht="18" customHeight="1" x14ac:dyDescent="0.2">
      <c r="A9" s="26" t="s">
        <v>2860</v>
      </c>
      <c r="B9" s="27">
        <f>COUNTIFS(MAESTRO!$F$2:$F$1202,"&lt;&gt;",MAESTRO!$E$2:$E$1202,"VIP",MAESTRO!$N$2:$N$1202,"SI")</f>
        <v>137</v>
      </c>
      <c r="C9" s="26" t="s">
        <v>2861</v>
      </c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ht="18" customHeight="1" x14ac:dyDescent="0.2">
      <c r="A10" s="26" t="s">
        <v>2862</v>
      </c>
      <c r="B10" s="27">
        <f>149</f>
        <v>149</v>
      </c>
      <c r="C10" s="26" t="s">
        <v>2863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ht="18" customHeight="1" x14ac:dyDescent="0.2">
      <c r="A11" s="26" t="s">
        <v>2864</v>
      </c>
      <c r="B11" s="27">
        <f>MAX(0,B9-B10)</f>
        <v>0</v>
      </c>
      <c r="C11" s="26" t="s">
        <v>2865</v>
      </c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18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ht="18" customHeight="1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18" customHeight="1" x14ac:dyDescent="0.2">
      <c r="A14" s="63" t="s">
        <v>2866</v>
      </c>
      <c r="B14" s="64"/>
      <c r="C14" s="64"/>
      <c r="D14" s="64"/>
      <c r="E14" s="64"/>
      <c r="F14" s="64"/>
      <c r="G14" s="64"/>
      <c r="H14" s="64"/>
      <c r="I14" s="64"/>
      <c r="J14" s="9"/>
      <c r="K14" s="9"/>
      <c r="L14" s="9"/>
      <c r="M14" s="9"/>
    </row>
    <row r="15" spans="1:13" ht="18" customHeight="1" x14ac:dyDescent="0.2">
      <c r="A15" s="46" t="s">
        <v>2</v>
      </c>
      <c r="B15" s="46" t="s">
        <v>2867</v>
      </c>
      <c r="C15" s="46" t="s">
        <v>22</v>
      </c>
      <c r="D15" s="46" t="s">
        <v>71</v>
      </c>
      <c r="E15" s="46" t="s">
        <v>57</v>
      </c>
      <c r="F15" s="46" t="s">
        <v>24</v>
      </c>
      <c r="G15" s="46" t="s">
        <v>659</v>
      </c>
      <c r="H15" s="46" t="s">
        <v>1261</v>
      </c>
      <c r="I15" s="46" t="s">
        <v>13</v>
      </c>
      <c r="J15" s="9"/>
      <c r="K15" s="9"/>
      <c r="L15" s="9"/>
      <c r="M15" s="9"/>
    </row>
    <row r="16" spans="1:13" ht="18" customHeight="1" x14ac:dyDescent="0.2">
      <c r="A16" s="48" t="s">
        <v>1138</v>
      </c>
      <c r="B16" s="49">
        <f>IF($A16="","",COUNTIFS(MAESTRO!$C$2:$C$1202,$A16,MAESTRO!$F$2:$F$1202,"&lt;&gt;"))</f>
        <v>24</v>
      </c>
      <c r="C16" s="49">
        <f>IF($A16="","",COUNTIFS(MAESTRO!$C$2:$C$1202,$A16,MAESTRO!$J$2:$J$1202,"SI",MAESTRO!$F$2:$F$1202,"&lt;&gt;"))</f>
        <v>12</v>
      </c>
      <c r="D16" s="49">
        <f>IF($A16="","",COUNTIFS(MAESTRO!$C$2:$C$1202,$A16,MAESTRO!$J$2:$J$1202,"NO",MAESTRO!$F$2:$F$1202,"&lt;&gt;"))</f>
        <v>4</v>
      </c>
      <c r="E16" s="49">
        <f t="shared" ref="E16:E47" si="0">IF($A16="","",B16-C16-D16)</f>
        <v>8</v>
      </c>
      <c r="F16" s="49">
        <f>IF($A16="","",COUNTIFS(MAESTRO!$C$2:$C$1202,$A16,MAESTRO!$M$2:$M$1202,"VIP",MAESTRO!$F$2:$F$1202,"&lt;&gt;"))</f>
        <v>13</v>
      </c>
      <c r="G16" s="49">
        <f>IF($A16="","",COUNTIFS(MAESTRO!$C$2:$C$1202,$A16,MAESTRO!$M$2:$M$1202,"LATERAL VIP",MAESTRO!$F$2:$F$1202,"&lt;&gt;"))</f>
        <v>10</v>
      </c>
      <c r="H16" s="49">
        <f>IF($A16="","",COUNTIFS(MAESTRO!$C$2:$C$1202,$A16,MAESTRO!$M$2:$M$1202,"LATERAL",MAESTRO!$F$2:$F$1202,"&lt;&gt;"))</f>
        <v>0</v>
      </c>
      <c r="I16" s="49">
        <f>IF($A16="","",COUNTIFS(MAESTRO!$C$2:$C$1202,$A16,MAESTRO!$N$2:$N$1202,"SI",MAESTRO!$F$2:$F$1202,"&lt;&gt;"))</f>
        <v>5</v>
      </c>
      <c r="J16" s="9"/>
      <c r="K16" s="9"/>
      <c r="L16" s="9"/>
      <c r="M16" s="9"/>
    </row>
    <row r="17" spans="1:13" ht="18" customHeight="1" x14ac:dyDescent="0.2">
      <c r="A17" s="26" t="s">
        <v>2868</v>
      </c>
      <c r="B17" s="27">
        <f>IF($A17="","",COUNTIFS(MAESTRO!$C$2:$C$1202,$A17,MAESTRO!$F$2:$F$1202,"&lt;&gt;"))</f>
        <v>0</v>
      </c>
      <c r="C17" s="27">
        <f>IF($A17="","",COUNTIFS(MAESTRO!$C$2:$C$1202,$A17,MAESTRO!$J$2:$J$1202,"SI",MAESTRO!$F$2:$F$1202,"&lt;&gt;"))</f>
        <v>0</v>
      </c>
      <c r="D17" s="27">
        <f>IF($A17="","",COUNTIFS(MAESTRO!$C$2:$C$1202,$A17,MAESTRO!$J$2:$J$1202,"NO",MAESTRO!$F$2:$F$1202,"&lt;&gt;"))</f>
        <v>0</v>
      </c>
      <c r="E17" s="27">
        <f t="shared" si="0"/>
        <v>0</v>
      </c>
      <c r="F17" s="27">
        <f>IF($A17="","",COUNTIFS(MAESTRO!$C$2:$C$1202,$A17,MAESTRO!$M$2:$M$1202,"VIP",MAESTRO!$F$2:$F$1202,"&lt;&gt;"))</f>
        <v>0</v>
      </c>
      <c r="G17" s="27">
        <f>IF($A17="","",COUNTIFS(MAESTRO!$C$2:$C$1202,$A17,MAESTRO!$M$2:$M$1202,"LATERAL VIP",MAESTRO!$F$2:$F$1202,"&lt;&gt;"))</f>
        <v>0</v>
      </c>
      <c r="H17" s="27">
        <f>IF($A17="","",COUNTIFS(MAESTRO!$C$2:$C$1202,$A17,MAESTRO!$M$2:$M$1202,"LATERAL",MAESTRO!$F$2:$F$1202,"&lt;&gt;"))</f>
        <v>0</v>
      </c>
      <c r="I17" s="27">
        <f>IF($A17="","",COUNTIFS(MAESTRO!$C$2:$C$1202,$A17,MAESTRO!$N$2:$N$1202,"SI",MAESTRO!$F$2:$F$1202,"&lt;&gt;"))</f>
        <v>0</v>
      </c>
      <c r="J17" s="9"/>
      <c r="K17" s="9"/>
      <c r="L17" s="9"/>
      <c r="M17" s="9"/>
    </row>
    <row r="18" spans="1:13" ht="18" customHeight="1" x14ac:dyDescent="0.2">
      <c r="A18" s="48" t="s">
        <v>2468</v>
      </c>
      <c r="B18" s="49">
        <f>IF($A18="","",COUNTIFS(MAESTRO!$C$2:$C$1202,$A18,MAESTRO!$F$2:$F$1202,"&lt;&gt;"))</f>
        <v>25</v>
      </c>
      <c r="C18" s="49">
        <f>IF($A18="","",COUNTIFS(MAESTRO!$C$2:$C$1202,$A18,MAESTRO!$J$2:$J$1202,"SI",MAESTRO!$F$2:$F$1202,"&lt;&gt;"))</f>
        <v>25</v>
      </c>
      <c r="D18" s="49">
        <f>IF($A18="","",COUNTIFS(MAESTRO!$C$2:$C$1202,$A18,MAESTRO!$J$2:$J$1202,"NO",MAESTRO!$F$2:$F$1202,"&lt;&gt;"))</f>
        <v>0</v>
      </c>
      <c r="E18" s="49">
        <f t="shared" si="0"/>
        <v>0</v>
      </c>
      <c r="F18" s="49">
        <f>IF($A18="","",COUNTIFS(MAESTRO!$C$2:$C$1202,$A18,MAESTRO!$M$2:$M$1202,"VIP",MAESTRO!$F$2:$F$1202,"&lt;&gt;"))</f>
        <v>1</v>
      </c>
      <c r="G18" s="49">
        <f>IF($A18="","",COUNTIFS(MAESTRO!$C$2:$C$1202,$A18,MAESTRO!$M$2:$M$1202,"LATERAL VIP",MAESTRO!$F$2:$F$1202,"&lt;&gt;"))</f>
        <v>11</v>
      </c>
      <c r="H18" s="49">
        <f>IF($A18="","",COUNTIFS(MAESTRO!$C$2:$C$1202,$A18,MAESTRO!$M$2:$M$1202,"LATERAL",MAESTRO!$F$2:$F$1202,"&lt;&gt;"))</f>
        <v>13</v>
      </c>
      <c r="I18" s="49">
        <f>IF($A18="","",COUNTIFS(MAESTRO!$C$2:$C$1202,$A18,MAESTRO!$N$2:$N$1202,"SI",MAESTRO!$F$2:$F$1202,"&lt;&gt;"))</f>
        <v>1</v>
      </c>
      <c r="J18" s="9"/>
      <c r="K18" s="9"/>
      <c r="L18" s="9"/>
      <c r="M18" s="9"/>
    </row>
    <row r="19" spans="1:13" ht="18" customHeight="1" x14ac:dyDescent="0.2">
      <c r="A19" s="26" t="s">
        <v>2828</v>
      </c>
      <c r="B19" s="27">
        <f>IF($A19="","",COUNTIFS(MAESTRO!$C$2:$C$1202,$A19,MAESTRO!$F$2:$F$1202,"&lt;&gt;"))</f>
        <v>8</v>
      </c>
      <c r="C19" s="27">
        <f>IF($A19="","",COUNTIFS(MAESTRO!$C$2:$C$1202,$A19,MAESTRO!$J$2:$J$1202,"SI",MAESTRO!$F$2:$F$1202,"&lt;&gt;"))</f>
        <v>8</v>
      </c>
      <c r="D19" s="27">
        <f>IF($A19="","",COUNTIFS(MAESTRO!$C$2:$C$1202,$A19,MAESTRO!$J$2:$J$1202,"NO",MAESTRO!$F$2:$F$1202,"&lt;&gt;"))</f>
        <v>0</v>
      </c>
      <c r="E19" s="27">
        <f t="shared" si="0"/>
        <v>0</v>
      </c>
      <c r="F19" s="27">
        <f>IF($A19="","",COUNTIFS(MAESTRO!$C$2:$C$1202,$A19,MAESTRO!$M$2:$M$1202,"VIP",MAESTRO!$F$2:$F$1202,"&lt;&gt;"))</f>
        <v>0</v>
      </c>
      <c r="G19" s="27">
        <f>IF($A19="","",COUNTIFS(MAESTRO!$C$2:$C$1202,$A19,MAESTRO!$M$2:$M$1202,"LATERAL VIP",MAESTRO!$F$2:$F$1202,"&lt;&gt;"))</f>
        <v>0</v>
      </c>
      <c r="H19" s="27">
        <f>IF($A19="","",COUNTIFS(MAESTRO!$C$2:$C$1202,$A19,MAESTRO!$M$2:$M$1202,"LATERAL",MAESTRO!$F$2:$F$1202,"&lt;&gt;"))</f>
        <v>8</v>
      </c>
      <c r="I19" s="27">
        <f>IF($A19="","",COUNTIFS(MAESTRO!$C$2:$C$1202,$A19,MAESTRO!$N$2:$N$1202,"SI",MAESTRO!$F$2:$F$1202,"&lt;&gt;"))</f>
        <v>0</v>
      </c>
      <c r="J19" s="9"/>
      <c r="K19" s="9"/>
      <c r="L19" s="9"/>
      <c r="M19" s="9"/>
    </row>
    <row r="20" spans="1:13" ht="18" customHeight="1" x14ac:dyDescent="0.2">
      <c r="A20" s="48" t="s">
        <v>2596</v>
      </c>
      <c r="B20" s="49">
        <f>IF($A20="","",COUNTIFS(MAESTRO!$C$2:$C$1202,$A20,MAESTRO!$F$2:$F$1202,"&lt;&gt;"))</f>
        <v>72</v>
      </c>
      <c r="C20" s="49">
        <f>IF($A20="","",COUNTIFS(MAESTRO!$C$2:$C$1202,$A20,MAESTRO!$J$2:$J$1202,"SI",MAESTRO!$F$2:$F$1202,"&lt;&gt;"))</f>
        <v>67</v>
      </c>
      <c r="D20" s="49">
        <f>IF($A20="","",COUNTIFS(MAESTRO!$C$2:$C$1202,$A20,MAESTRO!$J$2:$J$1202,"NO",MAESTRO!$F$2:$F$1202,"&lt;&gt;"))</f>
        <v>4</v>
      </c>
      <c r="E20" s="49">
        <f t="shared" si="0"/>
        <v>1</v>
      </c>
      <c r="F20" s="49">
        <f>IF($A20="","",COUNTIFS(MAESTRO!$C$2:$C$1202,$A20,MAESTRO!$M$2:$M$1202,"VIP",MAESTRO!$F$2:$F$1202,"&lt;&gt;"))</f>
        <v>0</v>
      </c>
      <c r="G20" s="49">
        <f>IF($A20="","",COUNTIFS(MAESTRO!$C$2:$C$1202,$A20,MAESTRO!$M$2:$M$1202,"LATERAL VIP",MAESTRO!$F$2:$F$1202,"&lt;&gt;"))</f>
        <v>1</v>
      </c>
      <c r="H20" s="49">
        <f>IF($A20="","",COUNTIFS(MAESTRO!$C$2:$C$1202,$A20,MAESTRO!$M$2:$M$1202,"LATERAL",MAESTRO!$F$2:$F$1202,"&lt;&gt;"))</f>
        <v>70</v>
      </c>
      <c r="I20" s="49">
        <f>IF($A20="","",COUNTIFS(MAESTRO!$C$2:$C$1202,$A20,MAESTRO!$N$2:$N$1202,"SI",MAESTRO!$F$2:$F$1202,"&lt;&gt;"))</f>
        <v>0</v>
      </c>
      <c r="J20" s="9"/>
      <c r="K20" s="9"/>
      <c r="L20" s="9"/>
      <c r="M20" s="9"/>
    </row>
    <row r="21" spans="1:13" ht="18" customHeight="1" x14ac:dyDescent="0.2">
      <c r="A21" s="26" t="s">
        <v>2559</v>
      </c>
      <c r="B21" s="27">
        <f>IF($A21="","",COUNTIFS(MAESTRO!$C$2:$C$1202,$A21,MAESTRO!$F$2:$F$1202,"&lt;&gt;"))</f>
        <v>11</v>
      </c>
      <c r="C21" s="27">
        <f>IF($A21="","",COUNTIFS(MAESTRO!$C$2:$C$1202,$A21,MAESTRO!$J$2:$J$1202,"SI",MAESTRO!$F$2:$F$1202,"&lt;&gt;"))</f>
        <v>11</v>
      </c>
      <c r="D21" s="27">
        <f>IF($A21="","",COUNTIFS(MAESTRO!$C$2:$C$1202,$A21,MAESTRO!$J$2:$J$1202,"NO",MAESTRO!$F$2:$F$1202,"&lt;&gt;"))</f>
        <v>0</v>
      </c>
      <c r="E21" s="27">
        <f t="shared" si="0"/>
        <v>0</v>
      </c>
      <c r="F21" s="27">
        <f>IF($A21="","",COUNTIFS(MAESTRO!$C$2:$C$1202,$A21,MAESTRO!$M$2:$M$1202,"VIP",MAESTRO!$F$2:$F$1202,"&lt;&gt;"))</f>
        <v>0</v>
      </c>
      <c r="G21" s="27">
        <f>IF($A21="","",COUNTIFS(MAESTRO!$C$2:$C$1202,$A21,MAESTRO!$M$2:$M$1202,"LATERAL VIP",MAESTRO!$F$2:$F$1202,"&lt;&gt;"))</f>
        <v>1</v>
      </c>
      <c r="H21" s="27">
        <f>IF($A21="","",COUNTIFS(MAESTRO!$C$2:$C$1202,$A21,MAESTRO!$M$2:$M$1202,"LATERAL",MAESTRO!$F$2:$F$1202,"&lt;&gt;"))</f>
        <v>10</v>
      </c>
      <c r="I21" s="27">
        <f>IF($A21="","",COUNTIFS(MAESTRO!$C$2:$C$1202,$A21,MAESTRO!$N$2:$N$1202,"SI",MAESTRO!$F$2:$F$1202,"&lt;&gt;"))</f>
        <v>0</v>
      </c>
      <c r="J21" s="9"/>
      <c r="K21" s="9"/>
      <c r="L21" s="9"/>
      <c r="M21" s="9"/>
    </row>
    <row r="22" spans="1:13" ht="18" customHeight="1" x14ac:dyDescent="0.2">
      <c r="A22" s="48" t="s">
        <v>1386</v>
      </c>
      <c r="B22" s="49">
        <f>IF($A22="","",COUNTIFS(MAESTRO!$C$2:$C$1202,$A22,MAESTRO!$F$2:$F$1202,"&lt;&gt;"))</f>
        <v>3</v>
      </c>
      <c r="C22" s="49">
        <f>IF($A22="","",COUNTIFS(MAESTRO!$C$2:$C$1202,$A22,MAESTRO!$J$2:$J$1202,"SI",MAESTRO!$F$2:$F$1202,"&lt;&gt;"))</f>
        <v>1</v>
      </c>
      <c r="D22" s="49">
        <f>IF($A22="","",COUNTIFS(MAESTRO!$C$2:$C$1202,$A22,MAESTRO!$J$2:$J$1202,"NO",MAESTRO!$F$2:$F$1202,"&lt;&gt;"))</f>
        <v>1</v>
      </c>
      <c r="E22" s="49">
        <f t="shared" si="0"/>
        <v>1</v>
      </c>
      <c r="F22" s="49">
        <f>IF($A22="","",COUNTIFS(MAESTRO!$C$2:$C$1202,$A22,MAESTRO!$M$2:$M$1202,"VIP",MAESTRO!$F$2:$F$1202,"&lt;&gt;"))</f>
        <v>1</v>
      </c>
      <c r="G22" s="49">
        <f>IF($A22="","",COUNTIFS(MAESTRO!$C$2:$C$1202,$A22,MAESTRO!$M$2:$M$1202,"LATERAL VIP",MAESTRO!$F$2:$F$1202,"&lt;&gt;"))</f>
        <v>1</v>
      </c>
      <c r="H22" s="49">
        <f>IF($A22="","",COUNTIFS(MAESTRO!$C$2:$C$1202,$A22,MAESTRO!$M$2:$M$1202,"LATERAL",MAESTRO!$F$2:$F$1202,"&lt;&gt;"))</f>
        <v>1</v>
      </c>
      <c r="I22" s="49">
        <f>IF($A22="","",COUNTIFS(MAESTRO!$C$2:$C$1202,$A22,MAESTRO!$N$2:$N$1202,"SI",MAESTRO!$F$2:$F$1202,"&lt;&gt;"))</f>
        <v>1</v>
      </c>
      <c r="J22" s="9"/>
      <c r="K22" s="9"/>
      <c r="L22" s="9"/>
      <c r="M22" s="9"/>
    </row>
    <row r="23" spans="1:13" ht="18" customHeight="1" x14ac:dyDescent="0.2">
      <c r="A23" s="26" t="s">
        <v>2869</v>
      </c>
      <c r="B23" s="27">
        <f>IF($A23="","",COUNTIFS(MAESTRO!$C$2:$C$1202,$A23,MAESTRO!$F$2:$F$1202,"&lt;&gt;"))</f>
        <v>0</v>
      </c>
      <c r="C23" s="27">
        <f>IF($A23="","",COUNTIFS(MAESTRO!$C$2:$C$1202,$A23,MAESTRO!$J$2:$J$1202,"SI",MAESTRO!$F$2:$F$1202,"&lt;&gt;"))</f>
        <v>0</v>
      </c>
      <c r="D23" s="27">
        <f>IF($A23="","",COUNTIFS(MAESTRO!$C$2:$C$1202,$A23,MAESTRO!$J$2:$J$1202,"NO",MAESTRO!$F$2:$F$1202,"&lt;&gt;"))</f>
        <v>0</v>
      </c>
      <c r="E23" s="27">
        <f t="shared" si="0"/>
        <v>0</v>
      </c>
      <c r="F23" s="27">
        <f>IF($A23="","",COUNTIFS(MAESTRO!$C$2:$C$1202,$A23,MAESTRO!$M$2:$M$1202,"VIP",MAESTRO!$F$2:$F$1202,"&lt;&gt;"))</f>
        <v>0</v>
      </c>
      <c r="G23" s="27">
        <f>IF($A23="","",COUNTIFS(MAESTRO!$C$2:$C$1202,$A23,MAESTRO!$M$2:$M$1202,"LATERAL VIP",MAESTRO!$F$2:$F$1202,"&lt;&gt;"))</f>
        <v>0</v>
      </c>
      <c r="H23" s="27">
        <f>IF($A23="","",COUNTIFS(MAESTRO!$C$2:$C$1202,$A23,MAESTRO!$M$2:$M$1202,"LATERAL",MAESTRO!$F$2:$F$1202,"&lt;&gt;"))</f>
        <v>0</v>
      </c>
      <c r="I23" s="27">
        <f>IF($A23="","",COUNTIFS(MAESTRO!$C$2:$C$1202,$A23,MAESTRO!$N$2:$N$1202,"SI",MAESTRO!$F$2:$F$1202,"&lt;&gt;"))</f>
        <v>0</v>
      </c>
      <c r="J23" s="9"/>
      <c r="K23" s="9"/>
      <c r="L23" s="9"/>
      <c r="M23" s="9"/>
    </row>
    <row r="24" spans="1:13" ht="18" customHeight="1" x14ac:dyDescent="0.2">
      <c r="A24" s="48" t="s">
        <v>1325</v>
      </c>
      <c r="B24" s="49">
        <f>IF($A24="","",COUNTIFS(MAESTRO!$C$2:$C$1202,$A24,MAESTRO!$F$2:$F$1202,"&lt;&gt;"))</f>
        <v>15</v>
      </c>
      <c r="C24" s="49">
        <f>IF($A24="","",COUNTIFS(MAESTRO!$C$2:$C$1202,$A24,MAESTRO!$J$2:$J$1202,"SI",MAESTRO!$F$2:$F$1202,"&lt;&gt;"))</f>
        <v>5</v>
      </c>
      <c r="D24" s="49">
        <f>IF($A24="","",COUNTIFS(MAESTRO!$C$2:$C$1202,$A24,MAESTRO!$J$2:$J$1202,"NO",MAESTRO!$F$2:$F$1202,"&lt;&gt;"))</f>
        <v>5</v>
      </c>
      <c r="E24" s="49">
        <f t="shared" si="0"/>
        <v>5</v>
      </c>
      <c r="F24" s="49">
        <f>IF($A24="","",COUNTIFS(MAESTRO!$C$2:$C$1202,$A24,MAESTRO!$M$2:$M$1202,"VIP",MAESTRO!$F$2:$F$1202,"&lt;&gt;"))</f>
        <v>3</v>
      </c>
      <c r="G24" s="49">
        <f>IF($A24="","",COUNTIFS(MAESTRO!$C$2:$C$1202,$A24,MAESTRO!$M$2:$M$1202,"LATERAL VIP",MAESTRO!$F$2:$F$1202,"&lt;&gt;"))</f>
        <v>7</v>
      </c>
      <c r="H24" s="49">
        <f>IF($A24="","",COUNTIFS(MAESTRO!$C$2:$C$1202,$A24,MAESTRO!$M$2:$M$1202,"LATERAL",MAESTRO!$F$2:$F$1202,"&lt;&gt;"))</f>
        <v>3</v>
      </c>
      <c r="I24" s="49">
        <f>IF($A24="","",COUNTIFS(MAESTRO!$C$2:$C$1202,$A24,MAESTRO!$N$2:$N$1202,"SI",MAESTRO!$F$2:$F$1202,"&lt;&gt;"))</f>
        <v>2</v>
      </c>
      <c r="J24" s="9"/>
      <c r="K24" s="9"/>
      <c r="L24" s="9"/>
      <c r="M24" s="9"/>
    </row>
    <row r="25" spans="1:13" ht="18" customHeight="1" x14ac:dyDescent="0.2">
      <c r="A25" s="26" t="s">
        <v>1229</v>
      </c>
      <c r="B25" s="27">
        <f>IF($A25="","",COUNTIFS(MAESTRO!$C$2:$C$1202,$A25,MAESTRO!$F$2:$F$1202,"&lt;&gt;"))</f>
        <v>29</v>
      </c>
      <c r="C25" s="27">
        <f>IF($A25="","",COUNTIFS(MAESTRO!$C$2:$C$1202,$A25,MAESTRO!$J$2:$J$1202,"SI",MAESTRO!$F$2:$F$1202,"&lt;&gt;"))</f>
        <v>14</v>
      </c>
      <c r="D25" s="27">
        <f>IF($A25="","",COUNTIFS(MAESTRO!$C$2:$C$1202,$A25,MAESTRO!$J$2:$J$1202,"NO",MAESTRO!$F$2:$F$1202,"&lt;&gt;"))</f>
        <v>14</v>
      </c>
      <c r="E25" s="27">
        <f t="shared" si="0"/>
        <v>1</v>
      </c>
      <c r="F25" s="27">
        <f>IF($A25="","",COUNTIFS(MAESTRO!$C$2:$C$1202,$A25,MAESTRO!$M$2:$M$1202,"VIP",MAESTRO!$F$2:$F$1202,"&lt;&gt;"))</f>
        <v>3</v>
      </c>
      <c r="G25" s="27">
        <f>IF($A25="","",COUNTIFS(MAESTRO!$C$2:$C$1202,$A25,MAESTRO!$M$2:$M$1202,"LATERAL VIP",MAESTRO!$F$2:$F$1202,"&lt;&gt;"))</f>
        <v>12</v>
      </c>
      <c r="H25" s="27">
        <f>IF($A25="","",COUNTIFS(MAESTRO!$C$2:$C$1202,$A25,MAESTRO!$M$2:$M$1202,"LATERAL",MAESTRO!$F$2:$F$1202,"&lt;&gt;"))</f>
        <v>5</v>
      </c>
      <c r="I25" s="27">
        <f>IF($A25="","",COUNTIFS(MAESTRO!$C$2:$C$1202,$A25,MAESTRO!$N$2:$N$1202,"SI",MAESTRO!$F$2:$F$1202,"&lt;&gt;"))</f>
        <v>0</v>
      </c>
      <c r="J25" s="9"/>
      <c r="K25" s="9"/>
      <c r="L25" s="9"/>
      <c r="M25" s="9"/>
    </row>
    <row r="26" spans="1:13" ht="18" customHeight="1" x14ac:dyDescent="0.2">
      <c r="A26" s="48" t="s">
        <v>1582</v>
      </c>
      <c r="B26" s="49">
        <f>IF($A26="","",COUNTIFS(MAESTRO!$C$2:$C$1202,$A26,MAESTRO!$F$2:$F$1202,"&lt;&gt;"))</f>
        <v>37</v>
      </c>
      <c r="C26" s="49">
        <f>IF($A26="","",COUNTIFS(MAESTRO!$C$2:$C$1202,$A26,MAESTRO!$J$2:$J$1202,"SI",MAESTRO!$F$2:$F$1202,"&lt;&gt;"))</f>
        <v>27</v>
      </c>
      <c r="D26" s="49">
        <f>IF($A26="","",COUNTIFS(MAESTRO!$C$2:$C$1202,$A26,MAESTRO!$J$2:$J$1202,"NO",MAESTRO!$F$2:$F$1202,"&lt;&gt;"))</f>
        <v>2</v>
      </c>
      <c r="E26" s="49">
        <f t="shared" si="0"/>
        <v>8</v>
      </c>
      <c r="F26" s="49">
        <f>IF($A26="","",COUNTIFS(MAESTRO!$C$2:$C$1202,$A26,MAESTRO!$M$2:$M$1202,"VIP",MAESTRO!$F$2:$F$1202,"&lt;&gt;"))</f>
        <v>0</v>
      </c>
      <c r="G26" s="49">
        <f>IF($A26="","",COUNTIFS(MAESTRO!$C$2:$C$1202,$A26,MAESTRO!$M$2:$M$1202,"LATERAL VIP",MAESTRO!$F$2:$F$1202,"&lt;&gt;"))</f>
        <v>10</v>
      </c>
      <c r="H26" s="49">
        <f>IF($A26="","",COUNTIFS(MAESTRO!$C$2:$C$1202,$A26,MAESTRO!$M$2:$M$1202,"LATERAL",MAESTRO!$F$2:$F$1202,"&lt;&gt;"))</f>
        <v>27</v>
      </c>
      <c r="I26" s="49">
        <f>IF($A26="","",COUNTIFS(MAESTRO!$C$2:$C$1202,$A26,MAESTRO!$N$2:$N$1202,"SI",MAESTRO!$F$2:$F$1202,"&lt;&gt;"))</f>
        <v>0</v>
      </c>
      <c r="J26" s="9"/>
      <c r="K26" s="9"/>
      <c r="L26" s="9"/>
      <c r="M26" s="9"/>
    </row>
    <row r="27" spans="1:13" ht="18" customHeight="1" x14ac:dyDescent="0.2">
      <c r="A27" s="26" t="s">
        <v>1401</v>
      </c>
      <c r="B27" s="27">
        <f>IF($A27="","",COUNTIFS(MAESTRO!$C$2:$C$1202,$A27,MAESTRO!$F$2:$F$1202,"&lt;&gt;"))</f>
        <v>46</v>
      </c>
      <c r="C27" s="27">
        <f>IF($A27="","",COUNTIFS(MAESTRO!$C$2:$C$1202,$A27,MAESTRO!$J$2:$J$1202,"SI",MAESTRO!$F$2:$F$1202,"&lt;&gt;"))</f>
        <v>26</v>
      </c>
      <c r="D27" s="27">
        <f>IF($A27="","",COUNTIFS(MAESTRO!$C$2:$C$1202,$A27,MAESTRO!$J$2:$J$1202,"NO",MAESTRO!$F$2:$F$1202,"&lt;&gt;"))</f>
        <v>16</v>
      </c>
      <c r="E27" s="27">
        <f t="shared" si="0"/>
        <v>4</v>
      </c>
      <c r="F27" s="27">
        <f>IF($A27="","",COUNTIFS(MAESTRO!$C$2:$C$1202,$A27,MAESTRO!$M$2:$M$1202,"VIP",MAESTRO!$F$2:$F$1202,"&lt;&gt;"))</f>
        <v>7</v>
      </c>
      <c r="G27" s="27">
        <f>IF($A27="","",COUNTIFS(MAESTRO!$C$2:$C$1202,$A27,MAESTRO!$M$2:$M$1202,"LATERAL VIP",MAESTRO!$F$2:$F$1202,"&lt;&gt;"))</f>
        <v>31</v>
      </c>
      <c r="H27" s="27">
        <f>IF($A27="","",COUNTIFS(MAESTRO!$C$2:$C$1202,$A27,MAESTRO!$M$2:$M$1202,"LATERAL",MAESTRO!$F$2:$F$1202,"&lt;&gt;"))</f>
        <v>5</v>
      </c>
      <c r="I27" s="27">
        <f>IF($A27="","",COUNTIFS(MAESTRO!$C$2:$C$1202,$A27,MAESTRO!$N$2:$N$1202,"SI",MAESTRO!$F$2:$F$1202,"&lt;&gt;"))</f>
        <v>6</v>
      </c>
      <c r="J27" s="9"/>
      <c r="K27" s="9"/>
      <c r="L27" s="9"/>
      <c r="M27" s="9"/>
    </row>
    <row r="28" spans="1:13" ht="18" customHeight="1" x14ac:dyDescent="0.2">
      <c r="A28" s="48" t="s">
        <v>16</v>
      </c>
      <c r="B28" s="49">
        <f>IF($A28="","",COUNTIFS(MAESTRO!$C$2:$C$1202,$A28,MAESTRO!$F$2:$F$1202,"&lt;&gt;"))</f>
        <v>177</v>
      </c>
      <c r="C28" s="49">
        <f>IF($A28="","",COUNTIFS(MAESTRO!$C$2:$C$1202,$A28,MAESTRO!$J$2:$J$1202,"SI",MAESTRO!$F$2:$F$1202,"&lt;&gt;"))</f>
        <v>55</v>
      </c>
      <c r="D28" s="49">
        <f>IF($A28="","",COUNTIFS(MAESTRO!$C$2:$C$1202,$A28,MAESTRO!$J$2:$J$1202,"NO",MAESTRO!$F$2:$F$1202,"&lt;&gt;"))</f>
        <v>76</v>
      </c>
      <c r="E28" s="49">
        <f t="shared" si="0"/>
        <v>46</v>
      </c>
      <c r="F28" s="49">
        <f>IF($A28="","",COUNTIFS(MAESTRO!$C$2:$C$1202,$A28,MAESTRO!$M$2:$M$1202,"VIP",MAESTRO!$F$2:$F$1202,"&lt;&gt;"))</f>
        <v>167</v>
      </c>
      <c r="G28" s="49">
        <f>IF($A28="","",COUNTIFS(MAESTRO!$C$2:$C$1202,$A28,MAESTRO!$M$2:$M$1202,"LATERAL VIP",MAESTRO!$F$2:$F$1202,"&lt;&gt;"))</f>
        <v>9</v>
      </c>
      <c r="H28" s="49">
        <f>IF($A28="","",COUNTIFS(MAESTRO!$C$2:$C$1202,$A28,MAESTRO!$M$2:$M$1202,"LATERAL",MAESTRO!$F$2:$F$1202,"&lt;&gt;"))</f>
        <v>0</v>
      </c>
      <c r="I28" s="49">
        <f>IF($A28="","",COUNTIFS(MAESTRO!$C$2:$C$1202,$A28,MAESTRO!$N$2:$N$1202,"SI",MAESTRO!$F$2:$F$1202,"&lt;&gt;"))</f>
        <v>49</v>
      </c>
      <c r="J28" s="9"/>
      <c r="K28" s="9"/>
      <c r="L28" s="9"/>
      <c r="M28" s="9"/>
    </row>
    <row r="29" spans="1:13" ht="18" customHeight="1" x14ac:dyDescent="0.2">
      <c r="A29" s="26" t="s">
        <v>844</v>
      </c>
      <c r="B29" s="27">
        <f>IF($A29="","",COUNTIFS(MAESTRO!$C$2:$C$1202,$A29,MAESTRO!$F$2:$F$1202,"&lt;&gt;"))</f>
        <v>11</v>
      </c>
      <c r="C29" s="27">
        <f>IF($A29="","",COUNTIFS(MAESTRO!$C$2:$C$1202,$A29,MAESTRO!$J$2:$J$1202,"SI",MAESTRO!$F$2:$F$1202,"&lt;&gt;"))</f>
        <v>6</v>
      </c>
      <c r="D29" s="27">
        <f>IF($A29="","",COUNTIFS(MAESTRO!$C$2:$C$1202,$A29,MAESTRO!$J$2:$J$1202,"NO",MAESTRO!$F$2:$F$1202,"&lt;&gt;"))</f>
        <v>3</v>
      </c>
      <c r="E29" s="27">
        <f t="shared" si="0"/>
        <v>2</v>
      </c>
      <c r="F29" s="27">
        <f>IF($A29="","",COUNTIFS(MAESTRO!$C$2:$C$1202,$A29,MAESTRO!$M$2:$M$1202,"VIP",MAESTRO!$F$2:$F$1202,"&lt;&gt;"))</f>
        <v>10</v>
      </c>
      <c r="G29" s="27">
        <f>IF($A29="","",COUNTIFS(MAESTRO!$C$2:$C$1202,$A29,MAESTRO!$M$2:$M$1202,"LATERAL VIP",MAESTRO!$F$2:$F$1202,"&lt;&gt;"))</f>
        <v>0</v>
      </c>
      <c r="H29" s="27">
        <f>IF($A29="","",COUNTIFS(MAESTRO!$C$2:$C$1202,$A29,MAESTRO!$M$2:$M$1202,"LATERAL",MAESTRO!$F$2:$F$1202,"&lt;&gt;"))</f>
        <v>0</v>
      </c>
      <c r="I29" s="27">
        <f>IF($A29="","",COUNTIFS(MAESTRO!$C$2:$C$1202,$A29,MAESTRO!$N$2:$N$1202,"SI",MAESTRO!$F$2:$F$1202,"&lt;&gt;"))</f>
        <v>6</v>
      </c>
      <c r="J29" s="9"/>
      <c r="K29" s="9"/>
      <c r="L29" s="9"/>
      <c r="M29" s="9"/>
    </row>
    <row r="30" spans="1:13" ht="18" customHeight="1" x14ac:dyDescent="0.2">
      <c r="A30" s="48" t="s">
        <v>942</v>
      </c>
      <c r="B30" s="49">
        <f>IF($A30="","",COUNTIFS(MAESTRO!$C$2:$C$1202,$A30,MAESTRO!$F$2:$F$1202,"&lt;&gt;"))</f>
        <v>15</v>
      </c>
      <c r="C30" s="49">
        <f>IF($A30="","",COUNTIFS(MAESTRO!$C$2:$C$1202,$A30,MAESTRO!$J$2:$J$1202,"SI",MAESTRO!$F$2:$F$1202,"&lt;&gt;"))</f>
        <v>11</v>
      </c>
      <c r="D30" s="49">
        <f>IF($A30="","",COUNTIFS(MAESTRO!$C$2:$C$1202,$A30,MAESTRO!$J$2:$J$1202,"NO",MAESTRO!$F$2:$F$1202,"&lt;&gt;"))</f>
        <v>3</v>
      </c>
      <c r="E30" s="49">
        <f t="shared" si="0"/>
        <v>1</v>
      </c>
      <c r="F30" s="49">
        <f>IF($A30="","",COUNTIFS(MAESTRO!$C$2:$C$1202,$A30,MAESTRO!$M$2:$M$1202,"VIP",MAESTRO!$F$2:$F$1202,"&lt;&gt;"))</f>
        <v>15</v>
      </c>
      <c r="G30" s="49">
        <f>IF($A30="","",COUNTIFS(MAESTRO!$C$2:$C$1202,$A30,MAESTRO!$M$2:$M$1202,"LATERAL VIP",MAESTRO!$F$2:$F$1202,"&lt;&gt;"))</f>
        <v>0</v>
      </c>
      <c r="H30" s="49">
        <f>IF($A30="","",COUNTIFS(MAESTRO!$C$2:$C$1202,$A30,MAESTRO!$M$2:$M$1202,"LATERAL",MAESTRO!$F$2:$F$1202,"&lt;&gt;"))</f>
        <v>0</v>
      </c>
      <c r="I30" s="49">
        <f>IF($A30="","",COUNTIFS(MAESTRO!$C$2:$C$1202,$A30,MAESTRO!$N$2:$N$1202,"SI",MAESTRO!$F$2:$F$1202,"&lt;&gt;"))</f>
        <v>11</v>
      </c>
      <c r="J30" s="9"/>
      <c r="K30" s="9"/>
      <c r="L30" s="9"/>
      <c r="M30" s="9"/>
    </row>
    <row r="31" spans="1:13" ht="18" customHeight="1" x14ac:dyDescent="0.2">
      <c r="A31" s="26" t="s">
        <v>907</v>
      </c>
      <c r="B31" s="27">
        <f>IF($A31="","",COUNTIFS(MAESTRO!$C$2:$C$1202,$A31,MAESTRO!$F$2:$F$1202,"&lt;&gt;"))</f>
        <v>7</v>
      </c>
      <c r="C31" s="27">
        <f>IF($A31="","",COUNTIFS(MAESTRO!$C$2:$C$1202,$A31,MAESTRO!$J$2:$J$1202,"SI",MAESTRO!$F$2:$F$1202,"&lt;&gt;"))</f>
        <v>3</v>
      </c>
      <c r="D31" s="27">
        <f>IF($A31="","",COUNTIFS(MAESTRO!$C$2:$C$1202,$A31,MAESTRO!$J$2:$J$1202,"NO",MAESTRO!$F$2:$F$1202,"&lt;&gt;"))</f>
        <v>3</v>
      </c>
      <c r="E31" s="27">
        <f t="shared" si="0"/>
        <v>1</v>
      </c>
      <c r="F31" s="27">
        <f>IF($A31="","",COUNTIFS(MAESTRO!$C$2:$C$1202,$A31,MAESTRO!$M$2:$M$1202,"VIP",MAESTRO!$F$2:$F$1202,"&lt;&gt;"))</f>
        <v>7</v>
      </c>
      <c r="G31" s="27">
        <f>IF($A31="","",COUNTIFS(MAESTRO!$C$2:$C$1202,$A31,MAESTRO!$M$2:$M$1202,"LATERAL VIP",MAESTRO!$F$2:$F$1202,"&lt;&gt;"))</f>
        <v>0</v>
      </c>
      <c r="H31" s="27">
        <f>IF($A31="","",COUNTIFS(MAESTRO!$C$2:$C$1202,$A31,MAESTRO!$M$2:$M$1202,"LATERAL",MAESTRO!$F$2:$F$1202,"&lt;&gt;"))</f>
        <v>0</v>
      </c>
      <c r="I31" s="27">
        <f>IF($A31="","",COUNTIFS(MAESTRO!$C$2:$C$1202,$A31,MAESTRO!$N$2:$N$1202,"SI",MAESTRO!$F$2:$F$1202,"&lt;&gt;"))</f>
        <v>3</v>
      </c>
      <c r="J31" s="9"/>
      <c r="K31" s="9"/>
      <c r="L31" s="9"/>
      <c r="M31" s="9"/>
    </row>
    <row r="32" spans="1:13" ht="18" customHeight="1" x14ac:dyDescent="0.2">
      <c r="A32" s="48" t="s">
        <v>1017</v>
      </c>
      <c r="B32" s="49">
        <f>IF($A32="","",COUNTIFS(MAESTRO!$C$2:$C$1202,$A32,MAESTRO!$F$2:$F$1202,"&lt;&gt;"))</f>
        <v>24</v>
      </c>
      <c r="C32" s="49">
        <f>IF($A32="","",COUNTIFS(MAESTRO!$C$2:$C$1202,$A32,MAESTRO!$J$2:$J$1202,"SI",MAESTRO!$F$2:$F$1202,"&lt;&gt;"))</f>
        <v>22</v>
      </c>
      <c r="D32" s="49">
        <f>IF($A32="","",COUNTIFS(MAESTRO!$C$2:$C$1202,$A32,MAESTRO!$J$2:$J$1202,"NO",MAESTRO!$F$2:$F$1202,"&lt;&gt;"))</f>
        <v>2</v>
      </c>
      <c r="E32" s="49">
        <f t="shared" si="0"/>
        <v>0</v>
      </c>
      <c r="F32" s="49">
        <f>IF($A32="","",COUNTIFS(MAESTRO!$C$2:$C$1202,$A32,MAESTRO!$M$2:$M$1202,"VIP",MAESTRO!$F$2:$F$1202,"&lt;&gt;"))</f>
        <v>24</v>
      </c>
      <c r="G32" s="49">
        <f>IF($A32="","",COUNTIFS(MAESTRO!$C$2:$C$1202,$A32,MAESTRO!$M$2:$M$1202,"LATERAL VIP",MAESTRO!$F$2:$F$1202,"&lt;&gt;"))</f>
        <v>0</v>
      </c>
      <c r="H32" s="49">
        <f>IF($A32="","",COUNTIFS(MAESTRO!$C$2:$C$1202,$A32,MAESTRO!$M$2:$M$1202,"LATERAL",MAESTRO!$F$2:$F$1202,"&lt;&gt;"))</f>
        <v>0</v>
      </c>
      <c r="I32" s="49">
        <f>IF($A32="","",COUNTIFS(MAESTRO!$C$2:$C$1202,$A32,MAESTRO!$N$2:$N$1202,"SI",MAESTRO!$F$2:$F$1202,"&lt;&gt;"))</f>
        <v>22</v>
      </c>
      <c r="J32" s="9"/>
      <c r="K32" s="9"/>
      <c r="L32" s="9"/>
      <c r="M32" s="9"/>
    </row>
    <row r="33" spans="1:13" ht="18" customHeight="1" x14ac:dyDescent="0.2">
      <c r="A33" s="26" t="s">
        <v>1752</v>
      </c>
      <c r="B33" s="27">
        <f>IF($A33="","",COUNTIFS(MAESTRO!$C$2:$C$1202,$A33,MAESTRO!$F$2:$F$1202,"&lt;&gt;"))</f>
        <v>8</v>
      </c>
      <c r="C33" s="27">
        <f>IF($A33="","",COUNTIFS(MAESTRO!$C$2:$C$1202,$A33,MAESTRO!$J$2:$J$1202,"SI",MAESTRO!$F$2:$F$1202,"&lt;&gt;"))</f>
        <v>8</v>
      </c>
      <c r="D33" s="27">
        <f>IF($A33="","",COUNTIFS(MAESTRO!$C$2:$C$1202,$A33,MAESTRO!$J$2:$J$1202,"NO",MAESTRO!$F$2:$F$1202,"&lt;&gt;"))</f>
        <v>0</v>
      </c>
      <c r="E33" s="27">
        <f t="shared" si="0"/>
        <v>0</v>
      </c>
      <c r="F33" s="27">
        <f>IF($A33="","",COUNTIFS(MAESTRO!$C$2:$C$1202,$A33,MAESTRO!$M$2:$M$1202,"VIP",MAESTRO!$F$2:$F$1202,"&lt;&gt;"))</f>
        <v>0</v>
      </c>
      <c r="G33" s="27">
        <f>IF($A33="","",COUNTIFS(MAESTRO!$C$2:$C$1202,$A33,MAESTRO!$M$2:$M$1202,"LATERAL VIP",MAESTRO!$F$2:$F$1202,"&lt;&gt;"))</f>
        <v>8</v>
      </c>
      <c r="H33" s="27">
        <f>IF($A33="","",COUNTIFS(MAESTRO!$C$2:$C$1202,$A33,MAESTRO!$M$2:$M$1202,"LATERAL",MAESTRO!$F$2:$F$1202,"&lt;&gt;"))</f>
        <v>0</v>
      </c>
      <c r="I33" s="27">
        <f>IF($A33="","",COUNTIFS(MAESTRO!$C$2:$C$1202,$A33,MAESTRO!$N$2:$N$1202,"SI",MAESTRO!$F$2:$F$1202,"&lt;&gt;"))</f>
        <v>0</v>
      </c>
      <c r="J33" s="9"/>
      <c r="K33" s="9"/>
      <c r="L33" s="9"/>
      <c r="M33" s="9"/>
    </row>
    <row r="34" spans="1:13" ht="18" customHeight="1" x14ac:dyDescent="0.2">
      <c r="A34" s="48" t="s">
        <v>2186</v>
      </c>
      <c r="B34" s="49">
        <f>IF($A34="","",COUNTIFS(MAESTRO!$C$2:$C$1202,$A34,MAESTRO!$F$2:$F$1202,"&lt;&gt;"))</f>
        <v>82</v>
      </c>
      <c r="C34" s="49">
        <f>IF($A34="","",COUNTIFS(MAESTRO!$C$2:$C$1202,$A34,MAESTRO!$J$2:$J$1202,"SI",MAESTRO!$F$2:$F$1202,"&lt;&gt;"))</f>
        <v>44</v>
      </c>
      <c r="D34" s="49">
        <f>IF($A34="","",COUNTIFS(MAESTRO!$C$2:$C$1202,$A34,MAESTRO!$J$2:$J$1202,"NO",MAESTRO!$F$2:$F$1202,"&lt;&gt;"))</f>
        <v>15</v>
      </c>
      <c r="E34" s="49">
        <f t="shared" si="0"/>
        <v>23</v>
      </c>
      <c r="F34" s="49">
        <f>IF($A34="","",COUNTIFS(MAESTRO!$C$2:$C$1202,$A34,MAESTRO!$M$2:$M$1202,"VIP",MAESTRO!$F$2:$F$1202,"&lt;&gt;"))</f>
        <v>41</v>
      </c>
      <c r="G34" s="49">
        <f>IF($A34="","",COUNTIFS(MAESTRO!$C$2:$C$1202,$A34,MAESTRO!$M$2:$M$1202,"LATERAL VIP",MAESTRO!$F$2:$F$1202,"&lt;&gt;"))</f>
        <v>25</v>
      </c>
      <c r="H34" s="49">
        <f>IF($A34="","",COUNTIFS(MAESTRO!$C$2:$C$1202,$A34,MAESTRO!$M$2:$M$1202,"LATERAL",MAESTRO!$F$2:$F$1202,"&lt;&gt;"))</f>
        <v>7</v>
      </c>
      <c r="I34" s="49">
        <f>IF($A34="","",COUNTIFS(MAESTRO!$C$2:$C$1202,$A34,MAESTRO!$N$2:$N$1202,"SI",MAESTRO!$F$2:$F$1202,"&lt;&gt;"))</f>
        <v>18</v>
      </c>
      <c r="J34" s="9"/>
      <c r="K34" s="9"/>
      <c r="L34" s="9"/>
      <c r="M34" s="9"/>
    </row>
    <row r="35" spans="1:13" ht="18" customHeight="1" x14ac:dyDescent="0.2">
      <c r="A35" s="9"/>
      <c r="B35" s="9" t="str">
        <f>IF($A35="","",COUNTIFS(MAESTRO!$C$2:$C$1202,$A35,MAESTRO!$F$2:$F$1202,"&lt;&gt;"))</f>
        <v/>
      </c>
      <c r="C35" s="9" t="str">
        <f>IF($A35="","",COUNTIFS(MAESTRO!$C$2:$C$1202,$A35,MAESTRO!$J$2:$J$1202,"SI",MAESTRO!$F$2:$F$1202,"&lt;&gt;"))</f>
        <v/>
      </c>
      <c r="D35" s="9" t="str">
        <f>IF($A35="","",COUNTIFS(MAESTRO!$C$2:$C$1202,$A35,MAESTRO!$J$2:$J$1202,"NO",MAESTRO!$F$2:$F$1202,"&lt;&gt;"))</f>
        <v/>
      </c>
      <c r="E35" s="9" t="str">
        <f t="shared" si="0"/>
        <v/>
      </c>
      <c r="F35" s="9" t="str">
        <f>IF($A35="","",COUNTIFS(MAESTRO!$C$2:$C$1202,$A35,MAESTRO!$M$2:$M$1202,"VIP",MAESTRO!$F$2:$F$1202,"&lt;&gt;"))</f>
        <v/>
      </c>
      <c r="G35" s="9" t="str">
        <f>IF($A35="","",COUNTIFS(MAESTRO!$C$2:$C$1202,$A35,MAESTRO!$M$2:$M$1202,"LATERAL VIP",MAESTRO!$F$2:$F$1202,"&lt;&gt;"))</f>
        <v/>
      </c>
      <c r="H35" s="9" t="str">
        <f>IF($A35="","",COUNTIFS(MAESTRO!$C$2:$C$1202,$A35,MAESTRO!$M$2:$M$1202,"LATERAL",MAESTRO!$F$2:$F$1202,"&lt;&gt;"))</f>
        <v/>
      </c>
      <c r="I35" s="9" t="str">
        <f>IF($A35="","",COUNTIFS(MAESTRO!$C$2:$C$1202,$A35,MAESTRO!$N$2:$N$1202,"SI",MAESTRO!$F$2:$F$1202,"&lt;&gt;"))</f>
        <v/>
      </c>
      <c r="J35" s="9"/>
      <c r="K35" s="9"/>
      <c r="L35" s="9"/>
      <c r="M35" s="9"/>
    </row>
    <row r="36" spans="1:13" ht="18" customHeight="1" x14ac:dyDescent="0.2">
      <c r="A36" s="9"/>
      <c r="B36" s="9" t="str">
        <f>IF($A36="","",COUNTIFS(MAESTRO!$C$2:$C$1202,$A36,MAESTRO!$F$2:$F$1202,"&lt;&gt;"))</f>
        <v/>
      </c>
      <c r="C36" s="9" t="str">
        <f>IF($A36="","",COUNTIFS(MAESTRO!$C$2:$C$1202,$A36,MAESTRO!$J$2:$J$1202,"SI",MAESTRO!$F$2:$F$1202,"&lt;&gt;"))</f>
        <v/>
      </c>
      <c r="D36" s="9" t="str">
        <f>IF($A36="","",COUNTIFS(MAESTRO!$C$2:$C$1202,$A36,MAESTRO!$J$2:$J$1202,"NO",MAESTRO!$F$2:$F$1202,"&lt;&gt;"))</f>
        <v/>
      </c>
      <c r="E36" s="9" t="str">
        <f t="shared" si="0"/>
        <v/>
      </c>
      <c r="F36" s="9" t="str">
        <f>IF($A36="","",COUNTIFS(MAESTRO!$C$2:$C$1202,$A36,MAESTRO!$M$2:$M$1202,"VIP",MAESTRO!$F$2:$F$1202,"&lt;&gt;"))</f>
        <v/>
      </c>
      <c r="G36" s="9" t="str">
        <f>IF($A36="","",COUNTIFS(MAESTRO!$C$2:$C$1202,$A36,MAESTRO!$M$2:$M$1202,"LATERAL VIP",MAESTRO!$F$2:$F$1202,"&lt;&gt;"))</f>
        <v/>
      </c>
      <c r="H36" s="9" t="str">
        <f>IF($A36="","",COUNTIFS(MAESTRO!$C$2:$C$1202,$A36,MAESTRO!$M$2:$M$1202,"LATERAL",MAESTRO!$F$2:$F$1202,"&lt;&gt;"))</f>
        <v/>
      </c>
      <c r="I36" s="9" t="str">
        <f>IF($A36="","",COUNTIFS(MAESTRO!$C$2:$C$1202,$A36,MAESTRO!$N$2:$N$1202,"SI",MAESTRO!$F$2:$F$1202,"&lt;&gt;"))</f>
        <v/>
      </c>
      <c r="J36" s="9"/>
      <c r="K36" s="9"/>
      <c r="L36" s="9"/>
      <c r="M36" s="9"/>
    </row>
    <row r="37" spans="1:13" ht="18" customHeight="1" x14ac:dyDescent="0.2">
      <c r="A37" s="9"/>
      <c r="B37" s="9" t="str">
        <f>IF($A37="","",COUNTIFS(MAESTRO!$C$2:$C$1202,$A37,MAESTRO!$F$2:$F$1202,"&lt;&gt;"))</f>
        <v/>
      </c>
      <c r="C37" s="9" t="str">
        <f>IF($A37="","",COUNTIFS(MAESTRO!$C$2:$C$1202,$A37,MAESTRO!$J$2:$J$1202,"SI",MAESTRO!$F$2:$F$1202,"&lt;&gt;"))</f>
        <v/>
      </c>
      <c r="D37" s="9" t="str">
        <f>IF($A37="","",COUNTIFS(MAESTRO!$C$2:$C$1202,$A37,MAESTRO!$J$2:$J$1202,"NO",MAESTRO!$F$2:$F$1202,"&lt;&gt;"))</f>
        <v/>
      </c>
      <c r="E37" s="9" t="str">
        <f t="shared" si="0"/>
        <v/>
      </c>
      <c r="F37" s="9" t="str">
        <f>IF($A37="","",COUNTIFS(MAESTRO!$C$2:$C$1202,$A37,MAESTRO!$M$2:$M$1202,"VIP",MAESTRO!$F$2:$F$1202,"&lt;&gt;"))</f>
        <v/>
      </c>
      <c r="G37" s="9" t="str">
        <f>IF($A37="","",COUNTIFS(MAESTRO!$C$2:$C$1202,$A37,MAESTRO!$M$2:$M$1202,"LATERAL VIP",MAESTRO!$F$2:$F$1202,"&lt;&gt;"))</f>
        <v/>
      </c>
      <c r="H37" s="9" t="str">
        <f>IF($A37="","",COUNTIFS(MAESTRO!$C$2:$C$1202,$A37,MAESTRO!$M$2:$M$1202,"LATERAL",MAESTRO!$F$2:$F$1202,"&lt;&gt;"))</f>
        <v/>
      </c>
      <c r="I37" s="9" t="str">
        <f>IF($A37="","",COUNTIFS(MAESTRO!$C$2:$C$1202,$A37,MAESTRO!$N$2:$N$1202,"SI",MAESTRO!$F$2:$F$1202,"&lt;&gt;"))</f>
        <v/>
      </c>
      <c r="J37" s="9"/>
      <c r="K37" s="9"/>
      <c r="L37" s="9"/>
      <c r="M37" s="9"/>
    </row>
    <row r="38" spans="1:13" ht="18" customHeight="1" x14ac:dyDescent="0.2">
      <c r="A38" s="9"/>
      <c r="B38" s="9" t="str">
        <f>IF($A38="","",COUNTIFS(MAESTRO!$C$2:$C$1202,$A38,MAESTRO!$F$2:$F$1202,"&lt;&gt;"))</f>
        <v/>
      </c>
      <c r="C38" s="9" t="str">
        <f>IF($A38="","",COUNTIFS(MAESTRO!$C$2:$C$1202,$A38,MAESTRO!$J$2:$J$1202,"SI",MAESTRO!$F$2:$F$1202,"&lt;&gt;"))</f>
        <v/>
      </c>
      <c r="D38" s="9" t="str">
        <f>IF($A38="","",COUNTIFS(MAESTRO!$C$2:$C$1202,$A38,MAESTRO!$J$2:$J$1202,"NO",MAESTRO!$F$2:$F$1202,"&lt;&gt;"))</f>
        <v/>
      </c>
      <c r="E38" s="9" t="str">
        <f t="shared" si="0"/>
        <v/>
      </c>
      <c r="F38" s="9" t="str">
        <f>IF($A38="","",COUNTIFS(MAESTRO!$C$2:$C$1202,$A38,MAESTRO!$M$2:$M$1202,"VIP",MAESTRO!$F$2:$F$1202,"&lt;&gt;"))</f>
        <v/>
      </c>
      <c r="G38" s="9" t="str">
        <f>IF($A38="","",COUNTIFS(MAESTRO!$C$2:$C$1202,$A38,MAESTRO!$M$2:$M$1202,"LATERAL VIP",MAESTRO!$F$2:$F$1202,"&lt;&gt;"))</f>
        <v/>
      </c>
      <c r="H38" s="9" t="str">
        <f>IF($A38="","",COUNTIFS(MAESTRO!$C$2:$C$1202,$A38,MAESTRO!$M$2:$M$1202,"LATERAL",MAESTRO!$F$2:$F$1202,"&lt;&gt;"))</f>
        <v/>
      </c>
      <c r="I38" s="9" t="str">
        <f>IF($A38="","",COUNTIFS(MAESTRO!$C$2:$C$1202,$A38,MAESTRO!$N$2:$N$1202,"SI",MAESTRO!$F$2:$F$1202,"&lt;&gt;"))</f>
        <v/>
      </c>
      <c r="J38" s="9"/>
      <c r="K38" s="9"/>
      <c r="L38" s="9"/>
      <c r="M38" s="9"/>
    </row>
    <row r="39" spans="1:13" ht="18" customHeight="1" x14ac:dyDescent="0.2">
      <c r="A39" s="9"/>
      <c r="B39" s="9" t="str">
        <f>IF($A39="","",COUNTIFS(MAESTRO!$C$2:$C$1202,$A39,MAESTRO!$F$2:$F$1202,"&lt;&gt;"))</f>
        <v/>
      </c>
      <c r="C39" s="9" t="str">
        <f>IF($A39="","",COUNTIFS(MAESTRO!$C$2:$C$1202,$A39,MAESTRO!$J$2:$J$1202,"SI",MAESTRO!$F$2:$F$1202,"&lt;&gt;"))</f>
        <v/>
      </c>
      <c r="D39" s="9" t="str">
        <f>IF($A39="","",COUNTIFS(MAESTRO!$C$2:$C$1202,$A39,MAESTRO!$J$2:$J$1202,"NO",MAESTRO!$F$2:$F$1202,"&lt;&gt;"))</f>
        <v/>
      </c>
      <c r="E39" s="9" t="str">
        <f t="shared" si="0"/>
        <v/>
      </c>
      <c r="F39" s="9" t="str">
        <f>IF($A39="","",COUNTIFS(MAESTRO!$C$2:$C$1202,$A39,MAESTRO!$M$2:$M$1202,"VIP",MAESTRO!$F$2:$F$1202,"&lt;&gt;"))</f>
        <v/>
      </c>
      <c r="G39" s="9" t="str">
        <f>IF($A39="","",COUNTIFS(MAESTRO!$C$2:$C$1202,$A39,MAESTRO!$M$2:$M$1202,"LATERAL VIP",MAESTRO!$F$2:$F$1202,"&lt;&gt;"))</f>
        <v/>
      </c>
      <c r="H39" s="9" t="str">
        <f>IF($A39="","",COUNTIFS(MAESTRO!$C$2:$C$1202,$A39,MAESTRO!$M$2:$M$1202,"LATERAL",MAESTRO!$F$2:$F$1202,"&lt;&gt;"))</f>
        <v/>
      </c>
      <c r="I39" s="9" t="str">
        <f>IF($A39="","",COUNTIFS(MAESTRO!$C$2:$C$1202,$A39,MAESTRO!$N$2:$N$1202,"SI",MAESTRO!$F$2:$F$1202,"&lt;&gt;"))</f>
        <v/>
      </c>
      <c r="J39" s="9"/>
      <c r="K39" s="9"/>
      <c r="L39" s="9"/>
      <c r="M39" s="9"/>
    </row>
    <row r="40" spans="1:13" ht="18" customHeight="1" x14ac:dyDescent="0.2">
      <c r="A40" s="9"/>
      <c r="B40" s="9" t="str">
        <f>IF($A40="","",COUNTIFS(MAESTRO!$C$2:$C$1202,$A40,MAESTRO!$F$2:$F$1202,"&lt;&gt;"))</f>
        <v/>
      </c>
      <c r="C40" s="9" t="str">
        <f>IF($A40="","",COUNTIFS(MAESTRO!$C$2:$C$1202,$A40,MAESTRO!$J$2:$J$1202,"SI",MAESTRO!$F$2:$F$1202,"&lt;&gt;"))</f>
        <v/>
      </c>
      <c r="D40" s="9" t="str">
        <f>IF($A40="","",COUNTIFS(MAESTRO!$C$2:$C$1202,$A40,MAESTRO!$J$2:$J$1202,"NO",MAESTRO!$F$2:$F$1202,"&lt;&gt;"))</f>
        <v/>
      </c>
      <c r="E40" s="9" t="str">
        <f t="shared" si="0"/>
        <v/>
      </c>
      <c r="F40" s="9" t="str">
        <f>IF($A40="","",COUNTIFS(MAESTRO!$C$2:$C$1202,$A40,MAESTRO!$M$2:$M$1202,"VIP",MAESTRO!$F$2:$F$1202,"&lt;&gt;"))</f>
        <v/>
      </c>
      <c r="G40" s="9" t="str">
        <f>IF($A40="","",COUNTIFS(MAESTRO!$C$2:$C$1202,$A40,MAESTRO!$M$2:$M$1202,"LATERAL VIP",MAESTRO!$F$2:$F$1202,"&lt;&gt;"))</f>
        <v/>
      </c>
      <c r="H40" s="9" t="str">
        <f>IF($A40="","",COUNTIFS(MAESTRO!$C$2:$C$1202,$A40,MAESTRO!$M$2:$M$1202,"LATERAL",MAESTRO!$F$2:$F$1202,"&lt;&gt;"))</f>
        <v/>
      </c>
      <c r="I40" s="9" t="str">
        <f>IF($A40="","",COUNTIFS(MAESTRO!$C$2:$C$1202,$A40,MAESTRO!$N$2:$N$1202,"SI",MAESTRO!$F$2:$F$1202,"&lt;&gt;"))</f>
        <v/>
      </c>
      <c r="J40" s="9"/>
      <c r="K40" s="9"/>
      <c r="L40" s="9"/>
      <c r="M40" s="9"/>
    </row>
    <row r="41" spans="1:13" ht="18" customHeight="1" x14ac:dyDescent="0.2">
      <c r="A41" s="9"/>
      <c r="B41" s="9" t="str">
        <f>IF($A41="","",COUNTIFS(MAESTRO!$C$2:$C$1202,$A41,MAESTRO!$F$2:$F$1202,"&lt;&gt;"))</f>
        <v/>
      </c>
      <c r="C41" s="9" t="str">
        <f>IF($A41="","",COUNTIFS(MAESTRO!$C$2:$C$1202,$A41,MAESTRO!$J$2:$J$1202,"SI",MAESTRO!$F$2:$F$1202,"&lt;&gt;"))</f>
        <v/>
      </c>
      <c r="D41" s="9" t="str">
        <f>IF($A41="","",COUNTIFS(MAESTRO!$C$2:$C$1202,$A41,MAESTRO!$J$2:$J$1202,"NO",MAESTRO!$F$2:$F$1202,"&lt;&gt;"))</f>
        <v/>
      </c>
      <c r="E41" s="9" t="str">
        <f t="shared" si="0"/>
        <v/>
      </c>
      <c r="F41" s="9" t="str">
        <f>IF($A41="","",COUNTIFS(MAESTRO!$C$2:$C$1202,$A41,MAESTRO!$M$2:$M$1202,"VIP",MAESTRO!$F$2:$F$1202,"&lt;&gt;"))</f>
        <v/>
      </c>
      <c r="G41" s="9" t="str">
        <f>IF($A41="","",COUNTIFS(MAESTRO!$C$2:$C$1202,$A41,MAESTRO!$M$2:$M$1202,"LATERAL VIP",MAESTRO!$F$2:$F$1202,"&lt;&gt;"))</f>
        <v/>
      </c>
      <c r="H41" s="9" t="str">
        <f>IF($A41="","",COUNTIFS(MAESTRO!$C$2:$C$1202,$A41,MAESTRO!$M$2:$M$1202,"LATERAL",MAESTRO!$F$2:$F$1202,"&lt;&gt;"))</f>
        <v/>
      </c>
      <c r="I41" s="9" t="str">
        <f>IF($A41="","",COUNTIFS(MAESTRO!$C$2:$C$1202,$A41,MAESTRO!$N$2:$N$1202,"SI",MAESTRO!$F$2:$F$1202,"&lt;&gt;"))</f>
        <v/>
      </c>
      <c r="J41" s="9"/>
      <c r="K41" s="9"/>
      <c r="L41" s="9"/>
      <c r="M41" s="9"/>
    </row>
    <row r="42" spans="1:13" ht="18" customHeight="1" x14ac:dyDescent="0.2">
      <c r="A42" s="9"/>
      <c r="B42" s="9" t="str">
        <f>IF($A42="","",COUNTIFS(MAESTRO!$C$2:$C$1202,$A42,MAESTRO!$F$2:$F$1202,"&lt;&gt;"))</f>
        <v/>
      </c>
      <c r="C42" s="9" t="str">
        <f>IF($A42="","",COUNTIFS(MAESTRO!$C$2:$C$1202,$A42,MAESTRO!$J$2:$J$1202,"SI",MAESTRO!$F$2:$F$1202,"&lt;&gt;"))</f>
        <v/>
      </c>
      <c r="D42" s="9" t="str">
        <f>IF($A42="","",COUNTIFS(MAESTRO!$C$2:$C$1202,$A42,MAESTRO!$J$2:$J$1202,"NO",MAESTRO!$F$2:$F$1202,"&lt;&gt;"))</f>
        <v/>
      </c>
      <c r="E42" s="9" t="str">
        <f t="shared" si="0"/>
        <v/>
      </c>
      <c r="F42" s="9" t="str">
        <f>IF($A42="","",COUNTIFS(MAESTRO!$C$2:$C$1202,$A42,MAESTRO!$M$2:$M$1202,"VIP",MAESTRO!$F$2:$F$1202,"&lt;&gt;"))</f>
        <v/>
      </c>
      <c r="G42" s="9" t="str">
        <f>IF($A42="","",COUNTIFS(MAESTRO!$C$2:$C$1202,$A42,MAESTRO!$M$2:$M$1202,"LATERAL VIP",MAESTRO!$F$2:$F$1202,"&lt;&gt;"))</f>
        <v/>
      </c>
      <c r="H42" s="9" t="str">
        <f>IF($A42="","",COUNTIFS(MAESTRO!$C$2:$C$1202,$A42,MAESTRO!$M$2:$M$1202,"LATERAL",MAESTRO!$F$2:$F$1202,"&lt;&gt;"))</f>
        <v/>
      </c>
      <c r="I42" s="9" t="str">
        <f>IF($A42="","",COUNTIFS(MAESTRO!$C$2:$C$1202,$A42,MAESTRO!$N$2:$N$1202,"SI",MAESTRO!$F$2:$F$1202,"&lt;&gt;"))</f>
        <v/>
      </c>
      <c r="J42" s="9"/>
      <c r="K42" s="9"/>
      <c r="L42" s="9"/>
      <c r="M42" s="9"/>
    </row>
    <row r="43" spans="1:13" ht="18" customHeight="1" x14ac:dyDescent="0.2">
      <c r="A43" s="9"/>
      <c r="B43" s="9" t="str">
        <f>IF($A43="","",COUNTIFS(MAESTRO!$C$2:$C$1202,$A43,MAESTRO!$F$2:$F$1202,"&lt;&gt;"))</f>
        <v/>
      </c>
      <c r="C43" s="9" t="str">
        <f>IF($A43="","",COUNTIFS(MAESTRO!$C$2:$C$1202,$A43,MAESTRO!$J$2:$J$1202,"SI",MAESTRO!$F$2:$F$1202,"&lt;&gt;"))</f>
        <v/>
      </c>
      <c r="D43" s="9" t="str">
        <f>IF($A43="","",COUNTIFS(MAESTRO!$C$2:$C$1202,$A43,MAESTRO!$J$2:$J$1202,"NO",MAESTRO!$F$2:$F$1202,"&lt;&gt;"))</f>
        <v/>
      </c>
      <c r="E43" s="9" t="str">
        <f t="shared" si="0"/>
        <v/>
      </c>
      <c r="F43" s="9" t="str">
        <f>IF($A43="","",COUNTIFS(MAESTRO!$C$2:$C$1202,$A43,MAESTRO!$M$2:$M$1202,"VIP",MAESTRO!$F$2:$F$1202,"&lt;&gt;"))</f>
        <v/>
      </c>
      <c r="G43" s="9" t="str">
        <f>IF($A43="","",COUNTIFS(MAESTRO!$C$2:$C$1202,$A43,MAESTRO!$M$2:$M$1202,"LATERAL VIP",MAESTRO!$F$2:$F$1202,"&lt;&gt;"))</f>
        <v/>
      </c>
      <c r="H43" s="9" t="str">
        <f>IF($A43="","",COUNTIFS(MAESTRO!$C$2:$C$1202,$A43,MAESTRO!$M$2:$M$1202,"LATERAL",MAESTRO!$F$2:$F$1202,"&lt;&gt;"))</f>
        <v/>
      </c>
      <c r="I43" s="9" t="str">
        <f>IF($A43="","",COUNTIFS(MAESTRO!$C$2:$C$1202,$A43,MAESTRO!$N$2:$N$1202,"SI",MAESTRO!$F$2:$F$1202,"&lt;&gt;"))</f>
        <v/>
      </c>
      <c r="J43" s="9"/>
      <c r="K43" s="9"/>
      <c r="L43" s="9"/>
      <c r="M43" s="9"/>
    </row>
    <row r="44" spans="1:13" ht="18" customHeight="1" x14ac:dyDescent="0.2">
      <c r="A44" s="9"/>
      <c r="B44" s="9" t="str">
        <f>IF($A44="","",COUNTIFS(MAESTRO!$C$2:$C$1202,$A44,MAESTRO!$F$2:$F$1202,"&lt;&gt;"))</f>
        <v/>
      </c>
      <c r="C44" s="9" t="str">
        <f>IF($A44="","",COUNTIFS(MAESTRO!$C$2:$C$1202,$A44,MAESTRO!$J$2:$J$1202,"SI",MAESTRO!$F$2:$F$1202,"&lt;&gt;"))</f>
        <v/>
      </c>
      <c r="D44" s="9" t="str">
        <f>IF($A44="","",COUNTIFS(MAESTRO!$C$2:$C$1202,$A44,MAESTRO!$J$2:$J$1202,"NO",MAESTRO!$F$2:$F$1202,"&lt;&gt;"))</f>
        <v/>
      </c>
      <c r="E44" s="9" t="str">
        <f t="shared" si="0"/>
        <v/>
      </c>
      <c r="F44" s="9" t="str">
        <f>IF($A44="","",COUNTIFS(MAESTRO!$C$2:$C$1202,$A44,MAESTRO!$M$2:$M$1202,"VIP",MAESTRO!$F$2:$F$1202,"&lt;&gt;"))</f>
        <v/>
      </c>
      <c r="G44" s="9" t="str">
        <f>IF($A44="","",COUNTIFS(MAESTRO!$C$2:$C$1202,$A44,MAESTRO!$M$2:$M$1202,"LATERAL VIP",MAESTRO!$F$2:$F$1202,"&lt;&gt;"))</f>
        <v/>
      </c>
      <c r="H44" s="9" t="str">
        <f>IF($A44="","",COUNTIFS(MAESTRO!$C$2:$C$1202,$A44,MAESTRO!$M$2:$M$1202,"LATERAL",MAESTRO!$F$2:$F$1202,"&lt;&gt;"))</f>
        <v/>
      </c>
      <c r="I44" s="9" t="str">
        <f>IF($A44="","",COUNTIFS(MAESTRO!$C$2:$C$1202,$A44,MAESTRO!$N$2:$N$1202,"SI",MAESTRO!$F$2:$F$1202,"&lt;&gt;"))</f>
        <v/>
      </c>
      <c r="J44" s="9"/>
      <c r="K44" s="9"/>
      <c r="L44" s="9"/>
      <c r="M44" s="9"/>
    </row>
    <row r="45" spans="1:13" ht="18" customHeight="1" x14ac:dyDescent="0.2">
      <c r="A45" s="9"/>
      <c r="B45" s="9" t="str">
        <f>IF($A45="","",COUNTIFS(MAESTRO!$C$2:$C$1202,$A45,MAESTRO!$F$2:$F$1202,"&lt;&gt;"))</f>
        <v/>
      </c>
      <c r="C45" s="9" t="str">
        <f>IF($A45="","",COUNTIFS(MAESTRO!$C$2:$C$1202,$A45,MAESTRO!$J$2:$J$1202,"SI",MAESTRO!$F$2:$F$1202,"&lt;&gt;"))</f>
        <v/>
      </c>
      <c r="D45" s="9" t="str">
        <f>IF($A45="","",COUNTIFS(MAESTRO!$C$2:$C$1202,$A45,MAESTRO!$J$2:$J$1202,"NO",MAESTRO!$F$2:$F$1202,"&lt;&gt;"))</f>
        <v/>
      </c>
      <c r="E45" s="9" t="str">
        <f t="shared" si="0"/>
        <v/>
      </c>
      <c r="F45" s="9" t="str">
        <f>IF($A45="","",COUNTIFS(MAESTRO!$C$2:$C$1202,$A45,MAESTRO!$M$2:$M$1202,"VIP",MAESTRO!$F$2:$F$1202,"&lt;&gt;"))</f>
        <v/>
      </c>
      <c r="G45" s="9" t="str">
        <f>IF($A45="","",COUNTIFS(MAESTRO!$C$2:$C$1202,$A45,MAESTRO!$M$2:$M$1202,"LATERAL VIP",MAESTRO!$F$2:$F$1202,"&lt;&gt;"))</f>
        <v/>
      </c>
      <c r="H45" s="9" t="str">
        <f>IF($A45="","",COUNTIFS(MAESTRO!$C$2:$C$1202,$A45,MAESTRO!$M$2:$M$1202,"LATERAL",MAESTRO!$F$2:$F$1202,"&lt;&gt;"))</f>
        <v/>
      </c>
      <c r="I45" s="9" t="str">
        <f>IF($A45="","",COUNTIFS(MAESTRO!$C$2:$C$1202,$A45,MAESTRO!$N$2:$N$1202,"SI",MAESTRO!$F$2:$F$1202,"&lt;&gt;"))</f>
        <v/>
      </c>
      <c r="J45" s="9"/>
      <c r="K45" s="9"/>
      <c r="L45" s="9"/>
      <c r="M45" s="9"/>
    </row>
    <row r="46" spans="1:13" ht="18" customHeight="1" x14ac:dyDescent="0.2">
      <c r="A46" s="9"/>
      <c r="B46" s="9" t="str">
        <f>IF($A46="","",COUNTIFS(MAESTRO!$C$2:$C$1202,$A46,MAESTRO!$F$2:$F$1202,"&lt;&gt;"))</f>
        <v/>
      </c>
      <c r="C46" s="9" t="str">
        <f>IF($A46="","",COUNTIFS(MAESTRO!$C$2:$C$1202,$A46,MAESTRO!$J$2:$J$1202,"SI",MAESTRO!$F$2:$F$1202,"&lt;&gt;"))</f>
        <v/>
      </c>
      <c r="D46" s="9" t="str">
        <f>IF($A46="","",COUNTIFS(MAESTRO!$C$2:$C$1202,$A46,MAESTRO!$J$2:$J$1202,"NO",MAESTRO!$F$2:$F$1202,"&lt;&gt;"))</f>
        <v/>
      </c>
      <c r="E46" s="9" t="str">
        <f t="shared" si="0"/>
        <v/>
      </c>
      <c r="F46" s="9" t="str">
        <f>IF($A46="","",COUNTIFS(MAESTRO!$C$2:$C$1202,$A46,MAESTRO!$M$2:$M$1202,"VIP",MAESTRO!$F$2:$F$1202,"&lt;&gt;"))</f>
        <v/>
      </c>
      <c r="G46" s="9" t="str">
        <f>IF($A46="","",COUNTIFS(MAESTRO!$C$2:$C$1202,$A46,MAESTRO!$M$2:$M$1202,"LATERAL VIP",MAESTRO!$F$2:$F$1202,"&lt;&gt;"))</f>
        <v/>
      </c>
      <c r="H46" s="9" t="str">
        <f>IF($A46="","",COUNTIFS(MAESTRO!$C$2:$C$1202,$A46,MAESTRO!$M$2:$M$1202,"LATERAL",MAESTRO!$F$2:$F$1202,"&lt;&gt;"))</f>
        <v/>
      </c>
      <c r="I46" s="9" t="str">
        <f>IF($A46="","",COUNTIFS(MAESTRO!$C$2:$C$1202,$A46,MAESTRO!$N$2:$N$1202,"SI",MAESTRO!$F$2:$F$1202,"&lt;&gt;"))</f>
        <v/>
      </c>
      <c r="J46" s="9"/>
      <c r="K46" s="9"/>
      <c r="L46" s="9"/>
      <c r="M46" s="9"/>
    </row>
    <row r="47" spans="1:13" ht="18" customHeight="1" x14ac:dyDescent="0.2">
      <c r="A47" s="9"/>
      <c r="B47" s="9" t="str">
        <f>IF($A47="","",COUNTIFS(MAESTRO!$C$2:$C$1202,$A47,MAESTRO!$F$2:$F$1202,"&lt;&gt;"))</f>
        <v/>
      </c>
      <c r="C47" s="9" t="str">
        <f>IF($A47="","",COUNTIFS(MAESTRO!$C$2:$C$1202,$A47,MAESTRO!$J$2:$J$1202,"SI",MAESTRO!$F$2:$F$1202,"&lt;&gt;"))</f>
        <v/>
      </c>
      <c r="D47" s="9" t="str">
        <f>IF($A47="","",COUNTIFS(MAESTRO!$C$2:$C$1202,$A47,MAESTRO!$J$2:$J$1202,"NO",MAESTRO!$F$2:$F$1202,"&lt;&gt;"))</f>
        <v/>
      </c>
      <c r="E47" s="9" t="str">
        <f t="shared" si="0"/>
        <v/>
      </c>
      <c r="F47" s="9" t="str">
        <f>IF($A47="","",COUNTIFS(MAESTRO!$C$2:$C$1202,$A47,MAESTRO!$M$2:$M$1202,"VIP",MAESTRO!$F$2:$F$1202,"&lt;&gt;"))</f>
        <v/>
      </c>
      <c r="G47" s="9" t="str">
        <f>IF($A47="","",COUNTIFS(MAESTRO!$C$2:$C$1202,$A47,MAESTRO!$M$2:$M$1202,"LATERAL VIP",MAESTRO!$F$2:$F$1202,"&lt;&gt;"))</f>
        <v/>
      </c>
      <c r="H47" s="9" t="str">
        <f>IF($A47="","",COUNTIFS(MAESTRO!$C$2:$C$1202,$A47,MAESTRO!$M$2:$M$1202,"LATERAL",MAESTRO!$F$2:$F$1202,"&lt;&gt;"))</f>
        <v/>
      </c>
      <c r="I47" s="9" t="str">
        <f>IF($A47="","",COUNTIFS(MAESTRO!$C$2:$C$1202,$A47,MAESTRO!$N$2:$N$1202,"SI",MAESTRO!$F$2:$F$1202,"&lt;&gt;"))</f>
        <v/>
      </c>
      <c r="J47" s="9"/>
      <c r="K47" s="9"/>
      <c r="L47" s="9"/>
      <c r="M47" s="9"/>
    </row>
    <row r="48" spans="1:13" ht="18" customHeight="1" x14ac:dyDescent="0.2">
      <c r="A48" s="9"/>
      <c r="B48" s="9" t="str">
        <f>IF($A48="","",COUNTIFS(MAESTRO!$C$2:$C$1202,$A48,MAESTRO!$F$2:$F$1202,"&lt;&gt;"))</f>
        <v/>
      </c>
      <c r="C48" s="9" t="str">
        <f>IF($A48="","",COUNTIFS(MAESTRO!$C$2:$C$1202,$A48,MAESTRO!$J$2:$J$1202,"SI",MAESTRO!$F$2:$F$1202,"&lt;&gt;"))</f>
        <v/>
      </c>
      <c r="D48" s="9" t="str">
        <f>IF($A48="","",COUNTIFS(MAESTRO!$C$2:$C$1202,$A48,MAESTRO!$J$2:$J$1202,"NO",MAESTRO!$F$2:$F$1202,"&lt;&gt;"))</f>
        <v/>
      </c>
      <c r="E48" s="9" t="str">
        <f t="shared" ref="E48:E79" si="1">IF($A48="","",B48-C48-D48)</f>
        <v/>
      </c>
      <c r="F48" s="9" t="str">
        <f>IF($A48="","",COUNTIFS(MAESTRO!$C$2:$C$1202,$A48,MAESTRO!$M$2:$M$1202,"VIP",MAESTRO!$F$2:$F$1202,"&lt;&gt;"))</f>
        <v/>
      </c>
      <c r="G48" s="9" t="str">
        <f>IF($A48="","",COUNTIFS(MAESTRO!$C$2:$C$1202,$A48,MAESTRO!$M$2:$M$1202,"LATERAL VIP",MAESTRO!$F$2:$F$1202,"&lt;&gt;"))</f>
        <v/>
      </c>
      <c r="H48" s="9" t="str">
        <f>IF($A48="","",COUNTIFS(MAESTRO!$C$2:$C$1202,$A48,MAESTRO!$M$2:$M$1202,"LATERAL",MAESTRO!$F$2:$F$1202,"&lt;&gt;"))</f>
        <v/>
      </c>
      <c r="I48" s="9" t="str">
        <f>IF($A48="","",COUNTIFS(MAESTRO!$C$2:$C$1202,$A48,MAESTRO!$N$2:$N$1202,"SI",MAESTRO!$F$2:$F$1202,"&lt;&gt;"))</f>
        <v/>
      </c>
      <c r="J48" s="9"/>
      <c r="K48" s="9"/>
      <c r="L48" s="9"/>
      <c r="M48" s="9"/>
    </row>
    <row r="49" spans="1:13" ht="18" customHeight="1" x14ac:dyDescent="0.2">
      <c r="A49" s="9"/>
      <c r="B49" s="9" t="str">
        <f>IF($A49="","",COUNTIFS(MAESTRO!$C$2:$C$1202,$A49,MAESTRO!$F$2:$F$1202,"&lt;&gt;"))</f>
        <v/>
      </c>
      <c r="C49" s="9" t="str">
        <f>IF($A49="","",COUNTIFS(MAESTRO!$C$2:$C$1202,$A49,MAESTRO!$J$2:$J$1202,"SI",MAESTRO!$F$2:$F$1202,"&lt;&gt;"))</f>
        <v/>
      </c>
      <c r="D49" s="9" t="str">
        <f>IF($A49="","",COUNTIFS(MAESTRO!$C$2:$C$1202,$A49,MAESTRO!$J$2:$J$1202,"NO",MAESTRO!$F$2:$F$1202,"&lt;&gt;"))</f>
        <v/>
      </c>
      <c r="E49" s="9" t="str">
        <f t="shared" si="1"/>
        <v/>
      </c>
      <c r="F49" s="9" t="str">
        <f>IF($A49="","",COUNTIFS(MAESTRO!$C$2:$C$1202,$A49,MAESTRO!$M$2:$M$1202,"VIP",MAESTRO!$F$2:$F$1202,"&lt;&gt;"))</f>
        <v/>
      </c>
      <c r="G49" s="9" t="str">
        <f>IF($A49="","",COUNTIFS(MAESTRO!$C$2:$C$1202,$A49,MAESTRO!$M$2:$M$1202,"LATERAL VIP",MAESTRO!$F$2:$F$1202,"&lt;&gt;"))</f>
        <v/>
      </c>
      <c r="H49" s="9" t="str">
        <f>IF($A49="","",COUNTIFS(MAESTRO!$C$2:$C$1202,$A49,MAESTRO!$M$2:$M$1202,"LATERAL",MAESTRO!$F$2:$F$1202,"&lt;&gt;"))</f>
        <v/>
      </c>
      <c r="I49" s="9" t="str">
        <f>IF($A49="","",COUNTIFS(MAESTRO!$C$2:$C$1202,$A49,MAESTRO!$N$2:$N$1202,"SI",MAESTRO!$F$2:$F$1202,"&lt;&gt;"))</f>
        <v/>
      </c>
      <c r="J49" s="9"/>
      <c r="K49" s="9"/>
      <c r="L49" s="9"/>
      <c r="M49" s="9"/>
    </row>
    <row r="50" spans="1:13" ht="18" customHeight="1" x14ac:dyDescent="0.2">
      <c r="A50" s="9"/>
      <c r="B50" s="9" t="str">
        <f>IF($A50="","",COUNTIFS(MAESTRO!$C$2:$C$1202,$A50,MAESTRO!$F$2:$F$1202,"&lt;&gt;"))</f>
        <v/>
      </c>
      <c r="C50" s="9" t="str">
        <f>IF($A50="","",COUNTIFS(MAESTRO!$C$2:$C$1202,$A50,MAESTRO!$J$2:$J$1202,"SI",MAESTRO!$F$2:$F$1202,"&lt;&gt;"))</f>
        <v/>
      </c>
      <c r="D50" s="9" t="str">
        <f>IF($A50="","",COUNTIFS(MAESTRO!$C$2:$C$1202,$A50,MAESTRO!$J$2:$J$1202,"NO",MAESTRO!$F$2:$F$1202,"&lt;&gt;"))</f>
        <v/>
      </c>
      <c r="E50" s="9" t="str">
        <f t="shared" si="1"/>
        <v/>
      </c>
      <c r="F50" s="9" t="str">
        <f>IF($A50="","",COUNTIFS(MAESTRO!$C$2:$C$1202,$A50,MAESTRO!$M$2:$M$1202,"VIP",MAESTRO!$F$2:$F$1202,"&lt;&gt;"))</f>
        <v/>
      </c>
      <c r="G50" s="9" t="str">
        <f>IF($A50="","",COUNTIFS(MAESTRO!$C$2:$C$1202,$A50,MAESTRO!$M$2:$M$1202,"LATERAL VIP",MAESTRO!$F$2:$F$1202,"&lt;&gt;"))</f>
        <v/>
      </c>
      <c r="H50" s="9" t="str">
        <f>IF($A50="","",COUNTIFS(MAESTRO!$C$2:$C$1202,$A50,MAESTRO!$M$2:$M$1202,"LATERAL",MAESTRO!$F$2:$F$1202,"&lt;&gt;"))</f>
        <v/>
      </c>
      <c r="I50" s="9" t="str">
        <f>IF($A50="","",COUNTIFS(MAESTRO!$C$2:$C$1202,$A50,MAESTRO!$N$2:$N$1202,"SI",MAESTRO!$F$2:$F$1202,"&lt;&gt;"))</f>
        <v/>
      </c>
      <c r="J50" s="9"/>
      <c r="K50" s="9"/>
      <c r="L50" s="9"/>
      <c r="M50" s="9"/>
    </row>
    <row r="51" spans="1:13" ht="18" customHeight="1" x14ac:dyDescent="0.2">
      <c r="A51" s="9"/>
      <c r="B51" s="9" t="str">
        <f>IF($A51="","",COUNTIFS(MAESTRO!$C$2:$C$1202,$A51,MAESTRO!$F$2:$F$1202,"&lt;&gt;"))</f>
        <v/>
      </c>
      <c r="C51" s="9" t="str">
        <f>IF($A51="","",COUNTIFS(MAESTRO!$C$2:$C$1202,$A51,MAESTRO!$J$2:$J$1202,"SI",MAESTRO!$F$2:$F$1202,"&lt;&gt;"))</f>
        <v/>
      </c>
      <c r="D51" s="9" t="str">
        <f>IF($A51="","",COUNTIFS(MAESTRO!$C$2:$C$1202,$A51,MAESTRO!$J$2:$J$1202,"NO",MAESTRO!$F$2:$F$1202,"&lt;&gt;"))</f>
        <v/>
      </c>
      <c r="E51" s="9" t="str">
        <f t="shared" si="1"/>
        <v/>
      </c>
      <c r="F51" s="9" t="str">
        <f>IF($A51="","",COUNTIFS(MAESTRO!$C$2:$C$1202,$A51,MAESTRO!$M$2:$M$1202,"VIP",MAESTRO!$F$2:$F$1202,"&lt;&gt;"))</f>
        <v/>
      </c>
      <c r="G51" s="9" t="str">
        <f>IF($A51="","",COUNTIFS(MAESTRO!$C$2:$C$1202,$A51,MAESTRO!$M$2:$M$1202,"LATERAL VIP",MAESTRO!$F$2:$F$1202,"&lt;&gt;"))</f>
        <v/>
      </c>
      <c r="H51" s="9" t="str">
        <f>IF($A51="","",COUNTIFS(MAESTRO!$C$2:$C$1202,$A51,MAESTRO!$M$2:$M$1202,"LATERAL",MAESTRO!$F$2:$F$1202,"&lt;&gt;"))</f>
        <v/>
      </c>
      <c r="I51" s="9" t="str">
        <f>IF($A51="","",COUNTIFS(MAESTRO!$C$2:$C$1202,$A51,MAESTRO!$N$2:$N$1202,"SI",MAESTRO!$F$2:$F$1202,"&lt;&gt;"))</f>
        <v/>
      </c>
      <c r="J51" s="9"/>
      <c r="K51" s="9"/>
      <c r="L51" s="9"/>
      <c r="M51" s="9"/>
    </row>
    <row r="52" spans="1:13" ht="18" customHeight="1" x14ac:dyDescent="0.2">
      <c r="A52" s="9"/>
      <c r="B52" s="9" t="str">
        <f>IF($A52="","",COUNTIFS(MAESTRO!$C$2:$C$1202,$A52,MAESTRO!$F$2:$F$1202,"&lt;&gt;"))</f>
        <v/>
      </c>
      <c r="C52" s="9" t="str">
        <f>IF($A52="","",COUNTIFS(MAESTRO!$C$2:$C$1202,$A52,MAESTRO!$J$2:$J$1202,"SI",MAESTRO!$F$2:$F$1202,"&lt;&gt;"))</f>
        <v/>
      </c>
      <c r="D52" s="9" t="str">
        <f>IF($A52="","",COUNTIFS(MAESTRO!$C$2:$C$1202,$A52,MAESTRO!$J$2:$J$1202,"NO",MAESTRO!$F$2:$F$1202,"&lt;&gt;"))</f>
        <v/>
      </c>
      <c r="E52" s="9" t="str">
        <f t="shared" si="1"/>
        <v/>
      </c>
      <c r="F52" s="9" t="str">
        <f>IF($A52="","",COUNTIFS(MAESTRO!$C$2:$C$1202,$A52,MAESTRO!$M$2:$M$1202,"VIP",MAESTRO!$F$2:$F$1202,"&lt;&gt;"))</f>
        <v/>
      </c>
      <c r="G52" s="9" t="str">
        <f>IF($A52="","",COUNTIFS(MAESTRO!$C$2:$C$1202,$A52,MAESTRO!$M$2:$M$1202,"LATERAL VIP",MAESTRO!$F$2:$F$1202,"&lt;&gt;"))</f>
        <v/>
      </c>
      <c r="H52" s="9" t="str">
        <f>IF($A52="","",COUNTIFS(MAESTRO!$C$2:$C$1202,$A52,MAESTRO!$M$2:$M$1202,"LATERAL",MAESTRO!$F$2:$F$1202,"&lt;&gt;"))</f>
        <v/>
      </c>
      <c r="I52" s="9" t="str">
        <f>IF($A52="","",COUNTIFS(MAESTRO!$C$2:$C$1202,$A52,MAESTRO!$N$2:$N$1202,"SI",MAESTRO!$F$2:$F$1202,"&lt;&gt;"))</f>
        <v/>
      </c>
      <c r="J52" s="9"/>
      <c r="K52" s="9"/>
      <c r="L52" s="9"/>
      <c r="M52" s="9"/>
    </row>
    <row r="53" spans="1:13" ht="18" customHeight="1" x14ac:dyDescent="0.2">
      <c r="A53" s="9"/>
      <c r="B53" s="9" t="str">
        <f>IF($A53="","",COUNTIFS(MAESTRO!$C$2:$C$1202,$A53,MAESTRO!$F$2:$F$1202,"&lt;&gt;"))</f>
        <v/>
      </c>
      <c r="C53" s="9" t="str">
        <f>IF($A53="","",COUNTIFS(MAESTRO!$C$2:$C$1202,$A53,MAESTRO!$J$2:$J$1202,"SI",MAESTRO!$F$2:$F$1202,"&lt;&gt;"))</f>
        <v/>
      </c>
      <c r="D53" s="9" t="str">
        <f>IF($A53="","",COUNTIFS(MAESTRO!$C$2:$C$1202,$A53,MAESTRO!$J$2:$J$1202,"NO",MAESTRO!$F$2:$F$1202,"&lt;&gt;"))</f>
        <v/>
      </c>
      <c r="E53" s="9" t="str">
        <f t="shared" si="1"/>
        <v/>
      </c>
      <c r="F53" s="9" t="str">
        <f>IF($A53="","",COUNTIFS(MAESTRO!$C$2:$C$1202,$A53,MAESTRO!$M$2:$M$1202,"VIP",MAESTRO!$F$2:$F$1202,"&lt;&gt;"))</f>
        <v/>
      </c>
      <c r="G53" s="9" t="str">
        <f>IF($A53="","",COUNTIFS(MAESTRO!$C$2:$C$1202,$A53,MAESTRO!$M$2:$M$1202,"LATERAL VIP",MAESTRO!$F$2:$F$1202,"&lt;&gt;"))</f>
        <v/>
      </c>
      <c r="H53" s="9" t="str">
        <f>IF($A53="","",COUNTIFS(MAESTRO!$C$2:$C$1202,$A53,MAESTRO!$M$2:$M$1202,"LATERAL",MAESTRO!$F$2:$F$1202,"&lt;&gt;"))</f>
        <v/>
      </c>
      <c r="I53" s="9" t="str">
        <f>IF($A53="","",COUNTIFS(MAESTRO!$C$2:$C$1202,$A53,MAESTRO!$N$2:$N$1202,"SI",MAESTRO!$F$2:$F$1202,"&lt;&gt;"))</f>
        <v/>
      </c>
      <c r="J53" s="9"/>
      <c r="K53" s="9"/>
      <c r="L53" s="9"/>
      <c r="M53" s="9"/>
    </row>
    <row r="54" spans="1:13" ht="18" customHeight="1" x14ac:dyDescent="0.2">
      <c r="A54" s="9"/>
      <c r="B54" s="9" t="str">
        <f>IF($A54="","",COUNTIFS(MAESTRO!$C$2:$C$1202,$A54,MAESTRO!$F$2:$F$1202,"&lt;&gt;"))</f>
        <v/>
      </c>
      <c r="C54" s="9" t="str">
        <f>IF($A54="","",COUNTIFS(MAESTRO!$C$2:$C$1202,$A54,MAESTRO!$J$2:$J$1202,"SI",MAESTRO!$F$2:$F$1202,"&lt;&gt;"))</f>
        <v/>
      </c>
      <c r="D54" s="9" t="str">
        <f>IF($A54="","",COUNTIFS(MAESTRO!$C$2:$C$1202,$A54,MAESTRO!$J$2:$J$1202,"NO",MAESTRO!$F$2:$F$1202,"&lt;&gt;"))</f>
        <v/>
      </c>
      <c r="E54" s="9" t="str">
        <f t="shared" si="1"/>
        <v/>
      </c>
      <c r="F54" s="9" t="str">
        <f>IF($A54="","",COUNTIFS(MAESTRO!$C$2:$C$1202,$A54,MAESTRO!$M$2:$M$1202,"VIP",MAESTRO!$F$2:$F$1202,"&lt;&gt;"))</f>
        <v/>
      </c>
      <c r="G54" s="9" t="str">
        <f>IF($A54="","",COUNTIFS(MAESTRO!$C$2:$C$1202,$A54,MAESTRO!$M$2:$M$1202,"LATERAL VIP",MAESTRO!$F$2:$F$1202,"&lt;&gt;"))</f>
        <v/>
      </c>
      <c r="H54" s="9" t="str">
        <f>IF($A54="","",COUNTIFS(MAESTRO!$C$2:$C$1202,$A54,MAESTRO!$M$2:$M$1202,"LATERAL",MAESTRO!$F$2:$F$1202,"&lt;&gt;"))</f>
        <v/>
      </c>
      <c r="I54" s="9" t="str">
        <f>IF($A54="","",COUNTIFS(MAESTRO!$C$2:$C$1202,$A54,MAESTRO!$N$2:$N$1202,"SI",MAESTRO!$F$2:$F$1202,"&lt;&gt;"))</f>
        <v/>
      </c>
      <c r="J54" s="9"/>
      <c r="K54" s="9"/>
      <c r="L54" s="9"/>
      <c r="M54" s="9"/>
    </row>
    <row r="55" spans="1:13" ht="18" customHeight="1" x14ac:dyDescent="0.2">
      <c r="A55" s="9"/>
      <c r="B55" s="9" t="str">
        <f>IF($A55="","",COUNTIFS(MAESTRO!$C$2:$C$1202,$A55,MAESTRO!$F$2:$F$1202,"&lt;&gt;"))</f>
        <v/>
      </c>
      <c r="C55" s="9" t="str">
        <f>IF($A55="","",COUNTIFS(MAESTRO!$C$2:$C$1202,$A55,MAESTRO!$J$2:$J$1202,"SI",MAESTRO!$F$2:$F$1202,"&lt;&gt;"))</f>
        <v/>
      </c>
      <c r="D55" s="9" t="str">
        <f>IF($A55="","",COUNTIFS(MAESTRO!$C$2:$C$1202,$A55,MAESTRO!$J$2:$J$1202,"NO",MAESTRO!$F$2:$F$1202,"&lt;&gt;"))</f>
        <v/>
      </c>
      <c r="E55" s="9" t="str">
        <f t="shared" si="1"/>
        <v/>
      </c>
      <c r="F55" s="9" t="str">
        <f>IF($A55="","",COUNTIFS(MAESTRO!$C$2:$C$1202,$A55,MAESTRO!$M$2:$M$1202,"VIP",MAESTRO!$F$2:$F$1202,"&lt;&gt;"))</f>
        <v/>
      </c>
      <c r="G55" s="9" t="str">
        <f>IF($A55="","",COUNTIFS(MAESTRO!$C$2:$C$1202,$A55,MAESTRO!$M$2:$M$1202,"LATERAL VIP",MAESTRO!$F$2:$F$1202,"&lt;&gt;"))</f>
        <v/>
      </c>
      <c r="H55" s="9" t="str">
        <f>IF($A55="","",COUNTIFS(MAESTRO!$C$2:$C$1202,$A55,MAESTRO!$M$2:$M$1202,"LATERAL",MAESTRO!$F$2:$F$1202,"&lt;&gt;"))</f>
        <v/>
      </c>
      <c r="I55" s="9" t="str">
        <f>IF($A55="","",COUNTIFS(MAESTRO!$C$2:$C$1202,$A55,MAESTRO!$N$2:$N$1202,"SI",MAESTRO!$F$2:$F$1202,"&lt;&gt;"))</f>
        <v/>
      </c>
      <c r="J55" s="9"/>
      <c r="K55" s="9"/>
      <c r="L55" s="9"/>
      <c r="M55" s="9"/>
    </row>
    <row r="56" spans="1:13" ht="18" customHeight="1" x14ac:dyDescent="0.2">
      <c r="A56" s="9"/>
      <c r="B56" s="9" t="str">
        <f>IF($A56="","",COUNTIFS(MAESTRO!$C$2:$C$1202,$A56,MAESTRO!$F$2:$F$1202,"&lt;&gt;"))</f>
        <v/>
      </c>
      <c r="C56" s="9" t="str">
        <f>IF($A56="","",COUNTIFS(MAESTRO!$C$2:$C$1202,$A56,MAESTRO!$J$2:$J$1202,"SI",MAESTRO!$F$2:$F$1202,"&lt;&gt;"))</f>
        <v/>
      </c>
      <c r="D56" s="9" t="str">
        <f>IF($A56="","",COUNTIFS(MAESTRO!$C$2:$C$1202,$A56,MAESTRO!$J$2:$J$1202,"NO",MAESTRO!$F$2:$F$1202,"&lt;&gt;"))</f>
        <v/>
      </c>
      <c r="E56" s="9" t="str">
        <f t="shared" si="1"/>
        <v/>
      </c>
      <c r="F56" s="9" t="str">
        <f>IF($A56="","",COUNTIFS(MAESTRO!$C$2:$C$1202,$A56,MAESTRO!$M$2:$M$1202,"VIP",MAESTRO!$F$2:$F$1202,"&lt;&gt;"))</f>
        <v/>
      </c>
      <c r="G56" s="9" t="str">
        <f>IF($A56="","",COUNTIFS(MAESTRO!$C$2:$C$1202,$A56,MAESTRO!$M$2:$M$1202,"LATERAL VIP",MAESTRO!$F$2:$F$1202,"&lt;&gt;"))</f>
        <v/>
      </c>
      <c r="H56" s="9" t="str">
        <f>IF($A56="","",COUNTIFS(MAESTRO!$C$2:$C$1202,$A56,MAESTRO!$M$2:$M$1202,"LATERAL",MAESTRO!$F$2:$F$1202,"&lt;&gt;"))</f>
        <v/>
      </c>
      <c r="I56" s="9" t="str">
        <f>IF($A56="","",COUNTIFS(MAESTRO!$C$2:$C$1202,$A56,MAESTRO!$N$2:$N$1202,"SI",MAESTRO!$F$2:$F$1202,"&lt;&gt;"))</f>
        <v/>
      </c>
      <c r="J56" s="9"/>
      <c r="K56" s="9"/>
      <c r="L56" s="9"/>
      <c r="M56" s="9"/>
    </row>
    <row r="57" spans="1:13" ht="18" customHeight="1" x14ac:dyDescent="0.2">
      <c r="A57" s="9"/>
      <c r="B57" s="9" t="str">
        <f>IF($A57="","",COUNTIFS(MAESTRO!$C$2:$C$1202,$A57,MAESTRO!$F$2:$F$1202,"&lt;&gt;"))</f>
        <v/>
      </c>
      <c r="C57" s="9" t="str">
        <f>IF($A57="","",COUNTIFS(MAESTRO!$C$2:$C$1202,$A57,MAESTRO!$J$2:$J$1202,"SI",MAESTRO!$F$2:$F$1202,"&lt;&gt;"))</f>
        <v/>
      </c>
      <c r="D57" s="9" t="str">
        <f>IF($A57="","",COUNTIFS(MAESTRO!$C$2:$C$1202,$A57,MAESTRO!$J$2:$J$1202,"NO",MAESTRO!$F$2:$F$1202,"&lt;&gt;"))</f>
        <v/>
      </c>
      <c r="E57" s="9" t="str">
        <f t="shared" si="1"/>
        <v/>
      </c>
      <c r="F57" s="9" t="str">
        <f>IF($A57="","",COUNTIFS(MAESTRO!$C$2:$C$1202,$A57,MAESTRO!$M$2:$M$1202,"VIP",MAESTRO!$F$2:$F$1202,"&lt;&gt;"))</f>
        <v/>
      </c>
      <c r="G57" s="9" t="str">
        <f>IF($A57="","",COUNTIFS(MAESTRO!$C$2:$C$1202,$A57,MAESTRO!$M$2:$M$1202,"LATERAL VIP",MAESTRO!$F$2:$F$1202,"&lt;&gt;"))</f>
        <v/>
      </c>
      <c r="H57" s="9" t="str">
        <f>IF($A57="","",COUNTIFS(MAESTRO!$C$2:$C$1202,$A57,MAESTRO!$M$2:$M$1202,"LATERAL",MAESTRO!$F$2:$F$1202,"&lt;&gt;"))</f>
        <v/>
      </c>
      <c r="I57" s="9" t="str">
        <f>IF($A57="","",COUNTIFS(MAESTRO!$C$2:$C$1202,$A57,MAESTRO!$N$2:$N$1202,"SI",MAESTRO!$F$2:$F$1202,"&lt;&gt;"))</f>
        <v/>
      </c>
      <c r="J57" s="9"/>
      <c r="K57" s="9"/>
      <c r="L57" s="9"/>
      <c r="M57" s="9"/>
    </row>
    <row r="58" spans="1:13" ht="18" customHeight="1" x14ac:dyDescent="0.2">
      <c r="A58" s="9"/>
      <c r="B58" s="9" t="str">
        <f>IF($A58="","",COUNTIFS(MAESTRO!$C$2:$C$1202,$A58,MAESTRO!$F$2:$F$1202,"&lt;&gt;"))</f>
        <v/>
      </c>
      <c r="C58" s="9" t="str">
        <f>IF($A58="","",COUNTIFS(MAESTRO!$C$2:$C$1202,$A58,MAESTRO!$J$2:$J$1202,"SI",MAESTRO!$F$2:$F$1202,"&lt;&gt;"))</f>
        <v/>
      </c>
      <c r="D58" s="9" t="str">
        <f>IF($A58="","",COUNTIFS(MAESTRO!$C$2:$C$1202,$A58,MAESTRO!$J$2:$J$1202,"NO",MAESTRO!$F$2:$F$1202,"&lt;&gt;"))</f>
        <v/>
      </c>
      <c r="E58" s="9" t="str">
        <f t="shared" si="1"/>
        <v/>
      </c>
      <c r="F58" s="9" t="str">
        <f>IF($A58="","",COUNTIFS(MAESTRO!$C$2:$C$1202,$A58,MAESTRO!$M$2:$M$1202,"VIP",MAESTRO!$F$2:$F$1202,"&lt;&gt;"))</f>
        <v/>
      </c>
      <c r="G58" s="9" t="str">
        <f>IF($A58="","",COUNTIFS(MAESTRO!$C$2:$C$1202,$A58,MAESTRO!$M$2:$M$1202,"LATERAL VIP",MAESTRO!$F$2:$F$1202,"&lt;&gt;"))</f>
        <v/>
      </c>
      <c r="H58" s="9" t="str">
        <f>IF($A58="","",COUNTIFS(MAESTRO!$C$2:$C$1202,$A58,MAESTRO!$M$2:$M$1202,"LATERAL",MAESTRO!$F$2:$F$1202,"&lt;&gt;"))</f>
        <v/>
      </c>
      <c r="I58" s="9" t="str">
        <f>IF($A58="","",COUNTIFS(MAESTRO!$C$2:$C$1202,$A58,MAESTRO!$N$2:$N$1202,"SI",MAESTRO!$F$2:$F$1202,"&lt;&gt;"))</f>
        <v/>
      </c>
      <c r="J58" s="9"/>
      <c r="K58" s="9"/>
      <c r="L58" s="9"/>
      <c r="M58" s="9"/>
    </row>
    <row r="59" spans="1:13" ht="18" customHeight="1" x14ac:dyDescent="0.2">
      <c r="A59" s="9"/>
      <c r="B59" s="9" t="str">
        <f>IF($A59="","",COUNTIFS(MAESTRO!$C$2:$C$1202,$A59,MAESTRO!$F$2:$F$1202,"&lt;&gt;"))</f>
        <v/>
      </c>
      <c r="C59" s="9" t="str">
        <f>IF($A59="","",COUNTIFS(MAESTRO!$C$2:$C$1202,$A59,MAESTRO!$J$2:$J$1202,"SI",MAESTRO!$F$2:$F$1202,"&lt;&gt;"))</f>
        <v/>
      </c>
      <c r="D59" s="9" t="str">
        <f>IF($A59="","",COUNTIFS(MAESTRO!$C$2:$C$1202,$A59,MAESTRO!$J$2:$J$1202,"NO",MAESTRO!$F$2:$F$1202,"&lt;&gt;"))</f>
        <v/>
      </c>
      <c r="E59" s="9" t="str">
        <f t="shared" si="1"/>
        <v/>
      </c>
      <c r="F59" s="9" t="str">
        <f>IF($A59="","",COUNTIFS(MAESTRO!$C$2:$C$1202,$A59,MAESTRO!$M$2:$M$1202,"VIP",MAESTRO!$F$2:$F$1202,"&lt;&gt;"))</f>
        <v/>
      </c>
      <c r="G59" s="9" t="str">
        <f>IF($A59="","",COUNTIFS(MAESTRO!$C$2:$C$1202,$A59,MAESTRO!$M$2:$M$1202,"LATERAL VIP",MAESTRO!$F$2:$F$1202,"&lt;&gt;"))</f>
        <v/>
      </c>
      <c r="H59" s="9" t="str">
        <f>IF($A59="","",COUNTIFS(MAESTRO!$C$2:$C$1202,$A59,MAESTRO!$M$2:$M$1202,"LATERAL",MAESTRO!$F$2:$F$1202,"&lt;&gt;"))</f>
        <v/>
      </c>
      <c r="I59" s="9" t="str">
        <f>IF($A59="","",COUNTIFS(MAESTRO!$C$2:$C$1202,$A59,MAESTRO!$N$2:$N$1202,"SI",MAESTRO!$F$2:$F$1202,"&lt;&gt;"))</f>
        <v/>
      </c>
      <c r="J59" s="9"/>
      <c r="K59" s="9"/>
      <c r="L59" s="9"/>
      <c r="M59" s="9"/>
    </row>
    <row r="60" spans="1:13" ht="18" customHeight="1" x14ac:dyDescent="0.2">
      <c r="A60" s="9"/>
      <c r="B60" s="9" t="str">
        <f>IF($A60="","",COUNTIFS(MAESTRO!$C$2:$C$1202,$A60,MAESTRO!$F$2:$F$1202,"&lt;&gt;"))</f>
        <v/>
      </c>
      <c r="C60" s="9" t="str">
        <f>IF($A60="","",COUNTIFS(MAESTRO!$C$2:$C$1202,$A60,MAESTRO!$J$2:$J$1202,"SI",MAESTRO!$F$2:$F$1202,"&lt;&gt;"))</f>
        <v/>
      </c>
      <c r="D60" s="9" t="str">
        <f>IF($A60="","",COUNTIFS(MAESTRO!$C$2:$C$1202,$A60,MAESTRO!$J$2:$J$1202,"NO",MAESTRO!$F$2:$F$1202,"&lt;&gt;"))</f>
        <v/>
      </c>
      <c r="E60" s="9" t="str">
        <f t="shared" si="1"/>
        <v/>
      </c>
      <c r="F60" s="9" t="str">
        <f>IF($A60="","",COUNTIFS(MAESTRO!$C$2:$C$1202,$A60,MAESTRO!$M$2:$M$1202,"VIP",MAESTRO!$F$2:$F$1202,"&lt;&gt;"))</f>
        <v/>
      </c>
      <c r="G60" s="9" t="str">
        <f>IF($A60="","",COUNTIFS(MAESTRO!$C$2:$C$1202,$A60,MAESTRO!$M$2:$M$1202,"LATERAL VIP",MAESTRO!$F$2:$F$1202,"&lt;&gt;"))</f>
        <v/>
      </c>
      <c r="H60" s="9" t="str">
        <f>IF($A60="","",COUNTIFS(MAESTRO!$C$2:$C$1202,$A60,MAESTRO!$M$2:$M$1202,"LATERAL",MAESTRO!$F$2:$F$1202,"&lt;&gt;"))</f>
        <v/>
      </c>
      <c r="I60" s="9" t="str">
        <f>IF($A60="","",COUNTIFS(MAESTRO!$C$2:$C$1202,$A60,MAESTRO!$N$2:$N$1202,"SI",MAESTRO!$F$2:$F$1202,"&lt;&gt;"))</f>
        <v/>
      </c>
      <c r="J60" s="9"/>
      <c r="K60" s="9"/>
      <c r="L60" s="9"/>
      <c r="M60" s="9"/>
    </row>
    <row r="61" spans="1:13" ht="18" customHeight="1" x14ac:dyDescent="0.2">
      <c r="A61" s="9"/>
      <c r="B61" s="9" t="str">
        <f>IF($A61="","",COUNTIFS(MAESTRO!$C$2:$C$1202,$A61,MAESTRO!$F$2:$F$1202,"&lt;&gt;"))</f>
        <v/>
      </c>
      <c r="C61" s="9" t="str">
        <f>IF($A61="","",COUNTIFS(MAESTRO!$C$2:$C$1202,$A61,MAESTRO!$J$2:$J$1202,"SI",MAESTRO!$F$2:$F$1202,"&lt;&gt;"))</f>
        <v/>
      </c>
      <c r="D61" s="9" t="str">
        <f>IF($A61="","",COUNTIFS(MAESTRO!$C$2:$C$1202,$A61,MAESTRO!$J$2:$J$1202,"NO",MAESTRO!$F$2:$F$1202,"&lt;&gt;"))</f>
        <v/>
      </c>
      <c r="E61" s="9" t="str">
        <f t="shared" si="1"/>
        <v/>
      </c>
      <c r="F61" s="9" t="str">
        <f>IF($A61="","",COUNTIFS(MAESTRO!$C$2:$C$1202,$A61,MAESTRO!$M$2:$M$1202,"VIP",MAESTRO!$F$2:$F$1202,"&lt;&gt;"))</f>
        <v/>
      </c>
      <c r="G61" s="9" t="str">
        <f>IF($A61="","",COUNTIFS(MAESTRO!$C$2:$C$1202,$A61,MAESTRO!$M$2:$M$1202,"LATERAL VIP",MAESTRO!$F$2:$F$1202,"&lt;&gt;"))</f>
        <v/>
      </c>
      <c r="H61" s="9" t="str">
        <f>IF($A61="","",COUNTIFS(MAESTRO!$C$2:$C$1202,$A61,MAESTRO!$M$2:$M$1202,"LATERAL",MAESTRO!$F$2:$F$1202,"&lt;&gt;"))</f>
        <v/>
      </c>
      <c r="I61" s="9" t="str">
        <f>IF($A61="","",COUNTIFS(MAESTRO!$C$2:$C$1202,$A61,MAESTRO!$N$2:$N$1202,"SI",MAESTRO!$F$2:$F$1202,"&lt;&gt;"))</f>
        <v/>
      </c>
      <c r="J61" s="9"/>
      <c r="K61" s="9"/>
      <c r="L61" s="9"/>
      <c r="M61" s="9"/>
    </row>
    <row r="62" spans="1:13" ht="18" customHeight="1" x14ac:dyDescent="0.2">
      <c r="A62" s="9"/>
      <c r="B62" s="9" t="str">
        <f>IF($A62="","",COUNTIFS(MAESTRO!$C$2:$C$1202,$A62,MAESTRO!$F$2:$F$1202,"&lt;&gt;"))</f>
        <v/>
      </c>
      <c r="C62" s="9" t="str">
        <f>IF($A62="","",COUNTIFS(MAESTRO!$C$2:$C$1202,$A62,MAESTRO!$J$2:$J$1202,"SI",MAESTRO!$F$2:$F$1202,"&lt;&gt;"))</f>
        <v/>
      </c>
      <c r="D62" s="9" t="str">
        <f>IF($A62="","",COUNTIFS(MAESTRO!$C$2:$C$1202,$A62,MAESTRO!$J$2:$J$1202,"NO",MAESTRO!$F$2:$F$1202,"&lt;&gt;"))</f>
        <v/>
      </c>
      <c r="E62" s="9" t="str">
        <f t="shared" si="1"/>
        <v/>
      </c>
      <c r="F62" s="9" t="str">
        <f>IF($A62="","",COUNTIFS(MAESTRO!$C$2:$C$1202,$A62,MAESTRO!$M$2:$M$1202,"VIP",MAESTRO!$F$2:$F$1202,"&lt;&gt;"))</f>
        <v/>
      </c>
      <c r="G62" s="9" t="str">
        <f>IF($A62="","",COUNTIFS(MAESTRO!$C$2:$C$1202,$A62,MAESTRO!$M$2:$M$1202,"LATERAL VIP",MAESTRO!$F$2:$F$1202,"&lt;&gt;"))</f>
        <v/>
      </c>
      <c r="H62" s="9" t="str">
        <f>IF($A62="","",COUNTIFS(MAESTRO!$C$2:$C$1202,$A62,MAESTRO!$M$2:$M$1202,"LATERAL",MAESTRO!$F$2:$F$1202,"&lt;&gt;"))</f>
        <v/>
      </c>
      <c r="I62" s="9" t="str">
        <f>IF($A62="","",COUNTIFS(MAESTRO!$C$2:$C$1202,$A62,MAESTRO!$N$2:$N$1202,"SI",MAESTRO!$F$2:$F$1202,"&lt;&gt;"))</f>
        <v/>
      </c>
      <c r="J62" s="9"/>
      <c r="K62" s="9"/>
      <c r="L62" s="9"/>
      <c r="M62" s="9"/>
    </row>
    <row r="63" spans="1:13" ht="18" customHeight="1" x14ac:dyDescent="0.2">
      <c r="A63" s="9"/>
      <c r="B63" s="9" t="str">
        <f>IF($A63="","",COUNTIFS(MAESTRO!$C$2:$C$1202,$A63,MAESTRO!$F$2:$F$1202,"&lt;&gt;"))</f>
        <v/>
      </c>
      <c r="C63" s="9" t="str">
        <f>IF($A63="","",COUNTIFS(MAESTRO!$C$2:$C$1202,$A63,MAESTRO!$J$2:$J$1202,"SI",MAESTRO!$F$2:$F$1202,"&lt;&gt;"))</f>
        <v/>
      </c>
      <c r="D63" s="9" t="str">
        <f>IF($A63="","",COUNTIFS(MAESTRO!$C$2:$C$1202,$A63,MAESTRO!$J$2:$J$1202,"NO",MAESTRO!$F$2:$F$1202,"&lt;&gt;"))</f>
        <v/>
      </c>
      <c r="E63" s="9" t="str">
        <f t="shared" si="1"/>
        <v/>
      </c>
      <c r="F63" s="9" t="str">
        <f>IF($A63="","",COUNTIFS(MAESTRO!$C$2:$C$1202,$A63,MAESTRO!$M$2:$M$1202,"VIP",MAESTRO!$F$2:$F$1202,"&lt;&gt;"))</f>
        <v/>
      </c>
      <c r="G63" s="9" t="str">
        <f>IF($A63="","",COUNTIFS(MAESTRO!$C$2:$C$1202,$A63,MAESTRO!$M$2:$M$1202,"LATERAL VIP",MAESTRO!$F$2:$F$1202,"&lt;&gt;"))</f>
        <v/>
      </c>
      <c r="H63" s="9" t="str">
        <f>IF($A63="","",COUNTIFS(MAESTRO!$C$2:$C$1202,$A63,MAESTRO!$M$2:$M$1202,"LATERAL",MAESTRO!$F$2:$F$1202,"&lt;&gt;"))</f>
        <v/>
      </c>
      <c r="I63" s="9" t="str">
        <f>IF($A63="","",COUNTIFS(MAESTRO!$C$2:$C$1202,$A63,MAESTRO!$N$2:$N$1202,"SI",MAESTRO!$F$2:$F$1202,"&lt;&gt;"))</f>
        <v/>
      </c>
      <c r="J63" s="9"/>
      <c r="K63" s="9"/>
      <c r="L63" s="9"/>
      <c r="M63" s="9"/>
    </row>
    <row r="64" spans="1:13" ht="18" customHeight="1" x14ac:dyDescent="0.2">
      <c r="A64" s="9"/>
      <c r="B64" s="9" t="str">
        <f>IF($A64="","",COUNTIFS(MAESTRO!$C$2:$C$1202,$A64,MAESTRO!$F$2:$F$1202,"&lt;&gt;"))</f>
        <v/>
      </c>
      <c r="C64" s="9" t="str">
        <f>IF($A64="","",COUNTIFS(MAESTRO!$C$2:$C$1202,$A64,MAESTRO!$J$2:$J$1202,"SI",MAESTRO!$F$2:$F$1202,"&lt;&gt;"))</f>
        <v/>
      </c>
      <c r="D64" s="9" t="str">
        <f>IF($A64="","",COUNTIFS(MAESTRO!$C$2:$C$1202,$A64,MAESTRO!$J$2:$J$1202,"NO",MAESTRO!$F$2:$F$1202,"&lt;&gt;"))</f>
        <v/>
      </c>
      <c r="E64" s="9" t="str">
        <f t="shared" si="1"/>
        <v/>
      </c>
      <c r="F64" s="9" t="str">
        <f>IF($A64="","",COUNTIFS(MAESTRO!$C$2:$C$1202,$A64,MAESTRO!$M$2:$M$1202,"VIP",MAESTRO!$F$2:$F$1202,"&lt;&gt;"))</f>
        <v/>
      </c>
      <c r="G64" s="9" t="str">
        <f>IF($A64="","",COUNTIFS(MAESTRO!$C$2:$C$1202,$A64,MAESTRO!$M$2:$M$1202,"LATERAL VIP",MAESTRO!$F$2:$F$1202,"&lt;&gt;"))</f>
        <v/>
      </c>
      <c r="H64" s="9" t="str">
        <f>IF($A64="","",COUNTIFS(MAESTRO!$C$2:$C$1202,$A64,MAESTRO!$M$2:$M$1202,"LATERAL",MAESTRO!$F$2:$F$1202,"&lt;&gt;"))</f>
        <v/>
      </c>
      <c r="I64" s="9" t="str">
        <f>IF($A64="","",COUNTIFS(MAESTRO!$C$2:$C$1202,$A64,MAESTRO!$N$2:$N$1202,"SI",MAESTRO!$F$2:$F$1202,"&lt;&gt;"))</f>
        <v/>
      </c>
      <c r="J64" s="9"/>
      <c r="K64" s="9"/>
      <c r="L64" s="9"/>
      <c r="M64" s="9"/>
    </row>
    <row r="65" spans="1:13" ht="18" customHeight="1" x14ac:dyDescent="0.2">
      <c r="A65" s="9"/>
      <c r="B65" s="9" t="str">
        <f>IF($A65="","",COUNTIFS(MAESTRO!$C$2:$C$1202,$A65,MAESTRO!$F$2:$F$1202,"&lt;&gt;"))</f>
        <v/>
      </c>
      <c r="C65" s="9" t="str">
        <f>IF($A65="","",COUNTIFS(MAESTRO!$C$2:$C$1202,$A65,MAESTRO!$J$2:$J$1202,"SI",MAESTRO!$F$2:$F$1202,"&lt;&gt;"))</f>
        <v/>
      </c>
      <c r="D65" s="9" t="str">
        <f>IF($A65="","",COUNTIFS(MAESTRO!$C$2:$C$1202,$A65,MAESTRO!$J$2:$J$1202,"NO",MAESTRO!$F$2:$F$1202,"&lt;&gt;"))</f>
        <v/>
      </c>
      <c r="E65" s="9" t="str">
        <f t="shared" si="1"/>
        <v/>
      </c>
      <c r="F65" s="9" t="str">
        <f>IF($A65="","",COUNTIFS(MAESTRO!$C$2:$C$1202,$A65,MAESTRO!$M$2:$M$1202,"VIP",MAESTRO!$F$2:$F$1202,"&lt;&gt;"))</f>
        <v/>
      </c>
      <c r="G65" s="9" t="str">
        <f>IF($A65="","",COUNTIFS(MAESTRO!$C$2:$C$1202,$A65,MAESTRO!$M$2:$M$1202,"LATERAL VIP",MAESTRO!$F$2:$F$1202,"&lt;&gt;"))</f>
        <v/>
      </c>
      <c r="H65" s="9" t="str">
        <f>IF($A65="","",COUNTIFS(MAESTRO!$C$2:$C$1202,$A65,MAESTRO!$M$2:$M$1202,"LATERAL",MAESTRO!$F$2:$F$1202,"&lt;&gt;"))</f>
        <v/>
      </c>
      <c r="I65" s="9" t="str">
        <f>IF($A65="","",COUNTIFS(MAESTRO!$C$2:$C$1202,$A65,MAESTRO!$N$2:$N$1202,"SI",MAESTRO!$F$2:$F$1202,"&lt;&gt;"))</f>
        <v/>
      </c>
      <c r="J65" s="9"/>
      <c r="K65" s="9"/>
      <c r="L65" s="9"/>
      <c r="M65" s="9"/>
    </row>
    <row r="66" spans="1:13" ht="18" customHeight="1" x14ac:dyDescent="0.2">
      <c r="A66" s="9"/>
      <c r="B66" s="9" t="str">
        <f>IF($A66="","",COUNTIFS(MAESTRO!$C$2:$C$1202,$A66,MAESTRO!$F$2:$F$1202,"&lt;&gt;"))</f>
        <v/>
      </c>
      <c r="C66" s="9" t="str">
        <f>IF($A66="","",COUNTIFS(MAESTRO!$C$2:$C$1202,$A66,MAESTRO!$J$2:$J$1202,"SI",MAESTRO!$F$2:$F$1202,"&lt;&gt;"))</f>
        <v/>
      </c>
      <c r="D66" s="9" t="str">
        <f>IF($A66="","",COUNTIFS(MAESTRO!$C$2:$C$1202,$A66,MAESTRO!$J$2:$J$1202,"NO",MAESTRO!$F$2:$F$1202,"&lt;&gt;"))</f>
        <v/>
      </c>
      <c r="E66" s="9" t="str">
        <f t="shared" si="1"/>
        <v/>
      </c>
      <c r="F66" s="9" t="str">
        <f>IF($A66="","",COUNTIFS(MAESTRO!$C$2:$C$1202,$A66,MAESTRO!$M$2:$M$1202,"VIP",MAESTRO!$F$2:$F$1202,"&lt;&gt;"))</f>
        <v/>
      </c>
      <c r="G66" s="9" t="str">
        <f>IF($A66="","",COUNTIFS(MAESTRO!$C$2:$C$1202,$A66,MAESTRO!$M$2:$M$1202,"LATERAL VIP",MAESTRO!$F$2:$F$1202,"&lt;&gt;"))</f>
        <v/>
      </c>
      <c r="H66" s="9" t="str">
        <f>IF($A66="","",COUNTIFS(MAESTRO!$C$2:$C$1202,$A66,MAESTRO!$M$2:$M$1202,"LATERAL",MAESTRO!$F$2:$F$1202,"&lt;&gt;"))</f>
        <v/>
      </c>
      <c r="I66" s="9" t="str">
        <f>IF($A66="","",COUNTIFS(MAESTRO!$C$2:$C$1202,$A66,MAESTRO!$N$2:$N$1202,"SI",MAESTRO!$F$2:$F$1202,"&lt;&gt;"))</f>
        <v/>
      </c>
      <c r="J66" s="9"/>
      <c r="K66" s="9"/>
      <c r="L66" s="9"/>
      <c r="M66" s="9"/>
    </row>
    <row r="67" spans="1:13" ht="18" customHeight="1" x14ac:dyDescent="0.2">
      <c r="A67" s="9"/>
      <c r="B67" s="9" t="str">
        <f>IF($A67="","",COUNTIFS(MAESTRO!$C$2:$C$1202,$A67,MAESTRO!$F$2:$F$1202,"&lt;&gt;"))</f>
        <v/>
      </c>
      <c r="C67" s="9" t="str">
        <f>IF($A67="","",COUNTIFS(MAESTRO!$C$2:$C$1202,$A67,MAESTRO!$J$2:$J$1202,"SI",MAESTRO!$F$2:$F$1202,"&lt;&gt;"))</f>
        <v/>
      </c>
      <c r="D67" s="9" t="str">
        <f>IF($A67="","",COUNTIFS(MAESTRO!$C$2:$C$1202,$A67,MAESTRO!$J$2:$J$1202,"NO",MAESTRO!$F$2:$F$1202,"&lt;&gt;"))</f>
        <v/>
      </c>
      <c r="E67" s="9" t="str">
        <f t="shared" si="1"/>
        <v/>
      </c>
      <c r="F67" s="9" t="str">
        <f>IF($A67="","",COUNTIFS(MAESTRO!$C$2:$C$1202,$A67,MAESTRO!$M$2:$M$1202,"VIP",MAESTRO!$F$2:$F$1202,"&lt;&gt;"))</f>
        <v/>
      </c>
      <c r="G67" s="9" t="str">
        <f>IF($A67="","",COUNTIFS(MAESTRO!$C$2:$C$1202,$A67,MAESTRO!$M$2:$M$1202,"LATERAL VIP",MAESTRO!$F$2:$F$1202,"&lt;&gt;"))</f>
        <v/>
      </c>
      <c r="H67" s="9" t="str">
        <f>IF($A67="","",COUNTIFS(MAESTRO!$C$2:$C$1202,$A67,MAESTRO!$M$2:$M$1202,"LATERAL",MAESTRO!$F$2:$F$1202,"&lt;&gt;"))</f>
        <v/>
      </c>
      <c r="I67" s="9" t="str">
        <f>IF($A67="","",COUNTIFS(MAESTRO!$C$2:$C$1202,$A67,MAESTRO!$N$2:$N$1202,"SI",MAESTRO!$F$2:$F$1202,"&lt;&gt;"))</f>
        <v/>
      </c>
      <c r="J67" s="9"/>
      <c r="K67" s="9"/>
      <c r="L67" s="9"/>
      <c r="M67" s="9"/>
    </row>
    <row r="68" spans="1:13" ht="18" customHeight="1" x14ac:dyDescent="0.2">
      <c r="A68" s="9"/>
      <c r="B68" s="9" t="str">
        <f>IF($A68="","",COUNTIFS(MAESTRO!$C$2:$C$1202,$A68,MAESTRO!$F$2:$F$1202,"&lt;&gt;"))</f>
        <v/>
      </c>
      <c r="C68" s="9" t="str">
        <f>IF($A68="","",COUNTIFS(MAESTRO!$C$2:$C$1202,$A68,MAESTRO!$J$2:$J$1202,"SI",MAESTRO!$F$2:$F$1202,"&lt;&gt;"))</f>
        <v/>
      </c>
      <c r="D68" s="9" t="str">
        <f>IF($A68="","",COUNTIFS(MAESTRO!$C$2:$C$1202,$A68,MAESTRO!$J$2:$J$1202,"NO",MAESTRO!$F$2:$F$1202,"&lt;&gt;"))</f>
        <v/>
      </c>
      <c r="E68" s="9" t="str">
        <f t="shared" si="1"/>
        <v/>
      </c>
      <c r="F68" s="9" t="str">
        <f>IF($A68="","",COUNTIFS(MAESTRO!$C$2:$C$1202,$A68,MAESTRO!$M$2:$M$1202,"VIP",MAESTRO!$F$2:$F$1202,"&lt;&gt;"))</f>
        <v/>
      </c>
      <c r="G68" s="9" t="str">
        <f>IF($A68="","",COUNTIFS(MAESTRO!$C$2:$C$1202,$A68,MAESTRO!$M$2:$M$1202,"LATERAL VIP",MAESTRO!$F$2:$F$1202,"&lt;&gt;"))</f>
        <v/>
      </c>
      <c r="H68" s="9" t="str">
        <f>IF($A68="","",COUNTIFS(MAESTRO!$C$2:$C$1202,$A68,MAESTRO!$M$2:$M$1202,"LATERAL",MAESTRO!$F$2:$F$1202,"&lt;&gt;"))</f>
        <v/>
      </c>
      <c r="I68" s="9" t="str">
        <f>IF($A68="","",COUNTIFS(MAESTRO!$C$2:$C$1202,$A68,MAESTRO!$N$2:$N$1202,"SI",MAESTRO!$F$2:$F$1202,"&lt;&gt;"))</f>
        <v/>
      </c>
      <c r="J68" s="9"/>
      <c r="K68" s="9"/>
      <c r="L68" s="9"/>
      <c r="M68" s="9"/>
    </row>
    <row r="69" spans="1:13" ht="18" customHeight="1" x14ac:dyDescent="0.2">
      <c r="A69" s="9"/>
      <c r="B69" s="9" t="str">
        <f>IF($A69="","",COUNTIFS(MAESTRO!$C$2:$C$1202,$A69,MAESTRO!$F$2:$F$1202,"&lt;&gt;"))</f>
        <v/>
      </c>
      <c r="C69" s="9" t="str">
        <f>IF($A69="","",COUNTIFS(MAESTRO!$C$2:$C$1202,$A69,MAESTRO!$J$2:$J$1202,"SI",MAESTRO!$F$2:$F$1202,"&lt;&gt;"))</f>
        <v/>
      </c>
      <c r="D69" s="9" t="str">
        <f>IF($A69="","",COUNTIFS(MAESTRO!$C$2:$C$1202,$A69,MAESTRO!$J$2:$J$1202,"NO",MAESTRO!$F$2:$F$1202,"&lt;&gt;"))</f>
        <v/>
      </c>
      <c r="E69" s="9" t="str">
        <f t="shared" si="1"/>
        <v/>
      </c>
      <c r="F69" s="9" t="str">
        <f>IF($A69="","",COUNTIFS(MAESTRO!$C$2:$C$1202,$A69,MAESTRO!$M$2:$M$1202,"VIP",MAESTRO!$F$2:$F$1202,"&lt;&gt;"))</f>
        <v/>
      </c>
      <c r="G69" s="9" t="str">
        <f>IF($A69="","",COUNTIFS(MAESTRO!$C$2:$C$1202,$A69,MAESTRO!$M$2:$M$1202,"LATERAL VIP",MAESTRO!$F$2:$F$1202,"&lt;&gt;"))</f>
        <v/>
      </c>
      <c r="H69" s="9" t="str">
        <f>IF($A69="","",COUNTIFS(MAESTRO!$C$2:$C$1202,$A69,MAESTRO!$M$2:$M$1202,"LATERAL",MAESTRO!$F$2:$F$1202,"&lt;&gt;"))</f>
        <v/>
      </c>
      <c r="I69" s="9" t="str">
        <f>IF($A69="","",COUNTIFS(MAESTRO!$C$2:$C$1202,$A69,MAESTRO!$N$2:$N$1202,"SI",MAESTRO!$F$2:$F$1202,"&lt;&gt;"))</f>
        <v/>
      </c>
      <c r="J69" s="9"/>
      <c r="K69" s="9"/>
      <c r="L69" s="9"/>
      <c r="M69" s="9"/>
    </row>
    <row r="70" spans="1:13" ht="18" customHeight="1" x14ac:dyDescent="0.2">
      <c r="A70" s="9"/>
      <c r="B70" s="9" t="str">
        <f>IF($A70="","",COUNTIFS(MAESTRO!$C$2:$C$1202,$A70,MAESTRO!$F$2:$F$1202,"&lt;&gt;"))</f>
        <v/>
      </c>
      <c r="C70" s="9" t="str">
        <f>IF($A70="","",COUNTIFS(MAESTRO!$C$2:$C$1202,$A70,MAESTRO!$J$2:$J$1202,"SI",MAESTRO!$F$2:$F$1202,"&lt;&gt;"))</f>
        <v/>
      </c>
      <c r="D70" s="9" t="str">
        <f>IF($A70="","",COUNTIFS(MAESTRO!$C$2:$C$1202,$A70,MAESTRO!$J$2:$J$1202,"NO",MAESTRO!$F$2:$F$1202,"&lt;&gt;"))</f>
        <v/>
      </c>
      <c r="E70" s="9" t="str">
        <f t="shared" si="1"/>
        <v/>
      </c>
      <c r="F70" s="9" t="str">
        <f>IF($A70="","",COUNTIFS(MAESTRO!$C$2:$C$1202,$A70,MAESTRO!$M$2:$M$1202,"VIP",MAESTRO!$F$2:$F$1202,"&lt;&gt;"))</f>
        <v/>
      </c>
      <c r="G70" s="9" t="str">
        <f>IF($A70="","",COUNTIFS(MAESTRO!$C$2:$C$1202,$A70,MAESTRO!$M$2:$M$1202,"LATERAL VIP",MAESTRO!$F$2:$F$1202,"&lt;&gt;"))</f>
        <v/>
      </c>
      <c r="H70" s="9" t="str">
        <f>IF($A70="","",COUNTIFS(MAESTRO!$C$2:$C$1202,$A70,MAESTRO!$M$2:$M$1202,"LATERAL",MAESTRO!$F$2:$F$1202,"&lt;&gt;"))</f>
        <v/>
      </c>
      <c r="I70" s="9" t="str">
        <f>IF($A70="","",COUNTIFS(MAESTRO!$C$2:$C$1202,$A70,MAESTRO!$N$2:$N$1202,"SI",MAESTRO!$F$2:$F$1202,"&lt;&gt;"))</f>
        <v/>
      </c>
      <c r="J70" s="9"/>
      <c r="K70" s="9"/>
      <c r="L70" s="9"/>
      <c r="M70" s="9"/>
    </row>
    <row r="71" spans="1:13" ht="18" customHeight="1" x14ac:dyDescent="0.2">
      <c r="A71" s="9"/>
      <c r="B71" s="9" t="str">
        <f>IF($A71="","",COUNTIFS(MAESTRO!$C$2:$C$1202,$A71,MAESTRO!$F$2:$F$1202,"&lt;&gt;"))</f>
        <v/>
      </c>
      <c r="C71" s="9" t="str">
        <f>IF($A71="","",COUNTIFS(MAESTRO!$C$2:$C$1202,$A71,MAESTRO!$J$2:$J$1202,"SI",MAESTRO!$F$2:$F$1202,"&lt;&gt;"))</f>
        <v/>
      </c>
      <c r="D71" s="9" t="str">
        <f>IF($A71="","",COUNTIFS(MAESTRO!$C$2:$C$1202,$A71,MAESTRO!$J$2:$J$1202,"NO",MAESTRO!$F$2:$F$1202,"&lt;&gt;"))</f>
        <v/>
      </c>
      <c r="E71" s="9" t="str">
        <f t="shared" si="1"/>
        <v/>
      </c>
      <c r="F71" s="9" t="str">
        <f>IF($A71="","",COUNTIFS(MAESTRO!$C$2:$C$1202,$A71,MAESTRO!$M$2:$M$1202,"VIP",MAESTRO!$F$2:$F$1202,"&lt;&gt;"))</f>
        <v/>
      </c>
      <c r="G71" s="9" t="str">
        <f>IF($A71="","",COUNTIFS(MAESTRO!$C$2:$C$1202,$A71,MAESTRO!$M$2:$M$1202,"LATERAL VIP",MAESTRO!$F$2:$F$1202,"&lt;&gt;"))</f>
        <v/>
      </c>
      <c r="H71" s="9" t="str">
        <f>IF($A71="","",COUNTIFS(MAESTRO!$C$2:$C$1202,$A71,MAESTRO!$M$2:$M$1202,"LATERAL",MAESTRO!$F$2:$F$1202,"&lt;&gt;"))</f>
        <v/>
      </c>
      <c r="I71" s="9" t="str">
        <f>IF($A71="","",COUNTIFS(MAESTRO!$C$2:$C$1202,$A71,MAESTRO!$N$2:$N$1202,"SI",MAESTRO!$F$2:$F$1202,"&lt;&gt;"))</f>
        <v/>
      </c>
      <c r="J71" s="9"/>
      <c r="K71" s="9"/>
      <c r="L71" s="9"/>
      <c r="M71" s="9"/>
    </row>
    <row r="72" spans="1:13" ht="18" customHeight="1" x14ac:dyDescent="0.2">
      <c r="A72" s="9"/>
      <c r="B72" s="9" t="str">
        <f>IF($A72="","",COUNTIFS(MAESTRO!$C$2:$C$1202,$A72,MAESTRO!$F$2:$F$1202,"&lt;&gt;"))</f>
        <v/>
      </c>
      <c r="C72" s="9" t="str">
        <f>IF($A72="","",COUNTIFS(MAESTRO!$C$2:$C$1202,$A72,MAESTRO!$J$2:$J$1202,"SI",MAESTRO!$F$2:$F$1202,"&lt;&gt;"))</f>
        <v/>
      </c>
      <c r="D72" s="9" t="str">
        <f>IF($A72="","",COUNTIFS(MAESTRO!$C$2:$C$1202,$A72,MAESTRO!$J$2:$J$1202,"NO",MAESTRO!$F$2:$F$1202,"&lt;&gt;"))</f>
        <v/>
      </c>
      <c r="E72" s="9" t="str">
        <f t="shared" si="1"/>
        <v/>
      </c>
      <c r="F72" s="9" t="str">
        <f>IF($A72="","",COUNTIFS(MAESTRO!$C$2:$C$1202,$A72,MAESTRO!$M$2:$M$1202,"VIP",MAESTRO!$F$2:$F$1202,"&lt;&gt;"))</f>
        <v/>
      </c>
      <c r="G72" s="9" t="str">
        <f>IF($A72="","",COUNTIFS(MAESTRO!$C$2:$C$1202,$A72,MAESTRO!$M$2:$M$1202,"LATERAL VIP",MAESTRO!$F$2:$F$1202,"&lt;&gt;"))</f>
        <v/>
      </c>
      <c r="H72" s="9" t="str">
        <f>IF($A72="","",COUNTIFS(MAESTRO!$C$2:$C$1202,$A72,MAESTRO!$M$2:$M$1202,"LATERAL",MAESTRO!$F$2:$F$1202,"&lt;&gt;"))</f>
        <v/>
      </c>
      <c r="I72" s="9" t="str">
        <f>IF($A72="","",COUNTIFS(MAESTRO!$C$2:$C$1202,$A72,MAESTRO!$N$2:$N$1202,"SI",MAESTRO!$F$2:$F$1202,"&lt;&gt;"))</f>
        <v/>
      </c>
      <c r="J72" s="9"/>
      <c r="K72" s="9"/>
      <c r="L72" s="9"/>
      <c r="M72" s="9"/>
    </row>
    <row r="73" spans="1:13" ht="18" customHeight="1" x14ac:dyDescent="0.2">
      <c r="A73" s="9"/>
      <c r="B73" s="9" t="str">
        <f>IF($A73="","",COUNTIFS(MAESTRO!$C$2:$C$1202,$A73,MAESTRO!$F$2:$F$1202,"&lt;&gt;"))</f>
        <v/>
      </c>
      <c r="C73" s="9" t="str">
        <f>IF($A73="","",COUNTIFS(MAESTRO!$C$2:$C$1202,$A73,MAESTRO!$J$2:$J$1202,"SI",MAESTRO!$F$2:$F$1202,"&lt;&gt;"))</f>
        <v/>
      </c>
      <c r="D73" s="9" t="str">
        <f>IF($A73="","",COUNTIFS(MAESTRO!$C$2:$C$1202,$A73,MAESTRO!$J$2:$J$1202,"NO",MAESTRO!$F$2:$F$1202,"&lt;&gt;"))</f>
        <v/>
      </c>
      <c r="E73" s="9" t="str">
        <f t="shared" si="1"/>
        <v/>
      </c>
      <c r="F73" s="9" t="str">
        <f>IF($A73="","",COUNTIFS(MAESTRO!$C$2:$C$1202,$A73,MAESTRO!$M$2:$M$1202,"VIP",MAESTRO!$F$2:$F$1202,"&lt;&gt;"))</f>
        <v/>
      </c>
      <c r="G73" s="9" t="str">
        <f>IF($A73="","",COUNTIFS(MAESTRO!$C$2:$C$1202,$A73,MAESTRO!$M$2:$M$1202,"LATERAL VIP",MAESTRO!$F$2:$F$1202,"&lt;&gt;"))</f>
        <v/>
      </c>
      <c r="H73" s="9" t="str">
        <f>IF($A73="","",COUNTIFS(MAESTRO!$C$2:$C$1202,$A73,MAESTRO!$M$2:$M$1202,"LATERAL",MAESTRO!$F$2:$F$1202,"&lt;&gt;"))</f>
        <v/>
      </c>
      <c r="I73" s="9" t="str">
        <f>IF($A73="","",COUNTIFS(MAESTRO!$C$2:$C$1202,$A73,MAESTRO!$N$2:$N$1202,"SI",MAESTRO!$F$2:$F$1202,"&lt;&gt;"))</f>
        <v/>
      </c>
      <c r="J73" s="9"/>
      <c r="K73" s="9"/>
      <c r="L73" s="9"/>
      <c r="M73" s="9"/>
    </row>
    <row r="74" spans="1:13" ht="18" customHeight="1" x14ac:dyDescent="0.2">
      <c r="A74" s="9"/>
      <c r="B74" s="9" t="str">
        <f>IF($A74="","",COUNTIFS(MAESTRO!$C$2:$C$1202,$A74,MAESTRO!$F$2:$F$1202,"&lt;&gt;"))</f>
        <v/>
      </c>
      <c r="C74" s="9" t="str">
        <f>IF($A74="","",COUNTIFS(MAESTRO!$C$2:$C$1202,$A74,MAESTRO!$J$2:$J$1202,"SI",MAESTRO!$F$2:$F$1202,"&lt;&gt;"))</f>
        <v/>
      </c>
      <c r="D74" s="9" t="str">
        <f>IF($A74="","",COUNTIFS(MAESTRO!$C$2:$C$1202,$A74,MAESTRO!$J$2:$J$1202,"NO",MAESTRO!$F$2:$F$1202,"&lt;&gt;"))</f>
        <v/>
      </c>
      <c r="E74" s="9" t="str">
        <f t="shared" si="1"/>
        <v/>
      </c>
      <c r="F74" s="9" t="str">
        <f>IF($A74="","",COUNTIFS(MAESTRO!$C$2:$C$1202,$A74,MAESTRO!$M$2:$M$1202,"VIP",MAESTRO!$F$2:$F$1202,"&lt;&gt;"))</f>
        <v/>
      </c>
      <c r="G74" s="9" t="str">
        <f>IF($A74="","",COUNTIFS(MAESTRO!$C$2:$C$1202,$A74,MAESTRO!$M$2:$M$1202,"LATERAL VIP",MAESTRO!$F$2:$F$1202,"&lt;&gt;"))</f>
        <v/>
      </c>
      <c r="H74" s="9" t="str">
        <f>IF($A74="","",COUNTIFS(MAESTRO!$C$2:$C$1202,$A74,MAESTRO!$M$2:$M$1202,"LATERAL",MAESTRO!$F$2:$F$1202,"&lt;&gt;"))</f>
        <v/>
      </c>
      <c r="I74" s="9" t="str">
        <f>IF($A74="","",COUNTIFS(MAESTRO!$C$2:$C$1202,$A74,MAESTRO!$N$2:$N$1202,"SI",MAESTRO!$F$2:$F$1202,"&lt;&gt;"))</f>
        <v/>
      </c>
      <c r="J74" s="9"/>
      <c r="K74" s="9"/>
      <c r="L74" s="9"/>
      <c r="M74" s="9"/>
    </row>
    <row r="75" spans="1:13" ht="18" customHeight="1" x14ac:dyDescent="0.2">
      <c r="A75" s="9"/>
      <c r="B75" s="9" t="str">
        <f>IF($A75="","",COUNTIFS(MAESTRO!$C$2:$C$1202,$A75,MAESTRO!$F$2:$F$1202,"&lt;&gt;"))</f>
        <v/>
      </c>
      <c r="C75" s="9" t="str">
        <f>IF($A75="","",COUNTIFS(MAESTRO!$C$2:$C$1202,$A75,MAESTRO!$J$2:$J$1202,"SI",MAESTRO!$F$2:$F$1202,"&lt;&gt;"))</f>
        <v/>
      </c>
      <c r="D75" s="9" t="str">
        <f>IF($A75="","",COUNTIFS(MAESTRO!$C$2:$C$1202,$A75,MAESTRO!$J$2:$J$1202,"NO",MAESTRO!$F$2:$F$1202,"&lt;&gt;"))</f>
        <v/>
      </c>
      <c r="E75" s="9" t="str">
        <f t="shared" si="1"/>
        <v/>
      </c>
      <c r="F75" s="9" t="str">
        <f>IF($A75="","",COUNTIFS(MAESTRO!$C$2:$C$1202,$A75,MAESTRO!$M$2:$M$1202,"VIP",MAESTRO!$F$2:$F$1202,"&lt;&gt;"))</f>
        <v/>
      </c>
      <c r="G75" s="9" t="str">
        <f>IF($A75="","",COUNTIFS(MAESTRO!$C$2:$C$1202,$A75,MAESTRO!$M$2:$M$1202,"LATERAL VIP",MAESTRO!$F$2:$F$1202,"&lt;&gt;"))</f>
        <v/>
      </c>
      <c r="H75" s="9" t="str">
        <f>IF($A75="","",COUNTIFS(MAESTRO!$C$2:$C$1202,$A75,MAESTRO!$M$2:$M$1202,"LATERAL",MAESTRO!$F$2:$F$1202,"&lt;&gt;"))</f>
        <v/>
      </c>
      <c r="I75" s="9" t="str">
        <f>IF($A75="","",COUNTIFS(MAESTRO!$C$2:$C$1202,$A75,MAESTRO!$N$2:$N$1202,"SI",MAESTRO!$F$2:$F$1202,"&lt;&gt;"))</f>
        <v/>
      </c>
      <c r="J75" s="9"/>
      <c r="K75" s="9"/>
      <c r="L75" s="9"/>
      <c r="M75" s="9"/>
    </row>
    <row r="76" spans="1:13" ht="18" customHeight="1" x14ac:dyDescent="0.2">
      <c r="A76" s="9"/>
      <c r="B76" s="9" t="str">
        <f>IF($A76="","",COUNTIFS(MAESTRO!$C$2:$C$1202,$A76,MAESTRO!$F$2:$F$1202,"&lt;&gt;"))</f>
        <v/>
      </c>
      <c r="C76" s="9" t="str">
        <f>IF($A76="","",COUNTIFS(MAESTRO!$C$2:$C$1202,$A76,MAESTRO!$J$2:$J$1202,"SI",MAESTRO!$F$2:$F$1202,"&lt;&gt;"))</f>
        <v/>
      </c>
      <c r="D76" s="9" t="str">
        <f>IF($A76="","",COUNTIFS(MAESTRO!$C$2:$C$1202,$A76,MAESTRO!$J$2:$J$1202,"NO",MAESTRO!$F$2:$F$1202,"&lt;&gt;"))</f>
        <v/>
      </c>
      <c r="E76" s="9" t="str">
        <f t="shared" si="1"/>
        <v/>
      </c>
      <c r="F76" s="9" t="str">
        <f>IF($A76="","",COUNTIFS(MAESTRO!$C$2:$C$1202,$A76,MAESTRO!$M$2:$M$1202,"VIP",MAESTRO!$F$2:$F$1202,"&lt;&gt;"))</f>
        <v/>
      </c>
      <c r="G76" s="9" t="str">
        <f>IF($A76="","",COUNTIFS(MAESTRO!$C$2:$C$1202,$A76,MAESTRO!$M$2:$M$1202,"LATERAL VIP",MAESTRO!$F$2:$F$1202,"&lt;&gt;"))</f>
        <v/>
      </c>
      <c r="H76" s="9" t="str">
        <f>IF($A76="","",COUNTIFS(MAESTRO!$C$2:$C$1202,$A76,MAESTRO!$M$2:$M$1202,"LATERAL",MAESTRO!$F$2:$F$1202,"&lt;&gt;"))</f>
        <v/>
      </c>
      <c r="I76" s="9" t="str">
        <f>IF($A76="","",COUNTIFS(MAESTRO!$C$2:$C$1202,$A76,MAESTRO!$N$2:$N$1202,"SI",MAESTRO!$F$2:$F$1202,"&lt;&gt;"))</f>
        <v/>
      </c>
      <c r="J76" s="9"/>
      <c r="K76" s="9"/>
      <c r="L76" s="9"/>
      <c r="M76" s="9"/>
    </row>
    <row r="77" spans="1:13" ht="18" customHeight="1" x14ac:dyDescent="0.2">
      <c r="A77" s="9"/>
      <c r="B77" s="9" t="str">
        <f>IF($A77="","",COUNTIFS(MAESTRO!$C$2:$C$1202,$A77,MAESTRO!$F$2:$F$1202,"&lt;&gt;"))</f>
        <v/>
      </c>
      <c r="C77" s="9" t="str">
        <f>IF($A77="","",COUNTIFS(MAESTRO!$C$2:$C$1202,$A77,MAESTRO!$J$2:$J$1202,"SI",MAESTRO!$F$2:$F$1202,"&lt;&gt;"))</f>
        <v/>
      </c>
      <c r="D77" s="9" t="str">
        <f>IF($A77="","",COUNTIFS(MAESTRO!$C$2:$C$1202,$A77,MAESTRO!$J$2:$J$1202,"NO",MAESTRO!$F$2:$F$1202,"&lt;&gt;"))</f>
        <v/>
      </c>
      <c r="E77" s="9" t="str">
        <f t="shared" si="1"/>
        <v/>
      </c>
      <c r="F77" s="9" t="str">
        <f>IF($A77="","",COUNTIFS(MAESTRO!$C$2:$C$1202,$A77,MAESTRO!$M$2:$M$1202,"VIP",MAESTRO!$F$2:$F$1202,"&lt;&gt;"))</f>
        <v/>
      </c>
      <c r="G77" s="9" t="str">
        <f>IF($A77="","",COUNTIFS(MAESTRO!$C$2:$C$1202,$A77,MAESTRO!$M$2:$M$1202,"LATERAL VIP",MAESTRO!$F$2:$F$1202,"&lt;&gt;"))</f>
        <v/>
      </c>
      <c r="H77" s="9" t="str">
        <f>IF($A77="","",COUNTIFS(MAESTRO!$C$2:$C$1202,$A77,MAESTRO!$M$2:$M$1202,"LATERAL",MAESTRO!$F$2:$F$1202,"&lt;&gt;"))</f>
        <v/>
      </c>
      <c r="I77" s="9" t="str">
        <f>IF($A77="","",COUNTIFS(MAESTRO!$C$2:$C$1202,$A77,MAESTRO!$N$2:$N$1202,"SI",MAESTRO!$F$2:$F$1202,"&lt;&gt;"))</f>
        <v/>
      </c>
      <c r="J77" s="9"/>
      <c r="K77" s="9"/>
      <c r="L77" s="9"/>
      <c r="M77" s="9"/>
    </row>
    <row r="78" spans="1:13" ht="18" customHeight="1" x14ac:dyDescent="0.2">
      <c r="A78" s="9"/>
      <c r="B78" s="9" t="str">
        <f>IF($A78="","",COUNTIFS(MAESTRO!$C$2:$C$1202,$A78,MAESTRO!$F$2:$F$1202,"&lt;&gt;"))</f>
        <v/>
      </c>
      <c r="C78" s="9" t="str">
        <f>IF($A78="","",COUNTIFS(MAESTRO!$C$2:$C$1202,$A78,MAESTRO!$J$2:$J$1202,"SI",MAESTRO!$F$2:$F$1202,"&lt;&gt;"))</f>
        <v/>
      </c>
      <c r="D78" s="9" t="str">
        <f>IF($A78="","",COUNTIFS(MAESTRO!$C$2:$C$1202,$A78,MAESTRO!$J$2:$J$1202,"NO",MAESTRO!$F$2:$F$1202,"&lt;&gt;"))</f>
        <v/>
      </c>
      <c r="E78" s="9" t="str">
        <f t="shared" si="1"/>
        <v/>
      </c>
      <c r="F78" s="9" t="str">
        <f>IF($A78="","",COUNTIFS(MAESTRO!$C$2:$C$1202,$A78,MAESTRO!$M$2:$M$1202,"VIP",MAESTRO!$F$2:$F$1202,"&lt;&gt;"))</f>
        <v/>
      </c>
      <c r="G78" s="9" t="str">
        <f>IF($A78="","",COUNTIFS(MAESTRO!$C$2:$C$1202,$A78,MAESTRO!$M$2:$M$1202,"LATERAL VIP",MAESTRO!$F$2:$F$1202,"&lt;&gt;"))</f>
        <v/>
      </c>
      <c r="H78" s="9" t="str">
        <f>IF($A78="","",COUNTIFS(MAESTRO!$C$2:$C$1202,$A78,MAESTRO!$M$2:$M$1202,"LATERAL",MAESTRO!$F$2:$F$1202,"&lt;&gt;"))</f>
        <v/>
      </c>
      <c r="I78" s="9" t="str">
        <f>IF($A78="","",COUNTIFS(MAESTRO!$C$2:$C$1202,$A78,MAESTRO!$N$2:$N$1202,"SI",MAESTRO!$F$2:$F$1202,"&lt;&gt;"))</f>
        <v/>
      </c>
      <c r="J78" s="9"/>
      <c r="K78" s="9"/>
      <c r="L78" s="9"/>
      <c r="M78" s="9"/>
    </row>
    <row r="79" spans="1:13" ht="18" customHeight="1" x14ac:dyDescent="0.2">
      <c r="A79" s="9"/>
      <c r="B79" s="9" t="str">
        <f>IF($A79="","",COUNTIFS(MAESTRO!$C$2:$C$1202,$A79,MAESTRO!$F$2:$F$1202,"&lt;&gt;"))</f>
        <v/>
      </c>
      <c r="C79" s="9" t="str">
        <f>IF($A79="","",COUNTIFS(MAESTRO!$C$2:$C$1202,$A79,MAESTRO!$J$2:$J$1202,"SI",MAESTRO!$F$2:$F$1202,"&lt;&gt;"))</f>
        <v/>
      </c>
      <c r="D79" s="9" t="str">
        <f>IF($A79="","",COUNTIFS(MAESTRO!$C$2:$C$1202,$A79,MAESTRO!$J$2:$J$1202,"NO",MAESTRO!$F$2:$F$1202,"&lt;&gt;"))</f>
        <v/>
      </c>
      <c r="E79" s="9" t="str">
        <f t="shared" si="1"/>
        <v/>
      </c>
      <c r="F79" s="9" t="str">
        <f>IF($A79="","",COUNTIFS(MAESTRO!$C$2:$C$1202,$A79,MAESTRO!$M$2:$M$1202,"VIP",MAESTRO!$F$2:$F$1202,"&lt;&gt;"))</f>
        <v/>
      </c>
      <c r="G79" s="9" t="str">
        <f>IF($A79="","",COUNTIFS(MAESTRO!$C$2:$C$1202,$A79,MAESTRO!$M$2:$M$1202,"LATERAL VIP",MAESTRO!$F$2:$F$1202,"&lt;&gt;"))</f>
        <v/>
      </c>
      <c r="H79" s="9" t="str">
        <f>IF($A79="","",COUNTIFS(MAESTRO!$C$2:$C$1202,$A79,MAESTRO!$M$2:$M$1202,"LATERAL",MAESTRO!$F$2:$F$1202,"&lt;&gt;"))</f>
        <v/>
      </c>
      <c r="I79" s="9" t="str">
        <f>IF($A79="","",COUNTIFS(MAESTRO!$C$2:$C$1202,$A79,MAESTRO!$N$2:$N$1202,"SI",MAESTRO!$F$2:$F$1202,"&lt;&gt;"))</f>
        <v/>
      </c>
      <c r="J79" s="9"/>
      <c r="K79" s="9"/>
      <c r="L79" s="9"/>
      <c r="M79" s="9"/>
    </row>
    <row r="80" spans="1:13" ht="18" customHeight="1" x14ac:dyDescent="0.2">
      <c r="A80" s="9"/>
      <c r="B80" s="9" t="str">
        <f>IF($A80="","",COUNTIFS(MAESTRO!$C$2:$C$1202,$A80,MAESTRO!$F$2:$F$1202,"&lt;&gt;"))</f>
        <v/>
      </c>
      <c r="C80" s="9" t="str">
        <f>IF($A80="","",COUNTIFS(MAESTRO!$C$2:$C$1202,$A80,MAESTRO!$J$2:$J$1202,"SI",MAESTRO!$F$2:$F$1202,"&lt;&gt;"))</f>
        <v/>
      </c>
      <c r="D80" s="9" t="str">
        <f>IF($A80="","",COUNTIFS(MAESTRO!$C$2:$C$1202,$A80,MAESTRO!$J$2:$J$1202,"NO",MAESTRO!$F$2:$F$1202,"&lt;&gt;"))</f>
        <v/>
      </c>
      <c r="E80" s="9" t="str">
        <f t="shared" ref="E80" si="2">IF($A80="","",B80-C80-D80)</f>
        <v/>
      </c>
      <c r="F80" s="9" t="str">
        <f>IF($A80="","",COUNTIFS(MAESTRO!$C$2:$C$1202,$A80,MAESTRO!$M$2:$M$1202,"VIP",MAESTRO!$F$2:$F$1202,"&lt;&gt;"))</f>
        <v/>
      </c>
      <c r="G80" s="9" t="str">
        <f>IF($A80="","",COUNTIFS(MAESTRO!$C$2:$C$1202,$A80,MAESTRO!$M$2:$M$1202,"LATERAL VIP",MAESTRO!$F$2:$F$1202,"&lt;&gt;"))</f>
        <v/>
      </c>
      <c r="H80" s="9" t="str">
        <f>IF($A80="","",COUNTIFS(MAESTRO!$C$2:$C$1202,$A80,MAESTRO!$M$2:$M$1202,"LATERAL",MAESTRO!$F$2:$F$1202,"&lt;&gt;"))</f>
        <v/>
      </c>
      <c r="I80" s="9" t="str">
        <f>IF($A80="","",COUNTIFS(MAESTRO!$C$2:$C$1202,$A80,MAESTRO!$N$2:$N$1202,"SI",MAESTRO!$F$2:$F$1202,"&lt;&gt;"))</f>
        <v/>
      </c>
      <c r="J80" s="9"/>
      <c r="K80" s="9"/>
      <c r="L80" s="9"/>
      <c r="M80" s="9"/>
    </row>
  </sheetData>
  <mergeCells count="2">
    <mergeCell ref="A1:J1"/>
    <mergeCell ref="A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5"/>
  <sheetViews>
    <sheetView workbookViewId="0">
      <selection activeCell="AT12" sqref="AT12"/>
    </sheetView>
  </sheetViews>
  <sheetFormatPr baseColWidth="10" defaultColWidth="9" defaultRowHeight="12.75" x14ac:dyDescent="0.2"/>
  <cols>
    <col min="1" max="1" width="34" customWidth="1"/>
    <col min="2" max="46" width="14" customWidth="1"/>
  </cols>
  <sheetData>
    <row r="1" spans="1:46" ht="18" customHeight="1" x14ac:dyDescent="0.3">
      <c r="A1" s="57" t="s">
        <v>2884</v>
      </c>
      <c r="B1" s="58"/>
    </row>
    <row r="2" spans="1:46" ht="60" x14ac:dyDescent="0.25">
      <c r="A2" s="55" t="s">
        <v>2885</v>
      </c>
    </row>
    <row r="4" spans="1:46" ht="15" x14ac:dyDescent="0.25">
      <c r="A4" s="56" t="s">
        <v>2880</v>
      </c>
      <c r="B4">
        <f>SUMPRODUCT((MAESTRO!$M$2:$M$1399="VIP")*(MAESTRO!$J$2:$J$1399="SI")*(MAESTRO!$F$2:$F$1399&lt;&gt;""))</f>
        <v>138</v>
      </c>
    </row>
    <row r="5" spans="1:46" ht="15" x14ac:dyDescent="0.25">
      <c r="A5" s="56" t="s">
        <v>2881</v>
      </c>
      <c r="B5">
        <f>155</f>
        <v>155</v>
      </c>
    </row>
    <row r="6" spans="1:46" ht="15" x14ac:dyDescent="0.25">
      <c r="A6" s="56" t="s">
        <v>2882</v>
      </c>
      <c r="B6" t="e">
        <f>SUMPRODUCT((LISTADO [1]VIP!$A$2:$A$1400&lt;&gt;"")*(LISTADO [1]VIP!$A$2:$A$1400&lt;&gt;"PENDIENTE POR ASIGNAR"))</f>
        <v>#NAME?</v>
      </c>
    </row>
    <row r="7" spans="1:46" ht="15" x14ac:dyDescent="0.25">
      <c r="A7" s="56" t="s">
        <v>2883</v>
      </c>
      <c r="B7" t="e">
        <f>SUMPRODUCT((LISTADO [1]VIP!$A$2:$A$1400="PENDIENTE POR ASIGNAR"))</f>
        <v>#NAME?</v>
      </c>
    </row>
    <row r="8" spans="1:46" ht="15" x14ac:dyDescent="0.25">
      <c r="A8" s="56" t="s">
        <v>2886</v>
      </c>
      <c r="B8" t="str">
        <f>"23"</f>
        <v>23</v>
      </c>
    </row>
    <row r="9" spans="1:46" ht="15" x14ac:dyDescent="0.25">
      <c r="A9" s="56" t="s">
        <v>2887</v>
      </c>
      <c r="B9" t="str">
        <f>"D11-D17 reservado | D18-D27 sin silla | D28-D35 reservado"</f>
        <v>D11-D17 reservado | D18-D27 sin silla | D28-D35 reservado</v>
      </c>
    </row>
    <row r="11" spans="1:46" x14ac:dyDescent="0.2">
      <c r="A11" s="59"/>
      <c r="B11" s="59">
        <v>1</v>
      </c>
      <c r="C11" s="59">
        <v>2</v>
      </c>
      <c r="D11" s="59">
        <v>3</v>
      </c>
      <c r="E11" s="59">
        <v>4</v>
      </c>
      <c r="F11" s="59">
        <v>5</v>
      </c>
      <c r="G11" s="59">
        <v>6</v>
      </c>
      <c r="H11" s="59">
        <v>7</v>
      </c>
      <c r="I11" s="59">
        <v>8</v>
      </c>
      <c r="J11" s="59">
        <v>9</v>
      </c>
      <c r="K11" s="59">
        <v>10</v>
      </c>
      <c r="L11" s="59">
        <v>11</v>
      </c>
      <c r="M11" s="59">
        <v>12</v>
      </c>
      <c r="N11" s="59">
        <v>13</v>
      </c>
      <c r="O11" s="59">
        <v>14</v>
      </c>
      <c r="P11" s="59">
        <v>15</v>
      </c>
      <c r="Q11" s="59">
        <v>16</v>
      </c>
      <c r="R11" s="59">
        <v>17</v>
      </c>
      <c r="S11" s="59">
        <v>18</v>
      </c>
      <c r="T11" s="59">
        <v>19</v>
      </c>
      <c r="U11" s="59">
        <v>20</v>
      </c>
      <c r="V11" s="59">
        <v>21</v>
      </c>
      <c r="W11" s="59">
        <v>22</v>
      </c>
      <c r="X11" s="59">
        <v>23</v>
      </c>
      <c r="Y11" s="59">
        <v>24</v>
      </c>
      <c r="Z11" s="59">
        <v>25</v>
      </c>
      <c r="AA11" s="59">
        <v>26</v>
      </c>
      <c r="AB11" s="59">
        <v>27</v>
      </c>
      <c r="AC11" s="59">
        <v>28</v>
      </c>
      <c r="AD11" s="59">
        <v>29</v>
      </c>
      <c r="AE11" s="59">
        <v>30</v>
      </c>
      <c r="AF11" s="59">
        <v>31</v>
      </c>
      <c r="AG11" s="59">
        <v>32</v>
      </c>
      <c r="AH11" s="59">
        <v>33</v>
      </c>
      <c r="AI11" s="59">
        <v>34</v>
      </c>
      <c r="AJ11" s="59">
        <v>35</v>
      </c>
      <c r="AK11" s="59">
        <v>36</v>
      </c>
      <c r="AL11" s="59">
        <v>37</v>
      </c>
      <c r="AM11" s="59">
        <v>38</v>
      </c>
      <c r="AN11" s="59">
        <v>39</v>
      </c>
      <c r="AO11" s="59">
        <v>40</v>
      </c>
      <c r="AP11" s="59">
        <v>41</v>
      </c>
      <c r="AQ11" s="59">
        <v>42</v>
      </c>
      <c r="AR11" s="59">
        <v>43</v>
      </c>
      <c r="AS11" s="59">
        <v>44</v>
      </c>
      <c r="AT11" s="59">
        <v>45</v>
      </c>
    </row>
    <row r="12" spans="1:46" ht="86.1" customHeight="1" x14ac:dyDescent="0.2">
      <c r="A12" s="60" t="s">
        <v>2888</v>
      </c>
      <c r="B12" s="61" t="str">
        <f>IFERROR("A1"&amp;CHAR(10)&amp;INDEX('LISTADO VIP'!$H$2:$H$1400,MATCH("A1",'LISTADO VIP'!$A$2:$A$1400,0))&amp;CHAR(10)&amp;INDEX('LISTADO VIP'!$I$2:$I$1400,MATCH("A1",'LISTADO VIP'!$A$2:$A$1400,0)),"A1")</f>
        <v>A1
Cristian Vergara
Gerente General ESSBIO</v>
      </c>
      <c r="C12" s="61" t="str">
        <f>IFERROR("A2"&amp;CHAR(10)&amp;INDEX('LISTADO VIP'!$H$2:$H$1400,MATCH("A2",'LISTADO VIP'!$A$2:$A$1400,0))&amp;CHAR(10)&amp;INDEX('LISTADO VIP'!$I$2:$I$1400,MATCH("A2",'LISTADO VIP'!$A$2:$A$1400,0)),"A2")</f>
        <v>A2
Rodrigo Cardoen Aylwin
Invitado Especial Director ASMAR</v>
      </c>
      <c r="D12" s="61" t="str">
        <f>IFERROR("A3"&amp;CHAR(10)&amp;INDEX('LISTADO VIP'!$H$2:$H$1400,MATCH("A3",'LISTADO VIP'!$A$2:$A$1400,0))&amp;CHAR(10)&amp;INDEX('LISTADO VIP'!$I$2:$I$1400,MATCH("A3",'LISTADO VIP'!$A$2:$A$1400,0)),"A3")</f>
        <v>A3
Julio Anativia Zamora
Delegado Presidencial Región de Bio Bio</v>
      </c>
      <c r="E12" s="61" t="str">
        <f>IFERROR("A4"&amp;CHAR(10)&amp;INDEX('LISTADO VIP'!$H$2:$H$1400,MATCH("A4",'LISTADO VIP'!$A$2:$A$1400,0))&amp;CHAR(10)&amp;INDEX('LISTADO VIP'!$I$2:$I$1400,MATCH("A4",'LISTADO VIP'!$A$2:$A$1400,0)),"A4")</f>
        <v>A4
Sergio Giacaman García
Gobernador Región Bio Bio</v>
      </c>
      <c r="F12" s="61" t="str">
        <f>IFERROR("A5"&amp;CHAR(10)&amp;INDEX('LISTADO VIP'!$H$2:$H$1400,MATCH("A5",'LISTADO VIP'!$A$2:$A$1400,0))&amp;CHAR(10)&amp;INDEX('LISTADO VIP'!$I$2:$I$1400,MATCH("A5",'LISTADO VIP'!$A$2:$A$1400,0)),"A5")</f>
        <v>A5
Marcela Larrañaga Martin
Madrina</v>
      </c>
      <c r="G12" s="61" t="str">
        <f>IFERROR("A6"&amp;CHAR(10)&amp;INDEX('LISTADO VIP'!$H$2:$H$1400,MATCH("A6",'LISTADO VIP'!$A$2:$A$1400,0))&amp;CHAR(10)&amp;INDEX('LISTADO VIP'!$I$2:$I$1400,MATCH("A6",'LISTADO VIP'!$A$2:$A$1400,0)),"A6")</f>
        <v>A6
Milka Gavilán Ortiz
Comité CORFO - Presidenta Sindicato ASMAR</v>
      </c>
      <c r="H12" s="61" t="str">
        <f>IFERROR("A7"&amp;CHAR(10)&amp;INDEX('LISTADO VIP'!$H$2:$H$1400,MATCH("A7",'LISTADO VIP'!$A$2:$A$1400,0))&amp;CHAR(10)&amp;INDEX('LISTADO VIP'!$I$2:$I$1400,MATCH("A7",'LISTADO VIP'!$A$2:$A$1400,0)),"A7")</f>
        <v>A7
Miguel Stange Muñoz
*Comandante en Jefe de la Fuerza Aérea de Chile (S)</v>
      </c>
      <c r="I12" s="61" t="str">
        <f>IFERROR("A8"&amp;CHAR(10)&amp;INDEX('LISTADO VIP'!$H$2:$H$1400,MATCH("A8",'LISTADO VIP'!$A$2:$A$1400,0))&amp;CHAR(10)&amp;INDEX('LISTADO VIP'!$I$2:$I$1400,MATCH("A8",'LISTADO VIP'!$A$2:$A$1400,0)),"A8")</f>
        <v>A8
Julio Leiva Molina
Ex - Comandante en Jefe de la Armada</v>
      </c>
      <c r="J12" s="61" t="str">
        <f>IFERROR("A9"&amp;CHAR(10)&amp;INDEX('LISTADO VIP'!$H$2:$H$1400,MATCH("A9",'LISTADO VIP'!$A$2:$A$1400,0))&amp;CHAR(10)&amp;INDEX('LISTADO VIP'!$I$2:$I$1400,MATCH("A9",'LISTADO VIP'!$A$2:$A$1400,0)),"A9")</f>
        <v>A9
Sone Kenko
Embajadora de Japón en Chile</v>
      </c>
      <c r="K12" s="61" t="str">
        <f>IFERROR("A10"&amp;CHAR(10)&amp;INDEX('LISTADO VIP'!$H$2:$H$1400,MATCH("A10",'LISTADO VIP'!$A$2:$A$1400,0))&amp;CHAR(10)&amp;INDEX('LISTADO VIP'!$I$2:$I$1400,MATCH("A10",'LISTADO VIP'!$A$2:$A$1400,0)),"A10")</f>
        <v>A10
Patricio Martínez Fernández
Gerente General Mutual de Seguros de Chile</v>
      </c>
      <c r="L12" s="61" t="str">
        <f>IFERROR("A11"&amp;CHAR(10)&amp;INDEX('LISTADO VIP'!$H$2:$H$1400,MATCH("A11",'LISTADO VIP'!$A$2:$A$1400,0))&amp;CHAR(10)&amp;INDEX('LISTADO VIP'!$I$2:$I$1400,MATCH("A11",'LISTADO VIP'!$A$2:$A$1400,0)),"A11")</f>
        <v>A11
Fernando García
Presidente ASIMET A.G.</v>
      </c>
      <c r="M12" s="61" t="str">
        <f>IFERROR("A12"&amp;CHAR(10)&amp;INDEX('LISTADO VIP'!$H$2:$H$1400,MATCH("A12",'LISTADO VIP'!$A$2:$A$1400,0))&amp;CHAR(10)&amp;INDEX('LISTADO VIP'!$I$2:$I$1400,MATCH("A12",'LISTADO VIP'!$A$2:$A$1400,0)),"A12")</f>
        <v>A12
Sebastián Guanumen Parra
Embajador de Colombia en Chile</v>
      </c>
      <c r="N12" s="61" t="str">
        <f>IFERROR("A13"&amp;CHAR(10)&amp;INDEX('LISTADO VIP'!$H$2:$H$1400,MATCH("A13",'LISTADO VIP'!$A$2:$A$1400,0))&amp;CHAR(10)&amp;INDEX('LISTADO VIP'!$I$2:$I$1400,MATCH("A13",'LISTADO VIP'!$A$2:$A$1400,0)),"A13")</f>
        <v>A13
Marcelo Fuster Roa
Gerente General Corporativo ASIMET A.G. - Comité CORFO</v>
      </c>
      <c r="O12" s="61" t="str">
        <f>IFERROR("A14"&amp;CHAR(10)&amp;INDEX('LISTADO VIP'!$H$2:$H$1400,MATCH("A14",'LISTADO VIP'!$A$2:$A$1400,0))&amp;CHAR(10)&amp;INDEX('LISTADO VIP'!$I$2:$I$1400,MATCH("A14",'LISTADO VIP'!$A$2:$A$1400,0)),"A14")</f>
        <v>A14
Luis González Otero
Ayudor VA peruano</v>
      </c>
      <c r="P12" s="61" t="str">
        <f>IFERROR("A15"&amp;CHAR(10)&amp;INDEX('LISTADO VIP'!$H$2:$H$1400,MATCH("A15",'LISTADO VIP'!$A$2:$A$1400,0))&amp;CHAR(10)&amp;INDEX('LISTADO VIP'!$I$2:$I$1400,MATCH("A15",'LISTADO VIP'!$A$2:$A$1400,0)),"A15")</f>
        <v>A15
Christian Marambio Taylor
Edecan Presidente del Senado</v>
      </c>
      <c r="Q12" s="61" t="str">
        <f>IFERROR("A16"&amp;CHAR(10)&amp;INDEX('LISTADO VIP'!$H$2:$H$1400,MATCH("A16",'LISTADO VIP'!$A$2:$A$1400,0))&amp;CHAR(10)&amp;INDEX('LISTADO VIP'!$I$2:$I$1400,MATCH("A16",'LISTADO VIP'!$A$2:$A$1400,0)),"A16")</f>
        <v>A16
Pablo Berg Aldoney
AYUDORALM</v>
      </c>
      <c r="R12" s="61" t="str">
        <f>IFERROR("A17"&amp;CHAR(10)&amp;INDEX('LISTADO VIP'!$H$2:$H$1400,MATCH("A17",'LISTADO VIP'!$A$2:$A$1400,0))&amp;CHAR(10)&amp;INDEX('LISTADO VIP'!$I$2:$I$1400,MATCH("A17",'LISTADO VIP'!$A$2:$A$1400,0)),"A17")</f>
        <v>A17
Claudio Alvarado Andrade
Biministro del Interior y Secretario General de Gobierno</v>
      </c>
      <c r="S12" s="61" t="str">
        <f>IFERROR("A18"&amp;CHAR(10)&amp;INDEX('LISTADO VIP'!$H$2:$H$1400,MATCH("A18",'LISTADO VIP'!$A$2:$A$1400,0))&amp;CHAR(10)&amp;INDEX('LISTADO VIP'!$I$2:$I$1400,MATCH("A18",'LISTADO VIP'!$A$2:$A$1400,0)),"A18")</f>
        <v>A18
David Gonzalez Lorenzo
Gerente General Puerto Huachipato</v>
      </c>
      <c r="T12" s="61" t="str">
        <f>IFERROR("A19"&amp;CHAR(10)&amp;INDEX('LISTADO VIP'!$H$2:$H$1400,MATCH("A19",'LISTADO VIP'!$A$2:$A$1400,0))&amp;CHAR(10)&amp;INDEX('LISTADO VIP'!$I$2:$I$1400,MATCH("A19",'LISTADO VIP'!$A$2:$A$1400,0)),"A19")</f>
        <v>A19
Jacqueline Sepúlveda Carreño
Rector Universidad de Concepción</v>
      </c>
      <c r="U12" s="61" t="str">
        <f>IFERROR("A20"&amp;CHAR(10)&amp;INDEX('LISTADO VIP'!$H$2:$H$1400,MATCH("A20",'LISTADO VIP'!$A$2:$A$1400,0))&amp;CHAR(10)&amp;INDEX('LISTADO VIP'!$I$2:$I$1400,MATCH("A20",'LISTADO VIP'!$A$2:$A$1400,0)),"A20")</f>
        <v>A20
Alan Cárcamo Barrientos
Representante FACH Consejo Superior ASMAR</v>
      </c>
      <c r="V12" s="61" t="str">
        <f>IFERROR("A21"&amp;CHAR(10)&amp;INDEX('LISTADO VIP'!$H$2:$H$1400,MATCH("A21",'LISTADO VIP'!$A$2:$A$1400,0))&amp;CHAR(10)&amp;INDEX('LISTADO VIP'!$I$2:$I$1400,MATCH("A21",'LISTADO VIP'!$A$2:$A$1400,0)),"A21")</f>
        <v>A21
Fernando Cabrera Salazar
*Comandante en Jefe de la Armada</v>
      </c>
      <c r="W12" s="61" t="str">
        <f>IFERROR("A22"&amp;CHAR(10)&amp;INDEX('LISTADO VIP'!$H$2:$H$1400,MATCH("A22",'LISTADO VIP'!$A$2:$A$1400,0))&amp;CHAR(10)&amp;INDEX('LISTADO VIP'!$I$2:$I$1400,MATCH("A22",'LISTADO VIP'!$A$2:$A$1400,0)),"A22")</f>
        <v>A22
Fernando Barros Tocornal
*Ministro de Defensa Nacional</v>
      </c>
      <c r="X12" s="61" t="str">
        <f>IFERROR("A23"&amp;CHAR(10)&amp;INDEX('LISTADO VIP'!$H$2:$H$1400,MATCH("A23",'LISTADO VIP'!$A$2:$A$1400,0))&amp;CHAR(10)&amp;INDEX('LISTADO VIP'!$I$2:$I$1400,MATCH("A23",'LISTADO VIP'!$A$2:$A$1400,0)),"A23")</f>
        <v>A23
José Antonio Kast Rist
* Presidente de la República</v>
      </c>
      <c r="Y12" s="61" t="str">
        <f>IFERROR("A24"&amp;CHAR(10)&amp;INDEX('LISTADO VIP'!$H$2:$H$1400,MATCH("A24",'LISTADO VIP'!$A$2:$A$1400,0))&amp;CHAR(10)&amp;INDEX('LISTADO VIP'!$I$2:$I$1400,MATCH("A24",'LISTADO VIP'!$A$2:$A$1400,0)),"A24")</f>
        <v>A24
María Pía Adriasola Barroihet
Esposa del Presidente de la República</v>
      </c>
      <c r="Z12" s="61" t="str">
        <f>IFERROR("A25"&amp;CHAR(10)&amp;INDEX('LISTADO VIP'!$H$2:$H$1400,MATCH("A25",'LISTADO VIP'!$A$2:$A$1400,0))&amp;CHAR(10)&amp;INDEX('LISTADO VIP'!$I$2:$I$1400,MATCH("A25",'LISTADO VIP'!$A$2:$A$1400,0)),"A25")</f>
        <v>A25
Roxana Mery Casella
Esposa del Comandante en Jefe de la Armada</v>
      </c>
      <c r="AA12" s="61" t="str">
        <f>IFERROR("A26"&amp;CHAR(10)&amp;INDEX('LISTADO VIP'!$H$2:$H$1400,MATCH("A26",'LISTADO VIP'!$A$2:$A$1400,0))&amp;CHAR(10)&amp;INDEX('LISTADO VIP'!$I$2:$I$1400,MATCH("A26",'LISTADO VIP'!$A$2:$A$1400,0)),"A26")</f>
        <v>A26</v>
      </c>
      <c r="AB12" s="61" t="str">
        <f>IFERROR("A27"&amp;CHAR(10)&amp;INDEX('LISTADO VIP'!$H$2:$H$1400,MATCH("A27",'LISTADO VIP'!$A$2:$A$1400,0))&amp;CHAR(10)&amp;INDEX('LISTADO VIP'!$I$2:$I$1400,MATCH("A27",'LISTADO VIP'!$A$2:$A$1400,0)),"A27")</f>
        <v>A27
Paz Hormazábal Poblete
Vicerrectora Universidad de Las Américas sede Concepción - Vicepresidenta CIDERE Biobio</v>
      </c>
      <c r="AC12" s="61" t="str">
        <f>IFERROR("A28"&amp;CHAR(10)&amp;INDEX('LISTADO VIP'!$H$2:$H$1400,MATCH("A28",'LISTADO VIP'!$A$2:$A$1400,0))&amp;CHAR(10)&amp;INDEX('LISTADO VIP'!$I$2:$I$1400,MATCH("A28",'LISTADO VIP'!$A$2:$A$1400,0)),"A28")</f>
        <v>A28
Gonzalo Tampier Brockhaus
Director de Desarrrollo e Innovación Universidad Austral - Comité CORFO</v>
      </c>
      <c r="AD12" s="61" t="str">
        <f>IFERROR("A29"&amp;CHAR(10)&amp;INDEX('LISTADO VIP'!$H$2:$H$1400,MATCH("A29",'LISTADO VIP'!$A$2:$A$1400,0))&amp;CHAR(10)&amp;INDEX('LISTADO VIP'!$I$2:$I$1400,MATCH("A29",'LISTADO VIP'!$A$2:$A$1400,0)),"A29")</f>
        <v>A29
Alessandro Pulleghini Flores
Edecán SEPRE</v>
      </c>
      <c r="AE12" s="61" t="str">
        <f>IFERROR("A30"&amp;CHAR(10)&amp;INDEX('LISTADO VIP'!$H$2:$H$1400,MATCH("A30",'LISTADO VIP'!$A$2:$A$1400,0))&amp;CHAR(10)&amp;INDEX('LISTADO VIP'!$I$2:$I$1400,MATCH("A30",'LISTADO VIP'!$A$2:$A$1400,0)),"A30")</f>
        <v>A30
César Negrete Cristi
Oficial Enlace Armada de las SSFFAA</v>
      </c>
      <c r="AF12" s="61" t="str">
        <f>IFERROR("A31"&amp;CHAR(10)&amp;INDEX('LISTADO VIP'!$H$2:$H$1400,MATCH("A31",'LISTADO VIP'!$A$2:$A$1400,0))&amp;CHAR(10)&amp;INDEX('LISTADO VIP'!$I$2:$I$1400,MATCH("A31",'LISTADO VIP'!$A$2:$A$1400,0)),"A31")</f>
        <v>A31
Joaquín Opazo Rojas
Ayudor MINDEF</v>
      </c>
      <c r="AG12" s="61" t="str">
        <f>IFERROR("A32"&amp;CHAR(10)&amp;INDEX('LISTADO VIP'!$H$2:$H$1400,MATCH("A32",'LISTADO VIP'!$A$2:$A$1400,0))&amp;CHAR(10)&amp;INDEX('LISTADO VIP'!$I$2:$I$1400,MATCH("A32",'LISTADO VIP'!$A$2:$A$1400,0)),"A32")</f>
        <v>A32
Karen Krakman
Consul Países Bajos Concepción</v>
      </c>
      <c r="AH12" s="61" t="str">
        <f>IFERROR("A33"&amp;CHAR(10)&amp;INDEX('LISTADO VIP'!$H$2:$H$1400,MATCH("A33",'LISTADO VIP'!$A$2:$A$1400,0))&amp;CHAR(10)&amp;INDEX('LISTADO VIP'!$I$2:$I$1400,MATCH("A33",'LISTADO VIP'!$A$2:$A$1400,0)),"A33")</f>
        <v>A33
Ahmet Ihsan Kiziltan
Embajadora de Turquia en Chile</v>
      </c>
      <c r="AI12" s="61" t="str">
        <f>IFERROR("A34"&amp;CHAR(10)&amp;INDEX('LISTADO VIP'!$H$2:$H$1400,MATCH("A34",'LISTADO VIP'!$A$2:$A$1400,0))&amp;CHAR(10)&amp;INDEX('LISTADO VIP'!$I$2:$I$1400,MATCH("A34",'LISTADO VIP'!$A$2:$A$1400,0)),"A34")</f>
        <v>A34
Karolina Linda Guay Guay
Embajadora de Canadá en Chile</v>
      </c>
      <c r="AJ12" s="61" t="str">
        <f>IFERROR("A35"&amp;CHAR(10)&amp;INDEX('LISTADO VIP'!$H$2:$H$1400,MATCH("A35",'LISTADO VIP'!$A$2:$A$1400,0))&amp;CHAR(10)&amp;INDEX('LISTADO VIP'!$I$2:$I$1400,MATCH("A35",'LISTADO VIP'!$A$2:$A$1400,0)),"A35")</f>
        <v>A35
Elke Schaapveld E/v Merks
Embajadora de los Países Bajos en Chile</v>
      </c>
      <c r="AK12" s="61" t="str">
        <f>IFERROR("A36"&amp;CHAR(10)&amp;INDEX('LISTADO VIP'!$H$2:$H$1400,MATCH("A36",'LISTADO VIP'!$A$2:$A$1400,0))&amp;CHAR(10)&amp;INDEX('LISTADO VIP'!$I$2:$I$1400,MATCH("A36",'LISTADO VIP'!$A$2:$A$1400,0)),"A36")</f>
        <v>A36
Laura Oroz Ulibarri
Embajadora de España en Chile</v>
      </c>
      <c r="AL12" s="61" t="str">
        <f>IFERROR("A37"&amp;CHAR(10)&amp;INDEX('LISTADO VIP'!$H$2:$H$1400,MATCH("A37",'LISTADO VIP'!$A$2:$A$1400,0))&amp;CHAR(10)&amp;INDEX('LISTADO VIP'!$I$2:$I$1400,MATCH("A37",'LISTADO VIP'!$A$2:$A$1400,0)),"A37")</f>
        <v>A37
Peleg Lewi
Embajadora de Israel en Chile</v>
      </c>
      <c r="AM12" s="61" t="str">
        <f>IFERROR("A38"&amp;CHAR(10)&amp;INDEX('LISTADO VIP'!$H$2:$H$1400,MATCH("A38",'LISTADO VIP'!$A$2:$A$1400,0))&amp;CHAR(10)&amp;INDEX('LISTADO VIP'!$I$2:$I$1400,MATCH("A38",'LISTADO VIP'!$A$2:$A$1400,0)),"A38")</f>
        <v>A38
Pedro Varela Sabando
*Comandante en Jefe del Ejército</v>
      </c>
      <c r="AN12" s="61" t="str">
        <f>IFERROR("A39"&amp;CHAR(10)&amp;INDEX('LISTADO VIP'!$H$2:$H$1400,MATCH("A39",'LISTADO VIP'!$A$2:$A$1400,0))&amp;CHAR(10)&amp;INDEX('LISTADO VIP'!$I$2:$I$1400,MATCH("A39",'LISTADO VIP'!$A$2:$A$1400,0)),"A39")</f>
        <v>A39
Marcelo Araya Zapata
*General Director de Carabineros de Chile</v>
      </c>
      <c r="AO12" s="61" t="str">
        <f>IFERROR("A40"&amp;CHAR(10)&amp;INDEX('LISTADO VIP'!$H$2:$H$1400,MATCH("A40",'LISTADO VIP'!$A$2:$A$1400,0))&amp;CHAR(10)&amp;INDEX('LISTADO VIP'!$I$2:$I$1400,MATCH("A40",'LISTADO VIP'!$A$2:$A$1400,0)),"A40")</f>
        <v>A40
Rodrigo Silva
Gerente General COOPEUCH</v>
      </c>
      <c r="AP12" s="61" t="str">
        <f>IFERROR("A41"&amp;CHAR(10)&amp;INDEX('LISTADO VIP'!$H$2:$H$1400,MATCH("A41",'LISTADO VIP'!$A$2:$A$1400,0))&amp;CHAR(10)&amp;INDEX('LISTADO VIP'!$I$2:$I$1400,MATCH("A41",'LISTADO VIP'!$A$2:$A$1400,0)),"A41")</f>
        <v>A41
Leonardo Romanini Gutiérrez
Jefe del Estado Mayor Conjunto de las Fuerzas Armadas</v>
      </c>
      <c r="AQ12" s="61" t="str">
        <f>IFERROR("A42"&amp;CHAR(10)&amp;INDEX('LISTADO VIP'!$H$2:$H$1400,MATCH("A42",'LISTADO VIP'!$A$2:$A$1400,0))&amp;CHAR(10)&amp;INDEX('LISTADO VIP'!$I$2:$I$1400,MATCH("A42",'LISTADO VIP'!$A$2:$A$1400,0)),"A42")</f>
        <v>A42
Jorge Flies Añon
Gobernador Región de Magallanes</v>
      </c>
      <c r="AR12" s="61" t="str">
        <f>IFERROR("A43"&amp;CHAR(10)&amp;INDEX('LISTADO VIP'!$H$2:$H$1400,MATCH("A43",'LISTADO VIP'!$A$2:$A$1400,0))&amp;CHAR(10)&amp;INDEX('LISTADO VIP'!$I$2:$I$1400,MATCH("A43",'LISTADO VIP'!$A$2:$A$1400,0)),"A43")</f>
        <v>A43
Carlos Cardoen Cornejo
Invitado Especial Director ASMAR</v>
      </c>
      <c r="AS12" s="61" t="str">
        <f>IFERROR("A44"&amp;CHAR(10)&amp;INDEX('LISTADO VIP'!$H$2:$H$1400,MATCH("A44",'LISTADO VIP'!$A$2:$A$1400,0))&amp;CHAR(10)&amp;INDEX('LISTADO VIP'!$I$2:$I$1400,MATCH("A44",'LISTADO VIP'!$A$2:$A$1400,0)),"A44")</f>
        <v>A44
Gastón Saavedra Chandía
Comisión de Defensa Nacional</v>
      </c>
      <c r="AT12" s="61" t="str">
        <f>IFERROR("A45"&amp;CHAR(10)&amp;INDEX('LISTADO VIP'!$H$2:$H$1400,MATCH("A45",'LISTADO VIP'!$A$2:$A$1400,0))&amp;CHAR(10)&amp;INDEX('LISTADO VIP'!$I$2:$I$1400,MATCH("A45",'LISTADO VIP'!$A$2:$A$1400,0)),"A45")</f>
        <v>A45
Enrique Van Rysselberghe Herrera
Circunscripción 10 Región Biobío</v>
      </c>
    </row>
    <row r="13" spans="1:46" ht="86.1" customHeight="1" x14ac:dyDescent="0.2">
      <c r="A13" s="60" t="s">
        <v>2889</v>
      </c>
      <c r="B13" s="61" t="str">
        <f>IFERROR("B1"&amp;CHAR(10)&amp;INDEX('LISTADO VIP'!$H$2:$H$1400,MATCH("B1",'LISTADO VIP'!$A$2:$A$1400,0))&amp;CHAR(10)&amp;INDEX('LISTADO VIP'!$I$2:$I$1400,MATCH("B1",'LISTADO VIP'!$A$2:$A$1400,0)),"B1")</f>
        <v>B1</v>
      </c>
      <c r="C13" s="61" t="str">
        <f>IFERROR("B2"&amp;CHAR(10)&amp;INDEX('LISTADO VIP'!$H$2:$H$1400,MATCH("B2",'LISTADO VIP'!$A$2:$A$1400,0))&amp;CHAR(10)&amp;INDEX('LISTADO VIP'!$I$2:$I$1400,MATCH("B2",'LISTADO VIP'!$A$2:$A$1400,0)),"B2")</f>
        <v>B2
Guillermo Luttges Mathieu
Gerente Corporativo  de Construcción Naval</v>
      </c>
      <c r="D13" s="61" t="str">
        <f>IFERROR("B3"&amp;CHAR(10)&amp;INDEX('LISTADO VIP'!$H$2:$H$1400,MATCH("B3",'LISTADO VIP'!$A$2:$A$1400,0))&amp;CHAR(10)&amp;INDEX('LISTADO VIP'!$I$2:$I$1400,MATCH("B3",'LISTADO VIP'!$A$2:$A$1400,0)),"B3")</f>
        <v>B3
Elizabeth Zapata González
Directora Desarrollo Tecnológico Corfo y Directora Ejecutiva Comité de Construcción Naval</v>
      </c>
      <c r="E13" s="61" t="str">
        <f>IFERROR("B4"&amp;CHAR(10)&amp;INDEX('LISTADO VIP'!$H$2:$H$1400,MATCH("B4",'LISTADO VIP'!$A$2:$A$1400,0))&amp;CHAR(10)&amp;INDEX('LISTADO VIP'!$I$2:$I$1400,MATCH("B4",'LISTADO VIP'!$A$2:$A$1400,0)),"B4")</f>
        <v>B4
Rafael Castillo Vallejos
Admistrador ASMAR (T)</v>
      </c>
      <c r="F13" s="61" t="str">
        <f>IFERROR("B5"&amp;CHAR(10)&amp;INDEX('LISTADO VIP'!$H$2:$H$1400,MATCH("B5",'LISTADO VIP'!$A$2:$A$1400,0))&amp;CHAR(10)&amp;INDEX('LISTADO VIP'!$I$2:$I$1400,MATCH("B5",'LISTADO VIP'!$A$2:$A$1400,0)),"B5")</f>
        <v>B5
Rafael Araos Bralic
Subsecretaria de Ciencia, Tecnología, Conocimiento e Innovación</v>
      </c>
      <c r="G13" s="61" t="str">
        <f>IFERROR("B6"&amp;CHAR(10)&amp;INDEX('LISTADO VIP'!$H$2:$H$1400,MATCH("B6",'LISTADO VIP'!$A$2:$A$1400,0))&amp;CHAR(10)&amp;INDEX('LISTADO VIP'!$I$2:$I$1400,MATCH("B6",'LISTADO VIP'!$A$2:$A$1400,0)),"B6")</f>
        <v>B6
Rodrigo Álvarez Aguirre
*Subsecretario de Defensa</v>
      </c>
      <c r="H13" s="61" t="str">
        <f>IFERROR("B7"&amp;CHAR(10)&amp;INDEX('LISTADO VIP'!$H$2:$H$1400,MATCH("B7",'LISTADO VIP'!$A$2:$A$1400,0))&amp;CHAR(10)&amp;INDEX('LISTADO VIP'!$I$2:$I$1400,MATCH("B7",'LISTADO VIP'!$A$2:$A$1400,0)),"B7")</f>
        <v>B7
Pablo Menéndez Gómez
Director Comercial América, NAVANTIA</v>
      </c>
      <c r="I13" s="61" t="str">
        <f>IFERROR("B8"&amp;CHAR(10)&amp;INDEX('LISTADO VIP'!$H$2:$H$1400,MATCH("B8",'LISTADO VIP'!$A$2:$A$1400,0))&amp;CHAR(10)&amp;INDEX('LISTADO VIP'!$I$2:$I$1400,MATCH("B8",'LISTADO VIP'!$A$2:$A$1400,0)),"B8")</f>
        <v>B8
Eduardo Dobarro Rubido
Vicepresidente Negocio de Fragatas y Buques de Intervención NAVANTIA</v>
      </c>
      <c r="J13" s="61" t="str">
        <f>IFERROR("B9"&amp;CHAR(10)&amp;INDEX('LISTADO VIP'!$H$2:$H$1400,MATCH("B9",'LISTADO VIP'!$A$2:$A$1400,0))&amp;CHAR(10)&amp;INDEX('LISTADO VIP'!$I$2:$I$1400,MATCH("B9",'LISTADO VIP'!$A$2:$A$1400,0)),"B9")</f>
        <v>B9
José Rivas Villalobos
Diputado Distrito 20</v>
      </c>
      <c r="K13" s="61" t="str">
        <f>IFERROR("B10"&amp;CHAR(10)&amp;INDEX('LISTADO VIP'!$H$2:$H$1400,MATCH("B10",'LISTADO VIP'!$A$2:$A$1400,0))&amp;CHAR(10)&amp;INDEX('LISTADO VIP'!$I$2:$I$1400,MATCH("B10",'LISTADO VIP'!$A$2:$A$1400,0)),"B10")</f>
        <v>B10
Felipe Howard
Gerente General HUMBOLDT</v>
      </c>
      <c r="L13" s="61" t="str">
        <f>IFERROR("B11"&amp;CHAR(10)&amp;INDEX('LISTADO VIP'!$H$2:$H$1400,MATCH("B11",'LISTADO VIP'!$A$2:$A$1400,0))&amp;CHAR(10)&amp;INDEX('LISTADO VIP'!$I$2:$I$1400,MATCH("B11",'LISTADO VIP'!$A$2:$A$1400,0)),"B11")</f>
        <v>B11
Walter Espinoza Birr
Agente VARD Marine Brasil</v>
      </c>
      <c r="M13" s="61" t="str">
        <f>IFERROR("B12"&amp;CHAR(10)&amp;INDEX('LISTADO VIP'!$H$2:$H$1400,MATCH("B12",'LISTADO VIP'!$A$2:$A$1400,0))&amp;CHAR(10)&amp;INDEX('LISTADO VIP'!$I$2:$I$1400,MATCH("B12",'LISTADO VIP'!$A$2:$A$1400,0)),"B12")</f>
        <v>B12
Roberto Arroyo Muñoz
Diputado Distrito 20</v>
      </c>
      <c r="N13" s="61" t="str">
        <f>IFERROR("B13"&amp;CHAR(10)&amp;INDEX('LISTADO VIP'!$H$2:$H$1400,MATCH("B13",'LISTADO VIP'!$A$2:$A$1400,0))&amp;CHAR(10)&amp;INDEX('LISTADO VIP'!$I$2:$I$1400,MATCH("B13",'LISTADO VIP'!$A$2:$A$1400,0)),"B13")</f>
        <v>B13
Patricio Fernández Goberna
Presidente Industrias Ferri S.A.</v>
      </c>
      <c r="O13" s="61" t="str">
        <f>IFERROR("B14"&amp;CHAR(10)&amp;INDEX('LISTADO VIP'!$H$2:$H$1400,MATCH("B14",'LISTADO VIP'!$A$2:$A$1400,0))&amp;CHAR(10)&amp;INDEX('LISTADO VIP'!$I$2:$I$1400,MATCH("B14",'LISTADO VIP'!$A$2:$A$1400,0)),"B14")</f>
        <v>B14
Gise Van Mourik
Gerente Ventas, Wärtsilä Marine</v>
      </c>
      <c r="P13" s="61" t="str">
        <f>IFERROR("B15"&amp;CHAR(10)&amp;INDEX('LISTADO VIP'!$H$2:$H$1400,MATCH("B15",'LISTADO VIP'!$A$2:$A$1400,0))&amp;CHAR(10)&amp;INDEX('LISTADO VIP'!$I$2:$I$1400,MATCH("B15",'LISTADO VIP'!$A$2:$A$1400,0)),"B15")</f>
        <v>B15
Roberto Rodriguez
Director General IBERCISA DECK Machinery S.A.</v>
      </c>
      <c r="Q13" s="61" t="str">
        <f>IFERROR("B16"&amp;CHAR(10)&amp;INDEX('LISTADO VIP'!$H$2:$H$1400,MATCH("B16",'LISTADO VIP'!$A$2:$A$1400,0))&amp;CHAR(10)&amp;INDEX('LISTADO VIP'!$I$2:$I$1400,MATCH("B16",'LISTADO VIP'!$A$2:$A$1400,0)),"B16")</f>
        <v>B16
Patricio Briones Moller
Diputado Distrito 20</v>
      </c>
      <c r="R13" s="61" t="str">
        <f>IFERROR("B17"&amp;CHAR(10)&amp;INDEX('LISTADO VIP'!$H$2:$H$1400,MATCH("B17",'LISTADO VIP'!$A$2:$A$1400,0))&amp;CHAR(10)&amp;INDEX('LISTADO VIP'!$I$2:$I$1400,MATCH("B17",'LISTADO VIP'!$A$2:$A$1400,0)),"B17")</f>
        <v>B17
Daniel Valenzuela Salazar
Integrante de la Comisión de Defensa Nacional</v>
      </c>
      <c r="S13" s="61" t="str">
        <f>IFERROR("B18"&amp;CHAR(10)&amp;INDEX('LISTADO VIP'!$H$2:$H$1400,MATCH("B18",'LISTADO VIP'!$A$2:$A$1400,0))&amp;CHAR(10)&amp;INDEX('LISTADO VIP'!$I$2:$I$1400,MATCH("B18",'LISTADO VIP'!$A$2:$A$1400,0)),"B18")</f>
        <v>B18
Roberta Mutschler
Subgerente General Sociedad Comercial Equipos Industriales S.A. INDUELECTRO</v>
      </c>
      <c r="T13" s="61" t="str">
        <f>IFERROR("B19"&amp;CHAR(10)&amp;INDEX('LISTADO VIP'!$H$2:$H$1400,MATCH("B19",'LISTADO VIP'!$A$2:$A$1400,0))&amp;CHAR(10)&amp;INDEX('LISTADO VIP'!$I$2:$I$1400,MATCH("B19",'LISTADO VIP'!$A$2:$A$1400,0)),"B19")</f>
        <v>B19
Francisco Hederra Pinto
Gerente General SISDEF</v>
      </c>
      <c r="U13" s="61" t="str">
        <f>IFERROR("B20"&amp;CHAR(10)&amp;INDEX('LISTADO VIP'!$H$2:$H$1400,MATCH("B20",'LISTADO VIP'!$A$2:$A$1400,0))&amp;CHAR(10)&amp;INDEX('LISTADO VIP'!$I$2:$I$1400,MATCH("B20",'LISTADO VIP'!$A$2:$A$1400,0)),"B20")</f>
        <v>B20
Francisco Sotomayor
CEO GL Events Chile</v>
      </c>
      <c r="V13" s="61" t="str">
        <f>IFERROR("B21"&amp;CHAR(10)&amp;INDEX('LISTADO VIP'!$H$2:$H$1400,MATCH("B21",'LISTADO VIP'!$A$2:$A$1400,0))&amp;CHAR(10)&amp;INDEX('LISTADO VIP'!$I$2:$I$1400,MATCH("B21",'LISTADO VIP'!$A$2:$A$1400,0)),"B21")</f>
        <v>B21
Álvaro Carter Fernández
Presidente de la Comisión de Defensa Nacional</v>
      </c>
      <c r="W13" s="61" t="str">
        <f>IFERROR("B22"&amp;CHAR(10)&amp;INDEX('LISTADO VIP'!$H$2:$H$1400,MATCH("B22",'LISTADO VIP'!$A$2:$A$1400,0))&amp;CHAR(10)&amp;INDEX('LISTADO VIP'!$I$2:$I$1400,MATCH("B22",'LISTADO VIP'!$A$2:$A$1400,0)),"B22")</f>
        <v>B22
Nelson Donoso
Presidente IRADE</v>
      </c>
      <c r="X13" s="61" t="str">
        <f>IFERROR("B23"&amp;CHAR(10)&amp;INDEX('LISTADO VIP'!$H$2:$H$1400,MATCH("B23",'LISTADO VIP'!$A$2:$A$1400,0))&amp;CHAR(10)&amp;INDEX('LISTADO VIP'!$I$2:$I$1400,MATCH("B23",'LISTADO VIP'!$A$2:$A$1400,0)),"B23")</f>
        <v>B23
Alfonso De Urresti Longton
Senador de la República</v>
      </c>
      <c r="Y13" s="61" t="str">
        <f>IFERROR("B24"&amp;CHAR(10)&amp;INDEX('LISTADO VIP'!$H$2:$H$1400,MATCH("B24",'LISTADO VIP'!$A$2:$A$1400,0))&amp;CHAR(10)&amp;INDEX('LISTADO VIP'!$I$2:$I$1400,MATCH("B24",'LISTADO VIP'!$A$2:$A$1400,0)),"B24")</f>
        <v>B24
Loreto Carvajal Ambiado
Circunsripción Zona Ñuble</v>
      </c>
      <c r="Z13" s="61" t="str">
        <f>IFERROR("B25"&amp;CHAR(10)&amp;INDEX('LISTADO VIP'!$H$2:$H$1400,MATCH("B25",'LISTADO VIP'!$A$2:$A$1400,0))&amp;CHAR(10)&amp;INDEX('LISTADO VIP'!$I$2:$I$1400,MATCH("B25",'LISTADO VIP'!$A$2:$A$1400,0)),"B25")</f>
        <v>B25
Bernardita Roa Astete
Gerente General IRADE</v>
      </c>
      <c r="AA13" s="61" t="str">
        <f>IFERROR("B26"&amp;CHAR(10)&amp;INDEX('LISTADO VIP'!$H$2:$H$1400,MATCH("B26",'LISTADO VIP'!$A$2:$A$1400,0))&amp;CHAR(10)&amp;INDEX('LISTADO VIP'!$I$2:$I$1400,MATCH("B26",'LISTADO VIP'!$A$2:$A$1400,0)),"B26")</f>
        <v>B26
Fernando Rodríguez
Gerente General ASENAV</v>
      </c>
      <c r="AB13" s="61" t="str">
        <f>IFERROR("B27"&amp;CHAR(10)&amp;INDEX('LISTADO VIP'!$H$2:$H$1400,MATCH("B27",'LISTADO VIP'!$A$2:$A$1400,0))&amp;CHAR(10)&amp;INDEX('LISTADO VIP'!$I$2:$I$1400,MATCH("B27",'LISTADO VIP'!$A$2:$A$1400,0)),"B27")</f>
        <v>B27
Jorge Mutschler Castillo
Gerente General Sociedad Comercial Equipos Industriales S.A. INDUELECTRO</v>
      </c>
      <c r="AC13" s="61" t="str">
        <f>IFERROR("B28"&amp;CHAR(10)&amp;INDEX('LISTADO VIP'!$H$2:$H$1400,MATCH("B28",'LISTADO VIP'!$A$2:$A$1400,0))&amp;CHAR(10)&amp;INDEX('LISTADO VIP'!$I$2:$I$1400,MATCH("B28",'LISTADO VIP'!$A$2:$A$1400,0)),"B28")</f>
        <v>B28
Luis Sánchez Ossa
Integrante de la Comisión de Defensa Nacional</v>
      </c>
      <c r="AD13" s="61" t="str">
        <f>IFERROR("B29"&amp;CHAR(10)&amp;INDEX('LISTADO VIP'!$H$2:$H$1400,MATCH("B29",'LISTADO VIP'!$A$2:$A$1400,0))&amp;CHAR(10)&amp;INDEX('LISTADO VIP'!$I$2:$I$1400,MATCH("B29",'LISTADO VIP'!$A$2:$A$1400,0)),"B29")</f>
        <v>B29
José Luis Fauré Cañas
Gerente General CODELPA S.A.</v>
      </c>
      <c r="AE13" s="61" t="str">
        <f>IFERROR("B30"&amp;CHAR(10)&amp;INDEX('LISTADO VIP'!$H$2:$H$1400,MATCH("B30",'LISTADO VIP'!$A$2:$A$1400,0))&amp;CHAR(10)&amp;INDEX('LISTADO VIP'!$I$2:$I$1400,MATCH("B30",'LISTADO VIP'!$A$2:$A$1400,0)),"B30")</f>
        <v>B30
Pedro Iturriaga González
Gerente General PROINGAS S.A.</v>
      </c>
      <c r="AF13" s="61" t="str">
        <f>IFERROR("B31"&amp;CHAR(10)&amp;INDEX('LISTADO VIP'!$H$2:$H$1400,MATCH("B31",'LISTADO VIP'!$A$2:$A$1400,0))&amp;CHAR(10)&amp;INDEX('LISTADO VIP'!$I$2:$I$1400,MATCH("B31",'LISTADO VIP'!$A$2:$A$1400,0)),"B31")</f>
        <v>B31
Sidney Chellew Daydi
Gerente General SOCIBER</v>
      </c>
      <c r="AG13" s="61" t="str">
        <f>IFERROR("B32"&amp;CHAR(10)&amp;INDEX('LISTADO VIP'!$H$2:$H$1400,MATCH("B32",'LISTADO VIP'!$A$2:$A$1400,0))&amp;CHAR(10)&amp;INDEX('LISTADO VIP'!$I$2:$I$1400,MATCH("B32",'LISTADO VIP'!$A$2:$A$1400,0)),"B32")</f>
        <v>B32
Carlos González
CEO  FRIZONIA Regrigeración, climatización .S.L.</v>
      </c>
      <c r="AH13" s="61" t="str">
        <f>IFERROR("B33"&amp;CHAR(10)&amp;INDEX('LISTADO VIP'!$H$2:$H$1400,MATCH("B33",'LISTADO VIP'!$A$2:$A$1400,0))&amp;CHAR(10)&amp;INDEX('LISTADO VIP'!$I$2:$I$1400,MATCH("B33",'LISTADO VIP'!$A$2:$A$1400,0)),"B33")</f>
        <v>B33
Pablo Guerrero Salgado
COO GABADI</v>
      </c>
      <c r="AI13" s="61" t="str">
        <f>IFERROR("B34"&amp;CHAR(10)&amp;INDEX('LISTADO VIP'!$H$2:$H$1400,MATCH("B34",'LISTADO VIP'!$A$2:$A$1400,0))&amp;CHAR(10)&amp;INDEX('LISTADO VIP'!$I$2:$I$1400,MATCH("B34",'LISTADO VIP'!$A$2:$A$1400,0)),"B34")</f>
        <v>B34
Sergio Bobadilla Muñoz
Diputado Distrito 20</v>
      </c>
      <c r="AJ13" s="61" t="str">
        <f>IFERROR("B35"&amp;CHAR(10)&amp;INDEX('LISTADO VIP'!$H$2:$H$1400,MATCH("B35",'LISTADO VIP'!$A$2:$A$1400,0))&amp;CHAR(10)&amp;INDEX('LISTADO VIP'!$I$2:$I$1400,MATCH("B35",'LISTADO VIP'!$A$2:$A$1400,0)),"B35")</f>
        <v>B35
Francesca Muñoz González
Diputado Distrito 20</v>
      </c>
      <c r="AK13" s="61" t="str">
        <f>IFERROR("B36"&amp;CHAR(10)&amp;INDEX('LISTADO VIP'!$H$2:$H$1400,MATCH("B36",'LISTADO VIP'!$A$2:$A$1400,0))&amp;CHAR(10)&amp;INDEX('LISTADO VIP'!$I$2:$I$1400,MATCH("B36",'LISTADO VIP'!$A$2:$A$1400,0)),"B36")</f>
        <v>B36
Marlene Pérez Cartes
Diputado Distrito 20</v>
      </c>
      <c r="AL13" s="61" t="str">
        <f>IFERROR("B37"&amp;CHAR(10)&amp;INDEX('LISTADO VIP'!$H$2:$H$1400,MATCH("B37",'LISTADO VIP'!$A$2:$A$1400,0))&amp;CHAR(10)&amp;INDEX('LISTADO VIP'!$I$2:$I$1400,MATCH("B37",'LISTADO VIP'!$A$2:$A$1400,0)),"B37")</f>
        <v>B37
Javier Romero Caramelo
Director de Gabinete Presidente- Líder de la Delegacion de NAVANTIA</v>
      </c>
      <c r="AM13" s="61" t="str">
        <f>IFERROR("B38"&amp;CHAR(10)&amp;INDEX('LISTADO VIP'!$H$2:$H$1400,MATCH("B38",'LISTADO VIP'!$A$2:$A$1400,0))&amp;CHAR(10)&amp;INDEX('LISTADO VIP'!$I$2:$I$1400,MATCH("B38",'LISTADO VIP'!$A$2:$A$1400,0)),"B38")</f>
        <v>B38
Patricio Pinilla Valencia
Diputado Distrito 21</v>
      </c>
      <c r="AN13" s="61" t="str">
        <f>IFERROR("B39"&amp;CHAR(10)&amp;INDEX('LISTADO VIP'!$H$2:$H$1400,MATCH("B39",'LISTADO VIP'!$A$2:$A$1400,0))&amp;CHAR(10)&amp;INDEX('LISTADO VIP'!$I$2:$I$1400,MATCH("B39",'LISTADO VIP'!$A$2:$A$1400,0)),"B39")</f>
        <v>B39
Pablo Fernández
Director Corporativo Grupo Fernandez Jove</v>
      </c>
      <c r="AO13" s="61" t="str">
        <f>IFERROR("B40"&amp;CHAR(10)&amp;INDEX('LISTADO VIP'!$H$2:$H$1400,MATCH("B40",'LISTADO VIP'!$A$2:$A$1400,0))&amp;CHAR(10)&amp;INDEX('LISTADO VIP'!$I$2:$I$1400,MATCH("B40",'LISTADO VIP'!$A$2:$A$1400,0)),"B40")</f>
        <v>B40
Christian Bolívar Romero
*Subsecretario de las Fuerzas Armadas</v>
      </c>
      <c r="AP13" s="61" t="str">
        <f>IFERROR("B41"&amp;CHAR(10)&amp;INDEX('LISTADO VIP'!$H$2:$H$1400,MATCH("B41",'LISTADO VIP'!$A$2:$A$1400,0))&amp;CHAR(10)&amp;INDEX('LISTADO VIP'!$I$2:$I$1400,MATCH("B41",'LISTADO VIP'!$A$2:$A$1400,0)),"B41")</f>
        <v>B41
Julio Cacho Morán
*Jefe del Estado Mayor de la Armada de Perú</v>
      </c>
      <c r="AQ13" s="61" t="str">
        <f>IFERROR("B42"&amp;CHAR(10)&amp;INDEX('LISTADO VIP'!$H$2:$H$1400,MATCH("B42",'LISTADO VIP'!$A$2:$A$1400,0))&amp;CHAR(10)&amp;INDEX('LISTADO VIP'!$I$2:$I$1400,MATCH("B42",'LISTADO VIP'!$A$2:$A$1400,0)),"B42")</f>
        <v>B42
José Ignacio Mujica Castro
Vicepresidente Corfo</v>
      </c>
      <c r="AR13" s="61" t="str">
        <f>IFERROR("B43"&amp;CHAR(10)&amp;INDEX('LISTADO VIP'!$H$2:$H$1400,MATCH("B43",'LISTADO VIP'!$A$2:$A$1400,0))&amp;CHAR(10)&amp;INDEX('LISTADO VIP'!$I$2:$I$1400,MATCH("B43",'LISTADO VIP'!$A$2:$A$1400,0)),"B43")</f>
        <v>B43
Santiago Browne Hurtado
Gerente de Asuntos Estratégicos (s) de Corfo</v>
      </c>
      <c r="AS13" s="61" t="str">
        <f>IFERROR("B44"&amp;CHAR(10)&amp;INDEX('LISTADO VIP'!$H$2:$H$1400,MATCH("B44",'LISTADO VIP'!$A$2:$A$1400,0))&amp;CHAR(10)&amp;INDEX('LISTADO VIP'!$I$2:$I$1400,MATCH("B44",'LISTADO VIP'!$A$2:$A$1400,0)),"B44")</f>
        <v>B44</v>
      </c>
      <c r="AT13" s="61" t="str">
        <f>IFERROR("B45"&amp;CHAR(10)&amp;INDEX('LISTADO VIP'!$H$2:$H$1400,MATCH("B45",'LISTADO VIP'!$A$2:$A$1400,0))&amp;CHAR(10)&amp;INDEX('LISTADO VIP'!$I$2:$I$1400,MATCH("B45",'LISTADO VIP'!$A$2:$A$1400,0)),"B45")</f>
        <v>B45</v>
      </c>
    </row>
    <row r="14" spans="1:46" ht="86.1" customHeight="1" x14ac:dyDescent="0.2">
      <c r="A14" s="60" t="s">
        <v>2890</v>
      </c>
      <c r="B14" s="61" t="str">
        <f>IFERROR("C1"&amp;CHAR(10)&amp;INDEX('LISTADO VIP'!$H$2:$H$1400,MATCH("C1",'LISTADO VIP'!$A$2:$A$1400,0))&amp;CHAR(10)&amp;INDEX('LISTADO VIP'!$I$2:$I$1400,MATCH("C1",'LISTADO VIP'!$A$2:$A$1400,0)),"C1")</f>
        <v>C1
Raúl Zamorano Goñi
Jefe del Estado Mayor General de la Armada</v>
      </c>
      <c r="C14" s="61" t="str">
        <f>IFERROR("C2"&amp;CHAR(10)&amp;INDEX('LISTADO VIP'!$H$2:$H$1400,MATCH("C2",'LISTADO VIP'!$A$2:$A$1400,0))&amp;CHAR(10)&amp;INDEX('LISTADO VIP'!$I$2:$I$1400,MATCH("C2",'LISTADO VIP'!$A$2:$A$1400,0)),"C2")</f>
        <v>C2
Claudia Chamorro Contreras
Jefe VIII Región Policial Bío Bío</v>
      </c>
      <c r="D14" s="61" t="str">
        <f>IFERROR("C3"&amp;CHAR(10)&amp;INDEX('LISTADO VIP'!$H$2:$H$1400,MATCH("C3",'LISTADO VIP'!$A$2:$A$1400,0))&amp;CHAR(10)&amp;INDEX('LISTADO VIP'!$I$2:$I$1400,MATCH("C3",'LISTADO VIP'!$A$2:$A$1400,0)),"C3")</f>
        <v>C3
Oscar Rivera Marin
Director Regional de Obras Portuarias</v>
      </c>
      <c r="E14" s="61" t="str">
        <f>IFERROR("C4"&amp;CHAR(10)&amp;INDEX('LISTADO VIP'!$H$2:$H$1400,MATCH("C4",'LISTADO VIP'!$A$2:$A$1400,0))&amp;CHAR(10)&amp;INDEX('LISTADO VIP'!$I$2:$I$1400,MATCH("C4",'LISTADO VIP'!$A$2:$A$1400,0)),"C4")</f>
        <v>C4
Claudio Andrade Otarola
Director Regional de la Agencia Nacional de Inteligencia</v>
      </c>
      <c r="F14" s="61" t="str">
        <f>IFERROR("C5"&amp;CHAR(10)&amp;INDEX('LISTADO VIP'!$H$2:$H$1400,MATCH("C5",'LISTADO VIP'!$A$2:$A$1400,0))&amp;CHAR(10)&amp;INDEX('LISTADO VIP'!$I$2:$I$1400,MATCH("C5",'LISTADO VIP'!$A$2:$A$1400,0)),"C5")</f>
        <v>C5
Pablo Zavala Fernández
Presidente de la Ilustrísima Corte de Apelaciones de Concepción</v>
      </c>
      <c r="G14" s="61" t="str">
        <f>IFERROR("C6"&amp;CHAR(10)&amp;INDEX('LISTADO VIP'!$H$2:$H$1400,MATCH("C6",'LISTADO VIP'!$A$2:$A$1400,0))&amp;CHAR(10)&amp;INDEX('LISTADO VIP'!$I$2:$I$1400,MATCH("C6",'LISTADO VIP'!$A$2:$A$1400,0)),"C6")</f>
        <v>C6</v>
      </c>
      <c r="H14" s="61" t="str">
        <f>IFERROR("C7"&amp;CHAR(10)&amp;INDEX('LISTADO VIP'!$H$2:$H$1400,MATCH("C7",'LISTADO VIP'!$A$2:$A$1400,0))&amp;CHAR(10)&amp;INDEX('LISTADO VIP'!$I$2:$I$1400,MATCH("C7",'LISTADO VIP'!$A$2:$A$1400,0)),"C7")</f>
        <v>C7
Carla Amtmann Fecci
Alcaldesa de Valdivia</v>
      </c>
      <c r="I14" s="61" t="str">
        <f>IFERROR("C8"&amp;CHAR(10)&amp;INDEX('LISTADO VIP'!$H$2:$H$1400,MATCH("C8",'LISTADO VIP'!$A$2:$A$1400,0))&amp;CHAR(10)&amp;INDEX('LISTADO VIP'!$I$2:$I$1400,MATCH("C8",'LISTADO VIP'!$A$2:$A$1400,0)),"C8")</f>
        <v>C8
Miguel Rivera Morales
Alcalde Ilustre Municipalidad de Hualpén</v>
      </c>
      <c r="J14" s="61" t="str">
        <f>IFERROR("C9"&amp;CHAR(10)&amp;INDEX('LISTADO VIP'!$H$2:$H$1400,MATCH("C9",'LISTADO VIP'!$A$2:$A$1400,0))&amp;CHAR(10)&amp;INDEX('LISTADO VIP'!$I$2:$I$1400,MATCH("C9",'LISTADO VIP'!$A$2:$A$1400,0)),"C9")</f>
        <v>C9</v>
      </c>
      <c r="K14" s="61" t="str">
        <f>IFERROR("C10"&amp;CHAR(10)&amp;INDEX('LISTADO VIP'!$H$2:$H$1400,MATCH("C10",'LISTADO VIP'!$A$2:$A$1400,0))&amp;CHAR(10)&amp;INDEX('LISTADO VIP'!$I$2:$I$1400,MATCH("C10",'LISTADO VIP'!$A$2:$A$1400,0)),"C10")</f>
        <v>C10</v>
      </c>
      <c r="L14" s="61" t="str">
        <f>IFERROR("C11"&amp;CHAR(10)&amp;INDEX('LISTADO VIP'!$H$2:$H$1400,MATCH("C11",'LISTADO VIP'!$A$2:$A$1400,0))&amp;CHAR(10)&amp;INDEX('LISTADO VIP'!$I$2:$I$1400,MATCH("C11",'LISTADO VIP'!$A$2:$A$1400,0)),"C11")</f>
        <v>C11
Jorge Pires
Superintendente del Material Armada de Portugal</v>
      </c>
      <c r="M14" s="61" t="str">
        <f>IFERROR("C12"&amp;CHAR(10)&amp;INDEX('LISTADO VIP'!$H$2:$H$1400,MATCH("C12",'LISTADO VIP'!$A$2:$A$1400,0))&amp;CHAR(10)&amp;INDEX('LISTADO VIP'!$I$2:$I$1400,MATCH("C12",'LISTADO VIP'!$A$2:$A$1400,0)),"C12")</f>
        <v>C12
Henry Cleveland Cartes
Director Ejecutivo ENAER</v>
      </c>
      <c r="N14" s="61" t="str">
        <f>IFERROR("C13"&amp;CHAR(10)&amp;INDEX('LISTADO VIP'!$H$2:$H$1400,MATCH("C13",'LISTADO VIP'!$A$2:$A$1400,0))&amp;CHAR(10)&amp;INDEX('LISTADO VIP'!$I$2:$I$1400,MATCH("C13",'LISTADO VIP'!$A$2:$A$1400,0)),"C13")</f>
        <v>C13</v>
      </c>
      <c r="O14" s="61" t="str">
        <f>IFERROR("C14"&amp;CHAR(10)&amp;INDEX('LISTADO VIP'!$H$2:$H$1400,MATCH("C14",'LISTADO VIP'!$A$2:$A$1400,0))&amp;CHAR(10)&amp;INDEX('LISTADO VIP'!$I$2:$I$1400,MATCH("C14",'LISTADO VIP'!$A$2:$A$1400,0)),"C14")</f>
        <v>C14
Pedro Ramirez Glade
Seremi de Ciencia, Tecnologías, Conocimidento e Innovación</v>
      </c>
      <c r="P14" s="61" t="str">
        <f>IFERROR("C15"&amp;CHAR(10)&amp;INDEX('LISTADO VIP'!$H$2:$H$1400,MATCH("C15",'LISTADO VIP'!$A$2:$A$1400,0))&amp;CHAR(10)&amp;INDEX('LISTADO VIP'!$I$2:$I$1400,MATCH("C15",'LISTADO VIP'!$A$2:$A$1400,0)),"C15")</f>
        <v>C15
Vladimir Recabarren Esparza
Capellán Nacional Evangélico de la Armada</v>
      </c>
      <c r="Q14" s="61" t="str">
        <f>IFERROR("C16"&amp;CHAR(10)&amp;INDEX('LISTADO VIP'!$H$2:$H$1400,MATCH("C16",'LISTADO VIP'!$A$2:$A$1400,0))&amp;CHAR(10)&amp;INDEX('LISTADO VIP'!$I$2:$I$1400,MATCH("C16",'LISTADO VIP'!$A$2:$A$1400,0)),"C16")</f>
        <v>C16</v>
      </c>
      <c r="R14" s="61" t="str">
        <f>IFERROR("C17"&amp;CHAR(10)&amp;INDEX('LISTADO VIP'!$H$2:$H$1400,MATCH("C17",'LISTADO VIP'!$A$2:$A$1400,0))&amp;CHAR(10)&amp;INDEX('LISTADO VIP'!$I$2:$I$1400,MATCH("C17",'LISTADO VIP'!$A$2:$A$1400,0)),"C17")</f>
        <v>C17</v>
      </c>
      <c r="S14" s="61" t="str">
        <f>IFERROR("C18"&amp;CHAR(10)&amp;INDEX('LISTADO VIP'!$H$2:$H$1400,MATCH("C18",'LISTADO VIP'!$A$2:$A$1400,0))&amp;CHAR(10)&amp;INDEX('LISTADO VIP'!$I$2:$I$1400,MATCH("C18",'LISTADO VIP'!$A$2:$A$1400,0)),"C18")</f>
        <v>C18
Vicente Leiva Larrañaga
Hijo Madrina</v>
      </c>
      <c r="T14" s="61" t="str">
        <f>IFERROR("C19"&amp;CHAR(10)&amp;INDEX('LISTADO VIP'!$H$2:$H$1400,MATCH("C19",'LISTADO VIP'!$A$2:$A$1400,0))&amp;CHAR(10)&amp;INDEX('LISTADO VIP'!$I$2:$I$1400,MATCH("C19",'LISTADO VIP'!$A$2:$A$1400,0)),"C19")</f>
        <v>C19
Matias Pérez Cruz
Gerenete Perezcruz</v>
      </c>
      <c r="U14" s="61" t="str">
        <f>IFERROR("C20"&amp;CHAR(10)&amp;INDEX('LISTADO VIP'!$H$2:$H$1400,MATCH("C20",'LISTADO VIP'!$A$2:$A$1400,0))&amp;CHAR(10)&amp;INDEX('LISTADO VIP'!$I$2:$I$1400,MATCH("C20",'LISTADO VIP'!$A$2:$A$1400,0)),"C20")</f>
        <v>C20
Constanza Leiva Larrañaga
T2 RNY</v>
      </c>
      <c r="V14" s="61" t="str">
        <f>IFERROR("C21"&amp;CHAR(10)&amp;INDEX('LISTADO VIP'!$H$2:$H$1400,MATCH("C21",'LISTADO VIP'!$A$2:$A$1400,0))&amp;CHAR(10)&amp;INDEX('LISTADO VIP'!$I$2:$I$1400,MATCH("C21",'LISTADO VIP'!$A$2:$A$1400,0)),"C21")</f>
        <v>C21</v>
      </c>
      <c r="W14" s="61" t="str">
        <f>IFERROR("C22"&amp;CHAR(10)&amp;INDEX('LISTADO VIP'!$H$2:$H$1400,MATCH("C22",'LISTADO VIP'!$A$2:$A$1400,0))&amp;CHAR(10)&amp;INDEX('LISTADO VIP'!$I$2:$I$1400,MATCH("C22",'LISTADO VIP'!$A$2:$A$1400,0)),"C22")</f>
        <v>C22</v>
      </c>
      <c r="X14" s="61" t="str">
        <f>IFERROR("C23"&amp;CHAR(10)&amp;INDEX('LISTADO VIP'!$H$2:$H$1400,MATCH("C23",'LISTADO VIP'!$A$2:$A$1400,0))&amp;CHAR(10)&amp;INDEX('LISTADO VIP'!$I$2:$I$1400,MATCH("C23",'LISTADO VIP'!$A$2:$A$1400,0)),"C23")</f>
        <v>C23</v>
      </c>
      <c r="Y14" s="61" t="str">
        <f>IFERROR("C24"&amp;CHAR(10)&amp;INDEX('LISTADO VIP'!$H$2:$H$1400,MATCH("C24",'LISTADO VIP'!$A$2:$A$1400,0))&amp;CHAR(10)&amp;INDEX('LISTADO VIP'!$I$2:$I$1400,MATCH("C24",'LISTADO VIP'!$A$2:$A$1400,0)),"C24")</f>
        <v>C24</v>
      </c>
      <c r="Z14" s="61" t="str">
        <f>IFERROR("C25"&amp;CHAR(10)&amp;INDEX('LISTADO VIP'!$H$2:$H$1400,MATCH("C25",'LISTADO VIP'!$A$2:$A$1400,0))&amp;CHAR(10)&amp;INDEX('LISTADO VIP'!$I$2:$I$1400,MATCH("C25",'LISTADO VIP'!$A$2:$A$1400,0)),"C25")</f>
        <v>C25</v>
      </c>
      <c r="AA14" s="61" t="str">
        <f>IFERROR("C26"&amp;CHAR(10)&amp;INDEX('LISTADO VIP'!$H$2:$H$1400,MATCH("C26",'LISTADO VIP'!$A$2:$A$1400,0))&amp;CHAR(10)&amp;INDEX('LISTADO VIP'!$I$2:$I$1400,MATCH("C26",'LISTADO VIP'!$A$2:$A$1400,0)),"C26")</f>
        <v>C26
Marcela Paz Leiva Larrañaga
Hija Madrina</v>
      </c>
      <c r="AB14" s="61" t="str">
        <f>IFERROR("C27"&amp;CHAR(10)&amp;INDEX('LISTADO VIP'!$H$2:$H$1400,MATCH("C27",'LISTADO VIP'!$A$2:$A$1400,0))&amp;CHAR(10)&amp;INDEX('LISTADO VIP'!$I$2:$I$1400,MATCH("C27",'LISTADO VIP'!$A$2:$A$1400,0)),"C27")</f>
        <v>C27
Eugenio Cornejo Locroix
Presidente Mutual de Seguros de Chile</v>
      </c>
      <c r="AC14" s="61" t="str">
        <f>IFERROR("C28"&amp;CHAR(10)&amp;INDEX('LISTADO VIP'!$H$2:$H$1400,MATCH("C28",'LISTADO VIP'!$A$2:$A$1400,0))&amp;CHAR(10)&amp;INDEX('LISTADO VIP'!$I$2:$I$1400,MATCH("C28",'LISTADO VIP'!$A$2:$A$1400,0)),"C28")</f>
        <v>C28
Cecy Sirena Quijada Pérez
Esposa del Jefe estado mayor de la Armada de Perú.</v>
      </c>
      <c r="AD14" s="61" t="str">
        <f>IFERROR("C29"&amp;CHAR(10)&amp;INDEX('LISTADO VIP'!$H$2:$H$1400,MATCH("C29",'LISTADO VIP'!$A$2:$A$1400,0))&amp;CHAR(10)&amp;INDEX('LISTADO VIP'!$I$2:$I$1400,MATCH("C29",'LISTADO VIP'!$A$2:$A$1400,0)),"C29")</f>
        <v>C29</v>
      </c>
      <c r="AE14" s="61" t="str">
        <f>IFERROR("C30"&amp;CHAR(10)&amp;INDEX('LISTADO VIP'!$H$2:$H$1400,MATCH("C30",'LISTADO VIP'!$A$2:$A$1400,0))&amp;CHAR(10)&amp;INDEX('LISTADO VIP'!$I$2:$I$1400,MATCH("C30",'LISTADO VIP'!$A$2:$A$1400,0)),"C30")</f>
        <v>C30
José Fernando Jarpa Parada
Jefe del Servicio Religioso de la Armada</v>
      </c>
      <c r="AF14" s="61" t="str">
        <f>IFERROR("C31"&amp;CHAR(10)&amp;INDEX('LISTADO VIP'!$H$2:$H$1400,MATCH("C31",'LISTADO VIP'!$A$2:$A$1400,0))&amp;CHAR(10)&amp;INDEX('LISTADO VIP'!$I$2:$I$1400,MATCH("C31",'LISTADO VIP'!$A$2:$A$1400,0)),"C31")</f>
        <v>C31</v>
      </c>
      <c r="AG14" s="61" t="str">
        <f>IFERROR("C32"&amp;CHAR(10)&amp;INDEX('LISTADO VIP'!$H$2:$H$1400,MATCH("C32",'LISTADO VIP'!$A$2:$A$1400,0))&amp;CHAR(10)&amp;INDEX('LISTADO VIP'!$I$2:$I$1400,MATCH("C32",'LISTADO VIP'!$A$2:$A$1400,0)),"C32")</f>
        <v>C32
Ronald Ruf Wilkomirsky
Seremi de Hacienda</v>
      </c>
      <c r="AH14" s="61" t="str">
        <f>IFERROR("C33"&amp;CHAR(10)&amp;INDEX('LISTADO VIP'!$H$2:$H$1400,MATCH("C33",'LISTADO VIP'!$A$2:$A$1400,0))&amp;CHAR(10)&amp;INDEX('LISTADO VIP'!$I$2:$I$1400,MATCH("C33",'LISTADO VIP'!$A$2:$A$1400,0)),"C33")</f>
        <v>C33
Katherine Ampuero Martínez
Directora Regional Aduana de Talcahuano</v>
      </c>
      <c r="AI14" s="61" t="str">
        <f>IFERROR("C34"&amp;CHAR(10)&amp;INDEX('LISTADO VIP'!$H$2:$H$1400,MATCH("C34",'LISTADO VIP'!$A$2:$A$1400,0))&amp;CHAR(10)&amp;INDEX('LISTADO VIP'!$I$2:$I$1400,MATCH("C34",'LISTADO VIP'!$A$2:$A$1400,0)),"C34")</f>
        <v>C34</v>
      </c>
      <c r="AJ14" s="61" t="str">
        <f>IFERROR("C35"&amp;CHAR(10)&amp;INDEX('LISTADO VIP'!$H$2:$H$1400,MATCH("C35",'LISTADO VIP'!$A$2:$A$1400,0))&amp;CHAR(10)&amp;INDEX('LISTADO VIP'!$I$2:$I$1400,MATCH("C35",'LISTADO VIP'!$A$2:$A$1400,0)),"C35")</f>
        <v>C35
Joao Costa
Director de los Navios Armada de Portugal</v>
      </c>
      <c r="AK14" s="61" t="str">
        <f>IFERROR("C36"&amp;CHAR(10)&amp;INDEX('LISTADO VIP'!$H$2:$H$1400,MATCH("C36",'LISTADO VIP'!$A$2:$A$1400,0))&amp;CHAR(10)&amp;INDEX('LISTADO VIP'!$I$2:$I$1400,MATCH("C36",'LISTADO VIP'!$A$2:$A$1400,0)),"C36")</f>
        <v>C36
Gino Casassa Rogazinski
Director del INACH</v>
      </c>
      <c r="AL14" s="61" t="str">
        <f>IFERROR("C37"&amp;CHAR(10)&amp;INDEX('LISTADO VIP'!$H$2:$H$1400,MATCH("C37",'LISTADO VIP'!$A$2:$A$1400,0))&amp;CHAR(10)&amp;INDEX('LISTADO VIP'!$I$2:$I$1400,MATCH("C37",'LISTADO VIP'!$A$2:$A$1400,0)),"C37")</f>
        <v>C37</v>
      </c>
      <c r="AM14" s="61" t="str">
        <f>IFERROR("C38"&amp;CHAR(10)&amp;INDEX('LISTADO VIP'!$H$2:$H$1400,MATCH("C38",'LISTADO VIP'!$A$2:$A$1400,0))&amp;CHAR(10)&amp;INDEX('LISTADO VIP'!$I$2:$I$1400,MATCH("C38",'LISTADO VIP'!$A$2:$A$1400,0)),"C38")</f>
        <v>C38
Eduardo Saavedra Bustos
Alcalde Ilustre Municipalidad de Talcahuano</v>
      </c>
      <c r="AN14" s="61" t="str">
        <f>IFERROR("C39"&amp;CHAR(10)&amp;INDEX('LISTADO VIP'!$H$2:$H$1400,MATCH("C39",'LISTADO VIP'!$A$2:$A$1400,0))&amp;CHAR(10)&amp;INDEX('LISTADO VIP'!$I$2:$I$1400,MATCH("C39",'LISTADO VIP'!$A$2:$A$1400,0)),"C39")</f>
        <v>C39</v>
      </c>
      <c r="AO14" s="61" t="str">
        <f>IFERROR("C40"&amp;CHAR(10)&amp;INDEX('LISTADO VIP'!$H$2:$H$1400,MATCH("C40",'LISTADO VIP'!$A$2:$A$1400,0))&amp;CHAR(10)&amp;INDEX('LISTADO VIP'!$I$2:$I$1400,MATCH("C40",'LISTADO VIP'!$A$2:$A$1400,0)),"C40")</f>
        <v>C40
María Soledad Tapia Almonacid
Director Nacional Servicio Nacional de Pesca y Acuicultura SERNAPESCA</v>
      </c>
      <c r="AP14" s="61" t="str">
        <f>IFERROR("C41"&amp;CHAR(10)&amp;INDEX('LISTADO VIP'!$H$2:$H$1400,MATCH("C41",'LISTADO VIP'!$A$2:$A$1400,0))&amp;CHAR(10)&amp;INDEX('LISTADO VIP'!$I$2:$I$1400,MATCH("C41",'LISTADO VIP'!$A$2:$A$1400,0)),"C41")</f>
        <v>C41
Marcela Cartagena Ramos
Fiscal Regional de Concepción</v>
      </c>
      <c r="AQ14" s="61" t="str">
        <f>IFERROR("C42"&amp;CHAR(10)&amp;INDEX('LISTADO VIP'!$H$2:$H$1400,MATCH("C42",'LISTADO VIP'!$A$2:$A$1400,0))&amp;CHAR(10)&amp;INDEX('LISTADO VIP'!$I$2:$I$1400,MATCH("C42",'LISTADO VIP'!$A$2:$A$1400,0)),"C42")</f>
        <v>C42
Alvaro Ananías Itaim
Presidernte de la Cámara de Producción y Comercio del Bio Bio</v>
      </c>
      <c r="AR14" s="61" t="str">
        <f>IFERROR("C43"&amp;CHAR(10)&amp;INDEX('LISTADO VIP'!$H$2:$H$1400,MATCH("C43",'LISTADO VIP'!$A$2:$A$1400,0))&amp;CHAR(10)&amp;INDEX('LISTADO VIP'!$I$2:$I$1400,MATCH("C43",'LISTADO VIP'!$A$2:$A$1400,0)),"C43")</f>
        <v>C43
Carlos Basáez Valdebenito
Contralor Regional Bio Bio</v>
      </c>
      <c r="AS14" s="61" t="str">
        <f>IFERROR("C44"&amp;CHAR(10)&amp;INDEX('LISTADO VIP'!$H$2:$H$1400,MATCH("C44",'LISTADO VIP'!$A$2:$A$1400,0))&amp;CHAR(10)&amp;INDEX('LISTADO VIP'!$I$2:$I$1400,MATCH("C44",'LISTADO VIP'!$A$2:$A$1400,0)),"C44")</f>
        <v>C44
Renzo Miccono Villablanca
Jefe VIII Zona de Carabineros BIOBÍO</v>
      </c>
      <c r="AT14" s="61" t="str">
        <f>IFERROR("C45"&amp;CHAR(10)&amp;INDEX('LISTADO VIP'!$H$2:$H$1400,MATCH("C45",'LISTADO VIP'!$A$2:$A$1400,0))&amp;CHAR(10)&amp;INDEX('LISTADO VIP'!$I$2:$I$1400,MATCH("C45",'LISTADO VIP'!$A$2:$A$1400,0)),"C45")</f>
        <v>C45
Mauricio Arenas Menares
Directo General del Personal de la Armada</v>
      </c>
    </row>
    <row r="15" spans="1:46" ht="86.1" customHeight="1" x14ac:dyDescent="0.2">
      <c r="A15" s="60" t="s">
        <v>2891</v>
      </c>
      <c r="B15" s="61" t="str">
        <f>IFERROR("D1"&amp;CHAR(10)&amp;INDEX('LISTADO VIP'!$H$2:$H$1400,MATCH("D1",'LISTADO VIP'!$A$2:$A$1400,0))&amp;CHAR(10)&amp;INDEX('LISTADO VIP'!$I$2:$I$1400,MATCH("D1",'LISTADO VIP'!$A$2:$A$1400,0)),"D1")</f>
        <v>D1
Cristian Lara Valenzuela
Director Universidad Técnica Federico Santa María Sede Concepción</v>
      </c>
      <c r="C15" s="61" t="str">
        <f>IFERROR("D2"&amp;CHAR(10)&amp;INDEX('LISTADO VIP'!$H$2:$H$1400,MATCH("D2",'LISTADO VIP'!$A$2:$A$1400,0))&amp;CHAR(10)&amp;INDEX('LISTADO VIP'!$I$2:$I$1400,MATCH("D2",'LISTADO VIP'!$A$2:$A$1400,0)),"D2")</f>
        <v>D2
Rene Valenzuea Azócar
Secretario General de la Armada</v>
      </c>
      <c r="D15" s="61" t="str">
        <f>IFERROR("D3"&amp;CHAR(10)&amp;INDEX('LISTADO VIP'!$H$2:$H$1400,MATCH("D3",'LISTADO VIP'!$A$2:$A$1400,0))&amp;CHAR(10)&amp;INDEX('LISTADO VIP'!$I$2:$I$1400,MATCH("D3",'LISTADO VIP'!$A$2:$A$1400,0)),"D3")</f>
        <v>D3
Alejandro Torres Horton
SUBMAYOR Consejo Superior ASMAR</v>
      </c>
      <c r="E15" s="61" t="str">
        <f>IFERROR("D4"&amp;CHAR(10)&amp;INDEX('LISTADO VIP'!$H$2:$H$1400,MATCH("D4",'LISTADO VIP'!$A$2:$A$1400,0))&amp;CHAR(10)&amp;INDEX('LISTADO VIP'!$I$2:$I$1400,MATCH("D4",'LISTADO VIP'!$A$2:$A$1400,0)),"D4")</f>
        <v>D4
Claudio Muñoz Cabrera
Contralor de la Armada</v>
      </c>
      <c r="F15" s="61" t="str">
        <f>IFERROR("D5"&amp;CHAR(10)&amp;INDEX('LISTADO VIP'!$H$2:$H$1400,MATCH("D5",'LISTADO VIP'!$A$2:$A$1400,0))&amp;CHAR(10)&amp;INDEX('LISTADO VIP'!$I$2:$I$1400,MATCH("D5",'LISTADO VIP'!$A$2:$A$1400,0)),"D5")</f>
        <v>D5
Daniel Opazo Riquelme
*Comandante General del Cuerpo de Infantería de Marina</v>
      </c>
      <c r="G15" s="61" t="str">
        <f>IFERROR("D6"&amp;CHAR(10)&amp;INDEX('LISTADO VIP'!$H$2:$H$1400,MATCH("D6",'LISTADO VIP'!$A$2:$A$1400,0))&amp;CHAR(10)&amp;INDEX('LISTADO VIP'!$I$2:$I$1400,MATCH("D6",'LISTADO VIP'!$A$2:$A$1400,0)),"D6")</f>
        <v>D6
Federico Saelzer Concha
*Comandante en Jefe de la Fuerza de Submarinos</v>
      </c>
      <c r="H15" s="61" t="str">
        <f>IFERROR("D7"&amp;CHAR(10)&amp;INDEX('LISTADO VIP'!$H$2:$H$1400,MATCH("D7",'LISTADO VIP'!$A$2:$A$1400,0))&amp;CHAR(10)&amp;INDEX('LISTADO VIP'!$I$2:$I$1400,MATCH("D7",'LISTADO VIP'!$A$2:$A$1400,0)),"D7")</f>
        <v>D7
José Agustín Pájaro Márquez
Director de Operaciones del Estado Mayor General de la Armada</v>
      </c>
      <c r="I15" s="61" t="str">
        <f>IFERROR("D8"&amp;CHAR(10)&amp;INDEX('LISTADO VIP'!$H$2:$H$1400,MATCH("D8",'LISTADO VIP'!$A$2:$A$1400,0))&amp;CHAR(10)&amp;INDEX('LISTADO VIP'!$I$2:$I$1400,MATCH("D8",'LISTADO VIP'!$A$2:$A$1400,0)),"D8")</f>
        <v>D8
José Miguel Hernández Jacir
Director de Astilleros y Maestranzas de la Armada</v>
      </c>
      <c r="J15" s="61" t="str">
        <f>IFERROR("D9"&amp;CHAR(10)&amp;INDEX('LISTADO VIP'!$H$2:$H$1400,MATCH("D9",'LISTADO VIP'!$A$2:$A$1400,0))&amp;CHAR(10)&amp;INDEX('LISTADO VIP'!$I$2:$I$1400,MATCH("D9",'LISTADO VIP'!$A$2:$A$1400,0)),"D9")</f>
        <v>D9
Juan Pablo Marín Fernández
Subjefe del Estado Mayor Conjunto</v>
      </c>
      <c r="K15" s="61" t="str">
        <f>IFERROR("D10"&amp;CHAR(10)&amp;INDEX('LISTADO VIP'!$H$2:$H$1400,MATCH("D10",'LISTADO VIP'!$A$2:$A$1400,0))&amp;CHAR(10)&amp;INDEX('LISTADO VIP'!$I$2:$I$1400,MATCH("D10",'LISTADO VIP'!$A$2:$A$1400,0)),"D10")</f>
        <v>D10
César Delgado Boffil
Director General de los Servicios de la Armada</v>
      </c>
      <c r="L15" s="61" t="str">
        <f>"D11"&amp;CHAR(10)&amp;"RESERVADO"</f>
        <v>D11
RESERVADO</v>
      </c>
      <c r="M15" s="61" t="str">
        <f>"D12"&amp;CHAR(10)&amp;"RESERVADO"</f>
        <v>D12
RESERVADO</v>
      </c>
      <c r="N15" s="61" t="str">
        <f>"D13"&amp;CHAR(10)&amp;"RESERVADO"</f>
        <v>D13
RESERVADO</v>
      </c>
      <c r="O15" s="61" t="str">
        <f>"D14"&amp;CHAR(10)&amp;"RESERVADO"</f>
        <v>D14
RESERVADO</v>
      </c>
      <c r="P15" s="61" t="str">
        <f>"D15"&amp;CHAR(10)&amp;"RESERVADO"</f>
        <v>D15
RESERVADO</v>
      </c>
      <c r="Q15" s="61" t="str">
        <f>"D16"&amp;CHAR(10)&amp;"RESERVADO"</f>
        <v>D16
RESERVADO</v>
      </c>
      <c r="R15" s="61" t="str">
        <f>"D17"&amp;CHAR(10)&amp;"RESERVADO"</f>
        <v>D17
RESERVADO</v>
      </c>
      <c r="S15" s="61" t="str">
        <f>"D18"&amp;CHAR(10)&amp;"SIN SILLA"</f>
        <v>D18
SIN SILLA</v>
      </c>
      <c r="T15" s="61" t="str">
        <f>"D19"&amp;CHAR(10)&amp;"SIN SILLA"</f>
        <v>D19
SIN SILLA</v>
      </c>
      <c r="U15" s="61" t="str">
        <f>"D20"&amp;CHAR(10)&amp;"SIN SILLA"</f>
        <v>D20
SIN SILLA</v>
      </c>
      <c r="V15" s="61" t="str">
        <f>"D21"&amp;CHAR(10)&amp;"SIN SILLA"</f>
        <v>D21
SIN SILLA</v>
      </c>
      <c r="W15" s="61" t="str">
        <f>"D22"&amp;CHAR(10)&amp;"SIN SILLA"</f>
        <v>D22
SIN SILLA</v>
      </c>
      <c r="X15" s="61" t="str">
        <f>"D23"&amp;CHAR(10)&amp;"SIN SILLA"</f>
        <v>D23
SIN SILLA</v>
      </c>
      <c r="Y15" s="61" t="str">
        <f>"D24"&amp;CHAR(10)&amp;"SIN SILLA"</f>
        <v>D24
SIN SILLA</v>
      </c>
      <c r="Z15" s="61" t="str">
        <f>"D25"&amp;CHAR(10)&amp;"SIN SILLA"</f>
        <v>D25
SIN SILLA</v>
      </c>
      <c r="AA15" s="61" t="str">
        <f>"D26"&amp;CHAR(10)&amp;"SIN SILLA"</f>
        <v>D26
SIN SILLA</v>
      </c>
      <c r="AB15" s="61" t="str">
        <f>"D27"&amp;CHAR(10)&amp;"SIN SILLA"</f>
        <v>D27
SIN SILLA</v>
      </c>
      <c r="AC15" s="61" t="str">
        <f>"D28"&amp;CHAR(10)&amp;"RESERVADO"</f>
        <v>D28
RESERVADO</v>
      </c>
      <c r="AD15" s="61" t="str">
        <f>"D29"&amp;CHAR(10)&amp;"RESERVADO"</f>
        <v>D29
RESERVADO</v>
      </c>
      <c r="AE15" s="61" t="str">
        <f>"D30"&amp;CHAR(10)&amp;"RESERVADO"</f>
        <v>D30
RESERVADO</v>
      </c>
      <c r="AF15" s="61" t="str">
        <f>"D31"&amp;CHAR(10)&amp;"RESERVADO"</f>
        <v>D31
RESERVADO</v>
      </c>
      <c r="AG15" s="61" t="str">
        <f>"D32"&amp;CHAR(10)&amp;"RESERVADO"</f>
        <v>D32
RESERVADO</v>
      </c>
      <c r="AH15" s="61" t="str">
        <f>"D33"&amp;CHAR(10)&amp;"RESERVADO"</f>
        <v>D33
RESERVADO</v>
      </c>
      <c r="AI15" s="61" t="str">
        <f>"D34"&amp;CHAR(10)&amp;"RESERVADO"</f>
        <v>D34
RESERVADO</v>
      </c>
      <c r="AJ15" s="61" t="str">
        <f>"D35"&amp;CHAR(10)&amp;"RESERVADO"</f>
        <v>D35
RESERVADO</v>
      </c>
      <c r="AK15" s="61" t="str">
        <f>IFERROR("D36"&amp;CHAR(10)&amp;INDEX('LISTADO VIP'!$H$2:$H$1400,MATCH("D36",'LISTADO VIP'!$A$2:$A$1400,0))&amp;CHAR(10)&amp;INDEX('LISTADO VIP'!$I$2:$I$1400,MATCH("D36",'LISTADO VIP'!$A$2:$A$1400,0)),"D36")</f>
        <v>D36
Arturo Oxley Lizana
Director General del Territorio Marítimo y de Marina Mercante</v>
      </c>
      <c r="AL15" s="61" t="str">
        <f>IFERROR("D37"&amp;CHAR(10)&amp;INDEX('LISTADO VIP'!$H$2:$H$1400,MATCH("D37",'LISTADO VIP'!$A$2:$A$1400,0))&amp;CHAR(10)&amp;INDEX('LISTADO VIP'!$I$2:$I$1400,MATCH("D37",'LISTADO VIP'!$A$2:$A$1400,0)),"D37")</f>
        <v>D37
Daniel Muñoz Miranda
*Comandante de Operaciones Navales</v>
      </c>
      <c r="AM15" s="61" t="str">
        <f>IFERROR("D38"&amp;CHAR(10)&amp;INDEX('LISTADO VIP'!$H$2:$H$1400,MATCH("D38",'LISTADO VIP'!$A$2:$A$1400,0))&amp;CHAR(10)&amp;INDEX('LISTADO VIP'!$I$2:$I$1400,MATCH("D38",'LISTADO VIP'!$A$2:$A$1400,0)),"D38")</f>
        <v>D38
Oscar Manzano Sanguineti
Director de Recuperaciones de Unidades de la Armada</v>
      </c>
      <c r="AN15" s="61" t="str">
        <f>IFERROR("D39"&amp;CHAR(10)&amp;INDEX('LISTADO VIP'!$H$2:$H$1400,MATCH("D39",'LISTADO VIP'!$A$2:$A$1400,0))&amp;CHAR(10)&amp;INDEX('LISTADO VIP'!$I$2:$I$1400,MATCH("D39",'LISTADO VIP'!$A$2:$A$1400,0)),"D39")</f>
        <v>D39
Edgardo Acevedo Pérez
*Comandante en Jefe de la Segunda Zona Naval</v>
      </c>
      <c r="AO15" s="61" t="str">
        <f>IFERROR("D40"&amp;CHAR(10)&amp;INDEX('LISTADO VIP'!$H$2:$H$1400,MATCH("D40",'LISTADO VIP'!$A$2:$A$1400,0))&amp;CHAR(10)&amp;INDEX('LISTADO VIP'!$I$2:$I$1400,MATCH("D40",'LISTADO VIP'!$A$2:$A$1400,0)),"D40")</f>
        <v>D40
Claudia Arrieta Figueroa
Esposa Comandante en Jefe de la Fuerza de Submarinos</v>
      </c>
      <c r="AP15" s="61" t="str">
        <f>IFERROR("D41"&amp;CHAR(10)&amp;INDEX('LISTADO VIP'!$H$2:$H$1400,MATCH("D41",'LISTADO VIP'!$A$2:$A$1400,0))&amp;CHAR(10)&amp;INDEX('LISTADO VIP'!$I$2:$I$1400,MATCH("D41",'LISTADO VIP'!$A$2:$A$1400,0)),"D41")</f>
        <v>D41
Alberto Guerrero García
Director de Programas, Investigación y Desarrollo de la Armada</v>
      </c>
      <c r="AQ15" s="61" t="str">
        <f>IFERROR("D42"&amp;CHAR(10)&amp;INDEX('LISTADO VIP'!$H$2:$H$1400,MATCH("D42",'LISTADO VIP'!$A$2:$A$1400,0))&amp;CHAR(10)&amp;INDEX('LISTADO VIP'!$I$2:$I$1400,MATCH("D42",'LISTADO VIP'!$A$2:$A$1400,0)),"D42")</f>
        <v>D42
Marcel Fort Santander
Director de finanzaas de la Armada.</v>
      </c>
      <c r="AR15" s="61" t="str">
        <f>IFERROR("D43"&amp;CHAR(10)&amp;INDEX('LISTADO VIP'!$H$2:$H$1400,MATCH("D43",'LISTADO VIP'!$A$2:$A$1400,0))&amp;CHAR(10)&amp;INDEX('LISTADO VIP'!$I$2:$I$1400,MATCH("D43",'LISTADO VIP'!$A$2:$A$1400,0)),"D43")</f>
        <v>D43
J. Cristobal Mendez Tapia
DIRISNAV Consejo Superior ASMAR</v>
      </c>
      <c r="AS15" s="61" t="str">
        <f>IFERROR("D44"&amp;CHAR(10)&amp;INDEX('LISTADO VIP'!$H$2:$H$1400,MATCH("D44",'LISTADO VIP'!$A$2:$A$1400,0))&amp;CHAR(10)&amp;INDEX('LISTADO VIP'!$I$2:$I$1400,MATCH("D44",'LISTADO VIP'!$A$2:$A$1400,0)),"D44")</f>
        <v>D44
Jorge Vidal Berrocal
DABA Consejo Superior ASMAR</v>
      </c>
      <c r="AT15" s="61" t="str">
        <f>IFERROR("D45"&amp;CHAR(10)&amp;INDEX('LISTADO VIP'!$H$2:$H$1400,MATCH("D45",'LISTADO VIP'!$A$2:$A$1400,0))&amp;CHAR(10)&amp;INDEX('LISTADO VIP'!$I$2:$I$1400,MATCH("D45",'LISTADO VIP'!$A$2:$A$1400,0)),"D45")</f>
        <v>D45
Thomas Klischies Nevermann
Director DUOC UC Sede San Andrés de Concepción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400"/>
  <sheetViews>
    <sheetView workbookViewId="0"/>
  </sheetViews>
  <sheetFormatPr baseColWidth="10" defaultColWidth="9" defaultRowHeight="12.75" x14ac:dyDescent="0.2"/>
  <cols>
    <col min="1" max="1" width="24" customWidth="1"/>
    <col min="2" max="2" width="12" customWidth="1"/>
    <col min="3" max="3" width="8" customWidth="1"/>
    <col min="4" max="4" width="18" customWidth="1"/>
    <col min="5" max="5" width="12" customWidth="1"/>
    <col min="6" max="6" width="10" customWidth="1"/>
    <col min="7" max="7" width="22" customWidth="1"/>
    <col min="8" max="8" width="34" customWidth="1"/>
    <col min="9" max="9" width="48" customWidth="1"/>
    <col min="10" max="10" width="12" customWidth="1"/>
  </cols>
  <sheetData>
    <row r="1" spans="1:10" ht="18" customHeight="1" x14ac:dyDescent="0.2">
      <c r="A1" s="54" t="s">
        <v>15</v>
      </c>
      <c r="B1" s="54" t="s">
        <v>1</v>
      </c>
      <c r="C1" s="54" t="s">
        <v>0</v>
      </c>
      <c r="D1" s="54" t="s">
        <v>2</v>
      </c>
      <c r="E1" s="54" t="s">
        <v>4</v>
      </c>
      <c r="F1" s="54" t="s">
        <v>9</v>
      </c>
      <c r="G1" s="54" t="s">
        <v>3</v>
      </c>
      <c r="H1" s="54" t="s">
        <v>5</v>
      </c>
      <c r="I1" s="54" t="s">
        <v>10</v>
      </c>
      <c r="J1" s="54" t="s">
        <v>2892</v>
      </c>
    </row>
    <row r="2" spans="1:10" x14ac:dyDescent="0.2">
      <c r="A2" t="str">
        <f>IF(AND(UPPER(MAESTRO!$M2)="VIP",UPPER(MAESTRO!$J2)="SI",MAESTRO!$F2&lt;&gt;""),MAESTRO!$P2,"")</f>
        <v>A23</v>
      </c>
      <c r="B2">
        <f>IF($A2&lt;&gt;"",MAESTRO!$B2,"")</f>
        <v>1</v>
      </c>
      <c r="C2">
        <f>IF($A2&lt;&gt;"",MAESTRO!$A2,"")</f>
        <v>1</v>
      </c>
      <c r="D2" t="str">
        <f>IF($A2&lt;&gt;"",MAESTRO!$C2,"")</f>
        <v>OPA</v>
      </c>
      <c r="E2" t="str">
        <f>IF($A2&lt;&gt;"",MAESTRO!$M2,"")</f>
        <v>VIP</v>
      </c>
      <c r="F2" t="str">
        <f>IF($A2&lt;&gt;"",MAESTRO!$J2,"")</f>
        <v>SI</v>
      </c>
      <c r="G2" t="str">
        <f>IF($A2&lt;&gt;"",MAESTRO!$D2,"")</f>
        <v>Su Excelencia</v>
      </c>
      <c r="H2" t="str">
        <f>IF($A2&lt;&gt;"",IF(TRIM(MAESTRO!$G2&amp;" "&amp;MAESTRO!$H2&amp;" "&amp;MAESTRO!$I2)="",MAESTRO!$F2,TRIM(MAESTRO!$G2&amp;" "&amp;MAESTRO!$H2&amp;" "&amp;MAESTRO!$I2)),"")</f>
        <v>José Antonio Kast Rist</v>
      </c>
      <c r="I2" t="str">
        <f>IF($A2&lt;&gt;"",MAESTRO!$K2,"")</f>
        <v>* Presidente de la República</v>
      </c>
      <c r="J2">
        <f>IF($A2&lt;&gt;"",2,"")</f>
        <v>2</v>
      </c>
    </row>
    <row r="3" spans="1:10" x14ac:dyDescent="0.2">
      <c r="A3" t="str">
        <f>IF(AND(UPPER(MAESTRO!$M3)="VIP",UPPER(MAESTRO!$J3)="SI",MAESTRO!$F3&lt;&gt;""),MAESTRO!$P3,"")</f>
        <v>A24</v>
      </c>
      <c r="B3">
        <f>IF($A3&lt;&gt;"",MAESTRO!$B3,"")</f>
        <v>2</v>
      </c>
      <c r="C3">
        <f>IF($A3&lt;&gt;"",MAESTRO!$A3,"")</f>
        <v>2</v>
      </c>
      <c r="D3" t="str">
        <f>IF($A3&lt;&gt;"",MAESTRO!$C3,"")</f>
        <v>OPA</v>
      </c>
      <c r="E3" t="str">
        <f>IF($A3&lt;&gt;"",MAESTRO!$M3,"")</f>
        <v>VIP</v>
      </c>
      <c r="F3" t="str">
        <f>IF($A3&lt;&gt;"",MAESTRO!$J3,"")</f>
        <v>SI</v>
      </c>
      <c r="G3" t="str">
        <f>IF($A3&lt;&gt;"",MAESTRO!$D3,"")</f>
        <v>Primera Dama</v>
      </c>
      <c r="H3" t="str">
        <f>IF($A3&lt;&gt;"",IF(TRIM(MAESTRO!$G3&amp;" "&amp;MAESTRO!$H3&amp;" "&amp;MAESTRO!$I3)="",MAESTRO!$F3,TRIM(MAESTRO!$G3&amp;" "&amp;MAESTRO!$H3&amp;" "&amp;MAESTRO!$I3)),"")</f>
        <v>María Pía Adriasola Barroihet</v>
      </c>
      <c r="I3" t="str">
        <f>IF($A3&lt;&gt;"",MAESTRO!$K3,"")</f>
        <v>Esposa del Presidente de la República</v>
      </c>
      <c r="J3">
        <f>IF($A3&lt;&gt;"",3,"")</f>
        <v>3</v>
      </c>
    </row>
    <row r="4" spans="1:10" x14ac:dyDescent="0.2">
      <c r="A4" t="str">
        <f>IF(AND(UPPER(MAESTRO!$M4)="VIP",UPPER(MAESTRO!$J4)="SI",MAESTRO!$F4&lt;&gt;""),MAESTRO!$P4,"")</f>
        <v>A22</v>
      </c>
      <c r="B4">
        <f>IF($A4&lt;&gt;"",MAESTRO!$B4,"")</f>
        <v>3</v>
      </c>
      <c r="C4">
        <f>IF($A4&lt;&gt;"",MAESTRO!$A4,"")</f>
        <v>3</v>
      </c>
      <c r="D4" t="str">
        <f>IF($A4&lt;&gt;"",MAESTRO!$C4,"")</f>
        <v>OPA</v>
      </c>
      <c r="E4" t="str">
        <f>IF($A4&lt;&gt;"",MAESTRO!$M4,"")</f>
        <v>VIP</v>
      </c>
      <c r="F4" t="str">
        <f>IF($A4&lt;&gt;"",MAESTRO!$J4,"")</f>
        <v>SI</v>
      </c>
      <c r="G4" t="str">
        <f>IF($A4&lt;&gt;"",MAESTRO!$D4,"")</f>
        <v>Ministro</v>
      </c>
      <c r="H4" t="str">
        <f>IF($A4&lt;&gt;"",IF(TRIM(MAESTRO!$G4&amp;" "&amp;MAESTRO!$H4&amp;" "&amp;MAESTRO!$I4)="",MAESTRO!$F4,TRIM(MAESTRO!$G4&amp;" "&amp;MAESTRO!$H4&amp;" "&amp;MAESTRO!$I4)),"")</f>
        <v>Fernando Barros Tocornal</v>
      </c>
      <c r="I4" t="str">
        <f>IF($A4&lt;&gt;"",MAESTRO!$K4,"")</f>
        <v>*Ministro de Defensa Nacional</v>
      </c>
      <c r="J4">
        <f>IF($A4&lt;&gt;"",4,"")</f>
        <v>4</v>
      </c>
    </row>
    <row r="5" spans="1:10" x14ac:dyDescent="0.2">
      <c r="A5" t="str">
        <f>IF(AND(UPPER(MAESTRO!$M5)="VIP",UPPER(MAESTRO!$J5)="SI",MAESTRO!$F5&lt;&gt;""),MAESTRO!$P5,"")</f>
        <v>A21</v>
      </c>
      <c r="B5">
        <f>IF($A5&lt;&gt;"",MAESTRO!$B5,"")</f>
        <v>4</v>
      </c>
      <c r="C5">
        <f>IF($A5&lt;&gt;"",MAESTRO!$A5,"")</f>
        <v>4</v>
      </c>
      <c r="D5" t="str">
        <f>IF($A5&lt;&gt;"",MAESTRO!$C5,"")</f>
        <v>OPA</v>
      </c>
      <c r="E5" t="str">
        <f>IF($A5&lt;&gt;"",MAESTRO!$M5,"")</f>
        <v>VIP</v>
      </c>
      <c r="F5" t="str">
        <f>IF($A5&lt;&gt;"",MAESTRO!$J5,"")</f>
        <v>SI</v>
      </c>
      <c r="G5" t="str">
        <f>IF($A5&lt;&gt;"",MAESTRO!$D5,"")</f>
        <v>Almirante</v>
      </c>
      <c r="H5" t="str">
        <f>IF($A5&lt;&gt;"",IF(TRIM(MAESTRO!$G5&amp;" "&amp;MAESTRO!$H5&amp;" "&amp;MAESTRO!$I5)="",MAESTRO!$F5,TRIM(MAESTRO!$G5&amp;" "&amp;MAESTRO!$H5&amp;" "&amp;MAESTRO!$I5)),"")</f>
        <v>Fernando Cabrera Salazar</v>
      </c>
      <c r="I5" t="str">
        <f>IF($A5&lt;&gt;"",MAESTRO!$K5,"")</f>
        <v>*Comandante en Jefe de la Armada</v>
      </c>
      <c r="J5">
        <f>IF($A5&lt;&gt;"",5,"")</f>
        <v>5</v>
      </c>
    </row>
    <row r="6" spans="1:10" x14ac:dyDescent="0.2">
      <c r="A6" t="str">
        <f>IF(AND(UPPER(MAESTRO!$M6)="VIP",UPPER(MAESTRO!$J6)="SI",MAESTRO!$F6&lt;&gt;""),MAESTRO!$P6,"")</f>
        <v>A25</v>
      </c>
      <c r="B6">
        <f>IF($A6&lt;&gt;"",MAESTRO!$B6,"")</f>
        <v>5</v>
      </c>
      <c r="C6">
        <f>IF($A6&lt;&gt;"",MAESTRO!$A6,"")</f>
        <v>5</v>
      </c>
      <c r="D6" t="str">
        <f>IF($A6&lt;&gt;"",MAESTRO!$C6,"")</f>
        <v>OPA</v>
      </c>
      <c r="E6" t="str">
        <f>IF($A6&lt;&gt;"",MAESTRO!$M6,"")</f>
        <v>VIP</v>
      </c>
      <c r="F6" t="str">
        <f>IF($A6&lt;&gt;"",MAESTRO!$J6,"")</f>
        <v>SI</v>
      </c>
      <c r="G6" t="str">
        <f>IF($A6&lt;&gt;"",MAESTRO!$D6,"")</f>
        <v>Señora</v>
      </c>
      <c r="H6" t="str">
        <f>IF($A6&lt;&gt;"",IF(TRIM(MAESTRO!$G6&amp;" "&amp;MAESTRO!$H6&amp;" "&amp;MAESTRO!$I6)="",MAESTRO!$F6,TRIM(MAESTRO!$G6&amp;" "&amp;MAESTRO!$H6&amp;" "&amp;MAESTRO!$I6)),"")</f>
        <v>Roxana Mery Casella</v>
      </c>
      <c r="I6" t="str">
        <f>IF($A6&lt;&gt;"",MAESTRO!$K6,"")</f>
        <v>Esposa del Comandante en Jefe de la Armada</v>
      </c>
      <c r="J6">
        <f>IF($A6&lt;&gt;"",6,"")</f>
        <v>6</v>
      </c>
    </row>
    <row r="7" spans="1:10" x14ac:dyDescent="0.2">
      <c r="A7" t="str">
        <f>IF(AND(UPPER(MAESTRO!$M7)="VIP",UPPER(MAESTRO!$J7)="SI",MAESTRO!$F7&lt;&gt;""),MAESTRO!$P7,"")</f>
        <v/>
      </c>
      <c r="B7" t="str">
        <f>IF($A7&lt;&gt;"",MAESTRO!$B7,"")</f>
        <v/>
      </c>
      <c r="C7" t="str">
        <f>IF($A7&lt;&gt;"",MAESTRO!$A7,"")</f>
        <v/>
      </c>
      <c r="D7" t="str">
        <f>IF($A7&lt;&gt;"",MAESTRO!$C7,"")</f>
        <v/>
      </c>
      <c r="E7" t="str">
        <f>IF($A7&lt;&gt;"",MAESTRO!$M7,"")</f>
        <v/>
      </c>
      <c r="F7" t="str">
        <f>IF($A7&lt;&gt;"",MAESTRO!$J7,"")</f>
        <v/>
      </c>
      <c r="G7" t="str">
        <f>IF($A7&lt;&gt;"",MAESTRO!$D7,"")</f>
        <v/>
      </c>
      <c r="H7" t="str">
        <f>IF($A7&lt;&gt;"",IF(TRIM(MAESTRO!$G7&amp;" "&amp;MAESTRO!$H7&amp;" "&amp;MAESTRO!$I7)="",MAESTRO!$F7,TRIM(MAESTRO!$G7&amp;" "&amp;MAESTRO!$H7&amp;" "&amp;MAESTRO!$I7)),"")</f>
        <v/>
      </c>
      <c r="I7" t="str">
        <f>IF($A7&lt;&gt;"",MAESTRO!$K7,"")</f>
        <v/>
      </c>
      <c r="J7" t="str">
        <f>IF($A7&lt;&gt;"",7,"")</f>
        <v/>
      </c>
    </row>
    <row r="8" spans="1:10" x14ac:dyDescent="0.2">
      <c r="A8" t="str">
        <f>IF(AND(UPPER(MAESTRO!$M8)="VIP",UPPER(MAESTRO!$J8)="SI",MAESTRO!$F8&lt;&gt;""),MAESTRO!$P8,"")</f>
        <v/>
      </c>
      <c r="B8" t="str">
        <f>IF($A8&lt;&gt;"",MAESTRO!$B8,"")</f>
        <v/>
      </c>
      <c r="C8" t="str">
        <f>IF($A8&lt;&gt;"",MAESTRO!$A8,"")</f>
        <v/>
      </c>
      <c r="D8" t="str">
        <f>IF($A8&lt;&gt;"",MAESTRO!$C8,"")</f>
        <v/>
      </c>
      <c r="E8" t="str">
        <f>IF($A8&lt;&gt;"",MAESTRO!$M8,"")</f>
        <v/>
      </c>
      <c r="F8" t="str">
        <f>IF($A8&lt;&gt;"",MAESTRO!$J8,"")</f>
        <v/>
      </c>
      <c r="G8" t="str">
        <f>IF($A8&lt;&gt;"",MAESTRO!$D8,"")</f>
        <v/>
      </c>
      <c r="H8" t="str">
        <f>IF($A8&lt;&gt;"",IF(TRIM(MAESTRO!$G8&amp;" "&amp;MAESTRO!$H8&amp;" "&amp;MAESTRO!$I8)="",MAESTRO!$F8,TRIM(MAESTRO!$G8&amp;" "&amp;MAESTRO!$H8&amp;" "&amp;MAESTRO!$I8)),"")</f>
        <v/>
      </c>
      <c r="I8" t="str">
        <f>IF($A8&lt;&gt;"",MAESTRO!$K8,"")</f>
        <v/>
      </c>
      <c r="J8" t="str">
        <f>IF($A8&lt;&gt;"",8,"")</f>
        <v/>
      </c>
    </row>
    <row r="9" spans="1:10" x14ac:dyDescent="0.2">
      <c r="A9" t="str">
        <f>IF(AND(UPPER(MAESTRO!$M9)="VIP",UPPER(MAESTRO!$J9)="SI",MAESTRO!$F9&lt;&gt;""),MAESTRO!$P9,"")</f>
        <v/>
      </c>
      <c r="B9" t="str">
        <f>IF($A9&lt;&gt;"",MAESTRO!$B9,"")</f>
        <v/>
      </c>
      <c r="C9" t="str">
        <f>IF($A9&lt;&gt;"",MAESTRO!$A9,"")</f>
        <v/>
      </c>
      <c r="D9" t="str">
        <f>IF($A9&lt;&gt;"",MAESTRO!$C9,"")</f>
        <v/>
      </c>
      <c r="E9" t="str">
        <f>IF($A9&lt;&gt;"",MAESTRO!$M9,"")</f>
        <v/>
      </c>
      <c r="F9" t="str">
        <f>IF($A9&lt;&gt;"",MAESTRO!$J9,"")</f>
        <v/>
      </c>
      <c r="G9" t="str">
        <f>IF($A9&lt;&gt;"",MAESTRO!$D9,"")</f>
        <v/>
      </c>
      <c r="H9" t="str">
        <f>IF($A9&lt;&gt;"",IF(TRIM(MAESTRO!$G9&amp;" "&amp;MAESTRO!$H9&amp;" "&amp;MAESTRO!$I9)="",MAESTRO!$F9,TRIM(MAESTRO!$G9&amp;" "&amp;MAESTRO!$H9&amp;" "&amp;MAESTRO!$I9)),"")</f>
        <v/>
      </c>
      <c r="I9" t="str">
        <f>IF($A9&lt;&gt;"",MAESTRO!$K9,"")</f>
        <v/>
      </c>
      <c r="J9" t="str">
        <f>IF($A9&lt;&gt;"",9,"")</f>
        <v/>
      </c>
    </row>
    <row r="10" spans="1:10" x14ac:dyDescent="0.2">
      <c r="A10" t="str">
        <f>IF(AND(UPPER(MAESTRO!$M10)="VIP",UPPER(MAESTRO!$J10)="SI",MAESTRO!$F10&lt;&gt;""),MAESTRO!$P10,"")</f>
        <v/>
      </c>
      <c r="B10" t="str">
        <f>IF($A10&lt;&gt;"",MAESTRO!$B10,"")</f>
        <v/>
      </c>
      <c r="C10" t="str">
        <f>IF($A10&lt;&gt;"",MAESTRO!$A10,"")</f>
        <v/>
      </c>
      <c r="D10" t="str">
        <f>IF($A10&lt;&gt;"",MAESTRO!$C10,"")</f>
        <v/>
      </c>
      <c r="E10" t="str">
        <f>IF($A10&lt;&gt;"",MAESTRO!$M10,"")</f>
        <v/>
      </c>
      <c r="F10" t="str">
        <f>IF($A10&lt;&gt;"",MAESTRO!$J10,"")</f>
        <v/>
      </c>
      <c r="G10" t="str">
        <f>IF($A10&lt;&gt;"",MAESTRO!$D10,"")</f>
        <v/>
      </c>
      <c r="H10" t="str">
        <f>IF($A10&lt;&gt;"",IF(TRIM(MAESTRO!$G10&amp;" "&amp;MAESTRO!$H10&amp;" "&amp;MAESTRO!$I10)="",MAESTRO!$F10,TRIM(MAESTRO!$G10&amp;" "&amp;MAESTRO!$H10&amp;" "&amp;MAESTRO!$I10)),"")</f>
        <v/>
      </c>
      <c r="I10" t="str">
        <f>IF($A10&lt;&gt;"",MAESTRO!$K10,"")</f>
        <v/>
      </c>
      <c r="J10" t="str">
        <f>IF($A10&lt;&gt;"",10,"")</f>
        <v/>
      </c>
    </row>
    <row r="11" spans="1:10" x14ac:dyDescent="0.2">
      <c r="A11" t="str">
        <f>IF(AND(UPPER(MAESTRO!$M11)="VIP",UPPER(MAESTRO!$J11)="SI",MAESTRO!$F11&lt;&gt;""),MAESTRO!$P11,"")</f>
        <v/>
      </c>
      <c r="B11" t="str">
        <f>IF($A11&lt;&gt;"",MAESTRO!$B11,"")</f>
        <v/>
      </c>
      <c r="C11" t="str">
        <f>IF($A11&lt;&gt;"",MAESTRO!$A11,"")</f>
        <v/>
      </c>
      <c r="D11" t="str">
        <f>IF($A11&lt;&gt;"",MAESTRO!$C11,"")</f>
        <v/>
      </c>
      <c r="E11" t="str">
        <f>IF($A11&lt;&gt;"",MAESTRO!$M11,"")</f>
        <v/>
      </c>
      <c r="F11" t="str">
        <f>IF($A11&lt;&gt;"",MAESTRO!$J11,"")</f>
        <v/>
      </c>
      <c r="G11" t="str">
        <f>IF($A11&lt;&gt;"",MAESTRO!$D11,"")</f>
        <v/>
      </c>
      <c r="H11" t="str">
        <f>IF($A11&lt;&gt;"",IF(TRIM(MAESTRO!$G11&amp;" "&amp;MAESTRO!$H11&amp;" "&amp;MAESTRO!$I11)="",MAESTRO!$F11,TRIM(MAESTRO!$G11&amp;" "&amp;MAESTRO!$H11&amp;" "&amp;MAESTRO!$I11)),"")</f>
        <v/>
      </c>
      <c r="I11" t="str">
        <f>IF($A11&lt;&gt;"",MAESTRO!$K11,"")</f>
        <v/>
      </c>
      <c r="J11" t="str">
        <f>IF($A11&lt;&gt;"",11,"")</f>
        <v/>
      </c>
    </row>
    <row r="12" spans="1:10" x14ac:dyDescent="0.2">
      <c r="A12" t="str">
        <f>IF(AND(UPPER(MAESTRO!$M12)="VIP",UPPER(MAESTRO!$J12)="SI",MAESTRO!$F12&lt;&gt;""),MAESTRO!$P12,"")</f>
        <v/>
      </c>
      <c r="B12" t="str">
        <f>IF($A12&lt;&gt;"",MAESTRO!$B12,"")</f>
        <v/>
      </c>
      <c r="C12" t="str">
        <f>IF($A12&lt;&gt;"",MAESTRO!$A12,"")</f>
        <v/>
      </c>
      <c r="D12" t="str">
        <f>IF($A12&lt;&gt;"",MAESTRO!$C12,"")</f>
        <v/>
      </c>
      <c r="E12" t="str">
        <f>IF($A12&lt;&gt;"",MAESTRO!$M12,"")</f>
        <v/>
      </c>
      <c r="F12" t="str">
        <f>IF($A12&lt;&gt;"",MAESTRO!$J12,"")</f>
        <v/>
      </c>
      <c r="G12" t="str">
        <f>IF($A12&lt;&gt;"",MAESTRO!$D12,"")</f>
        <v/>
      </c>
      <c r="H12" t="str">
        <f>IF($A12&lt;&gt;"",IF(TRIM(MAESTRO!$G12&amp;" "&amp;MAESTRO!$H12&amp;" "&amp;MAESTRO!$I12)="",MAESTRO!$F12,TRIM(MAESTRO!$G12&amp;" "&amp;MAESTRO!$H12&amp;" "&amp;MAESTRO!$I12)),"")</f>
        <v/>
      </c>
      <c r="I12" t="str">
        <f>IF($A12&lt;&gt;"",MAESTRO!$K12,"")</f>
        <v/>
      </c>
      <c r="J12" t="str">
        <f>IF($A12&lt;&gt;"",12,"")</f>
        <v/>
      </c>
    </row>
    <row r="13" spans="1:10" x14ac:dyDescent="0.2">
      <c r="A13" t="str">
        <f>IF(AND(UPPER(MAESTRO!$M13)="VIP",UPPER(MAESTRO!$J13)="SI",MAESTRO!$F13&lt;&gt;""),MAESTRO!$P13,"")</f>
        <v/>
      </c>
      <c r="B13" t="str">
        <f>IF($A13&lt;&gt;"",MAESTRO!$B13,"")</f>
        <v/>
      </c>
      <c r="C13" t="str">
        <f>IF($A13&lt;&gt;"",MAESTRO!$A13,"")</f>
        <v/>
      </c>
      <c r="D13" t="str">
        <f>IF($A13&lt;&gt;"",MAESTRO!$C13,"")</f>
        <v/>
      </c>
      <c r="E13" t="str">
        <f>IF($A13&lt;&gt;"",MAESTRO!$M13,"")</f>
        <v/>
      </c>
      <c r="F13" t="str">
        <f>IF($A13&lt;&gt;"",MAESTRO!$J13,"")</f>
        <v/>
      </c>
      <c r="G13" t="str">
        <f>IF($A13&lt;&gt;"",MAESTRO!$D13,"")</f>
        <v/>
      </c>
      <c r="H13" t="str">
        <f>IF($A13&lt;&gt;"",IF(TRIM(MAESTRO!$G13&amp;" "&amp;MAESTRO!$H13&amp;" "&amp;MAESTRO!$I13)="",MAESTRO!$F13,TRIM(MAESTRO!$G13&amp;" "&amp;MAESTRO!$H13&amp;" "&amp;MAESTRO!$I13)),"")</f>
        <v/>
      </c>
      <c r="I13" t="str">
        <f>IF($A13&lt;&gt;"",MAESTRO!$K13,"")</f>
        <v/>
      </c>
      <c r="J13" t="str">
        <f>IF($A13&lt;&gt;"",13,"")</f>
        <v/>
      </c>
    </row>
    <row r="14" spans="1:10" x14ac:dyDescent="0.2">
      <c r="A14" t="str">
        <f>IF(AND(UPPER(MAESTRO!$M14)="VIP",UPPER(MAESTRO!$J14)="SI",MAESTRO!$F14&lt;&gt;""),MAESTRO!$P14,"")</f>
        <v/>
      </c>
      <c r="B14" t="str">
        <f>IF($A14&lt;&gt;"",MAESTRO!$B14,"")</f>
        <v/>
      </c>
      <c r="C14" t="str">
        <f>IF($A14&lt;&gt;"",MAESTRO!$A14,"")</f>
        <v/>
      </c>
      <c r="D14" t="str">
        <f>IF($A14&lt;&gt;"",MAESTRO!$C14,"")</f>
        <v/>
      </c>
      <c r="E14" t="str">
        <f>IF($A14&lt;&gt;"",MAESTRO!$M14,"")</f>
        <v/>
      </c>
      <c r="F14" t="str">
        <f>IF($A14&lt;&gt;"",MAESTRO!$J14,"")</f>
        <v/>
      </c>
      <c r="G14" t="str">
        <f>IF($A14&lt;&gt;"",MAESTRO!$D14,"")</f>
        <v/>
      </c>
      <c r="H14" t="str">
        <f>IF($A14&lt;&gt;"",IF(TRIM(MAESTRO!$G14&amp;" "&amp;MAESTRO!$H14&amp;" "&amp;MAESTRO!$I14)="",MAESTRO!$F14,TRIM(MAESTRO!$G14&amp;" "&amp;MAESTRO!$H14&amp;" "&amp;MAESTRO!$I14)),"")</f>
        <v/>
      </c>
      <c r="I14" t="str">
        <f>IF($A14&lt;&gt;"",MAESTRO!$K14,"")</f>
        <v/>
      </c>
      <c r="J14" t="str">
        <f>IF($A14&lt;&gt;"",14,"")</f>
        <v/>
      </c>
    </row>
    <row r="15" spans="1:10" x14ac:dyDescent="0.2">
      <c r="A15" t="str">
        <f>IF(AND(UPPER(MAESTRO!$M15)="VIP",UPPER(MAESTRO!$J15)="SI",MAESTRO!$F15&lt;&gt;""),MAESTRO!$P15,"")</f>
        <v/>
      </c>
      <c r="B15" t="str">
        <f>IF($A15&lt;&gt;"",MAESTRO!$B15,"")</f>
        <v/>
      </c>
      <c r="C15" t="str">
        <f>IF($A15&lt;&gt;"",MAESTRO!$A15,"")</f>
        <v/>
      </c>
      <c r="D15" t="str">
        <f>IF($A15&lt;&gt;"",MAESTRO!$C15,"")</f>
        <v/>
      </c>
      <c r="E15" t="str">
        <f>IF($A15&lt;&gt;"",MAESTRO!$M15,"")</f>
        <v/>
      </c>
      <c r="F15" t="str">
        <f>IF($A15&lt;&gt;"",MAESTRO!$J15,"")</f>
        <v/>
      </c>
      <c r="G15" t="str">
        <f>IF($A15&lt;&gt;"",MAESTRO!$D15,"")</f>
        <v/>
      </c>
      <c r="H15" t="str">
        <f>IF($A15&lt;&gt;"",IF(TRIM(MAESTRO!$G15&amp;" "&amp;MAESTRO!$H15&amp;" "&amp;MAESTRO!$I15)="",MAESTRO!$F15,TRIM(MAESTRO!$G15&amp;" "&amp;MAESTRO!$H15&amp;" "&amp;MAESTRO!$I15)),"")</f>
        <v/>
      </c>
      <c r="I15" t="str">
        <f>IF($A15&lt;&gt;"",MAESTRO!$K15,"")</f>
        <v/>
      </c>
      <c r="J15" t="str">
        <f>IF($A15&lt;&gt;"",15,"")</f>
        <v/>
      </c>
    </row>
    <row r="16" spans="1:10" x14ac:dyDescent="0.2">
      <c r="A16" t="str">
        <f>IF(AND(UPPER(MAESTRO!$M16)="VIP",UPPER(MAESTRO!$J16)="SI",MAESTRO!$F16&lt;&gt;""),MAESTRO!$P16,"")</f>
        <v/>
      </c>
      <c r="B16" t="str">
        <f>IF($A16&lt;&gt;"",MAESTRO!$B16,"")</f>
        <v/>
      </c>
      <c r="C16" t="str">
        <f>IF($A16&lt;&gt;"",MAESTRO!$A16,"")</f>
        <v/>
      </c>
      <c r="D16" t="str">
        <f>IF($A16&lt;&gt;"",MAESTRO!$C16,"")</f>
        <v/>
      </c>
      <c r="E16" t="str">
        <f>IF($A16&lt;&gt;"",MAESTRO!$M16,"")</f>
        <v/>
      </c>
      <c r="F16" t="str">
        <f>IF($A16&lt;&gt;"",MAESTRO!$J16,"")</f>
        <v/>
      </c>
      <c r="G16" t="str">
        <f>IF($A16&lt;&gt;"",MAESTRO!$D16,"")</f>
        <v/>
      </c>
      <c r="H16" t="str">
        <f>IF($A16&lt;&gt;"",IF(TRIM(MAESTRO!$G16&amp;" "&amp;MAESTRO!$H16&amp;" "&amp;MAESTRO!$I16)="",MAESTRO!$F16,TRIM(MAESTRO!$G16&amp;" "&amp;MAESTRO!$H16&amp;" "&amp;MAESTRO!$I16)),"")</f>
        <v/>
      </c>
      <c r="I16" t="str">
        <f>IF($A16&lt;&gt;"",MAESTRO!$K16,"")</f>
        <v/>
      </c>
      <c r="J16" t="str">
        <f>IF($A16&lt;&gt;"",16,"")</f>
        <v/>
      </c>
    </row>
    <row r="17" spans="1:10" x14ac:dyDescent="0.2">
      <c r="A17" t="str">
        <f>IF(AND(UPPER(MAESTRO!$M17)="VIP",UPPER(MAESTRO!$J17)="SI",MAESTRO!$F17&lt;&gt;""),MAESTRO!$P17,"")</f>
        <v>A17</v>
      </c>
      <c r="B17">
        <f>IF($A17&lt;&gt;"",MAESTRO!$B17,"")</f>
        <v>16</v>
      </c>
      <c r="C17">
        <f t="shared" ref="C17:C22" si="0">IF($A17&lt;&gt;"",$CAT$33:$K$2147516417,"")</f>
        <v>16</v>
      </c>
      <c r="D17" t="str">
        <f>IF($A17&lt;&gt;"",MAESTRO!$C17,"")</f>
        <v>OPA</v>
      </c>
      <c r="E17" t="str">
        <f>IF($A17&lt;&gt;"",MAESTRO!$M17,"")</f>
        <v>VIP</v>
      </c>
      <c r="F17" t="str">
        <f>IF($A17&lt;&gt;"",MAESTRO!$J17,"")</f>
        <v>SI</v>
      </c>
      <c r="G17" t="str">
        <f>IF($A17&lt;&gt;"",MAESTRO!$D17,"")</f>
        <v>Ministro</v>
      </c>
      <c r="H17" t="str">
        <f>IF($A17&lt;&gt;"",IF(TRIM(MAESTRO!$G17&amp;" "&amp;MAESTRO!$H17&amp;" "&amp;MAESTRO!$I17)="",MAESTRO!$F17,TRIM(MAESTRO!$G17&amp;" "&amp;MAESTRO!$H17&amp;" "&amp;MAESTRO!$I17)),"")</f>
        <v>Claudio Alvarado Andrade</v>
      </c>
      <c r="I17" t="str">
        <f>IF($A17&lt;&gt;"",MAESTRO!$K17,"")</f>
        <v>Biministro del Interior y Secretario General de Gobierno</v>
      </c>
      <c r="J17">
        <f>IF($A17&lt;&gt;"",17,"")</f>
        <v>17</v>
      </c>
    </row>
    <row r="18" spans="1:10" x14ac:dyDescent="0.2">
      <c r="A18" t="str">
        <f>IF(AND(UPPER(MAESTRO!$M18)="VIP",UPPER(MAESTRO!$J18)="SI",MAESTRO!$F18&lt;&gt;""),MAESTRO!$P18,"")</f>
        <v/>
      </c>
      <c r="B18" t="str">
        <f>IF($A18&lt;&gt;"",MAESTRO!$B18,"")</f>
        <v/>
      </c>
      <c r="C18" t="str">
        <f t="shared" si="0"/>
        <v/>
      </c>
      <c r="D18" t="str">
        <f>IF($A18&lt;&gt;"",MAESTRO!$C18,"")</f>
        <v/>
      </c>
      <c r="E18" t="str">
        <f>IF($A18&lt;&gt;"",MAESTRO!$M18,"")</f>
        <v/>
      </c>
      <c r="F18" t="str">
        <f>IF($A18&lt;&gt;"",MAESTRO!$J18,"")</f>
        <v/>
      </c>
      <c r="G18" t="str">
        <f>IF($A18&lt;&gt;"",MAESTRO!$D18,"")</f>
        <v/>
      </c>
      <c r="H18" t="str">
        <f>IF($A18&lt;&gt;"",IF(TRIM(MAESTRO!$G18&amp;" "&amp;MAESTRO!$H18&amp;" "&amp;MAESTRO!$I18)="",MAESTRO!$F18,TRIM(MAESTRO!$G18&amp;" "&amp;MAESTRO!$H18&amp;" "&amp;MAESTRO!$I18)),"")</f>
        <v/>
      </c>
      <c r="I18" t="str">
        <f>IF($A18&lt;&gt;"",MAESTRO!$K18,"")</f>
        <v/>
      </c>
      <c r="J18" t="str">
        <f>IF($A18&lt;&gt;"",18,"")</f>
        <v/>
      </c>
    </row>
    <row r="19" spans="1:10" x14ac:dyDescent="0.2">
      <c r="A19" t="str">
        <f>IF(AND(UPPER(MAESTRO!$M19)="VIP",UPPER(MAESTRO!$J19)="SI",MAESTRO!$F19&lt;&gt;""),MAESTRO!$P19,"")</f>
        <v/>
      </c>
      <c r="B19" t="str">
        <f>IF($A19&lt;&gt;"",MAESTRO!$B19,"")</f>
        <v/>
      </c>
      <c r="C19" t="str">
        <f t="shared" si="0"/>
        <v/>
      </c>
      <c r="D19" t="str">
        <f>IF($A19&lt;&gt;"",MAESTRO!$C19,"")</f>
        <v/>
      </c>
      <c r="E19" t="str">
        <f>IF($A19&lt;&gt;"",MAESTRO!$M19,"")</f>
        <v/>
      </c>
      <c r="F19" t="str">
        <f>IF($A19&lt;&gt;"",MAESTRO!$J19,"")</f>
        <v/>
      </c>
      <c r="G19" t="str">
        <f>IF($A19&lt;&gt;"",MAESTRO!$D19,"")</f>
        <v/>
      </c>
      <c r="H19" t="str">
        <f>IF($A19&lt;&gt;"",IF(TRIM(MAESTRO!$G19&amp;" "&amp;MAESTRO!$H19&amp;" "&amp;MAESTRO!$I19)="",MAESTRO!$F19,TRIM(MAESTRO!$G19&amp;" "&amp;MAESTRO!$H19&amp;" "&amp;MAESTRO!$I19)),"")</f>
        <v/>
      </c>
      <c r="I19" t="str">
        <f>IF($A19&lt;&gt;"",MAESTRO!$K19,"")</f>
        <v/>
      </c>
      <c r="J19" t="str">
        <f>IF($A19&lt;&gt;"",19,"")</f>
        <v/>
      </c>
    </row>
    <row r="20" spans="1:10" x14ac:dyDescent="0.2">
      <c r="A20" t="str">
        <f>IF(AND(UPPER(MAESTRO!$M20)="VIP",UPPER(MAESTRO!$J20)="SI",MAESTRO!$F20&lt;&gt;""),MAESTRO!$P20,"")</f>
        <v/>
      </c>
      <c r="B20" t="str">
        <f>IF($A20&lt;&gt;"",MAESTRO!$B20,"")</f>
        <v/>
      </c>
      <c r="C20" t="str">
        <f t="shared" si="0"/>
        <v/>
      </c>
      <c r="D20" t="str">
        <f>IF($A20&lt;&gt;"",MAESTRO!$C20,"")</f>
        <v/>
      </c>
      <c r="E20" t="str">
        <f>IF($A20&lt;&gt;"",MAESTRO!$M20,"")</f>
        <v/>
      </c>
      <c r="F20" t="str">
        <f>IF($A20&lt;&gt;"",MAESTRO!$J20,"")</f>
        <v/>
      </c>
      <c r="G20" t="str">
        <f>IF($A20&lt;&gt;"",MAESTRO!$D20,"")</f>
        <v/>
      </c>
      <c r="H20" t="str">
        <f>IF($A20&lt;&gt;"",IF(TRIM(MAESTRO!$G20&amp;" "&amp;MAESTRO!$H20&amp;" "&amp;MAESTRO!$I20)="",MAESTRO!$F20,TRIM(MAESTRO!$G20&amp;" "&amp;MAESTRO!$H20&amp;" "&amp;MAESTRO!$I20)),"")</f>
        <v/>
      </c>
      <c r="I20" t="str">
        <f>IF($A20&lt;&gt;"",MAESTRO!$K20,"")</f>
        <v/>
      </c>
      <c r="J20" t="str">
        <f>IF($A20&lt;&gt;"",20,"")</f>
        <v/>
      </c>
    </row>
    <row r="21" spans="1:10" x14ac:dyDescent="0.2">
      <c r="A21" t="str">
        <f>IF(AND(UPPER(MAESTRO!$M21)="VIP",UPPER(MAESTRO!$J21)="SI",MAESTRO!$F21&lt;&gt;""),MAESTRO!$P21,"")</f>
        <v/>
      </c>
      <c r="B21" t="str">
        <f>IF($A21&lt;&gt;"",MAESTRO!$B21,"")</f>
        <v/>
      </c>
      <c r="C21" t="str">
        <f t="shared" si="0"/>
        <v/>
      </c>
      <c r="D21" t="str">
        <f>IF($A21&lt;&gt;"",MAESTRO!$C21,"")</f>
        <v/>
      </c>
      <c r="E21" t="str">
        <f>IF($A21&lt;&gt;"",MAESTRO!$M21,"")</f>
        <v/>
      </c>
      <c r="F21" t="str">
        <f>IF($A21&lt;&gt;"",MAESTRO!$J21,"")</f>
        <v/>
      </c>
      <c r="G21" t="str">
        <f>IF($A21&lt;&gt;"",MAESTRO!$D21,"")</f>
        <v/>
      </c>
      <c r="H21" t="str">
        <f>IF($A21&lt;&gt;"",IF(TRIM(MAESTRO!$G21&amp;" "&amp;MAESTRO!$H21&amp;" "&amp;MAESTRO!$I21)="",MAESTRO!$F21,TRIM(MAESTRO!$G21&amp;" "&amp;MAESTRO!$H21&amp;" "&amp;MAESTRO!$I21)),"")</f>
        <v/>
      </c>
      <c r="I21" t="str">
        <f>IF($A21&lt;&gt;"",MAESTRO!$K21,"")</f>
        <v/>
      </c>
      <c r="J21" t="str">
        <f>IF($A21&lt;&gt;"",21,"")</f>
        <v/>
      </c>
    </row>
    <row r="22" spans="1:10" x14ac:dyDescent="0.2">
      <c r="A22" t="str">
        <f>IF(AND(UPPER(MAESTRO!$M22)="VIP",UPPER(MAESTRO!$J22)="SI",MAESTRO!$F22&lt;&gt;""),MAESTRO!$P22,"")</f>
        <v/>
      </c>
      <c r="B22" t="str">
        <f>IF($A22&lt;&gt;"",MAESTRO!$B22,"")</f>
        <v/>
      </c>
      <c r="C22" t="str">
        <f t="shared" si="0"/>
        <v/>
      </c>
      <c r="D22" t="str">
        <f>IF($A22&lt;&gt;"",MAESTRO!$C22,"")</f>
        <v/>
      </c>
      <c r="E22" t="str">
        <f>IF($A22&lt;&gt;"",MAESTRO!$M22,"")</f>
        <v/>
      </c>
      <c r="F22" t="str">
        <f>IF($A22&lt;&gt;"",MAESTRO!$J22,"")</f>
        <v/>
      </c>
      <c r="G22" t="str">
        <f>IF($A22&lt;&gt;"",MAESTRO!$D22,"")</f>
        <v/>
      </c>
      <c r="H22" t="str">
        <f>IF($A22&lt;&gt;"",IF(TRIM(MAESTRO!$G22&amp;" "&amp;MAESTRO!$H22&amp;" "&amp;MAESTRO!$I22)="",MAESTRO!$F22,TRIM(MAESTRO!$G22&amp;" "&amp;MAESTRO!$H22&amp;" "&amp;MAESTRO!$I22)),"")</f>
        <v/>
      </c>
      <c r="I22" t="str">
        <f>IF($A22&lt;&gt;"",MAESTRO!$K22,"")</f>
        <v/>
      </c>
      <c r="J22" t="str">
        <f>IF($A22&lt;&gt;"",22,"")</f>
        <v/>
      </c>
    </row>
    <row r="23" spans="1:10" x14ac:dyDescent="0.2">
      <c r="A23" t="str">
        <f>IF(AND(UPPER(MAESTRO!$M23)="VIP",UPPER(MAESTRO!$J23)="SI",MAESTRO!$F23&lt;&gt;""),MAESTRO!$P23,"")</f>
        <v/>
      </c>
      <c r="B23" t="str">
        <f>IF($A23&lt;&gt;"",MAESTRO!$B23,"")</f>
        <v/>
      </c>
      <c r="C23" t="str">
        <f>IF($A23&lt;&gt;"",MAESTRO!$A23,"")</f>
        <v/>
      </c>
      <c r="D23" t="str">
        <f>IF($A23&lt;&gt;"",MAESTRO!$C23,"")</f>
        <v/>
      </c>
      <c r="E23" t="str">
        <f>IF($A23&lt;&gt;"",MAESTRO!$M23,"")</f>
        <v/>
      </c>
      <c r="F23" t="str">
        <f>IF($A23&lt;&gt;"",MAESTRO!$J23,"")</f>
        <v/>
      </c>
      <c r="G23" t="str">
        <f>IF($A23&lt;&gt;"",MAESTRO!$D23,"")</f>
        <v/>
      </c>
      <c r="H23" t="str">
        <f>IF($A23&lt;&gt;"",IF(TRIM(MAESTRO!$G23&amp;" "&amp;MAESTRO!$H23&amp;" "&amp;MAESTRO!$I23)="",MAESTRO!$F23,TRIM(MAESTRO!$G23&amp;" "&amp;MAESTRO!$H23&amp;" "&amp;MAESTRO!$I23)),"")</f>
        <v/>
      </c>
      <c r="I23" t="str">
        <f>IF($A23&lt;&gt;"",MAESTRO!$K23,"")</f>
        <v/>
      </c>
      <c r="J23" t="str">
        <f>IF($A23&lt;&gt;"",23,"")</f>
        <v/>
      </c>
    </row>
    <row r="24" spans="1:10" x14ac:dyDescent="0.2">
      <c r="A24" t="str">
        <f>IF(AND(UPPER(MAESTRO!$M24)="VIP",UPPER(MAESTRO!$J24)="SI",MAESTRO!$F24&lt;&gt;""),MAESTRO!$P24,"")</f>
        <v/>
      </c>
      <c r="B24" t="str">
        <f>IF($A24&lt;&gt;"",MAESTRO!$B24,"")</f>
        <v/>
      </c>
      <c r="C24" t="str">
        <f>IF($A24&lt;&gt;"",MAESTRO!$A24,"")</f>
        <v/>
      </c>
      <c r="D24" t="str">
        <f>IF($A24&lt;&gt;"",MAESTRO!$C24,"")</f>
        <v/>
      </c>
      <c r="E24" t="str">
        <f>IF($A24&lt;&gt;"",MAESTRO!$M24,"")</f>
        <v/>
      </c>
      <c r="F24" t="str">
        <f>IF($A24&lt;&gt;"",MAESTRO!$J24,"")</f>
        <v/>
      </c>
      <c r="G24" t="str">
        <f>IF($A24&lt;&gt;"",MAESTRO!$D24,"")</f>
        <v/>
      </c>
      <c r="H24" t="str">
        <f>IF($A24&lt;&gt;"",IF(TRIM(MAESTRO!$G24&amp;" "&amp;MAESTRO!$H24&amp;" "&amp;MAESTRO!$I24)="",MAESTRO!$F24,TRIM(MAESTRO!$G24&amp;" "&amp;MAESTRO!$H24&amp;" "&amp;MAESTRO!$I24)),"")</f>
        <v/>
      </c>
      <c r="I24" t="str">
        <f>IF($A24&lt;&gt;"",MAESTRO!$K24,"")</f>
        <v/>
      </c>
      <c r="J24" t="str">
        <f>IF($A24&lt;&gt;"",24,"")</f>
        <v/>
      </c>
    </row>
    <row r="25" spans="1:10" x14ac:dyDescent="0.2">
      <c r="A25" t="str">
        <f>IF(AND(UPPER(MAESTRO!$M25)="VIP",UPPER(MAESTRO!$J25)="SI",MAESTRO!$F25&lt;&gt;""),MAESTRO!$P25,"")</f>
        <v/>
      </c>
      <c r="B25" t="str">
        <f>IF($A25&lt;&gt;"",MAESTRO!$B25,"")</f>
        <v/>
      </c>
      <c r="C25" t="str">
        <f>IF($A25&lt;&gt;"",MAESTRO!$A25,"")</f>
        <v/>
      </c>
      <c r="D25" t="str">
        <f>IF($A25&lt;&gt;"",MAESTRO!$C25,"")</f>
        <v/>
      </c>
      <c r="E25" t="str">
        <f>IF($A25&lt;&gt;"",MAESTRO!$M25,"")</f>
        <v/>
      </c>
      <c r="F25" t="str">
        <f>IF($A25&lt;&gt;"",MAESTRO!$J25,"")</f>
        <v/>
      </c>
      <c r="G25" t="str">
        <f>IF($A25&lt;&gt;"",MAESTRO!$D25,"")</f>
        <v/>
      </c>
      <c r="H25" t="str">
        <f>IF($A25&lt;&gt;"",IF(TRIM(MAESTRO!$G25&amp;" "&amp;MAESTRO!$H25&amp;" "&amp;MAESTRO!$I25)="",MAESTRO!$F25,TRIM(MAESTRO!$G25&amp;" "&amp;MAESTRO!$H25&amp;" "&amp;MAESTRO!$I25)),"")</f>
        <v/>
      </c>
      <c r="I25" t="str">
        <f>IF($A25&lt;&gt;"",MAESTRO!$K25,"")</f>
        <v/>
      </c>
      <c r="J25" t="str">
        <f>IF($A25&lt;&gt;"",25,"")</f>
        <v/>
      </c>
    </row>
    <row r="26" spans="1:10" x14ac:dyDescent="0.2">
      <c r="A26" t="str">
        <f>IF(AND(UPPER(MAESTRO!$M26)="VIP",UPPER(MAESTRO!$J26)="SI",MAESTRO!$F26&lt;&gt;""),MAESTRO!$P26,"")</f>
        <v/>
      </c>
      <c r="B26" t="str">
        <f>IF($A26&lt;&gt;"",MAESTRO!$B26,"")</f>
        <v/>
      </c>
      <c r="C26" t="str">
        <f>IF($A26&lt;&gt;"",MAESTRO!$A26,"")</f>
        <v/>
      </c>
      <c r="D26" t="str">
        <f>IF($A26&lt;&gt;"",MAESTRO!$C26,"")</f>
        <v/>
      </c>
      <c r="E26" t="str">
        <f>IF($A26&lt;&gt;"",MAESTRO!$M26,"")</f>
        <v/>
      </c>
      <c r="F26" t="str">
        <f>IF($A26&lt;&gt;"",MAESTRO!$J26,"")</f>
        <v/>
      </c>
      <c r="G26" t="str">
        <f>IF($A26&lt;&gt;"",MAESTRO!$D26,"")</f>
        <v/>
      </c>
      <c r="H26" t="str">
        <f>IF($A26&lt;&gt;"",IF(TRIM(MAESTRO!$G26&amp;" "&amp;MAESTRO!$H26&amp;" "&amp;MAESTRO!$I26)="",MAESTRO!$F26,TRIM(MAESTRO!$G26&amp;" "&amp;MAESTRO!$H26&amp;" "&amp;MAESTRO!$I26)),"")</f>
        <v/>
      </c>
      <c r="I26" t="str">
        <f>IF($A26&lt;&gt;"",MAESTRO!$K26,"")</f>
        <v/>
      </c>
      <c r="J26" t="str">
        <f>IF($A26&lt;&gt;"",26,"")</f>
        <v/>
      </c>
    </row>
    <row r="27" spans="1:10" x14ac:dyDescent="0.2">
      <c r="A27" t="str">
        <f>IF(AND(UPPER(MAESTRO!$M27)="VIP",UPPER(MAESTRO!$J27)="SI",MAESTRO!$F27&lt;&gt;""),MAESTRO!$P27,"")</f>
        <v/>
      </c>
      <c r="B27" t="str">
        <f>IF($A27&lt;&gt;"",MAESTRO!$B27,"")</f>
        <v/>
      </c>
      <c r="C27" t="str">
        <f>IF($A27&lt;&gt;"",MAESTRO!$A27,"")</f>
        <v/>
      </c>
      <c r="D27" t="str">
        <f>IF($A27&lt;&gt;"",MAESTRO!$C27,"")</f>
        <v/>
      </c>
      <c r="E27" t="str">
        <f>IF($A27&lt;&gt;"",MAESTRO!$M27,"")</f>
        <v/>
      </c>
      <c r="F27" t="str">
        <f>IF($A27&lt;&gt;"",MAESTRO!$J27,"")</f>
        <v/>
      </c>
      <c r="G27" t="str">
        <f>IF($A27&lt;&gt;"",MAESTRO!$D27,"")</f>
        <v/>
      </c>
      <c r="H27" t="str">
        <f>IF($A27&lt;&gt;"",IF(TRIM(MAESTRO!$G27&amp;" "&amp;MAESTRO!$H27&amp;" "&amp;MAESTRO!$I27)="",MAESTRO!$F27,TRIM(MAESTRO!$G27&amp;" "&amp;MAESTRO!$H27&amp;" "&amp;MAESTRO!$I27)),"")</f>
        <v/>
      </c>
      <c r="I27" t="str">
        <f>IF($A27&lt;&gt;"",MAESTRO!$K27,"")</f>
        <v/>
      </c>
      <c r="J27" t="str">
        <f>IF($A27&lt;&gt;"",27,"")</f>
        <v/>
      </c>
    </row>
    <row r="28" spans="1:10" x14ac:dyDescent="0.2">
      <c r="A28" t="str">
        <f>IF(AND(UPPER(MAESTRO!$M28)="VIP",UPPER(MAESTRO!$J28)="SI",MAESTRO!$F28&lt;&gt;""),MAESTRO!$P28,"")</f>
        <v/>
      </c>
      <c r="B28" t="str">
        <f>IF($A28&lt;&gt;"",MAESTRO!$B28,"")</f>
        <v/>
      </c>
      <c r="C28" t="str">
        <f>IF($A28&lt;&gt;"",MAESTRO!$A28,"")</f>
        <v/>
      </c>
      <c r="D28" t="str">
        <f>IF($A28&lt;&gt;"",MAESTRO!$C28,"")</f>
        <v/>
      </c>
      <c r="E28" t="str">
        <f>IF($A28&lt;&gt;"",MAESTRO!$M28,"")</f>
        <v/>
      </c>
      <c r="F28" t="str">
        <f>IF($A28&lt;&gt;"",MAESTRO!$J28,"")</f>
        <v/>
      </c>
      <c r="G28" t="str">
        <f>IF($A28&lt;&gt;"",MAESTRO!$D28,"")</f>
        <v/>
      </c>
      <c r="H28" t="str">
        <f>IF($A28&lt;&gt;"",IF(TRIM(MAESTRO!$G28&amp;" "&amp;MAESTRO!$H28&amp;" "&amp;MAESTRO!$I28)="",MAESTRO!$F28,TRIM(MAESTRO!$G28&amp;" "&amp;MAESTRO!$H28&amp;" "&amp;MAESTRO!$I28)),"")</f>
        <v/>
      </c>
      <c r="I28" t="str">
        <f>IF($A28&lt;&gt;"",MAESTRO!$K28,"")</f>
        <v/>
      </c>
      <c r="J28" t="str">
        <f>IF($A28&lt;&gt;"",28,"")</f>
        <v/>
      </c>
    </row>
    <row r="29" spans="1:10" x14ac:dyDescent="0.2">
      <c r="A29" t="str">
        <f>IF(AND(UPPER(MAESTRO!$M29)="VIP",UPPER(MAESTRO!$J29)="SI",MAESTRO!$F29&lt;&gt;""),MAESTRO!$P29,"")</f>
        <v/>
      </c>
      <c r="B29" t="str">
        <f>IF($A29&lt;&gt;"",MAESTRO!$B29,"")</f>
        <v/>
      </c>
      <c r="C29" t="str">
        <f>IF($A29&lt;&gt;"",MAESTRO!$A29,"")</f>
        <v/>
      </c>
      <c r="D29" t="str">
        <f>IF($A29&lt;&gt;"",MAESTRO!$C29,"")</f>
        <v/>
      </c>
      <c r="E29" t="str">
        <f>IF($A29&lt;&gt;"",MAESTRO!$M29,"")</f>
        <v/>
      </c>
      <c r="F29" t="str">
        <f>IF($A29&lt;&gt;"",MAESTRO!$J29,"")</f>
        <v/>
      </c>
      <c r="G29" t="str">
        <f>IF($A29&lt;&gt;"",MAESTRO!$D29,"")</f>
        <v/>
      </c>
      <c r="H29" t="str">
        <f>IF($A29&lt;&gt;"",IF(TRIM(MAESTRO!$G29&amp;" "&amp;MAESTRO!$H29&amp;" "&amp;MAESTRO!$I29)="",MAESTRO!$F29,TRIM(MAESTRO!$G29&amp;" "&amp;MAESTRO!$H29&amp;" "&amp;MAESTRO!$I29)),"")</f>
        <v/>
      </c>
      <c r="I29" t="str">
        <f>IF($A29&lt;&gt;"",MAESTRO!$K29,"")</f>
        <v/>
      </c>
      <c r="J29" t="str">
        <f>IF($A29&lt;&gt;"",29,"")</f>
        <v/>
      </c>
    </row>
    <row r="30" spans="1:10" x14ac:dyDescent="0.2">
      <c r="A30" t="str">
        <f>IF(AND(UPPER(MAESTRO!$M30)="VIP",UPPER(MAESTRO!$J30)="SI",MAESTRO!$F30&lt;&gt;""),MAESTRO!$P30,"")</f>
        <v/>
      </c>
      <c r="B30" t="str">
        <f>IF($A30&lt;&gt;"",MAESTRO!$B30,"")</f>
        <v/>
      </c>
      <c r="C30" t="str">
        <f>IF($A30&lt;&gt;"",MAESTRO!$A30,"")</f>
        <v/>
      </c>
      <c r="D30" t="str">
        <f>IF($A30&lt;&gt;"",MAESTRO!$C30,"")</f>
        <v/>
      </c>
      <c r="E30" t="str">
        <f>IF($A30&lt;&gt;"",MAESTRO!$M30,"")</f>
        <v/>
      </c>
      <c r="F30" t="str">
        <f>IF($A30&lt;&gt;"",MAESTRO!$J30,"")</f>
        <v/>
      </c>
      <c r="G30" t="str">
        <f>IF($A30&lt;&gt;"",MAESTRO!$D30,"")</f>
        <v/>
      </c>
      <c r="H30" t="str">
        <f>IF($A30&lt;&gt;"",IF(TRIM(MAESTRO!$G30&amp;" "&amp;MAESTRO!$H30&amp;" "&amp;MAESTRO!$I30)="",MAESTRO!$F30,TRIM(MAESTRO!$G30&amp;" "&amp;MAESTRO!$H30&amp;" "&amp;MAESTRO!$I30)),"")</f>
        <v/>
      </c>
      <c r="I30" t="str">
        <f>IF($A30&lt;&gt;"",MAESTRO!$K30,"")</f>
        <v/>
      </c>
      <c r="J30" t="str">
        <f>IF($A30&lt;&gt;"",30,"")</f>
        <v/>
      </c>
    </row>
    <row r="31" spans="1:10" x14ac:dyDescent="0.2">
      <c r="A31" t="str">
        <f>IF(AND(UPPER(MAESTRO!$M31)="VIP",UPPER(MAESTRO!$J31)="SI",MAESTRO!$F31&lt;&gt;""),MAESTRO!$P31,"")</f>
        <v/>
      </c>
      <c r="B31" t="str">
        <f>IF($A31&lt;&gt;"",MAESTRO!$B31,"")</f>
        <v/>
      </c>
      <c r="C31" t="str">
        <f>IF($A31&lt;&gt;"",MAESTRO!$A31,"")</f>
        <v/>
      </c>
      <c r="D31" t="str">
        <f>IF($A31&lt;&gt;"",MAESTRO!$C31,"")</f>
        <v/>
      </c>
      <c r="E31" t="str">
        <f>IF($A31&lt;&gt;"",MAESTRO!$M31,"")</f>
        <v/>
      </c>
      <c r="F31" t="str">
        <f>IF($A31&lt;&gt;"",MAESTRO!$J31,"")</f>
        <v/>
      </c>
      <c r="G31" t="str">
        <f>IF($A31&lt;&gt;"",MAESTRO!$D31,"")</f>
        <v/>
      </c>
      <c r="H31" t="str">
        <f>IF($A31&lt;&gt;"",IF(TRIM(MAESTRO!$G31&amp;" "&amp;MAESTRO!$H31&amp;" "&amp;MAESTRO!$I31)="",MAESTRO!$F31,TRIM(MAESTRO!$G31&amp;" "&amp;MAESTRO!$H31&amp;" "&amp;MAESTRO!$I31)),"")</f>
        <v/>
      </c>
      <c r="I31" t="str">
        <f>IF($A31&lt;&gt;"",MAESTRO!$K31,"")</f>
        <v/>
      </c>
      <c r="J31" t="str">
        <f>IF($A31&lt;&gt;"",31,"")</f>
        <v/>
      </c>
    </row>
    <row r="32" spans="1:10" x14ac:dyDescent="0.2">
      <c r="A32" t="str">
        <f>IF(AND(UPPER(MAESTRO!$M32)="VIP",UPPER(MAESTRO!$J32)="SI",MAESTRO!$F32&lt;&gt;""),MAESTRO!$P32,"")</f>
        <v/>
      </c>
      <c r="B32" t="str">
        <f>IF($A32&lt;&gt;"",MAESTRO!$B32,"")</f>
        <v/>
      </c>
      <c r="C32" t="str">
        <f>IF($A32&lt;&gt;"",MAESTRO!$A32,"")</f>
        <v/>
      </c>
      <c r="D32" t="str">
        <f>IF($A32&lt;&gt;"",MAESTRO!$C32,"")</f>
        <v/>
      </c>
      <c r="E32" t="str">
        <f>IF($A32&lt;&gt;"",MAESTRO!$M32,"")</f>
        <v/>
      </c>
      <c r="F32" t="str">
        <f>IF($A32&lt;&gt;"",MAESTRO!$J32,"")</f>
        <v/>
      </c>
      <c r="G32" t="str">
        <f>IF($A32&lt;&gt;"",MAESTRO!$D32,"")</f>
        <v/>
      </c>
      <c r="H32" t="str">
        <f>IF($A32&lt;&gt;"",IF(TRIM(MAESTRO!$G32&amp;" "&amp;MAESTRO!$H32&amp;" "&amp;MAESTRO!$I32)="",MAESTRO!$F32,TRIM(MAESTRO!$G32&amp;" "&amp;MAESTRO!$H32&amp;" "&amp;MAESTRO!$I32)),"")</f>
        <v/>
      </c>
      <c r="I32" t="str">
        <f>IF($A32&lt;&gt;"",MAESTRO!$K32,"")</f>
        <v/>
      </c>
      <c r="J32" t="str">
        <f>IF($A32&lt;&gt;"",32,"")</f>
        <v/>
      </c>
    </row>
    <row r="33" spans="1:10" x14ac:dyDescent="0.2">
      <c r="A33" t="str">
        <f>IF(AND(UPPER(MAESTRO!$M33)="VIP",UPPER(MAESTRO!$J33)="SI",MAESTRO!$F33&lt;&gt;""),MAESTRO!$P33,"")</f>
        <v/>
      </c>
      <c r="B33" t="str">
        <f>IF($A33&lt;&gt;"",MAESTRO!$B33,"")</f>
        <v/>
      </c>
      <c r="C33" t="str">
        <f>IF($A33&lt;&gt;"",MAESTRO!$A33,"")</f>
        <v/>
      </c>
      <c r="D33" t="str">
        <f>IF($A33&lt;&gt;"",MAESTRO!$C33,"")</f>
        <v/>
      </c>
      <c r="E33" t="str">
        <f>IF($A33&lt;&gt;"",MAESTRO!$M33,"")</f>
        <v/>
      </c>
      <c r="F33" t="str">
        <f>IF($A33&lt;&gt;"",MAESTRO!$J33,"")</f>
        <v/>
      </c>
      <c r="G33" t="str">
        <f>IF($A33&lt;&gt;"",MAESTRO!$D33,"")</f>
        <v/>
      </c>
      <c r="H33" t="str">
        <f>IF($A33&lt;&gt;"",IF(TRIM(MAESTRO!$G33&amp;" "&amp;MAESTRO!$H33&amp;" "&amp;MAESTRO!$I33)="",MAESTRO!$F33,TRIM(MAESTRO!$G33&amp;" "&amp;MAESTRO!$H33&amp;" "&amp;MAESTRO!$I33)),"")</f>
        <v/>
      </c>
      <c r="I33" t="str">
        <f>IF($A33&lt;&gt;"",MAESTRO!$K33,"")</f>
        <v/>
      </c>
      <c r="J33" t="str">
        <f>IF($A33&lt;&gt;"",33,"")</f>
        <v/>
      </c>
    </row>
    <row r="34" spans="1:10" x14ac:dyDescent="0.2">
      <c r="A34" t="str">
        <f>IF(AND(UPPER(MAESTRO!$M34)="VIP",UPPER(MAESTRO!$J34)="SI",MAESTRO!$F34&lt;&gt;""),MAESTRO!$P34,"")</f>
        <v/>
      </c>
      <c r="B34" t="str">
        <f>IF($A34&lt;&gt;"",MAESTRO!$B34,"")</f>
        <v/>
      </c>
      <c r="C34" t="str">
        <f>IF($A34&lt;&gt;"",MAESTRO!$A34,"")</f>
        <v/>
      </c>
      <c r="D34" t="str">
        <f>IF($A34&lt;&gt;"",MAESTRO!$C34,"")</f>
        <v/>
      </c>
      <c r="E34" t="str">
        <f>IF($A34&lt;&gt;"",MAESTRO!$M34,"")</f>
        <v/>
      </c>
      <c r="F34" t="str">
        <f>IF($A34&lt;&gt;"",MAESTRO!$J34,"")</f>
        <v/>
      </c>
      <c r="G34" t="str">
        <f>IF($A34&lt;&gt;"",MAESTRO!$D34,"")</f>
        <v/>
      </c>
      <c r="H34" t="str">
        <f>IF($A34&lt;&gt;"",IF(TRIM(MAESTRO!$G34&amp;" "&amp;MAESTRO!$H34&amp;" "&amp;MAESTRO!$I34)="",MAESTRO!$F34,TRIM(MAESTRO!$G34&amp;" "&amp;MAESTRO!$H34&amp;" "&amp;MAESTRO!$I34)),"")</f>
        <v/>
      </c>
      <c r="I34" t="str">
        <f>IF($A34&lt;&gt;"",MAESTRO!$K34,"")</f>
        <v/>
      </c>
      <c r="J34" t="str">
        <f>IF($A34&lt;&gt;"",34,"")</f>
        <v/>
      </c>
    </row>
    <row r="35" spans="1:10" x14ac:dyDescent="0.2">
      <c r="A35" t="str">
        <f>IF(AND(UPPER(MAESTRO!$M35)="VIP",UPPER(MAESTRO!$J35)="SI",MAESTRO!$F35&lt;&gt;""),MAESTRO!$P35,"")</f>
        <v/>
      </c>
      <c r="B35" t="str">
        <f>IF($A35&lt;&gt;"",MAESTRO!$B35,"")</f>
        <v/>
      </c>
      <c r="C35" t="str">
        <f>IF($A35&lt;&gt;"",MAESTRO!$A35,"")</f>
        <v/>
      </c>
      <c r="D35" t="str">
        <f>IF($A35&lt;&gt;"",MAESTRO!$C35,"")</f>
        <v/>
      </c>
      <c r="E35" t="str">
        <f>IF($A35&lt;&gt;"",MAESTRO!$M35,"")</f>
        <v/>
      </c>
      <c r="F35" t="str">
        <f>IF($A35&lt;&gt;"",MAESTRO!$J35,"")</f>
        <v/>
      </c>
      <c r="G35" t="str">
        <f>IF($A35&lt;&gt;"",MAESTRO!$D35,"")</f>
        <v/>
      </c>
      <c r="H35" t="str">
        <f>IF($A35&lt;&gt;"",IF(TRIM(MAESTRO!$G35&amp;" "&amp;MAESTRO!$H35&amp;" "&amp;MAESTRO!$I35)="",MAESTRO!$F35,TRIM(MAESTRO!$G35&amp;" "&amp;MAESTRO!$H35&amp;" "&amp;MAESTRO!$I35)),"")</f>
        <v/>
      </c>
      <c r="I35" t="str">
        <f>IF($A35&lt;&gt;"",MAESTRO!$K35,"")</f>
        <v/>
      </c>
      <c r="J35" t="str">
        <f>IF($A35&lt;&gt;"",35,"")</f>
        <v/>
      </c>
    </row>
    <row r="36" spans="1:10" x14ac:dyDescent="0.2">
      <c r="A36" t="str">
        <f>IF(AND(UPPER(MAESTRO!$M36)="VIP",UPPER(MAESTRO!$J36)="SI",MAESTRO!$F36&lt;&gt;""),MAESTRO!$P36,"")</f>
        <v/>
      </c>
      <c r="B36" t="str">
        <f>IF($A36&lt;&gt;"",MAESTRO!$B36,"")</f>
        <v/>
      </c>
      <c r="C36" t="str">
        <f>IF($A36&lt;&gt;"",MAESTRO!$A36,"")</f>
        <v/>
      </c>
      <c r="D36" t="str">
        <f>IF($A36&lt;&gt;"",MAESTRO!$C36,"")</f>
        <v/>
      </c>
      <c r="E36" t="str">
        <f>IF($A36&lt;&gt;"",MAESTRO!$M36,"")</f>
        <v/>
      </c>
      <c r="F36" t="str">
        <f>IF($A36&lt;&gt;"",MAESTRO!$J36,"")</f>
        <v/>
      </c>
      <c r="G36" t="str">
        <f>IF($A36&lt;&gt;"",MAESTRO!$D36,"")</f>
        <v/>
      </c>
      <c r="H36" t="str">
        <f>IF($A36&lt;&gt;"",IF(TRIM(MAESTRO!$G36&amp;" "&amp;MAESTRO!$H36&amp;" "&amp;MAESTRO!$I36)="",MAESTRO!$F36,TRIM(MAESTRO!$G36&amp;" "&amp;MAESTRO!$H36&amp;" "&amp;MAESTRO!$I36)),"")</f>
        <v/>
      </c>
      <c r="I36" t="str">
        <f>IF($A36&lt;&gt;"",MAESTRO!$K36,"")</f>
        <v/>
      </c>
      <c r="J36" t="str">
        <f>IF($A36&lt;&gt;"",36,"")</f>
        <v/>
      </c>
    </row>
    <row r="37" spans="1:10" x14ac:dyDescent="0.2">
      <c r="A37" t="str">
        <f>IF(AND(UPPER(MAESTRO!$M37)="VIP",UPPER(MAESTRO!$J37)="SI",MAESTRO!$F37&lt;&gt;""),MAESTRO!$P37,"")</f>
        <v/>
      </c>
      <c r="B37" t="str">
        <f>IF($A37&lt;&gt;"",MAESTRO!$B37,"")</f>
        <v/>
      </c>
      <c r="C37" t="str">
        <f>IF($A37&lt;&gt;"",MAESTRO!$A37,"")</f>
        <v/>
      </c>
      <c r="D37" t="str">
        <f>IF($A37&lt;&gt;"",MAESTRO!$C37,"")</f>
        <v/>
      </c>
      <c r="E37" t="str">
        <f>IF($A37&lt;&gt;"",MAESTRO!$M37,"")</f>
        <v/>
      </c>
      <c r="F37" t="str">
        <f>IF($A37&lt;&gt;"",MAESTRO!$J37,"")</f>
        <v/>
      </c>
      <c r="G37" t="str">
        <f>IF($A37&lt;&gt;"",MAESTRO!$D37,"")</f>
        <v/>
      </c>
      <c r="H37" t="str">
        <f>IF($A37&lt;&gt;"",IF(TRIM(MAESTRO!$G37&amp;" "&amp;MAESTRO!$H37&amp;" "&amp;MAESTRO!$I37)="",MAESTRO!$F37,TRIM(MAESTRO!$G37&amp;" "&amp;MAESTRO!$H37&amp;" "&amp;MAESTRO!$I37)),"")</f>
        <v/>
      </c>
      <c r="I37" t="str">
        <f>IF($A37&lt;&gt;"",MAESTRO!$K37,"")</f>
        <v/>
      </c>
      <c r="J37" t="str">
        <f>IF($A37&lt;&gt;"",37,"")</f>
        <v/>
      </c>
    </row>
    <row r="38" spans="1:10" x14ac:dyDescent="0.2">
      <c r="A38" t="str">
        <f>IF(AND(UPPER(MAESTRO!$M38)="VIP",UPPER(MAESTRO!$J38)="SI",MAESTRO!$F38&lt;&gt;""),MAESTRO!$P38,"")</f>
        <v/>
      </c>
      <c r="B38" t="str">
        <f>IF($A38&lt;&gt;"",MAESTRO!$B38,"")</f>
        <v/>
      </c>
      <c r="C38" t="str">
        <f>IF($A38&lt;&gt;"",MAESTRO!$A38,"")</f>
        <v/>
      </c>
      <c r="D38" t="str">
        <f>IF($A38&lt;&gt;"",MAESTRO!$C38,"")</f>
        <v/>
      </c>
      <c r="E38" t="str">
        <f>IF($A38&lt;&gt;"",MAESTRO!$M38,"")</f>
        <v/>
      </c>
      <c r="F38" t="str">
        <f>IF($A38&lt;&gt;"",MAESTRO!$J38,"")</f>
        <v/>
      </c>
      <c r="G38" t="str">
        <f>IF($A38&lt;&gt;"",MAESTRO!$D38,"")</f>
        <v/>
      </c>
      <c r="H38" t="str">
        <f>IF($A38&lt;&gt;"",IF(TRIM(MAESTRO!$G38&amp;" "&amp;MAESTRO!$H38&amp;" "&amp;MAESTRO!$I38)="",MAESTRO!$F38,TRIM(MAESTRO!$G38&amp;" "&amp;MAESTRO!$H38&amp;" "&amp;MAESTRO!$I38)),"")</f>
        <v/>
      </c>
      <c r="I38" t="str">
        <f>IF($A38&lt;&gt;"",MAESTRO!$K38,"")</f>
        <v/>
      </c>
      <c r="J38" t="str">
        <f>IF($A38&lt;&gt;"",38,"")</f>
        <v/>
      </c>
    </row>
    <row r="39" spans="1:10" x14ac:dyDescent="0.2">
      <c r="A39" t="str">
        <f>IF(AND(UPPER(MAESTRO!$M39)="VIP",UPPER(MAESTRO!$J39)="SI",MAESTRO!$F39&lt;&gt;""),MAESTRO!$P39,"")</f>
        <v/>
      </c>
      <c r="B39" t="str">
        <f>IF($A39&lt;&gt;"",MAESTRO!$B39,"")</f>
        <v/>
      </c>
      <c r="C39" t="str">
        <f>IF($A39&lt;&gt;"",MAESTRO!$A39,"")</f>
        <v/>
      </c>
      <c r="D39" t="str">
        <f>IF($A39&lt;&gt;"",MAESTRO!$C39,"")</f>
        <v/>
      </c>
      <c r="E39" t="str">
        <f>IF($A39&lt;&gt;"",MAESTRO!$M39,"")</f>
        <v/>
      </c>
      <c r="F39" t="str">
        <f>IF($A39&lt;&gt;"",MAESTRO!$J39,"")</f>
        <v/>
      </c>
      <c r="G39" t="str">
        <f>IF($A39&lt;&gt;"",MAESTRO!$D39,"")</f>
        <v/>
      </c>
      <c r="H39" t="str">
        <f>IF($A39&lt;&gt;"",IF(TRIM(MAESTRO!$G39&amp;" "&amp;MAESTRO!$H39&amp;" "&amp;MAESTRO!$I39)="",MAESTRO!$F39,TRIM(MAESTRO!$G39&amp;" "&amp;MAESTRO!$H39&amp;" "&amp;MAESTRO!$I39)),"")</f>
        <v/>
      </c>
      <c r="I39" t="str">
        <f>IF($A39&lt;&gt;"",MAESTRO!$K39,"")</f>
        <v/>
      </c>
      <c r="J39" t="str">
        <f>IF($A39&lt;&gt;"",39,"")</f>
        <v/>
      </c>
    </row>
    <row r="40" spans="1:10" x14ac:dyDescent="0.2">
      <c r="A40" t="str">
        <f>IF(AND(UPPER(MAESTRO!$M40)="VIP",UPPER(MAESTRO!$J40)="SI",MAESTRO!$F40&lt;&gt;""),MAESTRO!$P40,"")</f>
        <v/>
      </c>
      <c r="B40" t="str">
        <f>IF($A40&lt;&gt;"",MAESTRO!$B40,"")</f>
        <v/>
      </c>
      <c r="C40" t="str">
        <f>IF($A40&lt;&gt;"",MAESTRO!$A40,"")</f>
        <v/>
      </c>
      <c r="D40" t="str">
        <f>IF($A40&lt;&gt;"",MAESTRO!$C40,"")</f>
        <v/>
      </c>
      <c r="E40" t="str">
        <f>IF($A40&lt;&gt;"",MAESTRO!$M40,"")</f>
        <v/>
      </c>
      <c r="F40" t="str">
        <f>IF($A40&lt;&gt;"",MAESTRO!$J40,"")</f>
        <v/>
      </c>
      <c r="G40" t="str">
        <f>IF($A40&lt;&gt;"",MAESTRO!$D40,"")</f>
        <v/>
      </c>
      <c r="H40" t="str">
        <f>IF($A40&lt;&gt;"",IF(TRIM(MAESTRO!$G40&amp;" "&amp;MAESTRO!$H40&amp;" "&amp;MAESTRO!$I40)="",MAESTRO!$F40,TRIM(MAESTRO!$G40&amp;" "&amp;MAESTRO!$H40&amp;" "&amp;MAESTRO!$I40)),"")</f>
        <v/>
      </c>
      <c r="I40" t="str">
        <f>IF($A40&lt;&gt;"",MAESTRO!$K40,"")</f>
        <v/>
      </c>
      <c r="J40" t="str">
        <f>IF($A40&lt;&gt;"",40,"")</f>
        <v/>
      </c>
    </row>
    <row r="41" spans="1:10" x14ac:dyDescent="0.2">
      <c r="A41" t="str">
        <f>IF(AND(UPPER(MAESTRO!$M41)="VIP",UPPER(MAESTRO!$J41)="SI",MAESTRO!$F41&lt;&gt;""),MAESTRO!$P41,"")</f>
        <v/>
      </c>
      <c r="B41" t="str">
        <f>IF($A41&lt;&gt;"",MAESTRO!$B41,"")</f>
        <v/>
      </c>
      <c r="C41" t="str">
        <f>IF($A41&lt;&gt;"",MAESTRO!$A41,"")</f>
        <v/>
      </c>
      <c r="D41" t="str">
        <f>IF($A41&lt;&gt;"",MAESTRO!$C41,"")</f>
        <v/>
      </c>
      <c r="E41" t="str">
        <f>IF($A41&lt;&gt;"",MAESTRO!$M41,"")</f>
        <v/>
      </c>
      <c r="F41" t="str">
        <f>IF($A41&lt;&gt;"",MAESTRO!$J41,"")</f>
        <v/>
      </c>
      <c r="G41" t="str">
        <f>IF($A41&lt;&gt;"",MAESTRO!$D41,"")</f>
        <v/>
      </c>
      <c r="H41" t="str">
        <f>IF($A41&lt;&gt;"",IF(TRIM(MAESTRO!$G41&amp;" "&amp;MAESTRO!$H41&amp;" "&amp;MAESTRO!$I41)="",MAESTRO!$F41,TRIM(MAESTRO!$G41&amp;" "&amp;MAESTRO!$H41&amp;" "&amp;MAESTRO!$I41)),"")</f>
        <v/>
      </c>
      <c r="I41" t="str">
        <f>IF($A41&lt;&gt;"",MAESTRO!$K41,"")</f>
        <v/>
      </c>
      <c r="J41" t="str">
        <f>IF($A41&lt;&gt;"",41,"")</f>
        <v/>
      </c>
    </row>
    <row r="42" spans="1:10" x14ac:dyDescent="0.2">
      <c r="A42" t="str">
        <f>IF(AND(UPPER(MAESTRO!$M42)="VIP",UPPER(MAESTRO!$J42)="SI",MAESTRO!$F42&lt;&gt;""),MAESTRO!$P42,"")</f>
        <v>A33</v>
      </c>
      <c r="B42">
        <f>IF($A42&lt;&gt;"",MAESTRO!$B42,"")</f>
        <v>41</v>
      </c>
      <c r="C42">
        <f>IF($A42&lt;&gt;"",MAESTRO!$A42,"")</f>
        <v>41</v>
      </c>
      <c r="D42" t="str">
        <f>IF($A42&lt;&gt;"",MAESTRO!$C42,"")</f>
        <v>OPA</v>
      </c>
      <c r="E42" t="str">
        <f>IF($A42&lt;&gt;"",MAESTRO!$M42,"")</f>
        <v>VIP</v>
      </c>
      <c r="F42" t="str">
        <f>IF($A42&lt;&gt;"",MAESTRO!$J42,"")</f>
        <v>SI</v>
      </c>
      <c r="G42" t="str">
        <f>IF($A42&lt;&gt;"",MAESTRO!$D42,"")</f>
        <v>Excelentísima</v>
      </c>
      <c r="H42" t="str">
        <f>IF($A42&lt;&gt;"",IF(TRIM(MAESTRO!$G42&amp;" "&amp;MAESTRO!$H42&amp;" "&amp;MAESTRO!$I42)="",MAESTRO!$F42,TRIM(MAESTRO!$G42&amp;" "&amp;MAESTRO!$H42&amp;" "&amp;MAESTRO!$I42)),"")</f>
        <v>Ahmet Ihsan Kiziltan</v>
      </c>
      <c r="I42" t="str">
        <f>IF($A42&lt;&gt;"",MAESTRO!$K42,"")</f>
        <v>Embajadora de Turquia en Chile</v>
      </c>
      <c r="J42">
        <f>IF($A42&lt;&gt;"",42,"")</f>
        <v>42</v>
      </c>
    </row>
    <row r="43" spans="1:10" x14ac:dyDescent="0.2">
      <c r="A43" t="str">
        <f>IF(AND(UPPER(MAESTRO!$M43)="VIP",UPPER(MAESTRO!$J43)="SI",MAESTRO!$F43&lt;&gt;""),MAESTRO!$P43,"")</f>
        <v/>
      </c>
      <c r="B43" t="str">
        <f>IF($A43&lt;&gt;"",MAESTRO!$B43,"")</f>
        <v/>
      </c>
      <c r="C43" t="str">
        <f>IF($A43&lt;&gt;"",MAESTRO!$A43,"")</f>
        <v/>
      </c>
      <c r="D43" t="str">
        <f>IF($A43&lt;&gt;"",MAESTRO!$C43,"")</f>
        <v/>
      </c>
      <c r="E43" t="str">
        <f>IF($A43&lt;&gt;"",MAESTRO!$M43,"")</f>
        <v/>
      </c>
      <c r="F43" t="str">
        <f>IF($A43&lt;&gt;"",MAESTRO!$J43,"")</f>
        <v/>
      </c>
      <c r="G43" t="str">
        <f>IF($A43&lt;&gt;"",MAESTRO!$D43,"")</f>
        <v/>
      </c>
      <c r="H43" t="str">
        <f>IF($A43&lt;&gt;"",IF(TRIM(MAESTRO!$G43&amp;" "&amp;MAESTRO!$H43&amp;" "&amp;MAESTRO!$I43)="",MAESTRO!$F43,TRIM(MAESTRO!$G43&amp;" "&amp;MAESTRO!$H43&amp;" "&amp;MAESTRO!$I43)),"")</f>
        <v/>
      </c>
      <c r="I43" t="str">
        <f>IF($A43&lt;&gt;"",MAESTRO!$K43,"")</f>
        <v/>
      </c>
      <c r="J43" t="str">
        <f>IF($A43&lt;&gt;"",43,"")</f>
        <v/>
      </c>
    </row>
    <row r="44" spans="1:10" x14ac:dyDescent="0.2">
      <c r="A44" t="str">
        <f>IF(AND(UPPER(MAESTRO!$M44)="VIP",UPPER(MAESTRO!$J44)="SI",MAESTRO!$F44&lt;&gt;""),MAESTRO!$P44,"")</f>
        <v>A12</v>
      </c>
      <c r="B44">
        <f>IF($A44&lt;&gt;"",MAESTRO!$B44,"")</f>
        <v>43</v>
      </c>
      <c r="C44">
        <f>IF($A44&lt;&gt;"",MAESTRO!$A44,"")</f>
        <v>43</v>
      </c>
      <c r="D44" t="str">
        <f>IF($A44&lt;&gt;"",MAESTRO!$C44,"")</f>
        <v>OPA</v>
      </c>
      <c r="E44" t="str">
        <f>IF($A44&lt;&gt;"",MAESTRO!$M44,"")</f>
        <v>VIP</v>
      </c>
      <c r="F44" t="str">
        <f>IF($A44&lt;&gt;"",MAESTRO!$J44,"")</f>
        <v>SI</v>
      </c>
      <c r="G44" t="str">
        <f>IF($A44&lt;&gt;"",MAESTRO!$D44,"")</f>
        <v>Excelentísima</v>
      </c>
      <c r="H44" t="str">
        <f>IF($A44&lt;&gt;"",IF(TRIM(MAESTRO!$G44&amp;" "&amp;MAESTRO!$H44&amp;" "&amp;MAESTRO!$I44)="",MAESTRO!$F44,TRIM(MAESTRO!$G44&amp;" "&amp;MAESTRO!$H44&amp;" "&amp;MAESTRO!$I44)),"")</f>
        <v>Sebastián Guanumen Parra</v>
      </c>
      <c r="I44" t="str">
        <f>IF($A44&lt;&gt;"",MAESTRO!$K44,"")</f>
        <v>Embajador de Colombia en Chile</v>
      </c>
      <c r="J44">
        <f>IF($A44&lt;&gt;"",44,"")</f>
        <v>44</v>
      </c>
    </row>
    <row r="45" spans="1:10" x14ac:dyDescent="0.2">
      <c r="A45" t="str">
        <f>IF(AND(UPPER(MAESTRO!$M45)="VIP",UPPER(MAESTRO!$J45)="SI",MAESTRO!$F45&lt;&gt;""),MAESTRO!$P45,"")</f>
        <v>A34</v>
      </c>
      <c r="B45">
        <f>IF($A45&lt;&gt;"",MAESTRO!$B45,"")</f>
        <v>44</v>
      </c>
      <c r="C45">
        <f>IF($A45&lt;&gt;"",MAESTRO!$A45,"")</f>
        <v>44</v>
      </c>
      <c r="D45" t="str">
        <f>IF($A45&lt;&gt;"",MAESTRO!$C45,"")</f>
        <v>OPA</v>
      </c>
      <c r="E45" t="str">
        <f>IF($A45&lt;&gt;"",MAESTRO!$M45,"")</f>
        <v>VIP</v>
      </c>
      <c r="F45" t="str">
        <f>IF($A45&lt;&gt;"",MAESTRO!$J45,"")</f>
        <v>SI</v>
      </c>
      <c r="G45" t="str">
        <f>IF($A45&lt;&gt;"",MAESTRO!$D45,"")</f>
        <v>Excelentísima</v>
      </c>
      <c r="H45" t="str">
        <f>IF($A45&lt;&gt;"",IF(TRIM(MAESTRO!$G45&amp;" "&amp;MAESTRO!$H45&amp;" "&amp;MAESTRO!$I45)="",MAESTRO!$F45,TRIM(MAESTRO!$G45&amp;" "&amp;MAESTRO!$H45&amp;" "&amp;MAESTRO!$I45)),"")</f>
        <v>Karolina Linda Guay Guay</v>
      </c>
      <c r="I45" t="str">
        <f>IF($A45&lt;&gt;"",MAESTRO!$K45,"")</f>
        <v>Embajadora de Canadá en Chile</v>
      </c>
      <c r="J45">
        <f>IF($A45&lt;&gt;"",45,"")</f>
        <v>45</v>
      </c>
    </row>
    <row r="46" spans="1:10" x14ac:dyDescent="0.2">
      <c r="A46" t="str">
        <f>IF(AND(UPPER(MAESTRO!$M46)="VIP",UPPER(MAESTRO!$J46)="SI",MAESTRO!$F46&lt;&gt;""),MAESTRO!$P46,"")</f>
        <v/>
      </c>
      <c r="B46" t="str">
        <f>IF($A46&lt;&gt;"",MAESTRO!$B46,"")</f>
        <v/>
      </c>
      <c r="C46" t="str">
        <f>IF($A46&lt;&gt;"",MAESTRO!$A46,"")</f>
        <v/>
      </c>
      <c r="D46" t="str">
        <f>IF($A46&lt;&gt;"",MAESTRO!$C46,"")</f>
        <v/>
      </c>
      <c r="E46" t="str">
        <f>IF($A46&lt;&gt;"",MAESTRO!$M46,"")</f>
        <v/>
      </c>
      <c r="F46" t="str">
        <f>IF($A46&lt;&gt;"",MAESTRO!$J46,"")</f>
        <v/>
      </c>
      <c r="G46" t="str">
        <f>IF($A46&lt;&gt;"",MAESTRO!$D46,"")</f>
        <v/>
      </c>
      <c r="H46" t="str">
        <f>IF($A46&lt;&gt;"",IF(TRIM(MAESTRO!$G46&amp;" "&amp;MAESTRO!$H46&amp;" "&amp;MAESTRO!$I46)="",MAESTRO!$F46,TRIM(MAESTRO!$G46&amp;" "&amp;MAESTRO!$H46&amp;" "&amp;MAESTRO!$I46)),"")</f>
        <v/>
      </c>
      <c r="I46" t="str">
        <f>IF($A46&lt;&gt;"",MAESTRO!$K46,"")</f>
        <v/>
      </c>
      <c r="J46" t="str">
        <f>IF($A46&lt;&gt;"",46,"")</f>
        <v/>
      </c>
    </row>
    <row r="47" spans="1:10" x14ac:dyDescent="0.2">
      <c r="A47" t="str">
        <f>IF(AND(UPPER(MAESTRO!$M47)="VIP",UPPER(MAESTRO!$J47)="SI",MAESTRO!$F47&lt;&gt;""),MAESTRO!$P47,"")</f>
        <v/>
      </c>
      <c r="B47" t="str">
        <f>IF($A47&lt;&gt;"",MAESTRO!$B47,"")</f>
        <v/>
      </c>
      <c r="C47" t="str">
        <f>IF($A47&lt;&gt;"",MAESTRO!$A47,"")</f>
        <v/>
      </c>
      <c r="D47" t="str">
        <f>IF($A47&lt;&gt;"",MAESTRO!$C47,"")</f>
        <v/>
      </c>
      <c r="E47" t="str">
        <f>IF($A47&lt;&gt;"",MAESTRO!$M47,"")</f>
        <v/>
      </c>
      <c r="F47" t="str">
        <f>IF($A47&lt;&gt;"",MAESTRO!$J47,"")</f>
        <v/>
      </c>
      <c r="G47" t="str">
        <f>IF($A47&lt;&gt;"",MAESTRO!$D47,"")</f>
        <v/>
      </c>
      <c r="H47" t="str">
        <f>IF($A47&lt;&gt;"",IF(TRIM(MAESTRO!$G47&amp;" "&amp;MAESTRO!$H47&amp;" "&amp;MAESTRO!$I47)="",MAESTRO!$F47,TRIM(MAESTRO!$G47&amp;" "&amp;MAESTRO!$H47&amp;" "&amp;MAESTRO!$I47)),"")</f>
        <v/>
      </c>
      <c r="I47" t="str">
        <f>IF($A47&lt;&gt;"",MAESTRO!$K47,"")</f>
        <v/>
      </c>
      <c r="J47" t="str">
        <f>IF($A47&lt;&gt;"",47,"")</f>
        <v/>
      </c>
    </row>
    <row r="48" spans="1:10" x14ac:dyDescent="0.2">
      <c r="A48" t="str">
        <f>IF(AND(UPPER(MAESTRO!$M48)="VIP",UPPER(MAESTRO!$J48)="SI",MAESTRO!$F48&lt;&gt;""),MAESTRO!$P48,"")</f>
        <v>A35</v>
      </c>
      <c r="B48">
        <f>IF($A48&lt;&gt;"",MAESTRO!$B48,"")</f>
        <v>47</v>
      </c>
      <c r="C48">
        <f>IF($A48&lt;&gt;"",MAESTRO!$A48,"")</f>
        <v>47</v>
      </c>
      <c r="D48" t="str">
        <f>IF($A48&lt;&gt;"",MAESTRO!$C48,"")</f>
        <v>OPA</v>
      </c>
      <c r="E48" t="str">
        <f>IF($A48&lt;&gt;"",MAESTRO!$M48,"")</f>
        <v>VIP</v>
      </c>
      <c r="F48" t="str">
        <f>IF($A48&lt;&gt;"",MAESTRO!$J48,"")</f>
        <v>SI</v>
      </c>
      <c r="G48" t="str">
        <f>IF($A48&lt;&gt;"",MAESTRO!$D48,"")</f>
        <v>Excelentísima</v>
      </c>
      <c r="H48" t="str">
        <f>IF($A48&lt;&gt;"",IF(TRIM(MAESTRO!$G48&amp;" "&amp;MAESTRO!$H48&amp;" "&amp;MAESTRO!$I48)="",MAESTRO!$F48,TRIM(MAESTRO!$G48&amp;" "&amp;MAESTRO!$H48&amp;" "&amp;MAESTRO!$I48)),"")</f>
        <v>Elke Schaapveld E/v Merks</v>
      </c>
      <c r="I48" t="str">
        <f>IF($A48&lt;&gt;"",MAESTRO!$K48,"")</f>
        <v>Embajadora de los Países Bajos en Chile</v>
      </c>
      <c r="J48">
        <f>IF($A48&lt;&gt;"",48,"")</f>
        <v>48</v>
      </c>
    </row>
    <row r="49" spans="1:10" x14ac:dyDescent="0.2">
      <c r="A49" t="str">
        <f>IF(AND(UPPER(MAESTRO!$M49)="VIP",UPPER(MAESTRO!$J49)="SI",MAESTRO!$F49&lt;&gt;""),MAESTRO!$P49,"")</f>
        <v/>
      </c>
      <c r="B49" t="str">
        <f>IF($A49&lt;&gt;"",MAESTRO!$B49,"")</f>
        <v/>
      </c>
      <c r="C49" t="str">
        <f>IF($A49&lt;&gt;"",MAESTRO!$A49,"")</f>
        <v/>
      </c>
      <c r="D49" t="str">
        <f>IF($A49&lt;&gt;"",MAESTRO!$C49,"")</f>
        <v/>
      </c>
      <c r="E49" t="str">
        <f>IF($A49&lt;&gt;"",MAESTRO!$M49,"")</f>
        <v/>
      </c>
      <c r="F49" t="str">
        <f>IF($A49&lt;&gt;"",MAESTRO!$J49,"")</f>
        <v/>
      </c>
      <c r="G49" t="str">
        <f>IF($A49&lt;&gt;"",MAESTRO!$D49,"")</f>
        <v/>
      </c>
      <c r="H49" t="str">
        <f>IF($A49&lt;&gt;"",IF(TRIM(MAESTRO!$G49&amp;" "&amp;MAESTRO!$H49&amp;" "&amp;MAESTRO!$I49)="",MAESTRO!$F49,TRIM(MAESTRO!$G49&amp;" "&amp;MAESTRO!$H49&amp;" "&amp;MAESTRO!$I49)),"")</f>
        <v/>
      </c>
      <c r="I49" t="str">
        <f>IF($A49&lt;&gt;"",MAESTRO!$K49,"")</f>
        <v/>
      </c>
      <c r="J49" t="str">
        <f>IF($A49&lt;&gt;"",49,"")</f>
        <v/>
      </c>
    </row>
    <row r="50" spans="1:10" x14ac:dyDescent="0.2">
      <c r="A50" t="str">
        <f>IF(AND(UPPER(MAESTRO!$M50)="VIP",UPPER(MAESTRO!$J50)="SI",MAESTRO!$F50&lt;&gt;""),MAESTRO!$P50,"")</f>
        <v/>
      </c>
      <c r="B50" t="str">
        <f>IF($A50&lt;&gt;"",MAESTRO!$B50,"")</f>
        <v/>
      </c>
      <c r="C50" t="str">
        <f>IF($A50&lt;&gt;"",MAESTRO!$A50,"")</f>
        <v/>
      </c>
      <c r="D50" t="str">
        <f>IF($A50&lt;&gt;"",MAESTRO!$C50,"")</f>
        <v/>
      </c>
      <c r="E50" t="str">
        <f>IF($A50&lt;&gt;"",MAESTRO!$M50,"")</f>
        <v/>
      </c>
      <c r="F50" t="str">
        <f>IF($A50&lt;&gt;"",MAESTRO!$J50,"")</f>
        <v/>
      </c>
      <c r="G50" t="str">
        <f>IF($A50&lt;&gt;"",MAESTRO!$D50,"")</f>
        <v/>
      </c>
      <c r="H50" t="str">
        <f>IF($A50&lt;&gt;"",IF(TRIM(MAESTRO!$G50&amp;" "&amp;MAESTRO!$H50&amp;" "&amp;MAESTRO!$I50)="",MAESTRO!$F50,TRIM(MAESTRO!$G50&amp;" "&amp;MAESTRO!$H50&amp;" "&amp;MAESTRO!$I50)),"")</f>
        <v/>
      </c>
      <c r="I50" t="str">
        <f>IF($A50&lt;&gt;"",MAESTRO!$K50,"")</f>
        <v/>
      </c>
      <c r="J50" t="str">
        <f>IF($A50&lt;&gt;"",50,"")</f>
        <v/>
      </c>
    </row>
    <row r="51" spans="1:10" x14ac:dyDescent="0.2">
      <c r="A51" t="str">
        <f>IF(AND(UPPER(MAESTRO!$M51)="VIP",UPPER(MAESTRO!$J51)="SI",MAESTRO!$F51&lt;&gt;""),MAESTRO!$P51,"")</f>
        <v>A36</v>
      </c>
      <c r="B51">
        <f>IF($A51&lt;&gt;"",MAESTRO!$B51,"")</f>
        <v>50</v>
      </c>
      <c r="C51">
        <f>IF($A51&lt;&gt;"",MAESTRO!$A51,"")</f>
        <v>50</v>
      </c>
      <c r="D51" t="str">
        <f>IF($A51&lt;&gt;"",MAESTRO!$C51,"")</f>
        <v>OPA</v>
      </c>
      <c r="E51" t="str">
        <f>IF($A51&lt;&gt;"",MAESTRO!$M51,"")</f>
        <v>VIP</v>
      </c>
      <c r="F51" t="str">
        <f>IF($A51&lt;&gt;"",MAESTRO!$J51,"")</f>
        <v>SI</v>
      </c>
      <c r="G51" t="str">
        <f>IF($A51&lt;&gt;"",MAESTRO!$D51,"")</f>
        <v>Excelentísima</v>
      </c>
      <c r="H51" t="str">
        <f>IF($A51&lt;&gt;"",IF(TRIM(MAESTRO!$G51&amp;" "&amp;MAESTRO!$H51&amp;" "&amp;MAESTRO!$I51)="",MAESTRO!$F51,TRIM(MAESTRO!$G51&amp;" "&amp;MAESTRO!$H51&amp;" "&amp;MAESTRO!$I51)),"")</f>
        <v>Laura Oroz Ulibarri</v>
      </c>
      <c r="I51" t="str">
        <f>IF($A51&lt;&gt;"",MAESTRO!$K51,"")</f>
        <v>Embajadora de España en Chile</v>
      </c>
      <c r="J51">
        <f>IF($A51&lt;&gt;"",51,"")</f>
        <v>51</v>
      </c>
    </row>
    <row r="52" spans="1:10" x14ac:dyDescent="0.2">
      <c r="A52" t="str">
        <f>IF(AND(UPPER(MAESTRO!$M52)="VIP",UPPER(MAESTRO!$J52)="SI",MAESTRO!$F52&lt;&gt;""),MAESTRO!$P52,"")</f>
        <v>A9</v>
      </c>
      <c r="B52">
        <f>IF($A52&lt;&gt;"",MAESTRO!$B52,"")</f>
        <v>51</v>
      </c>
      <c r="C52">
        <f>IF($A52&lt;&gt;"",MAESTRO!$A52,"")</f>
        <v>51</v>
      </c>
      <c r="D52" t="str">
        <f>IF($A52&lt;&gt;"",MAESTRO!$C52,"")</f>
        <v>OPA</v>
      </c>
      <c r="E52" t="str">
        <f>IF($A52&lt;&gt;"",MAESTRO!$M52,"")</f>
        <v>VIP</v>
      </c>
      <c r="F52" t="str">
        <f>IF($A52&lt;&gt;"",MAESTRO!$J52,"")</f>
        <v>SI</v>
      </c>
      <c r="G52" t="str">
        <f>IF($A52&lt;&gt;"",MAESTRO!$D52,"")</f>
        <v>Excelentísima</v>
      </c>
      <c r="H52" t="str">
        <f>IF($A52&lt;&gt;"",IF(TRIM(MAESTRO!$G52&amp;" "&amp;MAESTRO!$H52&amp;" "&amp;MAESTRO!$I52)="",MAESTRO!$F52,TRIM(MAESTRO!$G52&amp;" "&amp;MAESTRO!$H52&amp;" "&amp;MAESTRO!$I52)),"")</f>
        <v>Sone Kenko</v>
      </c>
      <c r="I52" t="str">
        <f>IF($A52&lt;&gt;"",MAESTRO!$K52,"")</f>
        <v>Embajadora de Japón en Chile</v>
      </c>
      <c r="J52">
        <f>IF($A52&lt;&gt;"",52,"")</f>
        <v>52</v>
      </c>
    </row>
    <row r="53" spans="1:10" x14ac:dyDescent="0.2">
      <c r="A53" t="str">
        <f>IF(AND(UPPER(MAESTRO!$M53)="VIP",UPPER(MAESTRO!$J53)="SI",MAESTRO!$F53&lt;&gt;""),MAESTRO!$P53,"")</f>
        <v/>
      </c>
      <c r="B53" t="str">
        <f>IF($A53&lt;&gt;"",MAESTRO!$B53,"")</f>
        <v/>
      </c>
      <c r="C53" t="str">
        <f>IF($A53&lt;&gt;"",MAESTRO!$A53,"")</f>
        <v/>
      </c>
      <c r="D53" t="str">
        <f>IF($A53&lt;&gt;"",MAESTRO!$C53,"")</f>
        <v/>
      </c>
      <c r="E53" t="str">
        <f>IF($A53&lt;&gt;"",MAESTRO!$M53,"")</f>
        <v/>
      </c>
      <c r="F53" t="str">
        <f>IF($A53&lt;&gt;"",MAESTRO!$J53,"")</f>
        <v/>
      </c>
      <c r="G53" t="str">
        <f>IF($A53&lt;&gt;"",MAESTRO!$D53,"")</f>
        <v/>
      </c>
      <c r="H53" t="str">
        <f>IF($A53&lt;&gt;"",IF(TRIM(MAESTRO!$G53&amp;" "&amp;MAESTRO!$H53&amp;" "&amp;MAESTRO!$I53)="",MAESTRO!$F53,TRIM(MAESTRO!$G53&amp;" "&amp;MAESTRO!$H53&amp;" "&amp;MAESTRO!$I53)),"")</f>
        <v/>
      </c>
      <c r="I53" t="str">
        <f>IF($A53&lt;&gt;"",MAESTRO!$K53,"")</f>
        <v/>
      </c>
      <c r="J53" t="str">
        <f>IF($A53&lt;&gt;"",53,"")</f>
        <v/>
      </c>
    </row>
    <row r="54" spans="1:10" x14ac:dyDescent="0.2">
      <c r="A54" t="str">
        <f>IF(AND(UPPER(MAESTRO!$M54)="VIP",UPPER(MAESTRO!$J54)="SI",MAESTRO!$F54&lt;&gt;""),MAESTRO!$P54,"")</f>
        <v/>
      </c>
      <c r="B54" t="str">
        <f>IF($A54&lt;&gt;"",MAESTRO!$B54,"")</f>
        <v/>
      </c>
      <c r="C54" t="str">
        <f>IF($A54&lt;&gt;"",MAESTRO!$A54,"")</f>
        <v/>
      </c>
      <c r="D54" t="str">
        <f>IF($A54&lt;&gt;"",MAESTRO!$C54,"")</f>
        <v/>
      </c>
      <c r="E54" t="str">
        <f>IF($A54&lt;&gt;"",MAESTRO!$M54,"")</f>
        <v/>
      </c>
      <c r="F54" t="str">
        <f>IF($A54&lt;&gt;"",MAESTRO!$J54,"")</f>
        <v/>
      </c>
      <c r="G54" t="str">
        <f>IF($A54&lt;&gt;"",MAESTRO!$D54,"")</f>
        <v/>
      </c>
      <c r="H54" t="str">
        <f>IF($A54&lt;&gt;"",IF(TRIM(MAESTRO!$G54&amp;" "&amp;MAESTRO!$H54&amp;" "&amp;MAESTRO!$I54)="",MAESTRO!$F54,TRIM(MAESTRO!$G54&amp;" "&amp;MAESTRO!$H54&amp;" "&amp;MAESTRO!$I54)),"")</f>
        <v/>
      </c>
      <c r="I54" t="str">
        <f>IF($A54&lt;&gt;"",MAESTRO!$K54,"")</f>
        <v/>
      </c>
      <c r="J54" t="str">
        <f>IF($A54&lt;&gt;"",54,"")</f>
        <v/>
      </c>
    </row>
    <row r="55" spans="1:10" x14ac:dyDescent="0.2">
      <c r="A55" t="str">
        <f>IF(AND(UPPER(MAESTRO!$M55)="VIP",UPPER(MAESTRO!$J55)="SI",MAESTRO!$F55&lt;&gt;""),MAESTRO!$P55,"")</f>
        <v>A37</v>
      </c>
      <c r="B55">
        <f>IF($A55&lt;&gt;"",MAESTRO!$B55,"")</f>
        <v>54</v>
      </c>
      <c r="C55">
        <f>IF($A55&lt;&gt;"",MAESTRO!$A55,"")</f>
        <v>54</v>
      </c>
      <c r="D55" t="str">
        <f>IF($A55&lt;&gt;"",MAESTRO!$C55,"")</f>
        <v>OPA</v>
      </c>
      <c r="E55" t="str">
        <f>IF($A55&lt;&gt;"",MAESTRO!$M55,"")</f>
        <v>VIP</v>
      </c>
      <c r="F55" t="str">
        <f>IF($A55&lt;&gt;"",MAESTRO!$J55,"")</f>
        <v>SI</v>
      </c>
      <c r="G55" t="str">
        <f>IF($A55&lt;&gt;"",MAESTRO!$D55,"")</f>
        <v>Excelentísima</v>
      </c>
      <c r="H55" t="str">
        <f>IF($A55&lt;&gt;"",IF(TRIM(MAESTRO!$G55&amp;" "&amp;MAESTRO!$H55&amp;" "&amp;MAESTRO!$I55)="",MAESTRO!$F55,TRIM(MAESTRO!$G55&amp;" "&amp;MAESTRO!$H55&amp;" "&amp;MAESTRO!$I55)),"")</f>
        <v>Peleg Lewi</v>
      </c>
      <c r="I55" t="str">
        <f>IF($A55&lt;&gt;"",MAESTRO!$K55,"")</f>
        <v>Embajadora de Israel en Chile</v>
      </c>
      <c r="J55">
        <f>IF($A55&lt;&gt;"",55,"")</f>
        <v>55</v>
      </c>
    </row>
    <row r="56" spans="1:10" x14ac:dyDescent="0.2">
      <c r="A56" t="str">
        <f>IF(AND(UPPER(MAESTRO!$M56)="VIP",UPPER(MAESTRO!$J56)="SI",MAESTRO!$F56&lt;&gt;""),MAESTRO!$P56,"")</f>
        <v/>
      </c>
      <c r="B56" t="str">
        <f>IF($A56&lt;&gt;"",MAESTRO!$B56,"")</f>
        <v/>
      </c>
      <c r="C56" t="str">
        <f>IF($A56&lt;&gt;"",MAESTRO!$A56,"")</f>
        <v/>
      </c>
      <c r="D56" t="str">
        <f>IF($A56&lt;&gt;"",MAESTRO!$C56,"")</f>
        <v/>
      </c>
      <c r="E56" t="str">
        <f>IF($A56&lt;&gt;"",MAESTRO!$M56,"")</f>
        <v/>
      </c>
      <c r="F56" t="str">
        <f>IF($A56&lt;&gt;"",MAESTRO!$J56,"")</f>
        <v/>
      </c>
      <c r="G56" t="str">
        <f>IF($A56&lt;&gt;"",MAESTRO!$D56,"")</f>
        <v/>
      </c>
      <c r="H56" t="str">
        <f>IF($A56&lt;&gt;"",IF(TRIM(MAESTRO!$G56&amp;" "&amp;MAESTRO!$H56&amp;" "&amp;MAESTRO!$I56)="",MAESTRO!$F56,TRIM(MAESTRO!$G56&amp;" "&amp;MAESTRO!$H56&amp;" "&amp;MAESTRO!$I56)),"")</f>
        <v/>
      </c>
      <c r="I56" t="str">
        <f>IF($A56&lt;&gt;"",MAESTRO!$K56,"")</f>
        <v/>
      </c>
      <c r="J56" t="str">
        <f>IF($A56&lt;&gt;"",56,"")</f>
        <v/>
      </c>
    </row>
    <row r="57" spans="1:10" x14ac:dyDescent="0.2">
      <c r="A57" t="str">
        <f>IF(AND(UPPER(MAESTRO!$M57)="VIP",UPPER(MAESTRO!$J57)="SI",MAESTRO!$F57&lt;&gt;""),MAESTRO!$P57,"")</f>
        <v/>
      </c>
      <c r="B57" t="str">
        <f>IF($A57&lt;&gt;"",MAESTRO!$B57,"")</f>
        <v/>
      </c>
      <c r="C57" t="str">
        <f>IF($A57&lt;&gt;"",MAESTRO!$A57,"")</f>
        <v/>
      </c>
      <c r="D57" t="str">
        <f>IF($A57&lt;&gt;"",MAESTRO!$C57,"")</f>
        <v/>
      </c>
      <c r="E57" t="str">
        <f>IF($A57&lt;&gt;"",MAESTRO!$M57,"")</f>
        <v/>
      </c>
      <c r="F57" t="str">
        <f>IF($A57&lt;&gt;"",MAESTRO!$J57,"")</f>
        <v/>
      </c>
      <c r="G57" t="str">
        <f>IF($A57&lt;&gt;"",MAESTRO!$D57,"")</f>
        <v/>
      </c>
      <c r="H57" t="str">
        <f>IF($A57&lt;&gt;"",IF(TRIM(MAESTRO!$G57&amp;" "&amp;MAESTRO!$H57&amp;" "&amp;MAESTRO!$I57)="",MAESTRO!$F57,TRIM(MAESTRO!$G57&amp;" "&amp;MAESTRO!$H57&amp;" "&amp;MAESTRO!$I57)),"")</f>
        <v/>
      </c>
      <c r="I57" t="str">
        <f>IF($A57&lt;&gt;"",MAESTRO!$K57,"")</f>
        <v/>
      </c>
      <c r="J57" t="str">
        <f>IF($A57&lt;&gt;"",57,"")</f>
        <v/>
      </c>
    </row>
    <row r="58" spans="1:10" x14ac:dyDescent="0.2">
      <c r="A58" t="str">
        <f>IF(AND(UPPER(MAESTRO!$M58)="VIP",UPPER(MAESTRO!$J58)="SI",MAESTRO!$F58&lt;&gt;""),MAESTRO!$P58,"")</f>
        <v>A8</v>
      </c>
      <c r="B58">
        <f>IF($A58&lt;&gt;"",MAESTRO!$B58,"")</f>
        <v>57</v>
      </c>
      <c r="C58">
        <f>IF($A58&lt;&gt;"",MAESTRO!$A58,"")</f>
        <v>57</v>
      </c>
      <c r="D58" t="str">
        <f>IF($A58&lt;&gt;"",MAESTRO!$C58,"")</f>
        <v>OPA</v>
      </c>
      <c r="E58" t="str">
        <f>IF($A58&lt;&gt;"",MAESTRO!$M58,"")</f>
        <v>VIP</v>
      </c>
      <c r="F58" t="str">
        <f>IF($A58&lt;&gt;"",MAESTRO!$J58,"")</f>
        <v>SI</v>
      </c>
      <c r="G58" t="str">
        <f>IF($A58&lt;&gt;"",MAESTRO!$D58,"")</f>
        <v>Almirante</v>
      </c>
      <c r="H58" t="str">
        <f>IF($A58&lt;&gt;"",IF(TRIM(MAESTRO!$G58&amp;" "&amp;MAESTRO!$H58&amp;" "&amp;MAESTRO!$I58)="",MAESTRO!$F58,TRIM(MAESTRO!$G58&amp;" "&amp;MAESTRO!$H58&amp;" "&amp;MAESTRO!$I58)),"")</f>
        <v>Julio Leiva Molina</v>
      </c>
      <c r="I58" t="str">
        <f>IF($A58&lt;&gt;"",MAESTRO!$K58,"")</f>
        <v>Ex - Comandante en Jefe de la Armada</v>
      </c>
      <c r="J58">
        <f>IF($A58&lt;&gt;"",58,"")</f>
        <v>58</v>
      </c>
    </row>
    <row r="59" spans="1:10" x14ac:dyDescent="0.2">
      <c r="A59" t="str">
        <f>IF(AND(UPPER(MAESTRO!$M59)="VIP",UPPER(MAESTRO!$J59)="SI",MAESTRO!$F59&lt;&gt;""),MAESTRO!$P59,"")</f>
        <v>A38</v>
      </c>
      <c r="B59">
        <f>IF($A59&lt;&gt;"",MAESTRO!$B59,"")</f>
        <v>58</v>
      </c>
      <c r="C59">
        <f>IF($A59&lt;&gt;"",MAESTRO!$A59,"")</f>
        <v>58</v>
      </c>
      <c r="D59" t="str">
        <f>IF($A59&lt;&gt;"",MAESTRO!$C59,"")</f>
        <v>OPA</v>
      </c>
      <c r="E59" t="str">
        <f>IF($A59&lt;&gt;"",MAESTRO!$M59,"")</f>
        <v>VIP</v>
      </c>
      <c r="F59" t="str">
        <f>IF($A59&lt;&gt;"",MAESTRO!$J59,"")</f>
        <v>SI</v>
      </c>
      <c r="G59" t="str">
        <f>IF($A59&lt;&gt;"",MAESTRO!$D59,"")</f>
        <v>General</v>
      </c>
      <c r="H59" t="str">
        <f>IF($A59&lt;&gt;"",IF(TRIM(MAESTRO!$G59&amp;" "&amp;MAESTRO!$H59&amp;" "&amp;MAESTRO!$I59)="",MAESTRO!$F59,TRIM(MAESTRO!$G59&amp;" "&amp;MAESTRO!$H59&amp;" "&amp;MAESTRO!$I59)),"")</f>
        <v>Pedro Varela Sabando</v>
      </c>
      <c r="I59" t="str">
        <f>IF($A59&lt;&gt;"",MAESTRO!$K59,"")</f>
        <v>*Comandante en Jefe del Ejército</v>
      </c>
      <c r="J59">
        <f>IF($A59&lt;&gt;"",59,"")</f>
        <v>59</v>
      </c>
    </row>
    <row r="60" spans="1:10" x14ac:dyDescent="0.2">
      <c r="A60" t="str">
        <f>IF(AND(UPPER(MAESTRO!$M60)="VIP",UPPER(MAESTRO!$J60)="SI",MAESTRO!$F60&lt;&gt;""),MAESTRO!$P60,"")</f>
        <v>A7</v>
      </c>
      <c r="B60">
        <f>IF($A60&lt;&gt;"",MAESTRO!$B60,"")</f>
        <v>59</v>
      </c>
      <c r="C60">
        <f>IF($A60&lt;&gt;"",MAESTRO!$A60,"")</f>
        <v>59</v>
      </c>
      <c r="D60" t="str">
        <f>IF($A60&lt;&gt;"",MAESTRO!$C60,"")</f>
        <v>OPA</v>
      </c>
      <c r="E60" t="str">
        <f>IF($A60&lt;&gt;"",MAESTRO!$M60,"")</f>
        <v>VIP</v>
      </c>
      <c r="F60" t="str">
        <f>IF($A60&lt;&gt;"",MAESTRO!$J60,"")</f>
        <v>SI</v>
      </c>
      <c r="G60" t="str">
        <f>IF($A60&lt;&gt;"",MAESTRO!$D60,"")</f>
        <v>General</v>
      </c>
      <c r="H60" t="str">
        <f>IF($A60&lt;&gt;"",IF(TRIM(MAESTRO!$G60&amp;" "&amp;MAESTRO!$H60&amp;" "&amp;MAESTRO!$I60)="",MAESTRO!$F60,TRIM(MAESTRO!$G60&amp;" "&amp;MAESTRO!$H60&amp;" "&amp;MAESTRO!$I60)),"")</f>
        <v>Miguel Stange Muñoz</v>
      </c>
      <c r="I60" t="str">
        <f>IF($A60&lt;&gt;"",MAESTRO!$K60,"")</f>
        <v>*Comandante en Jefe de la Fuerza Aérea de Chile (S)</v>
      </c>
      <c r="J60">
        <f>IF($A60&lt;&gt;"",60,"")</f>
        <v>60</v>
      </c>
    </row>
    <row r="61" spans="1:10" x14ac:dyDescent="0.2">
      <c r="A61" t="str">
        <f>IF(AND(UPPER(MAESTRO!$M61)="VIP",UPPER(MAESTRO!$J61)="SI",MAESTRO!$F61&lt;&gt;""),MAESTRO!$P61,"")</f>
        <v>A39</v>
      </c>
      <c r="B61">
        <f>IF($A61&lt;&gt;"",MAESTRO!$B61,"")</f>
        <v>60</v>
      </c>
      <c r="C61">
        <f>IF($A61&lt;&gt;"",MAESTRO!$A61,"")</f>
        <v>60</v>
      </c>
      <c r="D61" t="str">
        <f>IF($A61&lt;&gt;"",MAESTRO!$C61,"")</f>
        <v>OPA</v>
      </c>
      <c r="E61" t="str">
        <f>IF($A61&lt;&gt;"",MAESTRO!$M61,"")</f>
        <v>VIP</v>
      </c>
      <c r="F61" t="str">
        <f>IF($A61&lt;&gt;"",MAESTRO!$J61,"")</f>
        <v>SI</v>
      </c>
      <c r="G61" t="str">
        <f>IF($A61&lt;&gt;"",MAESTRO!$D61,"")</f>
        <v>General Director</v>
      </c>
      <c r="H61" t="str">
        <f>IF($A61&lt;&gt;"",IF(TRIM(MAESTRO!$G61&amp;" "&amp;MAESTRO!$H61&amp;" "&amp;MAESTRO!$I61)="",MAESTRO!$F61,TRIM(MAESTRO!$G61&amp;" "&amp;MAESTRO!$H61&amp;" "&amp;MAESTRO!$I61)),"")</f>
        <v>Marcelo Araya Zapata</v>
      </c>
      <c r="I61" t="str">
        <f>IF($A61&lt;&gt;"",MAESTRO!$K61,"")</f>
        <v>*General Director de Carabineros de Chile</v>
      </c>
      <c r="J61">
        <f>IF($A61&lt;&gt;"",61,"")</f>
        <v>61</v>
      </c>
    </row>
    <row r="62" spans="1:10" x14ac:dyDescent="0.2">
      <c r="A62" t="str">
        <f>IF(AND(UPPER(MAESTRO!$M62)="VIP",UPPER(MAESTRO!$J62)="SI",MAESTRO!$F62&lt;&gt;""),MAESTRO!$P62,"")</f>
        <v/>
      </c>
      <c r="B62" t="str">
        <f>IF($A62&lt;&gt;"",MAESTRO!$B62,"")</f>
        <v/>
      </c>
      <c r="C62" t="str">
        <f>IF($A62&lt;&gt;"",MAESTRO!$A62,"")</f>
        <v/>
      </c>
      <c r="D62" t="str">
        <f>IF($A62&lt;&gt;"",MAESTRO!$C62,"")</f>
        <v/>
      </c>
      <c r="E62" t="str">
        <f>IF($A62&lt;&gt;"",MAESTRO!$M62,"")</f>
        <v/>
      </c>
      <c r="F62" t="str">
        <f>IF($A62&lt;&gt;"",MAESTRO!$J62,"")</f>
        <v/>
      </c>
      <c r="G62" t="str">
        <f>IF($A62&lt;&gt;"",MAESTRO!$D62,"")</f>
        <v/>
      </c>
      <c r="H62" t="str">
        <f>IF($A62&lt;&gt;"",IF(TRIM(MAESTRO!$G62&amp;" "&amp;MAESTRO!$H62&amp;" "&amp;MAESTRO!$I62)="",MAESTRO!$F62,TRIM(MAESTRO!$G62&amp;" "&amp;MAESTRO!$H62&amp;" "&amp;MAESTRO!$I62)),"")</f>
        <v/>
      </c>
      <c r="I62" t="str">
        <f>IF($A62&lt;&gt;"",MAESTRO!$K62,"")</f>
        <v/>
      </c>
      <c r="J62" t="str">
        <f>IF($A62&lt;&gt;"",62,"")</f>
        <v/>
      </c>
    </row>
    <row r="63" spans="1:10" x14ac:dyDescent="0.2">
      <c r="A63" t="str">
        <f>IF(AND(UPPER(MAESTRO!$M63)="VIP",UPPER(MAESTRO!$J63)="SI",MAESTRO!$F63&lt;&gt;""),MAESTRO!$P63,"")</f>
        <v/>
      </c>
      <c r="B63" t="str">
        <f>IF($A63&lt;&gt;"",MAESTRO!$B63,"")</f>
        <v/>
      </c>
      <c r="C63" t="str">
        <f>IF($A63&lt;&gt;"",MAESTRO!$A63,"")</f>
        <v/>
      </c>
      <c r="D63" t="str">
        <f>IF($A63&lt;&gt;"",MAESTRO!$C63,"")</f>
        <v/>
      </c>
      <c r="E63" t="str">
        <f>IF($A63&lt;&gt;"",MAESTRO!$M63,"")</f>
        <v/>
      </c>
      <c r="F63" t="str">
        <f>IF($A63&lt;&gt;"",MAESTRO!$J63,"")</f>
        <v/>
      </c>
      <c r="G63" t="str">
        <f>IF($A63&lt;&gt;"",MAESTRO!$D63,"")</f>
        <v/>
      </c>
      <c r="H63" t="str">
        <f>IF($A63&lt;&gt;"",IF(TRIM(MAESTRO!$G63&amp;" "&amp;MAESTRO!$H63&amp;" "&amp;MAESTRO!$I63)="",MAESTRO!$F63,TRIM(MAESTRO!$G63&amp;" "&amp;MAESTRO!$H63&amp;" "&amp;MAESTRO!$I63)),"")</f>
        <v/>
      </c>
      <c r="I63" t="str">
        <f>IF($A63&lt;&gt;"",MAESTRO!$K63,"")</f>
        <v/>
      </c>
      <c r="J63" t="str">
        <f>IF($A63&lt;&gt;"",63,"")</f>
        <v/>
      </c>
    </row>
    <row r="64" spans="1:10" x14ac:dyDescent="0.2">
      <c r="A64" t="str">
        <f>IF(AND(UPPER(MAESTRO!$M64)="VIP",UPPER(MAESTRO!$J64)="SI",MAESTRO!$F64&lt;&gt;""),MAESTRO!$P64,"")</f>
        <v/>
      </c>
      <c r="B64" t="str">
        <f>IF($A64&lt;&gt;"",MAESTRO!$B64,"")</f>
        <v/>
      </c>
      <c r="C64" t="str">
        <f>IF($A64&lt;&gt;"",MAESTRO!$A64,"")</f>
        <v/>
      </c>
      <c r="D64" t="str">
        <f>IF($A64&lt;&gt;"",MAESTRO!$C64,"")</f>
        <v/>
      </c>
      <c r="E64" t="str">
        <f>IF($A64&lt;&gt;"",MAESTRO!$M64,"")</f>
        <v/>
      </c>
      <c r="F64" t="str">
        <f>IF($A64&lt;&gt;"",MAESTRO!$J64,"")</f>
        <v/>
      </c>
      <c r="G64" t="str">
        <f>IF($A64&lt;&gt;"",MAESTRO!$D64,"")</f>
        <v/>
      </c>
      <c r="H64" t="str">
        <f>IF($A64&lt;&gt;"",IF(TRIM(MAESTRO!$G64&amp;" "&amp;MAESTRO!$H64&amp;" "&amp;MAESTRO!$I64)="",MAESTRO!$F64,TRIM(MAESTRO!$G64&amp;" "&amp;MAESTRO!$H64&amp;" "&amp;MAESTRO!$I64)),"")</f>
        <v/>
      </c>
      <c r="I64" t="str">
        <f>IF($A64&lt;&gt;"",MAESTRO!$K64,"")</f>
        <v/>
      </c>
      <c r="J64" t="str">
        <f>IF($A64&lt;&gt;"",64,"")</f>
        <v/>
      </c>
    </row>
    <row r="65" spans="1:10" x14ac:dyDescent="0.2">
      <c r="A65" t="str">
        <f>IF(AND(UPPER(MAESTRO!$M65)="VIP",UPPER(MAESTRO!$J65)="SI",MAESTRO!$F65&lt;&gt;""),MAESTRO!$P65,"")</f>
        <v/>
      </c>
      <c r="B65" t="str">
        <f>IF($A65&lt;&gt;"",MAESTRO!$B65,"")</f>
        <v/>
      </c>
      <c r="C65" t="str">
        <f>IF($A65&lt;&gt;"",MAESTRO!$A65,"")</f>
        <v/>
      </c>
      <c r="D65" t="str">
        <f>IF($A65&lt;&gt;"",MAESTRO!$C65,"")</f>
        <v/>
      </c>
      <c r="E65" t="str">
        <f>IF($A65&lt;&gt;"",MAESTRO!$M65,"")</f>
        <v/>
      </c>
      <c r="F65" t="str">
        <f>IF($A65&lt;&gt;"",MAESTRO!$J65,"")</f>
        <v/>
      </c>
      <c r="G65" t="str">
        <f>IF($A65&lt;&gt;"",MAESTRO!$D65,"")</f>
        <v/>
      </c>
      <c r="H65" t="str">
        <f>IF($A65&lt;&gt;"",IF(TRIM(MAESTRO!$G65&amp;" "&amp;MAESTRO!$H65&amp;" "&amp;MAESTRO!$I65)="",MAESTRO!$F65,TRIM(MAESTRO!$G65&amp;" "&amp;MAESTRO!$H65&amp;" "&amp;MAESTRO!$I65)),"")</f>
        <v/>
      </c>
      <c r="I65" t="str">
        <f>IF($A65&lt;&gt;"",MAESTRO!$K65,"")</f>
        <v/>
      </c>
      <c r="J65" t="str">
        <f>IF($A65&lt;&gt;"",65,"")</f>
        <v/>
      </c>
    </row>
    <row r="66" spans="1:10" x14ac:dyDescent="0.2">
      <c r="A66" t="str">
        <f>IF(AND(UPPER(MAESTRO!$M66)="VIP",UPPER(MAESTRO!$J66)="SI",MAESTRO!$F66&lt;&gt;""),MAESTRO!$P66,"")</f>
        <v/>
      </c>
      <c r="B66" t="str">
        <f>IF($A66&lt;&gt;"",MAESTRO!$B66,"")</f>
        <v/>
      </c>
      <c r="C66" t="str">
        <f>IF($A66&lt;&gt;"",MAESTRO!$A66,"")</f>
        <v/>
      </c>
      <c r="D66" t="str">
        <f>IF($A66&lt;&gt;"",MAESTRO!$C66,"")</f>
        <v/>
      </c>
      <c r="E66" t="str">
        <f>IF($A66&lt;&gt;"",MAESTRO!$M66,"")</f>
        <v/>
      </c>
      <c r="F66" t="str">
        <f>IF($A66&lt;&gt;"",MAESTRO!$J66,"")</f>
        <v/>
      </c>
      <c r="G66" t="str">
        <f>IF($A66&lt;&gt;"",MAESTRO!$D66,"")</f>
        <v/>
      </c>
      <c r="H66" t="str">
        <f>IF($A66&lt;&gt;"",IF(TRIM(MAESTRO!$G66&amp;" "&amp;MAESTRO!$H66&amp;" "&amp;MAESTRO!$I66)="",MAESTRO!$F66,TRIM(MAESTRO!$G66&amp;" "&amp;MAESTRO!$H66&amp;" "&amp;MAESTRO!$I66)),"")</f>
        <v/>
      </c>
      <c r="I66" t="str">
        <f>IF($A66&lt;&gt;"",MAESTRO!$K66,"")</f>
        <v/>
      </c>
      <c r="J66" t="str">
        <f>IF($A66&lt;&gt;"",66,"")</f>
        <v/>
      </c>
    </row>
    <row r="67" spans="1:10" x14ac:dyDescent="0.2">
      <c r="A67" t="str">
        <f>IF(AND(UPPER(MAESTRO!$M67)="VIP",UPPER(MAESTRO!$J67)="SI",MAESTRO!$F67&lt;&gt;""),MAESTRO!$P67,"")</f>
        <v>A5</v>
      </c>
      <c r="B67">
        <f>IF($A67&lt;&gt;"",MAESTRO!$B67,"")</f>
        <v>66</v>
      </c>
      <c r="C67">
        <f>IF($A67&lt;&gt;"",MAESTRO!$A67,"")</f>
        <v>66</v>
      </c>
      <c r="D67" t="str">
        <f>IF($A67&lt;&gt;"",MAESTRO!$C67,"")</f>
        <v>OPA</v>
      </c>
      <c r="E67" t="str">
        <f>IF($A67&lt;&gt;"",MAESTRO!$M67,"")</f>
        <v>VIP</v>
      </c>
      <c r="F67" t="str">
        <f>IF($A67&lt;&gt;"",MAESTRO!$J67,"")</f>
        <v>SI</v>
      </c>
      <c r="G67" t="str">
        <f>IF($A67&lt;&gt;"",MAESTRO!$D67,"")</f>
        <v>Señora</v>
      </c>
      <c r="H67" t="str">
        <f>IF($A67&lt;&gt;"",IF(TRIM(MAESTRO!$G67&amp;" "&amp;MAESTRO!$H67&amp;" "&amp;MAESTRO!$I67)="",MAESTRO!$F67,TRIM(MAESTRO!$G67&amp;" "&amp;MAESTRO!$H67&amp;" "&amp;MAESTRO!$I67)),"")</f>
        <v>Marcela Larrañaga Martin</v>
      </c>
      <c r="I67" t="str">
        <f>IF($A67&lt;&gt;"",MAESTRO!$K67,"")</f>
        <v>Madrina</v>
      </c>
      <c r="J67">
        <f>IF($A67&lt;&gt;"",67,"")</f>
        <v>67</v>
      </c>
    </row>
    <row r="68" spans="1:10" x14ac:dyDescent="0.2">
      <c r="A68" t="str">
        <f>IF(AND(UPPER(MAESTRO!$M68)="VIP",UPPER(MAESTRO!$J68)="SI",MAESTRO!$F68&lt;&gt;""),MAESTRO!$P68,"")</f>
        <v/>
      </c>
      <c r="B68" t="str">
        <f>IF($A68&lt;&gt;"",MAESTRO!$B68,"")</f>
        <v/>
      </c>
      <c r="C68" t="str">
        <f>IF($A68&lt;&gt;"",MAESTRO!$A68,"")</f>
        <v/>
      </c>
      <c r="D68" t="str">
        <f>IF($A68&lt;&gt;"",MAESTRO!$C68,"")</f>
        <v/>
      </c>
      <c r="E68" t="str">
        <f>IF($A68&lt;&gt;"",MAESTRO!$M68,"")</f>
        <v/>
      </c>
      <c r="F68" t="str">
        <f>IF($A68&lt;&gt;"",MAESTRO!$J68,"")</f>
        <v/>
      </c>
      <c r="G68" t="str">
        <f>IF($A68&lt;&gt;"",MAESTRO!$D68,"")</f>
        <v/>
      </c>
      <c r="H68" t="str">
        <f>IF($A68&lt;&gt;"",IF(TRIM(MAESTRO!$G68&amp;" "&amp;MAESTRO!$H68&amp;" "&amp;MAESTRO!$I68)="",MAESTRO!$F68,TRIM(MAESTRO!$G68&amp;" "&amp;MAESTRO!$H68&amp;" "&amp;MAESTRO!$I68)),"")</f>
        <v/>
      </c>
      <c r="I68" t="str">
        <f>IF($A68&lt;&gt;"",MAESTRO!$K68,"")</f>
        <v/>
      </c>
      <c r="J68" t="str">
        <f>IF($A68&lt;&gt;"",68,"")</f>
        <v/>
      </c>
    </row>
    <row r="69" spans="1:10" x14ac:dyDescent="0.2">
      <c r="A69" t="str">
        <f>IF(AND(UPPER(MAESTRO!$M69)="VIP",UPPER(MAESTRO!$J69)="SI",MAESTRO!$F69&lt;&gt;""),MAESTRO!$P69,"")</f>
        <v>A41</v>
      </c>
      <c r="B69">
        <f>IF($A69&lt;&gt;"",MAESTRO!$B69,"")</f>
        <v>68</v>
      </c>
      <c r="C69">
        <f>IF($A69&lt;&gt;"",MAESTRO!$A69,"")</f>
        <v>68</v>
      </c>
      <c r="D69" t="str">
        <f>IF($A69&lt;&gt;"",MAESTRO!$C69,"")</f>
        <v>OPA</v>
      </c>
      <c r="E69" t="str">
        <f>IF($A69&lt;&gt;"",MAESTRO!$M69,"")</f>
        <v>VIP</v>
      </c>
      <c r="F69" t="str">
        <f>IF($A69&lt;&gt;"",MAESTRO!$J69,"")</f>
        <v>SI</v>
      </c>
      <c r="G69" t="str">
        <f>IF($A69&lt;&gt;"",MAESTRO!$D69,"")</f>
        <v>General</v>
      </c>
      <c r="H69" t="str">
        <f>IF($A69&lt;&gt;"",IF(TRIM(MAESTRO!$G69&amp;" "&amp;MAESTRO!$H69&amp;" "&amp;MAESTRO!$I69)="",MAESTRO!$F69,TRIM(MAESTRO!$G69&amp;" "&amp;MAESTRO!$H69&amp;" "&amp;MAESTRO!$I69)),"")</f>
        <v>Leonardo Romanini Gutiérrez</v>
      </c>
      <c r="I69" t="str">
        <f>IF($A69&lt;&gt;"",MAESTRO!$K69,"")</f>
        <v>Jefe del Estado Mayor Conjunto de las Fuerzas Armadas</v>
      </c>
      <c r="J69">
        <f>IF($A69&lt;&gt;"",69,"")</f>
        <v>69</v>
      </c>
    </row>
    <row r="70" spans="1:10" x14ac:dyDescent="0.2">
      <c r="A70" t="str">
        <f>IF(AND(UPPER(MAESTRO!$M70)="VIP",UPPER(MAESTRO!$J70)="SI",MAESTRO!$F70&lt;&gt;""),MAESTRO!$P70,"")</f>
        <v>A4</v>
      </c>
      <c r="B70">
        <f>IF($A70&lt;&gt;"",MAESTRO!$B70,"")</f>
        <v>69</v>
      </c>
      <c r="C70">
        <f>IF($A70&lt;&gt;"",MAESTRO!$A70,"")</f>
        <v>69</v>
      </c>
      <c r="D70" t="str">
        <f>IF($A70&lt;&gt;"",MAESTRO!$C70,"")</f>
        <v>OPA</v>
      </c>
      <c r="E70" t="str">
        <f>IF($A70&lt;&gt;"",MAESTRO!$M70,"")</f>
        <v>VIP</v>
      </c>
      <c r="F70" t="str">
        <f>IF($A70&lt;&gt;"",MAESTRO!$J70,"")</f>
        <v>SI</v>
      </c>
      <c r="G70" t="str">
        <f>IF($A70&lt;&gt;"",MAESTRO!$D70,"")</f>
        <v>Gobernador</v>
      </c>
      <c r="H70" t="str">
        <f>IF($A70&lt;&gt;"",IF(TRIM(MAESTRO!$G70&amp;" "&amp;MAESTRO!$H70&amp;" "&amp;MAESTRO!$I70)="",MAESTRO!$F70,TRIM(MAESTRO!$G70&amp;" "&amp;MAESTRO!$H70&amp;" "&amp;MAESTRO!$I70)),"")</f>
        <v>Sergio Giacaman García</v>
      </c>
      <c r="I70" t="str">
        <f>IF($A70&lt;&gt;"",MAESTRO!$K70,"")</f>
        <v>Gobernador Región Bio Bio</v>
      </c>
      <c r="J70">
        <f>IF($A70&lt;&gt;"",70,"")</f>
        <v>70</v>
      </c>
    </row>
    <row r="71" spans="1:10" x14ac:dyDescent="0.2">
      <c r="A71" t="str">
        <f>IF(AND(UPPER(MAESTRO!$M71)="VIP",UPPER(MAESTRO!$J71)="SI",MAESTRO!$F71&lt;&gt;""),MAESTRO!$P71,"")</f>
        <v>A42</v>
      </c>
      <c r="B71">
        <f>IF($A71&lt;&gt;"",MAESTRO!$B71,"")</f>
        <v>70</v>
      </c>
      <c r="C71">
        <f>IF($A71&lt;&gt;"",MAESTRO!$A71,"")</f>
        <v>70</v>
      </c>
      <c r="D71" t="str">
        <f>IF($A71&lt;&gt;"",MAESTRO!$C71,"")</f>
        <v>OPA</v>
      </c>
      <c r="E71" t="str">
        <f>IF($A71&lt;&gt;"",MAESTRO!$M71,"")</f>
        <v>VIP</v>
      </c>
      <c r="F71" t="str">
        <f>IF($A71&lt;&gt;"",MAESTRO!$J71,"")</f>
        <v>SI</v>
      </c>
      <c r="G71" t="str">
        <f>IF($A71&lt;&gt;"",MAESTRO!$D71,"")</f>
        <v>Gobernador</v>
      </c>
      <c r="H71" t="str">
        <f>IF($A71&lt;&gt;"",IF(TRIM(MAESTRO!$G71&amp;" "&amp;MAESTRO!$H71&amp;" "&amp;MAESTRO!$I71)="",MAESTRO!$F71,TRIM(MAESTRO!$G71&amp;" "&amp;MAESTRO!$H71&amp;" "&amp;MAESTRO!$I71)),"")</f>
        <v>Jorge Flies Añon</v>
      </c>
      <c r="I71" t="str">
        <f>IF($A71&lt;&gt;"",MAESTRO!$K71,"")</f>
        <v>Gobernador Región de Magallanes</v>
      </c>
      <c r="J71">
        <f>IF($A71&lt;&gt;"",71,"")</f>
        <v>71</v>
      </c>
    </row>
    <row r="72" spans="1:10" x14ac:dyDescent="0.2">
      <c r="A72" t="str">
        <f>IF(AND(UPPER(MAESTRO!$M72)="VIP",UPPER(MAESTRO!$J72)="SI",MAESTRO!$F72&lt;&gt;""),MAESTRO!$P72,"")</f>
        <v>A3</v>
      </c>
      <c r="B72">
        <f>IF($A72&lt;&gt;"",MAESTRO!$B72,"")</f>
        <v>71</v>
      </c>
      <c r="C72">
        <f>IF($A72&lt;&gt;"",MAESTRO!$A72,"")</f>
        <v>71</v>
      </c>
      <c r="D72" t="str">
        <f>IF($A72&lt;&gt;"",MAESTRO!$C72,"")</f>
        <v>OPA</v>
      </c>
      <c r="E72" t="str">
        <f>IF($A72&lt;&gt;"",MAESTRO!$M72,"")</f>
        <v>VIP</v>
      </c>
      <c r="F72" t="str">
        <f>IF($A72&lt;&gt;"",MAESTRO!$J72,"")</f>
        <v>SI</v>
      </c>
      <c r="G72" t="str">
        <f>IF($A72&lt;&gt;"",MAESTRO!$D72,"")</f>
        <v>Delegado Presidencial</v>
      </c>
      <c r="H72" t="str">
        <f>IF($A72&lt;&gt;"",IF(TRIM(MAESTRO!$G72&amp;" "&amp;MAESTRO!$H72&amp;" "&amp;MAESTRO!$I72)="",MAESTRO!$F72,TRIM(MAESTRO!$G72&amp;" "&amp;MAESTRO!$H72&amp;" "&amp;MAESTRO!$I72)),"")</f>
        <v>Julio Anativia Zamora</v>
      </c>
      <c r="I72" t="str">
        <f>IF($A72&lt;&gt;"",MAESTRO!$K72,"")</f>
        <v>Delegado Presidencial Región de Bio Bio</v>
      </c>
      <c r="J72">
        <f>IF($A72&lt;&gt;"",72,"")</f>
        <v>72</v>
      </c>
    </row>
    <row r="73" spans="1:10" x14ac:dyDescent="0.2">
      <c r="A73" t="str">
        <f>IF(AND(UPPER(MAESTRO!$M73)="VIP",UPPER(MAESTRO!$J73)="SI",MAESTRO!$F73&lt;&gt;""),MAESTRO!$P73,"")</f>
        <v/>
      </c>
      <c r="B73" t="str">
        <f>IF($A73&lt;&gt;"",MAESTRO!$B73,"")</f>
        <v/>
      </c>
      <c r="C73" t="str">
        <f>IF($A73&lt;&gt;"",MAESTRO!$A73,"")</f>
        <v/>
      </c>
      <c r="D73" t="str">
        <f>IF($A73&lt;&gt;"",MAESTRO!$C73,"")</f>
        <v/>
      </c>
      <c r="E73" t="str">
        <f>IF($A73&lt;&gt;"",MAESTRO!$M73,"")</f>
        <v/>
      </c>
      <c r="F73" t="str">
        <f>IF($A73&lt;&gt;"",MAESTRO!$J73,"")</f>
        <v/>
      </c>
      <c r="G73" t="str">
        <f>IF($A73&lt;&gt;"",MAESTRO!$D73,"")</f>
        <v/>
      </c>
      <c r="H73" t="str">
        <f>IF($A73&lt;&gt;"",IF(TRIM(MAESTRO!$G73&amp;" "&amp;MAESTRO!$H73&amp;" "&amp;MAESTRO!$I73)="",MAESTRO!$F73,TRIM(MAESTRO!$G73&amp;" "&amp;MAESTRO!$H73&amp;" "&amp;MAESTRO!$I73)),"")</f>
        <v/>
      </c>
      <c r="I73" t="str">
        <f>IF($A73&lt;&gt;"",MAESTRO!$K73,"")</f>
        <v/>
      </c>
      <c r="J73" t="str">
        <f>IF($A73&lt;&gt;"",73,"")</f>
        <v/>
      </c>
    </row>
    <row r="74" spans="1:10" x14ac:dyDescent="0.2">
      <c r="A74" t="str">
        <f>IF(AND(UPPER(MAESTRO!$M74)="VIP",UPPER(MAESTRO!$J74)="SI",MAESTRO!$F74&lt;&gt;""),MAESTRO!$P74,"")</f>
        <v/>
      </c>
      <c r="B74" t="str">
        <f>IF($A74&lt;&gt;"",MAESTRO!$B74,"")</f>
        <v/>
      </c>
      <c r="C74" t="str">
        <f>IF($A74&lt;&gt;"",MAESTRO!$A74,"")</f>
        <v/>
      </c>
      <c r="D74" t="str">
        <f>IF($A74&lt;&gt;"",MAESTRO!$C74,"")</f>
        <v/>
      </c>
      <c r="E74" t="str">
        <f>IF($A74&lt;&gt;"",MAESTRO!$M74,"")</f>
        <v/>
      </c>
      <c r="F74" t="str">
        <f>IF($A74&lt;&gt;"",MAESTRO!$J74,"")</f>
        <v/>
      </c>
      <c r="G74" t="str">
        <f>IF($A74&lt;&gt;"",MAESTRO!$D74,"")</f>
        <v/>
      </c>
      <c r="H74" t="str">
        <f>IF($A74&lt;&gt;"",IF(TRIM(MAESTRO!$G74&amp;" "&amp;MAESTRO!$H74&amp;" "&amp;MAESTRO!$I74)="",MAESTRO!$F74,TRIM(MAESTRO!$G74&amp;" "&amp;MAESTRO!$H74&amp;" "&amp;MAESTRO!$I74)),"")</f>
        <v/>
      </c>
      <c r="I74" t="str">
        <f>IF($A74&lt;&gt;"",MAESTRO!$K74,"")</f>
        <v/>
      </c>
      <c r="J74" t="str">
        <f>IF($A74&lt;&gt;"",74,"")</f>
        <v/>
      </c>
    </row>
    <row r="75" spans="1:10" x14ac:dyDescent="0.2">
      <c r="A75" t="str">
        <f>IF(AND(UPPER(MAESTRO!$M75)="VIP",UPPER(MAESTRO!$J75)="SI",MAESTRO!$F75&lt;&gt;""),MAESTRO!$P75,"")</f>
        <v/>
      </c>
      <c r="B75" t="str">
        <f>IF($A75&lt;&gt;"",MAESTRO!$B75,"")</f>
        <v/>
      </c>
      <c r="C75" t="str">
        <f>IF($A75&lt;&gt;"",MAESTRO!$A75,"")</f>
        <v/>
      </c>
      <c r="D75" t="str">
        <f>IF($A75&lt;&gt;"",MAESTRO!$C75,"")</f>
        <v/>
      </c>
      <c r="E75" t="str">
        <f>IF($A75&lt;&gt;"",MAESTRO!$M75,"")</f>
        <v/>
      </c>
      <c r="F75" t="str">
        <f>IF($A75&lt;&gt;"",MAESTRO!$J75,"")</f>
        <v/>
      </c>
      <c r="G75" t="str">
        <f>IF($A75&lt;&gt;"",MAESTRO!$D75,"")</f>
        <v/>
      </c>
      <c r="H75" t="str">
        <f>IF($A75&lt;&gt;"",IF(TRIM(MAESTRO!$G75&amp;" "&amp;MAESTRO!$H75&amp;" "&amp;MAESTRO!$I75)="",MAESTRO!$F75,TRIM(MAESTRO!$G75&amp;" "&amp;MAESTRO!$H75&amp;" "&amp;MAESTRO!$I75)),"")</f>
        <v/>
      </c>
      <c r="I75" t="str">
        <f>IF($A75&lt;&gt;"",MAESTRO!$K75,"")</f>
        <v/>
      </c>
      <c r="J75" t="str">
        <f>IF($A75&lt;&gt;"",75,"")</f>
        <v/>
      </c>
    </row>
    <row r="76" spans="1:10" x14ac:dyDescent="0.2">
      <c r="A76" t="str">
        <f>IF(AND(UPPER(MAESTRO!$M76)="VIP",UPPER(MAESTRO!$J76)="SI",MAESTRO!$F76&lt;&gt;""),MAESTRO!$P76,"")</f>
        <v>A44</v>
      </c>
      <c r="B76">
        <f>IF($A76&lt;&gt;"",MAESTRO!$B76,"")</f>
        <v>75</v>
      </c>
      <c r="C76">
        <f>IF($A76&lt;&gt;"",MAESTRO!$A76,"")</f>
        <v>75</v>
      </c>
      <c r="D76" t="str">
        <f>IF($A76&lt;&gt;"",MAESTRO!$C76,"")</f>
        <v>OPA</v>
      </c>
      <c r="E76" t="str">
        <f>IF($A76&lt;&gt;"",MAESTRO!$M76,"")</f>
        <v>VIP</v>
      </c>
      <c r="F76" t="str">
        <f>IF($A76&lt;&gt;"",MAESTRO!$J76,"")</f>
        <v>SI</v>
      </c>
      <c r="G76" t="str">
        <f>IF($A76&lt;&gt;"",MAESTRO!$D76,"")</f>
        <v>Honorable Senador</v>
      </c>
      <c r="H76" t="str">
        <f>IF($A76&lt;&gt;"",IF(TRIM(MAESTRO!$G76&amp;" "&amp;MAESTRO!$H76&amp;" "&amp;MAESTRO!$I76)="",MAESTRO!$F76,TRIM(MAESTRO!$G76&amp;" "&amp;MAESTRO!$H76&amp;" "&amp;MAESTRO!$I76)),"")</f>
        <v>Gastón Saavedra Chandía</v>
      </c>
      <c r="I76" t="str">
        <f>IF($A76&lt;&gt;"",MAESTRO!$K76,"")</f>
        <v>Comisión de Defensa Nacional</v>
      </c>
      <c r="J76">
        <f>IF($A76&lt;&gt;"",76,"")</f>
        <v>76</v>
      </c>
    </row>
    <row r="77" spans="1:10" x14ac:dyDescent="0.2">
      <c r="A77" t="str">
        <f>IF(AND(UPPER(MAESTRO!$M77)="VIP",UPPER(MAESTRO!$J77)="SI",MAESTRO!$F77&lt;&gt;""),MAESTRO!$P77,"")</f>
        <v/>
      </c>
      <c r="B77" t="str">
        <f>IF($A77&lt;&gt;"",MAESTRO!$B77,"")</f>
        <v/>
      </c>
      <c r="C77" t="str">
        <f>IF($A77&lt;&gt;"",MAESTRO!$A77,"")</f>
        <v/>
      </c>
      <c r="D77" t="str">
        <f>IF($A77&lt;&gt;"",MAESTRO!$C77,"")</f>
        <v/>
      </c>
      <c r="E77" t="str">
        <f>IF($A77&lt;&gt;"",MAESTRO!$M77,"")</f>
        <v/>
      </c>
      <c r="F77" t="str">
        <f>IF($A77&lt;&gt;"",MAESTRO!$J77,"")</f>
        <v/>
      </c>
      <c r="G77" t="str">
        <f>IF($A77&lt;&gt;"",MAESTRO!$D77,"")</f>
        <v/>
      </c>
      <c r="H77" t="str">
        <f>IF($A77&lt;&gt;"",IF(TRIM(MAESTRO!$G77&amp;" "&amp;MAESTRO!$H77&amp;" "&amp;MAESTRO!$I77)="",MAESTRO!$F77,TRIM(MAESTRO!$G77&amp;" "&amp;MAESTRO!$H77&amp;" "&amp;MAESTRO!$I77)),"")</f>
        <v/>
      </c>
      <c r="I77" t="str">
        <f>IF($A77&lt;&gt;"",MAESTRO!$K77,"")</f>
        <v/>
      </c>
      <c r="J77" t="str">
        <f>IF($A77&lt;&gt;"",77,"")</f>
        <v/>
      </c>
    </row>
    <row r="78" spans="1:10" x14ac:dyDescent="0.2">
      <c r="A78" t="str">
        <f>IF(AND(UPPER(MAESTRO!$M78)="VIP",UPPER(MAESTRO!$J78)="SI",MAESTRO!$F78&lt;&gt;""),MAESTRO!$P78,"")</f>
        <v/>
      </c>
      <c r="B78" t="str">
        <f>IF($A78&lt;&gt;"",MAESTRO!$B78,"")</f>
        <v/>
      </c>
      <c r="C78" t="str">
        <f>IF($A78&lt;&gt;"",MAESTRO!$A78,"")</f>
        <v/>
      </c>
      <c r="D78" t="str">
        <f>IF($A78&lt;&gt;"",MAESTRO!$C78,"")</f>
        <v/>
      </c>
      <c r="E78" t="str">
        <f>IF($A78&lt;&gt;"",MAESTRO!$M78,"")</f>
        <v/>
      </c>
      <c r="F78" t="str">
        <f>IF($A78&lt;&gt;"",MAESTRO!$J78,"")</f>
        <v/>
      </c>
      <c r="G78" t="str">
        <f>IF($A78&lt;&gt;"",MAESTRO!$D78,"")</f>
        <v/>
      </c>
      <c r="H78" t="str">
        <f>IF($A78&lt;&gt;"",IF(TRIM(MAESTRO!$G78&amp;" "&amp;MAESTRO!$H78&amp;" "&amp;MAESTRO!$I78)="",MAESTRO!$F78,TRIM(MAESTRO!$G78&amp;" "&amp;MAESTRO!$H78&amp;" "&amp;MAESTRO!$I78)),"")</f>
        <v/>
      </c>
      <c r="I78" t="str">
        <f>IF($A78&lt;&gt;"",MAESTRO!$K78,"")</f>
        <v/>
      </c>
      <c r="J78" t="str">
        <f>IF($A78&lt;&gt;"",78,"")</f>
        <v/>
      </c>
    </row>
    <row r="79" spans="1:10" x14ac:dyDescent="0.2">
      <c r="A79" t="str">
        <f>IF(AND(UPPER(MAESTRO!$M79)="VIP",UPPER(MAESTRO!$J79)="SI",MAESTRO!$F79&lt;&gt;""),MAESTRO!$P79,"")</f>
        <v/>
      </c>
      <c r="B79" t="str">
        <f>IF($A79&lt;&gt;"",MAESTRO!$B79,"")</f>
        <v/>
      </c>
      <c r="C79" t="str">
        <f>IF($A79&lt;&gt;"",MAESTRO!$A79,"")</f>
        <v/>
      </c>
      <c r="D79" t="str">
        <f>IF($A79&lt;&gt;"",MAESTRO!$C79,"")</f>
        <v/>
      </c>
      <c r="E79" t="str">
        <f>IF($A79&lt;&gt;"",MAESTRO!$M79,"")</f>
        <v/>
      </c>
      <c r="F79" t="str">
        <f>IF($A79&lt;&gt;"",MAESTRO!$J79,"")</f>
        <v/>
      </c>
      <c r="G79" t="str">
        <f>IF($A79&lt;&gt;"",MAESTRO!$D79,"")</f>
        <v/>
      </c>
      <c r="H79" t="str">
        <f>IF($A79&lt;&gt;"",IF(TRIM(MAESTRO!$G79&amp;" "&amp;MAESTRO!$H79&amp;" "&amp;MAESTRO!$I79)="",MAESTRO!$F79,TRIM(MAESTRO!$G79&amp;" "&amp;MAESTRO!$H79&amp;" "&amp;MAESTRO!$I79)),"")</f>
        <v/>
      </c>
      <c r="I79" t="str">
        <f>IF($A79&lt;&gt;"",MAESTRO!$K79,"")</f>
        <v/>
      </c>
      <c r="J79" t="str">
        <f>IF($A79&lt;&gt;"",79,"")</f>
        <v/>
      </c>
    </row>
    <row r="80" spans="1:10" x14ac:dyDescent="0.2">
      <c r="A80" t="str">
        <f>IF(AND(UPPER(MAESTRO!$M80)="VIP",UPPER(MAESTRO!$J80)="SI",MAESTRO!$F80&lt;&gt;""),MAESTRO!$P80,"")</f>
        <v/>
      </c>
      <c r="B80" t="str">
        <f>IF($A80&lt;&gt;"",MAESTRO!$B80,"")</f>
        <v/>
      </c>
      <c r="C80" t="str">
        <f>IF($A80&lt;&gt;"",MAESTRO!$A80,"")</f>
        <v/>
      </c>
      <c r="D80" t="str">
        <f>IF($A80&lt;&gt;"",MAESTRO!$C80,"")</f>
        <v/>
      </c>
      <c r="E80" t="str">
        <f>IF($A80&lt;&gt;"",MAESTRO!$M80,"")</f>
        <v/>
      </c>
      <c r="F80" t="str">
        <f>IF($A80&lt;&gt;"",MAESTRO!$J80,"")</f>
        <v/>
      </c>
      <c r="G80" t="str">
        <f>IF($A80&lt;&gt;"",MAESTRO!$D80,"")</f>
        <v/>
      </c>
      <c r="H80" t="str">
        <f>IF($A80&lt;&gt;"",IF(TRIM(MAESTRO!$G80&amp;" "&amp;MAESTRO!$H80&amp;" "&amp;MAESTRO!$I80)="",MAESTRO!$F80,TRIM(MAESTRO!$G80&amp;" "&amp;MAESTRO!$H80&amp;" "&amp;MAESTRO!$I80)),"")</f>
        <v/>
      </c>
      <c r="I80" t="str">
        <f>IF($A80&lt;&gt;"",MAESTRO!$K80,"")</f>
        <v/>
      </c>
      <c r="J80" t="str">
        <f>IF($A80&lt;&gt;"",80,"")</f>
        <v/>
      </c>
    </row>
    <row r="81" spans="1:10" x14ac:dyDescent="0.2">
      <c r="A81" t="str">
        <f>IF(AND(UPPER(MAESTRO!$M81)="VIP",UPPER(MAESTRO!$J81)="SI",MAESTRO!$F81&lt;&gt;""),MAESTRO!$P81,"")</f>
        <v/>
      </c>
      <c r="B81" t="str">
        <f>IF($A81&lt;&gt;"",MAESTRO!$B81,"")</f>
        <v/>
      </c>
      <c r="C81" t="str">
        <f>IF($A81&lt;&gt;"",MAESTRO!$A81,"")</f>
        <v/>
      </c>
      <c r="D81" t="str">
        <f>IF($A81&lt;&gt;"",MAESTRO!$C81,"")</f>
        <v/>
      </c>
      <c r="E81" t="str">
        <f>IF($A81&lt;&gt;"",MAESTRO!$M81,"")</f>
        <v/>
      </c>
      <c r="F81" t="str">
        <f>IF($A81&lt;&gt;"",MAESTRO!$J81,"")</f>
        <v/>
      </c>
      <c r="G81" t="str">
        <f>IF($A81&lt;&gt;"",MAESTRO!$D81,"")</f>
        <v/>
      </c>
      <c r="H81" t="str">
        <f>IF($A81&lt;&gt;"",IF(TRIM(MAESTRO!$G81&amp;" "&amp;MAESTRO!$H81&amp;" "&amp;MAESTRO!$I81)="",MAESTRO!$F81,TRIM(MAESTRO!$G81&amp;" "&amp;MAESTRO!$H81&amp;" "&amp;MAESTRO!$I81)),"")</f>
        <v/>
      </c>
      <c r="I81" t="str">
        <f>IF($A81&lt;&gt;"",MAESTRO!$K81,"")</f>
        <v/>
      </c>
      <c r="J81" t="str">
        <f>IF($A81&lt;&gt;"",81,"")</f>
        <v/>
      </c>
    </row>
    <row r="82" spans="1:10" x14ac:dyDescent="0.2">
      <c r="A82" t="str">
        <f>IF(AND(UPPER(MAESTRO!$M82)="VIP",UPPER(MAESTRO!$J82)="SI",MAESTRO!$F82&lt;&gt;""),MAESTRO!$P82,"")</f>
        <v/>
      </c>
      <c r="B82" t="str">
        <f>IF($A82&lt;&gt;"",MAESTRO!$B82,"")</f>
        <v/>
      </c>
      <c r="C82" t="str">
        <f>IF($A82&lt;&gt;"",MAESTRO!$A82,"")</f>
        <v/>
      </c>
      <c r="D82" t="str">
        <f>IF($A82&lt;&gt;"",MAESTRO!$C82,"")</f>
        <v/>
      </c>
      <c r="E82" t="str">
        <f>IF($A82&lt;&gt;"",MAESTRO!$M82,"")</f>
        <v/>
      </c>
      <c r="F82" t="str">
        <f>IF($A82&lt;&gt;"",MAESTRO!$J82,"")</f>
        <v/>
      </c>
      <c r="G82" t="str">
        <f>IF($A82&lt;&gt;"",MAESTRO!$D82,"")</f>
        <v/>
      </c>
      <c r="H82" t="str">
        <f>IF($A82&lt;&gt;"",IF(TRIM(MAESTRO!$G82&amp;" "&amp;MAESTRO!$H82&amp;" "&amp;MAESTRO!$I82)="",MAESTRO!$F82,TRIM(MAESTRO!$G82&amp;" "&amp;MAESTRO!$H82&amp;" "&amp;MAESTRO!$I82)),"")</f>
        <v/>
      </c>
      <c r="I82" t="str">
        <f>IF($A82&lt;&gt;"",MAESTRO!$K82,"")</f>
        <v/>
      </c>
      <c r="J82" t="str">
        <f>IF($A82&lt;&gt;"",82,"")</f>
        <v/>
      </c>
    </row>
    <row r="83" spans="1:10" x14ac:dyDescent="0.2">
      <c r="A83" t="str">
        <f>IF(AND(UPPER(MAESTRO!$M83)="VIP",UPPER(MAESTRO!$J83)="SI",MAESTRO!$F83&lt;&gt;""),MAESTRO!$P83,"")</f>
        <v/>
      </c>
      <c r="B83" t="str">
        <f>IF($A83&lt;&gt;"",MAESTRO!$B83,"")</f>
        <v/>
      </c>
      <c r="C83" t="str">
        <f>IF($A83&lt;&gt;"",MAESTRO!$A83,"")</f>
        <v/>
      </c>
      <c r="D83" t="str">
        <f>IF($A83&lt;&gt;"",MAESTRO!$C83,"")</f>
        <v/>
      </c>
      <c r="E83" t="str">
        <f>IF($A83&lt;&gt;"",MAESTRO!$M83,"")</f>
        <v/>
      </c>
      <c r="F83" t="str">
        <f>IF($A83&lt;&gt;"",MAESTRO!$J83,"")</f>
        <v/>
      </c>
      <c r="G83" t="str">
        <f>IF($A83&lt;&gt;"",MAESTRO!$D83,"")</f>
        <v/>
      </c>
      <c r="H83" t="str">
        <f>IF($A83&lt;&gt;"",IF(TRIM(MAESTRO!$G83&amp;" "&amp;MAESTRO!$H83&amp;" "&amp;MAESTRO!$I83)="",MAESTRO!$F83,TRIM(MAESTRO!$G83&amp;" "&amp;MAESTRO!$H83&amp;" "&amp;MAESTRO!$I83)),"")</f>
        <v/>
      </c>
      <c r="I83" t="str">
        <f>IF($A83&lt;&gt;"",MAESTRO!$K83,"")</f>
        <v/>
      </c>
      <c r="J83" t="str">
        <f>IF($A83&lt;&gt;"",83,"")</f>
        <v/>
      </c>
    </row>
    <row r="84" spans="1:10" x14ac:dyDescent="0.2">
      <c r="A84" t="str">
        <f>IF(AND(UPPER(MAESTRO!$M84)="VIP",UPPER(MAESTRO!$J84)="SI",MAESTRO!$F84&lt;&gt;""),MAESTRO!$P84,"")</f>
        <v>A45</v>
      </c>
      <c r="B84">
        <f>IF($A84&lt;&gt;"",MAESTRO!$B84,"")</f>
        <v>83</v>
      </c>
      <c r="C84">
        <f>IF($A84&lt;&gt;"",MAESTRO!$A84,"")</f>
        <v>83</v>
      </c>
      <c r="D84" t="str">
        <f>IF($A84&lt;&gt;"",MAESTRO!$C84,"")</f>
        <v>OPA</v>
      </c>
      <c r="E84" t="str">
        <f>IF($A84&lt;&gt;"",MAESTRO!$M84,"")</f>
        <v>VIP</v>
      </c>
      <c r="F84" t="str">
        <f>IF($A84&lt;&gt;"",MAESTRO!$J84,"")</f>
        <v>SI</v>
      </c>
      <c r="G84" t="str">
        <f>IF($A84&lt;&gt;"",MAESTRO!$D84,"")</f>
        <v>Honorable Senador</v>
      </c>
      <c r="H84" t="str">
        <f>IF($A84&lt;&gt;"",IF(TRIM(MAESTRO!$G84&amp;" "&amp;MAESTRO!$H84&amp;" "&amp;MAESTRO!$I84)="",MAESTRO!$F84,TRIM(MAESTRO!$G84&amp;" "&amp;MAESTRO!$H84&amp;" "&amp;MAESTRO!$I84)),"")</f>
        <v>Enrique Van Rysselberghe Herrera</v>
      </c>
      <c r="I84" t="str">
        <f>IF($A84&lt;&gt;"",MAESTRO!$K84,"")</f>
        <v>Circunscripción 10 Región Biobío</v>
      </c>
      <c r="J84">
        <f>IF($A84&lt;&gt;"",84,"")</f>
        <v>84</v>
      </c>
    </row>
    <row r="85" spans="1:10" x14ac:dyDescent="0.2">
      <c r="A85" t="str">
        <f>IF(AND(UPPER(MAESTRO!$M85)="VIP",UPPER(MAESTRO!$J85)="SI",MAESTRO!$F85&lt;&gt;""),MAESTRO!$P85,"")</f>
        <v>B23</v>
      </c>
      <c r="B85">
        <f>IF($A85&lt;&gt;"",MAESTRO!$B85,"")</f>
        <v>84</v>
      </c>
      <c r="C85">
        <f>IF($A85&lt;&gt;"",MAESTRO!$A85,"")</f>
        <v>84</v>
      </c>
      <c r="D85" t="str">
        <f>IF($A85&lt;&gt;"",MAESTRO!$C85,"")</f>
        <v>OPA</v>
      </c>
      <c r="E85" t="str">
        <f>IF($A85&lt;&gt;"",MAESTRO!$M85,"")</f>
        <v>VIP</v>
      </c>
      <c r="F85" t="str">
        <f>IF($A85&lt;&gt;"",MAESTRO!$J85,"")</f>
        <v>SI</v>
      </c>
      <c r="G85" t="str">
        <f>IF($A85&lt;&gt;"",MAESTRO!$D85,"")</f>
        <v>Honorable Senador</v>
      </c>
      <c r="H85" t="str">
        <f>IF($A85&lt;&gt;"",IF(TRIM(MAESTRO!$G85&amp;" "&amp;MAESTRO!$H85&amp;" "&amp;MAESTRO!$I85)="",MAESTRO!$F85,TRIM(MAESTRO!$G85&amp;" "&amp;MAESTRO!$H85&amp;" "&amp;MAESTRO!$I85)),"")</f>
        <v>Alfonso De Urresti Longton</v>
      </c>
      <c r="I85" t="str">
        <f>IF($A85&lt;&gt;"",MAESTRO!$K85,"")</f>
        <v>Senador de la República</v>
      </c>
      <c r="J85">
        <f>IF($A85&lt;&gt;"",85,"")</f>
        <v>85</v>
      </c>
    </row>
    <row r="86" spans="1:10" x14ac:dyDescent="0.2">
      <c r="A86" t="str">
        <f>IF(AND(UPPER(MAESTRO!$M86)="VIP",UPPER(MAESTRO!$J86)="SI",MAESTRO!$F86&lt;&gt;""),MAESTRO!$P86,"")</f>
        <v/>
      </c>
      <c r="B86" t="str">
        <f>IF($A86&lt;&gt;"",MAESTRO!$B86,"")</f>
        <v/>
      </c>
      <c r="C86" t="str">
        <f>IF($A86&lt;&gt;"",MAESTRO!$A86,"")</f>
        <v/>
      </c>
      <c r="D86" t="str">
        <f>IF($A86&lt;&gt;"",MAESTRO!$C86,"")</f>
        <v/>
      </c>
      <c r="E86" t="str">
        <f>IF($A86&lt;&gt;"",MAESTRO!$M86,"")</f>
        <v/>
      </c>
      <c r="F86" t="str">
        <f>IF($A86&lt;&gt;"",MAESTRO!$J86,"")</f>
        <v/>
      </c>
      <c r="G86" t="str">
        <f>IF($A86&lt;&gt;"",MAESTRO!$D86,"")</f>
        <v/>
      </c>
      <c r="H86" t="str">
        <f>IF($A86&lt;&gt;"",IF(TRIM(MAESTRO!$G86&amp;" "&amp;MAESTRO!$H86&amp;" "&amp;MAESTRO!$I86)="",MAESTRO!$F86,TRIM(MAESTRO!$G86&amp;" "&amp;MAESTRO!$H86&amp;" "&amp;MAESTRO!$I86)),"")</f>
        <v/>
      </c>
      <c r="I86" t="str">
        <f>IF($A86&lt;&gt;"",MAESTRO!$K86,"")</f>
        <v/>
      </c>
      <c r="J86" t="str">
        <f>IF($A86&lt;&gt;"",86,"")</f>
        <v/>
      </c>
    </row>
    <row r="87" spans="1:10" x14ac:dyDescent="0.2">
      <c r="A87" t="str">
        <f>IF(AND(UPPER(MAESTRO!$M87)="VIP",UPPER(MAESTRO!$J87)="SI",MAESTRO!$F87&lt;&gt;""),MAESTRO!$P87,"")</f>
        <v>B24</v>
      </c>
      <c r="B87">
        <f>IF($A87&lt;&gt;"",MAESTRO!$B87,"")</f>
        <v>86</v>
      </c>
      <c r="C87">
        <f>IF($A87&lt;&gt;"",MAESTRO!$A87,"")</f>
        <v>86</v>
      </c>
      <c r="D87" t="str">
        <f>IF($A87&lt;&gt;"",MAESTRO!$C87,"")</f>
        <v>OPA</v>
      </c>
      <c r="E87" t="str">
        <f>IF($A87&lt;&gt;"",MAESTRO!$M87,"")</f>
        <v>VIP</v>
      </c>
      <c r="F87" t="str">
        <f>IF($A87&lt;&gt;"",MAESTRO!$J87,"")</f>
        <v>SI</v>
      </c>
      <c r="G87" t="str">
        <f>IF($A87&lt;&gt;"",MAESTRO!$D87,"")</f>
        <v>Honorable Senador</v>
      </c>
      <c r="H87" t="str">
        <f>IF($A87&lt;&gt;"",IF(TRIM(MAESTRO!$G87&amp;" "&amp;MAESTRO!$H87&amp;" "&amp;MAESTRO!$I87)="",MAESTRO!$F87,TRIM(MAESTRO!$G87&amp;" "&amp;MAESTRO!$H87&amp;" "&amp;MAESTRO!$I87)),"")</f>
        <v>Loreto Carvajal Ambiado</v>
      </c>
      <c r="I87" t="str">
        <f>IF($A87&lt;&gt;"",MAESTRO!$K87,"")</f>
        <v>Circunsripción Zona Ñuble</v>
      </c>
      <c r="J87">
        <f>IF($A87&lt;&gt;"",87,"")</f>
        <v>87</v>
      </c>
    </row>
    <row r="88" spans="1:10" x14ac:dyDescent="0.2">
      <c r="A88" t="str">
        <f>IF(AND(UPPER(MAESTRO!$M88)="VIP",UPPER(MAESTRO!$J88)="SI",MAESTRO!$F88&lt;&gt;""),MAESTRO!$P88,"")</f>
        <v>B21</v>
      </c>
      <c r="B88">
        <f>IF($A88&lt;&gt;"",MAESTRO!$B88,"")</f>
        <v>87</v>
      </c>
      <c r="C88">
        <f>IF($A88&lt;&gt;"",MAESTRO!$A88,"")</f>
        <v>87</v>
      </c>
      <c r="D88" t="str">
        <f>IF($A88&lt;&gt;"",MAESTRO!$C88,"")</f>
        <v>OPA</v>
      </c>
      <c r="E88" t="str">
        <f>IF($A88&lt;&gt;"",MAESTRO!$M88,"")</f>
        <v>VIP</v>
      </c>
      <c r="F88" t="str">
        <f>IF($A88&lt;&gt;"",MAESTRO!$J88,"")</f>
        <v>SI</v>
      </c>
      <c r="G88" t="str">
        <f>IF($A88&lt;&gt;"",MAESTRO!$D88,"")</f>
        <v>Honorable Diputado</v>
      </c>
      <c r="H88" t="str">
        <f>IF($A88&lt;&gt;"",IF(TRIM(MAESTRO!$G88&amp;" "&amp;MAESTRO!$H88&amp;" "&amp;MAESTRO!$I88)="",MAESTRO!$F88,TRIM(MAESTRO!$G88&amp;" "&amp;MAESTRO!$H88&amp;" "&amp;MAESTRO!$I88)),"")</f>
        <v>Álvaro Carter Fernández</v>
      </c>
      <c r="I88" t="str">
        <f>IF($A88&lt;&gt;"",MAESTRO!$K88,"")</f>
        <v>Presidente de la Comisión de Defensa Nacional</v>
      </c>
      <c r="J88">
        <f>IF($A88&lt;&gt;"",88,"")</f>
        <v>88</v>
      </c>
    </row>
    <row r="89" spans="1:10" x14ac:dyDescent="0.2">
      <c r="A89" t="str">
        <f>IF(AND(UPPER(MAESTRO!$M89)="VIP",UPPER(MAESTRO!$J89)="SI",MAESTRO!$F89&lt;&gt;""),MAESTRO!$P89,"")</f>
        <v/>
      </c>
      <c r="B89" t="str">
        <f>IF($A89&lt;&gt;"",MAESTRO!$B89,"")</f>
        <v/>
      </c>
      <c r="C89" t="str">
        <f>IF($A89&lt;&gt;"",MAESTRO!$A89,"")</f>
        <v/>
      </c>
      <c r="D89" t="str">
        <f>IF($A89&lt;&gt;"",MAESTRO!$C89,"")</f>
        <v/>
      </c>
      <c r="E89" t="str">
        <f>IF($A89&lt;&gt;"",MAESTRO!$M89,"")</f>
        <v/>
      </c>
      <c r="F89" t="str">
        <f>IF($A89&lt;&gt;"",MAESTRO!$J89,"")</f>
        <v/>
      </c>
      <c r="G89" t="str">
        <f>IF($A89&lt;&gt;"",MAESTRO!$D89,"")</f>
        <v/>
      </c>
      <c r="H89" t="str">
        <f>IF($A89&lt;&gt;"",IF(TRIM(MAESTRO!$G89&amp;" "&amp;MAESTRO!$H89&amp;" "&amp;MAESTRO!$I89)="",MAESTRO!$F89,TRIM(MAESTRO!$G89&amp;" "&amp;MAESTRO!$H89&amp;" "&amp;MAESTRO!$I89)),"")</f>
        <v/>
      </c>
      <c r="I89" t="str">
        <f>IF($A89&lt;&gt;"",MAESTRO!$K89,"")</f>
        <v/>
      </c>
      <c r="J89" t="str">
        <f>IF($A89&lt;&gt;"",89,"")</f>
        <v/>
      </c>
    </row>
    <row r="90" spans="1:10" x14ac:dyDescent="0.2">
      <c r="A90" t="str">
        <f>IF(AND(UPPER(MAESTRO!$M90)="VIP",UPPER(MAESTRO!$J90)="SI",MAESTRO!$F90&lt;&gt;""),MAESTRO!$P90,"")</f>
        <v/>
      </c>
      <c r="B90" t="str">
        <f>IF($A90&lt;&gt;"",MAESTRO!$B90,"")</f>
        <v/>
      </c>
      <c r="C90" t="str">
        <f>IF($A90&lt;&gt;"",MAESTRO!$A90,"")</f>
        <v/>
      </c>
      <c r="D90" t="str">
        <f>IF($A90&lt;&gt;"",MAESTRO!$C90,"")</f>
        <v/>
      </c>
      <c r="E90" t="str">
        <f>IF($A90&lt;&gt;"",MAESTRO!$M90,"")</f>
        <v/>
      </c>
      <c r="F90" t="str">
        <f>IF($A90&lt;&gt;"",MAESTRO!$J90,"")</f>
        <v/>
      </c>
      <c r="G90" t="str">
        <f>IF($A90&lt;&gt;"",MAESTRO!$D90,"")</f>
        <v/>
      </c>
      <c r="H90" t="str">
        <f>IF($A90&lt;&gt;"",IF(TRIM(MAESTRO!$G90&amp;" "&amp;MAESTRO!$H90&amp;" "&amp;MAESTRO!$I90)="",MAESTRO!$F90,TRIM(MAESTRO!$G90&amp;" "&amp;MAESTRO!$H90&amp;" "&amp;MAESTRO!$I90)),"")</f>
        <v/>
      </c>
      <c r="I90" t="str">
        <f>IF($A90&lt;&gt;"",MAESTRO!$K90,"")</f>
        <v/>
      </c>
      <c r="J90" t="str">
        <f>IF($A90&lt;&gt;"",90,"")</f>
        <v/>
      </c>
    </row>
    <row r="91" spans="1:10" x14ac:dyDescent="0.2">
      <c r="A91" t="str">
        <f>IF(AND(UPPER(MAESTRO!$M91)="VIP",UPPER(MAESTRO!$J91)="SI",MAESTRO!$F91&lt;&gt;""),MAESTRO!$P91,"")</f>
        <v/>
      </c>
      <c r="B91" t="str">
        <f>IF($A91&lt;&gt;"",MAESTRO!$B91,"")</f>
        <v/>
      </c>
      <c r="C91" t="str">
        <f>IF($A91&lt;&gt;"",MAESTRO!$A91,"")</f>
        <v/>
      </c>
      <c r="D91" t="str">
        <f>IF($A91&lt;&gt;"",MAESTRO!$C91,"")</f>
        <v/>
      </c>
      <c r="E91" t="str">
        <f>IF($A91&lt;&gt;"",MAESTRO!$M91,"")</f>
        <v/>
      </c>
      <c r="F91" t="str">
        <f>IF($A91&lt;&gt;"",MAESTRO!$J91,"")</f>
        <v/>
      </c>
      <c r="G91" t="str">
        <f>IF($A91&lt;&gt;"",MAESTRO!$D91,"")</f>
        <v/>
      </c>
      <c r="H91" t="str">
        <f>IF($A91&lt;&gt;"",IF(TRIM(MAESTRO!$G91&amp;" "&amp;MAESTRO!$H91&amp;" "&amp;MAESTRO!$I91)="",MAESTRO!$F91,TRIM(MAESTRO!$G91&amp;" "&amp;MAESTRO!$H91&amp;" "&amp;MAESTRO!$I91)),"")</f>
        <v/>
      </c>
      <c r="I91" t="str">
        <f>IF($A91&lt;&gt;"",MAESTRO!$K91,"")</f>
        <v/>
      </c>
      <c r="J91" t="str">
        <f>IF($A91&lt;&gt;"",91,"")</f>
        <v/>
      </c>
    </row>
    <row r="92" spans="1:10" x14ac:dyDescent="0.2">
      <c r="A92" t="str">
        <f>IF(AND(UPPER(MAESTRO!$M92)="VIP",UPPER(MAESTRO!$J92)="SI",MAESTRO!$F92&lt;&gt;""),MAESTRO!$P92,"")</f>
        <v/>
      </c>
      <c r="B92" t="str">
        <f>IF($A92&lt;&gt;"",MAESTRO!$B92,"")</f>
        <v/>
      </c>
      <c r="C92" t="str">
        <f>IF($A92&lt;&gt;"",MAESTRO!$A92,"")</f>
        <v/>
      </c>
      <c r="D92" t="str">
        <f>IF($A92&lt;&gt;"",MAESTRO!$C92,"")</f>
        <v/>
      </c>
      <c r="E92" t="str">
        <f>IF($A92&lt;&gt;"",MAESTRO!$M92,"")</f>
        <v/>
      </c>
      <c r="F92" t="str">
        <f>IF($A92&lt;&gt;"",MAESTRO!$J92,"")</f>
        <v/>
      </c>
      <c r="G92" t="str">
        <f>IF($A92&lt;&gt;"",MAESTRO!$D92,"")</f>
        <v/>
      </c>
      <c r="H92" t="str">
        <f>IF($A92&lt;&gt;"",IF(TRIM(MAESTRO!$G92&amp;" "&amp;MAESTRO!$H92&amp;" "&amp;MAESTRO!$I92)="",MAESTRO!$F92,TRIM(MAESTRO!$G92&amp;" "&amp;MAESTRO!$H92&amp;" "&amp;MAESTRO!$I92)),"")</f>
        <v/>
      </c>
      <c r="I92" t="str">
        <f>IF($A92&lt;&gt;"",MAESTRO!$K92,"")</f>
        <v/>
      </c>
      <c r="J92" t="str">
        <f>IF($A92&lt;&gt;"",92,"")</f>
        <v/>
      </c>
    </row>
    <row r="93" spans="1:10" x14ac:dyDescent="0.2">
      <c r="A93" t="str">
        <f>IF(AND(UPPER(MAESTRO!$M93)="VIP",UPPER(MAESTRO!$J93)="SI",MAESTRO!$F93&lt;&gt;""),MAESTRO!$P93,"")</f>
        <v/>
      </c>
      <c r="B93" t="str">
        <f>IF($A93&lt;&gt;"",MAESTRO!$B93,"")</f>
        <v/>
      </c>
      <c r="C93" t="str">
        <f>IF($A93&lt;&gt;"",MAESTRO!$A93,"")</f>
        <v/>
      </c>
      <c r="D93" t="str">
        <f>IF($A93&lt;&gt;"",MAESTRO!$C93,"")</f>
        <v/>
      </c>
      <c r="E93" t="str">
        <f>IF($A93&lt;&gt;"",MAESTRO!$M93,"")</f>
        <v/>
      </c>
      <c r="F93" t="str">
        <f>IF($A93&lt;&gt;"",MAESTRO!$J93,"")</f>
        <v/>
      </c>
      <c r="G93" t="str">
        <f>IF($A93&lt;&gt;"",MAESTRO!$D93,"")</f>
        <v/>
      </c>
      <c r="H93" t="str">
        <f>IF($A93&lt;&gt;"",IF(TRIM(MAESTRO!$G93&amp;" "&amp;MAESTRO!$H93&amp;" "&amp;MAESTRO!$I93)="",MAESTRO!$F93,TRIM(MAESTRO!$G93&amp;" "&amp;MAESTRO!$H93&amp;" "&amp;MAESTRO!$I93)),"")</f>
        <v/>
      </c>
      <c r="I93" t="str">
        <f>IF($A93&lt;&gt;"",MAESTRO!$K93,"")</f>
        <v/>
      </c>
      <c r="J93" t="str">
        <f>IF($A93&lt;&gt;"",93,"")</f>
        <v/>
      </c>
    </row>
    <row r="94" spans="1:10" x14ac:dyDescent="0.2">
      <c r="A94" t="str">
        <f>IF(AND(UPPER(MAESTRO!$M94)="VIP",UPPER(MAESTRO!$J94)="SI",MAESTRO!$F94&lt;&gt;""),MAESTRO!$P94,"")</f>
        <v/>
      </c>
      <c r="B94" t="str">
        <f>IF($A94&lt;&gt;"",MAESTRO!$B94,"")</f>
        <v/>
      </c>
      <c r="C94" t="str">
        <f>IF($A94&lt;&gt;"",MAESTRO!$A94,"")</f>
        <v/>
      </c>
      <c r="D94" t="str">
        <f>IF($A94&lt;&gt;"",MAESTRO!$C94,"")</f>
        <v/>
      </c>
      <c r="E94" t="str">
        <f>IF($A94&lt;&gt;"",MAESTRO!$M94,"")</f>
        <v/>
      </c>
      <c r="F94" t="str">
        <f>IF($A94&lt;&gt;"",MAESTRO!$J94,"")</f>
        <v/>
      </c>
      <c r="G94" t="str">
        <f>IF($A94&lt;&gt;"",MAESTRO!$D94,"")</f>
        <v/>
      </c>
      <c r="H94" t="str">
        <f>IF($A94&lt;&gt;"",IF(TRIM(MAESTRO!$G94&amp;" "&amp;MAESTRO!$H94&amp;" "&amp;MAESTRO!$I94)="",MAESTRO!$F94,TRIM(MAESTRO!$G94&amp;" "&amp;MAESTRO!$H94&amp;" "&amp;MAESTRO!$I94)),"")</f>
        <v/>
      </c>
      <c r="I94" t="str">
        <f>IF($A94&lt;&gt;"",MAESTRO!$K94,"")</f>
        <v/>
      </c>
      <c r="J94" t="str">
        <f>IF($A94&lt;&gt;"",94,"")</f>
        <v/>
      </c>
    </row>
    <row r="95" spans="1:10" x14ac:dyDescent="0.2">
      <c r="A95" t="str">
        <f>IF(AND(UPPER(MAESTRO!$M95)="VIP",UPPER(MAESTRO!$J95)="SI",MAESTRO!$F95&lt;&gt;""),MAESTRO!$P95,"")</f>
        <v/>
      </c>
      <c r="B95" t="str">
        <f>IF($A95&lt;&gt;"",MAESTRO!$B95,"")</f>
        <v/>
      </c>
      <c r="C95" t="str">
        <f>IF($A95&lt;&gt;"",MAESTRO!$A95,"")</f>
        <v/>
      </c>
      <c r="D95" t="str">
        <f>IF($A95&lt;&gt;"",MAESTRO!$C95,"")</f>
        <v/>
      </c>
      <c r="E95" t="str">
        <f>IF($A95&lt;&gt;"",MAESTRO!$M95,"")</f>
        <v/>
      </c>
      <c r="F95" t="str">
        <f>IF($A95&lt;&gt;"",MAESTRO!$J95,"")</f>
        <v/>
      </c>
      <c r="G95" t="str">
        <f>IF($A95&lt;&gt;"",MAESTRO!$D95,"")</f>
        <v/>
      </c>
      <c r="H95" t="str">
        <f>IF($A95&lt;&gt;"",IF(TRIM(MAESTRO!$G95&amp;" "&amp;MAESTRO!$H95&amp;" "&amp;MAESTRO!$I95)="",MAESTRO!$F95,TRIM(MAESTRO!$G95&amp;" "&amp;MAESTRO!$H95&amp;" "&amp;MAESTRO!$I95)),"")</f>
        <v/>
      </c>
      <c r="I95" t="str">
        <f>IF($A95&lt;&gt;"",MAESTRO!$K95,"")</f>
        <v/>
      </c>
      <c r="J95" t="str">
        <f>IF($A95&lt;&gt;"",95,"")</f>
        <v/>
      </c>
    </row>
    <row r="96" spans="1:10" x14ac:dyDescent="0.2">
      <c r="A96" t="str">
        <f>IF(AND(UPPER(MAESTRO!$M96)="VIP",UPPER(MAESTRO!$J96)="SI",MAESTRO!$F96&lt;&gt;""),MAESTRO!$P96,"")</f>
        <v/>
      </c>
      <c r="B96" t="str">
        <f>IF($A96&lt;&gt;"",MAESTRO!$B96,"")</f>
        <v/>
      </c>
      <c r="C96" t="str">
        <f>IF($A96&lt;&gt;"",MAESTRO!$A96,"")</f>
        <v/>
      </c>
      <c r="D96" t="str">
        <f>IF($A96&lt;&gt;"",MAESTRO!$C96,"")</f>
        <v/>
      </c>
      <c r="E96" t="str">
        <f>IF($A96&lt;&gt;"",MAESTRO!$M96,"")</f>
        <v/>
      </c>
      <c r="F96" t="str">
        <f>IF($A96&lt;&gt;"",MAESTRO!$J96,"")</f>
        <v/>
      </c>
      <c r="G96" t="str">
        <f>IF($A96&lt;&gt;"",MAESTRO!$D96,"")</f>
        <v/>
      </c>
      <c r="H96" t="str">
        <f>IF($A96&lt;&gt;"",IF(TRIM(MAESTRO!$G96&amp;" "&amp;MAESTRO!$H96&amp;" "&amp;MAESTRO!$I96)="",MAESTRO!$F96,TRIM(MAESTRO!$G96&amp;" "&amp;MAESTRO!$H96&amp;" "&amp;MAESTRO!$I96)),"")</f>
        <v/>
      </c>
      <c r="I96" t="str">
        <f>IF($A96&lt;&gt;"",MAESTRO!$K96,"")</f>
        <v/>
      </c>
      <c r="J96" t="str">
        <f>IF($A96&lt;&gt;"",96,"")</f>
        <v/>
      </c>
    </row>
    <row r="97" spans="1:10" x14ac:dyDescent="0.2">
      <c r="A97" t="str">
        <f>IF(AND(UPPER(MAESTRO!$M97)="VIP",UPPER(MAESTRO!$J97)="SI",MAESTRO!$F97&lt;&gt;""),MAESTRO!$P97,"")</f>
        <v/>
      </c>
      <c r="B97" t="str">
        <f>IF($A97&lt;&gt;"",MAESTRO!$B97,"")</f>
        <v/>
      </c>
      <c r="C97" t="str">
        <f>IF($A97&lt;&gt;"",MAESTRO!$A97,"")</f>
        <v/>
      </c>
      <c r="D97" t="str">
        <f>IF($A97&lt;&gt;"",MAESTRO!$C97,"")</f>
        <v/>
      </c>
      <c r="E97" t="str">
        <f>IF($A97&lt;&gt;"",MAESTRO!$M97,"")</f>
        <v/>
      </c>
      <c r="F97" t="str">
        <f>IF($A97&lt;&gt;"",MAESTRO!$J97,"")</f>
        <v/>
      </c>
      <c r="G97" t="str">
        <f>IF($A97&lt;&gt;"",MAESTRO!$D97,"")</f>
        <v/>
      </c>
      <c r="H97" t="str">
        <f>IF($A97&lt;&gt;"",IF(TRIM(MAESTRO!$G97&amp;" "&amp;MAESTRO!$H97&amp;" "&amp;MAESTRO!$I97)="",MAESTRO!$F97,TRIM(MAESTRO!$G97&amp;" "&amp;MAESTRO!$H97&amp;" "&amp;MAESTRO!$I97)),"")</f>
        <v/>
      </c>
      <c r="I97" t="str">
        <f>IF($A97&lt;&gt;"",MAESTRO!$K97,"")</f>
        <v/>
      </c>
      <c r="J97" t="str">
        <f>IF($A97&lt;&gt;"",97,"")</f>
        <v/>
      </c>
    </row>
    <row r="98" spans="1:10" x14ac:dyDescent="0.2">
      <c r="A98" t="str">
        <f>IF(AND(UPPER(MAESTRO!$M98)="VIP",UPPER(MAESTRO!$J98)="SI",MAESTRO!$F98&lt;&gt;""),MAESTRO!$P98,"")</f>
        <v>B28</v>
      </c>
      <c r="B98">
        <f>IF($A98&lt;&gt;"",MAESTRO!$B98,"")</f>
        <v>97</v>
      </c>
      <c r="C98">
        <f>IF($A98&lt;&gt;"",MAESTRO!$A98,"")</f>
        <v>97</v>
      </c>
      <c r="D98" t="str">
        <f>IF($A98&lt;&gt;"",MAESTRO!$C98,"")</f>
        <v>OPA</v>
      </c>
      <c r="E98" t="str">
        <f>IF($A98&lt;&gt;"",MAESTRO!$M98,"")</f>
        <v>VIP</v>
      </c>
      <c r="F98" t="str">
        <f>IF($A98&lt;&gt;"",MAESTRO!$J98,"")</f>
        <v>SI</v>
      </c>
      <c r="G98" t="str">
        <f>IF($A98&lt;&gt;"",MAESTRO!$D98,"")</f>
        <v>Honorable Diputado</v>
      </c>
      <c r="H98" t="str">
        <f>IF($A98&lt;&gt;"",IF(TRIM(MAESTRO!$G98&amp;" "&amp;MAESTRO!$H98&amp;" "&amp;MAESTRO!$I98)="",MAESTRO!$F98,TRIM(MAESTRO!$G98&amp;" "&amp;MAESTRO!$H98&amp;" "&amp;MAESTRO!$I98)),"")</f>
        <v>Luis Sánchez Ossa</v>
      </c>
      <c r="I98" t="str">
        <f>IF($A98&lt;&gt;"",MAESTRO!$K98,"")</f>
        <v>Integrante de la Comisión de Defensa Nacional</v>
      </c>
      <c r="J98">
        <f>IF($A98&lt;&gt;"",98,"")</f>
        <v>98</v>
      </c>
    </row>
    <row r="99" spans="1:10" x14ac:dyDescent="0.2">
      <c r="A99" t="str">
        <f>IF(AND(UPPER(MAESTRO!$M99)="VIP",UPPER(MAESTRO!$J99)="SI",MAESTRO!$F99&lt;&gt;""),MAESTRO!$P99,"")</f>
        <v>B17</v>
      </c>
      <c r="B99">
        <f>IF($A99&lt;&gt;"",MAESTRO!$B99,"")</f>
        <v>98</v>
      </c>
      <c r="C99">
        <f>IF($A99&lt;&gt;"",MAESTRO!$A99,"")</f>
        <v>98</v>
      </c>
      <c r="D99" t="str">
        <f>IF($A99&lt;&gt;"",MAESTRO!$C99,"")</f>
        <v>OPA</v>
      </c>
      <c r="E99" t="str">
        <f>IF($A99&lt;&gt;"",MAESTRO!$M99,"")</f>
        <v>VIP</v>
      </c>
      <c r="F99" t="str">
        <f>IF($A99&lt;&gt;"",MAESTRO!$J99,"")</f>
        <v>SI</v>
      </c>
      <c r="G99" t="str">
        <f>IF($A99&lt;&gt;"",MAESTRO!$D99,"")</f>
        <v>Honorable Diputado</v>
      </c>
      <c r="H99" t="str">
        <f>IF($A99&lt;&gt;"",IF(TRIM(MAESTRO!$G99&amp;" "&amp;MAESTRO!$H99&amp;" "&amp;MAESTRO!$I99)="",MAESTRO!$F99,TRIM(MAESTRO!$G99&amp;" "&amp;MAESTRO!$H99&amp;" "&amp;MAESTRO!$I99)),"")</f>
        <v>Daniel Valenzuela Salazar</v>
      </c>
      <c r="I99" t="str">
        <f>IF($A99&lt;&gt;"",MAESTRO!$K99,"")</f>
        <v>Integrante de la Comisión de Defensa Nacional</v>
      </c>
      <c r="J99">
        <f>IF($A99&lt;&gt;"",99,"")</f>
        <v>99</v>
      </c>
    </row>
    <row r="100" spans="1:10" x14ac:dyDescent="0.2">
      <c r="A100" t="str">
        <f>IF(AND(UPPER(MAESTRO!$M100)="VIP",UPPER(MAESTRO!$J100)="SI",MAESTRO!$F100&lt;&gt;""),MAESTRO!$P100,"")</f>
        <v/>
      </c>
      <c r="B100" t="str">
        <f>IF($A100&lt;&gt;"",MAESTRO!$B100,"")</f>
        <v/>
      </c>
      <c r="C100" t="str">
        <f>IF($A100&lt;&gt;"",MAESTRO!$A100,"")</f>
        <v/>
      </c>
      <c r="D100" t="str">
        <f>IF($A100&lt;&gt;"",MAESTRO!$C100,"")</f>
        <v/>
      </c>
      <c r="E100" t="str">
        <f>IF($A100&lt;&gt;"",MAESTRO!$M100,"")</f>
        <v/>
      </c>
      <c r="F100" t="str">
        <f>IF($A100&lt;&gt;"",MAESTRO!$J100,"")</f>
        <v/>
      </c>
      <c r="G100" t="str">
        <f>IF($A100&lt;&gt;"",MAESTRO!$D100,"")</f>
        <v/>
      </c>
      <c r="H100" t="str">
        <f>IF($A100&lt;&gt;"",IF(TRIM(MAESTRO!$G100&amp;" "&amp;MAESTRO!$H100&amp;" "&amp;MAESTRO!$I100)="",MAESTRO!$F100,TRIM(MAESTRO!$G100&amp;" "&amp;MAESTRO!$H100&amp;" "&amp;MAESTRO!$I100)),"")</f>
        <v/>
      </c>
      <c r="I100" t="str">
        <f>IF($A100&lt;&gt;"",MAESTRO!$K100,"")</f>
        <v/>
      </c>
      <c r="J100" t="str">
        <f>IF($A100&lt;&gt;"",100,"")</f>
        <v/>
      </c>
    </row>
    <row r="101" spans="1:10" x14ac:dyDescent="0.2">
      <c r="A101" t="str">
        <f>IF(AND(UPPER(MAESTRO!$M101)="VIP",UPPER(MAESTRO!$J101)="SI",MAESTRO!$F101&lt;&gt;""),MAESTRO!$P101,"")</f>
        <v/>
      </c>
      <c r="B101" t="str">
        <f>IF($A101&lt;&gt;"",MAESTRO!$B101,"")</f>
        <v/>
      </c>
      <c r="C101" t="str">
        <f>IF($A101&lt;&gt;"",MAESTRO!$A101,"")</f>
        <v/>
      </c>
      <c r="D101" t="str">
        <f>IF($A101&lt;&gt;"",MAESTRO!$C101,"")</f>
        <v/>
      </c>
      <c r="E101" t="str">
        <f>IF($A101&lt;&gt;"",MAESTRO!$M101,"")</f>
        <v/>
      </c>
      <c r="F101" t="str">
        <f>IF($A101&lt;&gt;"",MAESTRO!$J101,"")</f>
        <v/>
      </c>
      <c r="G101" t="str">
        <f>IF($A101&lt;&gt;"",MAESTRO!$D101,"")</f>
        <v/>
      </c>
      <c r="H101" t="str">
        <f>IF($A101&lt;&gt;"",IF(TRIM(MAESTRO!$G101&amp;" "&amp;MAESTRO!$H101&amp;" "&amp;MAESTRO!$I101)="",MAESTRO!$F101,TRIM(MAESTRO!$G101&amp;" "&amp;MAESTRO!$H101&amp;" "&amp;MAESTRO!$I101)),"")</f>
        <v/>
      </c>
      <c r="I101" t="str">
        <f>IF($A101&lt;&gt;"",MAESTRO!$K101,"")</f>
        <v/>
      </c>
      <c r="J101" t="str">
        <f>IF($A101&lt;&gt;"",101,"")</f>
        <v/>
      </c>
    </row>
    <row r="102" spans="1:10" x14ac:dyDescent="0.2">
      <c r="A102" t="str">
        <f>IF(AND(UPPER(MAESTRO!$M102)="VIP",UPPER(MAESTRO!$J102)="SI",MAESTRO!$F102&lt;&gt;""),MAESTRO!$P102,"")</f>
        <v>B16</v>
      </c>
      <c r="B102">
        <f>IF($A102&lt;&gt;"",MAESTRO!$B102,"")</f>
        <v>101</v>
      </c>
      <c r="C102">
        <f>IF($A102&lt;&gt;"",MAESTRO!$A102,"")</f>
        <v>101</v>
      </c>
      <c r="D102" t="str">
        <f>IF($A102&lt;&gt;"",MAESTRO!$C102,"")</f>
        <v>OPA</v>
      </c>
      <c r="E102" t="str">
        <f>IF($A102&lt;&gt;"",MAESTRO!$M102,"")</f>
        <v>VIP</v>
      </c>
      <c r="F102" t="str">
        <f>IF($A102&lt;&gt;"",MAESTRO!$J102,"")</f>
        <v>SI</v>
      </c>
      <c r="G102" t="str">
        <f>IF($A102&lt;&gt;"",MAESTRO!$D102,"")</f>
        <v>Honorable Diputado</v>
      </c>
      <c r="H102" t="str">
        <f>IF($A102&lt;&gt;"",IF(TRIM(MAESTRO!$G102&amp;" "&amp;MAESTRO!$H102&amp;" "&amp;MAESTRO!$I102)="",MAESTRO!$F102,TRIM(MAESTRO!$G102&amp;" "&amp;MAESTRO!$H102&amp;" "&amp;MAESTRO!$I102)),"")</f>
        <v>Patricio Briones Moller</v>
      </c>
      <c r="I102" t="str">
        <f>IF($A102&lt;&gt;"",MAESTRO!$K102,"")</f>
        <v>Diputado Distrito 20</v>
      </c>
      <c r="J102">
        <f>IF($A102&lt;&gt;"",102,"")</f>
        <v>102</v>
      </c>
    </row>
    <row r="103" spans="1:10" x14ac:dyDescent="0.2">
      <c r="A103" t="str">
        <f>IF(AND(UPPER(MAESTRO!$M103)="VIP",UPPER(MAESTRO!$J103)="SI",MAESTRO!$F103&lt;&gt;""),MAESTRO!$P103,"")</f>
        <v/>
      </c>
      <c r="B103" t="str">
        <f>IF($A103&lt;&gt;"",MAESTRO!$B103,"")</f>
        <v/>
      </c>
      <c r="C103" t="str">
        <f>IF($A103&lt;&gt;"",MAESTRO!$A103,"")</f>
        <v/>
      </c>
      <c r="D103" t="str">
        <f>IF($A103&lt;&gt;"",MAESTRO!$C103,"")</f>
        <v/>
      </c>
      <c r="E103" t="str">
        <f>IF($A103&lt;&gt;"",MAESTRO!$M103,"")</f>
        <v/>
      </c>
      <c r="F103" t="str">
        <f>IF($A103&lt;&gt;"",MAESTRO!$J103,"")</f>
        <v/>
      </c>
      <c r="G103" t="str">
        <f>IF($A103&lt;&gt;"",MAESTRO!$D103,"")</f>
        <v/>
      </c>
      <c r="H103" t="str">
        <f>IF($A103&lt;&gt;"",IF(TRIM(MAESTRO!$G103&amp;" "&amp;MAESTRO!$H103&amp;" "&amp;MAESTRO!$I103)="",MAESTRO!$F103,TRIM(MAESTRO!$G103&amp;" "&amp;MAESTRO!$H103&amp;" "&amp;MAESTRO!$I103)),"")</f>
        <v/>
      </c>
      <c r="I103" t="str">
        <f>IF($A103&lt;&gt;"",MAESTRO!$K103,"")</f>
        <v/>
      </c>
      <c r="J103" t="str">
        <f>IF($A103&lt;&gt;"",103,"")</f>
        <v/>
      </c>
    </row>
    <row r="104" spans="1:10" x14ac:dyDescent="0.2">
      <c r="A104" t="str">
        <f>IF(AND(UPPER(MAESTRO!$M104)="VIP",UPPER(MAESTRO!$J104)="SI",MAESTRO!$F104&lt;&gt;""),MAESTRO!$P104,"")</f>
        <v/>
      </c>
      <c r="B104" t="str">
        <f>IF($A104&lt;&gt;"",MAESTRO!$B104,"")</f>
        <v/>
      </c>
      <c r="C104" t="str">
        <f>IF($A104&lt;&gt;"",MAESTRO!$A104,"")</f>
        <v/>
      </c>
      <c r="D104" t="str">
        <f>IF($A104&lt;&gt;"",MAESTRO!$C104,"")</f>
        <v/>
      </c>
      <c r="E104" t="str">
        <f>IF($A104&lt;&gt;"",MAESTRO!$M104,"")</f>
        <v/>
      </c>
      <c r="F104" t="str">
        <f>IF($A104&lt;&gt;"",MAESTRO!$J104,"")</f>
        <v/>
      </c>
      <c r="G104" t="str">
        <f>IF($A104&lt;&gt;"",MAESTRO!$D104,"")</f>
        <v/>
      </c>
      <c r="H104" t="str">
        <f>IF($A104&lt;&gt;"",IF(TRIM(MAESTRO!$G104&amp;" "&amp;MAESTRO!$H104&amp;" "&amp;MAESTRO!$I104)="",MAESTRO!$F104,TRIM(MAESTRO!$G104&amp;" "&amp;MAESTRO!$H104&amp;" "&amp;MAESTRO!$I104)),"")</f>
        <v/>
      </c>
      <c r="I104" t="str">
        <f>IF($A104&lt;&gt;"",MAESTRO!$K104,"")</f>
        <v/>
      </c>
      <c r="J104" t="str">
        <f>IF($A104&lt;&gt;"",104,"")</f>
        <v/>
      </c>
    </row>
    <row r="105" spans="1:10" x14ac:dyDescent="0.2">
      <c r="A105" t="str">
        <f>IF(AND(UPPER(MAESTRO!$M105)="VIP",UPPER(MAESTRO!$J105)="SI",MAESTRO!$F105&lt;&gt;""),MAESTRO!$P105,"")</f>
        <v/>
      </c>
      <c r="B105" t="str">
        <f>IF($A105&lt;&gt;"",MAESTRO!$B105,"")</f>
        <v/>
      </c>
      <c r="C105" t="str">
        <f>IF($A105&lt;&gt;"",MAESTRO!$A105,"")</f>
        <v/>
      </c>
      <c r="D105" t="str">
        <f>IF($A105&lt;&gt;"",MAESTRO!$C105,"")</f>
        <v/>
      </c>
      <c r="E105" t="str">
        <f>IF($A105&lt;&gt;"",MAESTRO!$M105,"")</f>
        <v/>
      </c>
      <c r="F105" t="str">
        <f>IF($A105&lt;&gt;"",MAESTRO!$J105,"")</f>
        <v/>
      </c>
      <c r="G105" t="str">
        <f>IF($A105&lt;&gt;"",MAESTRO!$D105,"")</f>
        <v/>
      </c>
      <c r="H105" t="str">
        <f>IF($A105&lt;&gt;"",IF(TRIM(MAESTRO!$G105&amp;" "&amp;MAESTRO!$H105&amp;" "&amp;MAESTRO!$I105)="",MAESTRO!$F105,TRIM(MAESTRO!$G105&amp;" "&amp;MAESTRO!$H105&amp;" "&amp;MAESTRO!$I105)),"")</f>
        <v/>
      </c>
      <c r="I105" t="str">
        <f>IF($A105&lt;&gt;"",MAESTRO!$K105,"")</f>
        <v/>
      </c>
      <c r="J105" t="str">
        <f>IF($A105&lt;&gt;"",105,"")</f>
        <v/>
      </c>
    </row>
    <row r="106" spans="1:10" x14ac:dyDescent="0.2">
      <c r="A106" t="str">
        <f>IF(AND(UPPER(MAESTRO!$M106)="VIP",UPPER(MAESTRO!$J106)="SI",MAESTRO!$F106&lt;&gt;""),MAESTRO!$P106,"")</f>
        <v/>
      </c>
      <c r="B106" t="str">
        <f>IF($A106&lt;&gt;"",MAESTRO!$B106,"")</f>
        <v/>
      </c>
      <c r="C106" t="str">
        <f>IF($A106&lt;&gt;"",MAESTRO!$A106,"")</f>
        <v/>
      </c>
      <c r="D106" t="str">
        <f>IF($A106&lt;&gt;"",MAESTRO!$C106,"")</f>
        <v/>
      </c>
      <c r="E106" t="str">
        <f>IF($A106&lt;&gt;"",MAESTRO!$M106,"")</f>
        <v/>
      </c>
      <c r="F106" t="str">
        <f>IF($A106&lt;&gt;"",MAESTRO!$J106,"")</f>
        <v/>
      </c>
      <c r="G106" t="str">
        <f>IF($A106&lt;&gt;"",MAESTRO!$D106,"")</f>
        <v/>
      </c>
      <c r="H106" t="str">
        <f>IF($A106&lt;&gt;"",IF(TRIM(MAESTRO!$G106&amp;" "&amp;MAESTRO!$H106&amp;" "&amp;MAESTRO!$I106)="",MAESTRO!$F106,TRIM(MAESTRO!$G106&amp;" "&amp;MAESTRO!$H106&amp;" "&amp;MAESTRO!$I106)),"")</f>
        <v/>
      </c>
      <c r="I106" t="str">
        <f>IF($A106&lt;&gt;"",MAESTRO!$K106,"")</f>
        <v/>
      </c>
      <c r="J106" t="str">
        <f>IF($A106&lt;&gt;"",106,"")</f>
        <v/>
      </c>
    </row>
    <row r="107" spans="1:10" x14ac:dyDescent="0.2">
      <c r="A107" t="str">
        <f>IF(AND(UPPER(MAESTRO!$M107)="VIP",UPPER(MAESTRO!$J107)="SI",MAESTRO!$F107&lt;&gt;""),MAESTRO!$P107,"")</f>
        <v/>
      </c>
      <c r="B107" t="str">
        <f>IF($A107&lt;&gt;"",MAESTRO!$B107,"")</f>
        <v/>
      </c>
      <c r="C107" t="str">
        <f>IF($A107&lt;&gt;"",MAESTRO!$A107,"")</f>
        <v/>
      </c>
      <c r="D107" t="str">
        <f>IF($A107&lt;&gt;"",MAESTRO!$C107,"")</f>
        <v/>
      </c>
      <c r="E107" t="str">
        <f>IF($A107&lt;&gt;"",MAESTRO!$M107,"")</f>
        <v/>
      </c>
      <c r="F107" t="str">
        <f>IF($A107&lt;&gt;"",MAESTRO!$J107,"")</f>
        <v/>
      </c>
      <c r="G107" t="str">
        <f>IF($A107&lt;&gt;"",MAESTRO!$D107,"")</f>
        <v/>
      </c>
      <c r="H107" t="str">
        <f>IF($A107&lt;&gt;"",IF(TRIM(MAESTRO!$G107&amp;" "&amp;MAESTRO!$H107&amp;" "&amp;MAESTRO!$I107)="",MAESTRO!$F107,TRIM(MAESTRO!$G107&amp;" "&amp;MAESTRO!$H107&amp;" "&amp;MAESTRO!$I107)),"")</f>
        <v/>
      </c>
      <c r="I107" t="str">
        <f>IF($A107&lt;&gt;"",MAESTRO!$K107,"")</f>
        <v/>
      </c>
      <c r="J107" t="str">
        <f>IF($A107&lt;&gt;"",107,"")</f>
        <v/>
      </c>
    </row>
    <row r="108" spans="1:10" x14ac:dyDescent="0.2">
      <c r="A108" t="str">
        <f>IF(AND(UPPER(MAESTRO!$M108)="VIP",UPPER(MAESTRO!$J108)="SI",MAESTRO!$F108&lt;&gt;""),MAESTRO!$P108,"")</f>
        <v/>
      </c>
      <c r="B108" t="str">
        <f>IF($A108&lt;&gt;"",MAESTRO!$B108,"")</f>
        <v/>
      </c>
      <c r="C108" t="str">
        <f>IF($A108&lt;&gt;"",MAESTRO!$A108,"")</f>
        <v/>
      </c>
      <c r="D108" t="str">
        <f>IF($A108&lt;&gt;"",MAESTRO!$C108,"")</f>
        <v/>
      </c>
      <c r="E108" t="str">
        <f>IF($A108&lt;&gt;"",MAESTRO!$M108,"")</f>
        <v/>
      </c>
      <c r="F108" t="str">
        <f>IF($A108&lt;&gt;"",MAESTRO!$J108,"")</f>
        <v/>
      </c>
      <c r="G108" t="str">
        <f>IF($A108&lt;&gt;"",MAESTRO!$D108,"")</f>
        <v/>
      </c>
      <c r="H108" t="str">
        <f>IF($A108&lt;&gt;"",IF(TRIM(MAESTRO!$G108&amp;" "&amp;MAESTRO!$H108&amp;" "&amp;MAESTRO!$I108)="",MAESTRO!$F108,TRIM(MAESTRO!$G108&amp;" "&amp;MAESTRO!$H108&amp;" "&amp;MAESTRO!$I108)),"")</f>
        <v/>
      </c>
      <c r="I108" t="str">
        <f>IF($A108&lt;&gt;"",MAESTRO!$K108,"")</f>
        <v/>
      </c>
      <c r="J108" t="str">
        <f>IF($A108&lt;&gt;"",108,"")</f>
        <v/>
      </c>
    </row>
    <row r="109" spans="1:10" x14ac:dyDescent="0.2">
      <c r="A109" t="str">
        <f>IF(AND(UPPER(MAESTRO!$M109)="VIP",UPPER(MAESTRO!$J109)="SI",MAESTRO!$F109&lt;&gt;""),MAESTRO!$P109,"")</f>
        <v/>
      </c>
      <c r="B109" t="str">
        <f>IF($A109&lt;&gt;"",MAESTRO!$B109,"")</f>
        <v/>
      </c>
      <c r="C109" t="str">
        <f>IF($A109&lt;&gt;"",MAESTRO!$A109,"")</f>
        <v/>
      </c>
      <c r="D109" t="str">
        <f>IF($A109&lt;&gt;"",MAESTRO!$C109,"")</f>
        <v/>
      </c>
      <c r="E109" t="str">
        <f>IF($A109&lt;&gt;"",MAESTRO!$M109,"")</f>
        <v/>
      </c>
      <c r="F109" t="str">
        <f>IF($A109&lt;&gt;"",MAESTRO!$J109,"")</f>
        <v/>
      </c>
      <c r="G109" t="str">
        <f>IF($A109&lt;&gt;"",MAESTRO!$D109,"")</f>
        <v/>
      </c>
      <c r="H109" t="str">
        <f>IF($A109&lt;&gt;"",IF(TRIM(MAESTRO!$G109&amp;" "&amp;MAESTRO!$H109&amp;" "&amp;MAESTRO!$I109)="",MAESTRO!$F109,TRIM(MAESTRO!$G109&amp;" "&amp;MAESTRO!$H109&amp;" "&amp;MAESTRO!$I109)),"")</f>
        <v/>
      </c>
      <c r="I109" t="str">
        <f>IF($A109&lt;&gt;"",MAESTRO!$K109,"")</f>
        <v/>
      </c>
      <c r="J109" t="str">
        <f>IF($A109&lt;&gt;"",109,"")</f>
        <v/>
      </c>
    </row>
    <row r="110" spans="1:10" x14ac:dyDescent="0.2">
      <c r="A110" t="str">
        <f>IF(AND(UPPER(MAESTRO!$M110)="VIP",UPPER(MAESTRO!$J110)="SI",MAESTRO!$F110&lt;&gt;""),MAESTRO!$P110,"")</f>
        <v/>
      </c>
      <c r="B110" t="str">
        <f>IF($A110&lt;&gt;"",MAESTRO!$B110,"")</f>
        <v/>
      </c>
      <c r="C110" t="str">
        <f t="shared" ref="C110:C118" si="1">IF($A110&lt;&gt;"",$CAT$219:$K$2147516417,"")</f>
        <v/>
      </c>
      <c r="D110" t="str">
        <f>IF($A110&lt;&gt;"",MAESTRO!$C110,"")</f>
        <v/>
      </c>
      <c r="E110" t="str">
        <f>IF($A110&lt;&gt;"",MAESTRO!$M110,"")</f>
        <v/>
      </c>
      <c r="F110" t="str">
        <f>IF($A110&lt;&gt;"",MAESTRO!$J110,"")</f>
        <v/>
      </c>
      <c r="G110" t="str">
        <f>IF($A110&lt;&gt;"",MAESTRO!$D110,"")</f>
        <v/>
      </c>
      <c r="H110" t="str">
        <f>IF($A110&lt;&gt;"",IF(TRIM(MAESTRO!$G110&amp;" "&amp;MAESTRO!$H110&amp;" "&amp;MAESTRO!$I110)="",MAESTRO!$F110,TRIM(MAESTRO!$G110&amp;" "&amp;MAESTRO!$H110&amp;" "&amp;MAESTRO!$I110)),"")</f>
        <v/>
      </c>
      <c r="I110" t="str">
        <f>IF($A110&lt;&gt;"",MAESTRO!$K110,"")</f>
        <v/>
      </c>
      <c r="J110" t="str">
        <f>IF($A110&lt;&gt;"",110,"")</f>
        <v/>
      </c>
    </row>
    <row r="111" spans="1:10" x14ac:dyDescent="0.2">
      <c r="A111" t="str">
        <f>IF(AND(UPPER(MAESTRO!$M111)="VIP",UPPER(MAESTRO!$J111)="SI",MAESTRO!$F111&lt;&gt;""),MAESTRO!$P111,"")</f>
        <v/>
      </c>
      <c r="B111" t="str">
        <f>IF($A111&lt;&gt;"",MAESTRO!$B111,"")</f>
        <v/>
      </c>
      <c r="C111" t="str">
        <f t="shared" si="1"/>
        <v/>
      </c>
      <c r="D111" t="str">
        <f>IF($A111&lt;&gt;"",MAESTRO!$C111,"")</f>
        <v/>
      </c>
      <c r="E111" t="str">
        <f>IF($A111&lt;&gt;"",MAESTRO!$M111,"")</f>
        <v/>
      </c>
      <c r="F111" t="str">
        <f>IF($A111&lt;&gt;"",MAESTRO!$J111,"")</f>
        <v/>
      </c>
      <c r="G111" t="str">
        <f>IF($A111&lt;&gt;"",MAESTRO!$D111,"")</f>
        <v/>
      </c>
      <c r="H111" t="str">
        <f>IF($A111&lt;&gt;"",IF(TRIM(MAESTRO!$G111&amp;" "&amp;MAESTRO!$H111&amp;" "&amp;MAESTRO!$I111)="",MAESTRO!$F111,TRIM(MAESTRO!$G111&amp;" "&amp;MAESTRO!$H111&amp;" "&amp;MAESTRO!$I111)),"")</f>
        <v/>
      </c>
      <c r="I111" t="str">
        <f>IF($A111&lt;&gt;"",MAESTRO!$K111,"")</f>
        <v/>
      </c>
      <c r="J111" t="str">
        <f>IF($A111&lt;&gt;"",111,"")</f>
        <v/>
      </c>
    </row>
    <row r="112" spans="1:10" x14ac:dyDescent="0.2">
      <c r="A112" t="str">
        <f>IF(AND(UPPER(MAESTRO!$M112)="VIP",UPPER(MAESTRO!$J112)="SI",MAESTRO!$F112&lt;&gt;""),MAESTRO!$P112,"")</f>
        <v/>
      </c>
      <c r="B112" t="str">
        <f>IF($A112&lt;&gt;"",MAESTRO!$B112,"")</f>
        <v/>
      </c>
      <c r="C112" t="str">
        <f t="shared" si="1"/>
        <v/>
      </c>
      <c r="D112" t="str">
        <f>IF($A112&lt;&gt;"",MAESTRO!$C112,"")</f>
        <v/>
      </c>
      <c r="E112" t="str">
        <f>IF($A112&lt;&gt;"",MAESTRO!$M112,"")</f>
        <v/>
      </c>
      <c r="F112" t="str">
        <f>IF($A112&lt;&gt;"",MAESTRO!$J112,"")</f>
        <v/>
      </c>
      <c r="G112" t="str">
        <f>IF($A112&lt;&gt;"",MAESTRO!$D112,"")</f>
        <v/>
      </c>
      <c r="H112" t="str">
        <f>IF($A112&lt;&gt;"",IF(TRIM(MAESTRO!$G112&amp;" "&amp;MAESTRO!$H112&amp;" "&amp;MAESTRO!$I112)="",MAESTRO!$F112,TRIM(MAESTRO!$G112&amp;" "&amp;MAESTRO!$H112&amp;" "&amp;MAESTRO!$I112)),"")</f>
        <v/>
      </c>
      <c r="I112" t="str">
        <f>IF($A112&lt;&gt;"",MAESTRO!$K112,"")</f>
        <v/>
      </c>
      <c r="J112" t="str">
        <f>IF($A112&lt;&gt;"",112,"")</f>
        <v/>
      </c>
    </row>
    <row r="113" spans="1:10" x14ac:dyDescent="0.2">
      <c r="A113" t="str">
        <f>IF(AND(UPPER(MAESTRO!$M113)="VIP",UPPER(MAESTRO!$J113)="SI",MAESTRO!$F113&lt;&gt;""),MAESTRO!$P113,"")</f>
        <v>B12</v>
      </c>
      <c r="B113">
        <f>IF($A113&lt;&gt;"",MAESTRO!$B113,"")</f>
        <v>112</v>
      </c>
      <c r="C113">
        <f t="shared" si="1"/>
        <v>109</v>
      </c>
      <c r="D113" t="str">
        <f>IF($A113&lt;&gt;"",MAESTRO!$C113,"")</f>
        <v>OPA</v>
      </c>
      <c r="E113" t="str">
        <f>IF($A113&lt;&gt;"",MAESTRO!$M113,"")</f>
        <v>VIP</v>
      </c>
      <c r="F113" t="str">
        <f>IF($A113&lt;&gt;"",MAESTRO!$J113,"")</f>
        <v>SI</v>
      </c>
      <c r="G113" t="str">
        <f>IF($A113&lt;&gt;"",MAESTRO!$D113,"")</f>
        <v>Honorable Diputado</v>
      </c>
      <c r="H113" t="str">
        <f>IF($A113&lt;&gt;"",IF(TRIM(MAESTRO!$G113&amp;" "&amp;MAESTRO!$H113&amp;" "&amp;MAESTRO!$I113)="",MAESTRO!$F113,TRIM(MAESTRO!$G113&amp;" "&amp;MAESTRO!$H113&amp;" "&amp;MAESTRO!$I113)),"")</f>
        <v>Roberto Arroyo Muñoz</v>
      </c>
      <c r="I113" t="str">
        <f>IF($A113&lt;&gt;"",MAESTRO!$K113,"")</f>
        <v>Diputado Distrito 20</v>
      </c>
      <c r="J113">
        <f>IF($A113&lt;&gt;"",113,"")</f>
        <v>113</v>
      </c>
    </row>
    <row r="114" spans="1:10" x14ac:dyDescent="0.2">
      <c r="A114" t="str">
        <f>IF(AND(UPPER(MAESTRO!$M114)="VIP",UPPER(MAESTRO!$J114)="SI",MAESTRO!$F114&lt;&gt;""),MAESTRO!$P114,"")</f>
        <v>B34</v>
      </c>
      <c r="B114">
        <f>IF($A114&lt;&gt;"",MAESTRO!$B114,"")</f>
        <v>113</v>
      </c>
      <c r="C114">
        <f t="shared" si="1"/>
        <v>109</v>
      </c>
      <c r="D114" t="str">
        <f>IF($A114&lt;&gt;"",MAESTRO!$C114,"")</f>
        <v>OPA</v>
      </c>
      <c r="E114" t="str">
        <f>IF($A114&lt;&gt;"",MAESTRO!$M114,"")</f>
        <v>VIP</v>
      </c>
      <c r="F114" t="str">
        <f>IF($A114&lt;&gt;"",MAESTRO!$J114,"")</f>
        <v>SI</v>
      </c>
      <c r="G114" t="str">
        <f>IF($A114&lt;&gt;"",MAESTRO!$D114,"")</f>
        <v>Honorable Diputado</v>
      </c>
      <c r="H114" t="str">
        <f>IF($A114&lt;&gt;"",IF(TRIM(MAESTRO!$G114&amp;" "&amp;MAESTRO!$H114&amp;" "&amp;MAESTRO!$I114)="",MAESTRO!$F114,TRIM(MAESTRO!$G114&amp;" "&amp;MAESTRO!$H114&amp;" "&amp;MAESTRO!$I114)),"")</f>
        <v>Sergio Bobadilla Muñoz</v>
      </c>
      <c r="I114" t="str">
        <f>IF($A114&lt;&gt;"",MAESTRO!$K114,"")</f>
        <v>Diputado Distrito 20</v>
      </c>
      <c r="J114">
        <f>IF($A114&lt;&gt;"",114,"")</f>
        <v>114</v>
      </c>
    </row>
    <row r="115" spans="1:10" x14ac:dyDescent="0.2">
      <c r="A115" t="str">
        <f>IF(AND(UPPER(MAESTRO!$M115)="VIP",UPPER(MAESTRO!$J115)="SI",MAESTRO!$F115&lt;&gt;""),MAESTRO!$P115,"")</f>
        <v/>
      </c>
      <c r="B115" t="str">
        <f>IF($A115&lt;&gt;"",MAESTRO!$B115,"")</f>
        <v/>
      </c>
      <c r="C115" t="str">
        <f t="shared" si="1"/>
        <v/>
      </c>
      <c r="D115" t="str">
        <f>IF($A115&lt;&gt;"",MAESTRO!$C115,"")</f>
        <v/>
      </c>
      <c r="E115" t="str">
        <f>IF($A115&lt;&gt;"",MAESTRO!$M115,"")</f>
        <v/>
      </c>
      <c r="F115" t="str">
        <f>IF($A115&lt;&gt;"",MAESTRO!$J115,"")</f>
        <v/>
      </c>
      <c r="G115" t="str">
        <f>IF($A115&lt;&gt;"",MAESTRO!$D115,"")</f>
        <v/>
      </c>
      <c r="H115" t="str">
        <f>IF($A115&lt;&gt;"",IF(TRIM(MAESTRO!$G115&amp;" "&amp;MAESTRO!$H115&amp;" "&amp;MAESTRO!$I115)="",MAESTRO!$F115,TRIM(MAESTRO!$G115&amp;" "&amp;MAESTRO!$H115&amp;" "&amp;MAESTRO!$I115)),"")</f>
        <v/>
      </c>
      <c r="I115" t="str">
        <f>IF($A115&lt;&gt;"",MAESTRO!$K115,"")</f>
        <v/>
      </c>
      <c r="J115" t="str">
        <f>IF($A115&lt;&gt;"",115,"")</f>
        <v/>
      </c>
    </row>
    <row r="116" spans="1:10" x14ac:dyDescent="0.2">
      <c r="A116" t="str">
        <f>IF(AND(UPPER(MAESTRO!$M116)="VIP",UPPER(MAESTRO!$J116)="SI",MAESTRO!$F116&lt;&gt;""),MAESTRO!$P116,"")</f>
        <v>B35</v>
      </c>
      <c r="B116">
        <f>IF($A116&lt;&gt;"",MAESTRO!$B116,"")</f>
        <v>115</v>
      </c>
      <c r="C116">
        <f t="shared" si="1"/>
        <v>109</v>
      </c>
      <c r="D116" t="str">
        <f>IF($A116&lt;&gt;"",MAESTRO!$C116,"")</f>
        <v>OPA</v>
      </c>
      <c r="E116" t="str">
        <f>IF($A116&lt;&gt;"",MAESTRO!$M116,"")</f>
        <v>VIP</v>
      </c>
      <c r="F116" t="str">
        <f>IF($A116&lt;&gt;"",MAESTRO!$J116,"")</f>
        <v>SI</v>
      </c>
      <c r="G116" t="str">
        <f>IF($A116&lt;&gt;"",MAESTRO!$D116,"")</f>
        <v>Honorable Diputado</v>
      </c>
      <c r="H116" t="str">
        <f>IF($A116&lt;&gt;"",IF(TRIM(MAESTRO!$G116&amp;" "&amp;MAESTRO!$H116&amp;" "&amp;MAESTRO!$I116)="",MAESTRO!$F116,TRIM(MAESTRO!$G116&amp;" "&amp;MAESTRO!$H116&amp;" "&amp;MAESTRO!$I116)),"")</f>
        <v>Francesca Muñoz González</v>
      </c>
      <c r="I116" t="str">
        <f>IF($A116&lt;&gt;"",MAESTRO!$K116,"")</f>
        <v>Diputado Distrito 20</v>
      </c>
      <c r="J116">
        <f>IF($A116&lt;&gt;"",116,"")</f>
        <v>116</v>
      </c>
    </row>
    <row r="117" spans="1:10" x14ac:dyDescent="0.2">
      <c r="A117" t="str">
        <f>IF(AND(UPPER(MAESTRO!$M117)="VIP",UPPER(MAESTRO!$J117)="SI",MAESTRO!$F117&lt;&gt;""),MAESTRO!$P117,"")</f>
        <v/>
      </c>
      <c r="B117" t="str">
        <f>IF($A117&lt;&gt;"",MAESTRO!$B117,"")</f>
        <v/>
      </c>
      <c r="C117" t="str">
        <f t="shared" si="1"/>
        <v/>
      </c>
      <c r="D117" t="str">
        <f>IF($A117&lt;&gt;"",MAESTRO!$C117,"")</f>
        <v/>
      </c>
      <c r="E117" t="str">
        <f>IF($A117&lt;&gt;"",MAESTRO!$M117,"")</f>
        <v/>
      </c>
      <c r="F117" t="str">
        <f>IF($A117&lt;&gt;"",MAESTRO!$J117,"")</f>
        <v/>
      </c>
      <c r="G117" t="str">
        <f>IF($A117&lt;&gt;"",MAESTRO!$D117,"")</f>
        <v/>
      </c>
      <c r="H117" t="str">
        <f>IF($A117&lt;&gt;"",IF(TRIM(MAESTRO!$G117&amp;" "&amp;MAESTRO!$H117&amp;" "&amp;MAESTRO!$I117)="",MAESTRO!$F117,TRIM(MAESTRO!$G117&amp;" "&amp;MAESTRO!$H117&amp;" "&amp;MAESTRO!$I117)),"")</f>
        <v/>
      </c>
      <c r="I117" t="str">
        <f>IF($A117&lt;&gt;"",MAESTRO!$K117,"")</f>
        <v/>
      </c>
      <c r="J117" t="str">
        <f>IF($A117&lt;&gt;"",117,"")</f>
        <v/>
      </c>
    </row>
    <row r="118" spans="1:10" x14ac:dyDescent="0.2">
      <c r="A118" t="str">
        <f>IF(AND(UPPER(MAESTRO!$M118)="VIP",UPPER(MAESTRO!$J118)="SI",MAESTRO!$F118&lt;&gt;""),MAESTRO!$P118,"")</f>
        <v>B36</v>
      </c>
      <c r="B118">
        <f>IF($A118&lt;&gt;"",MAESTRO!$B118,"")</f>
        <v>117</v>
      </c>
      <c r="C118">
        <f t="shared" si="1"/>
        <v>109</v>
      </c>
      <c r="D118" t="str">
        <f>IF($A118&lt;&gt;"",MAESTRO!$C118,"")</f>
        <v>OPA</v>
      </c>
      <c r="E118" t="str">
        <f>IF($A118&lt;&gt;"",MAESTRO!$M118,"")</f>
        <v>VIP</v>
      </c>
      <c r="F118" t="str">
        <f>IF($A118&lt;&gt;"",MAESTRO!$J118,"")</f>
        <v>SI</v>
      </c>
      <c r="G118" t="str">
        <f>IF($A118&lt;&gt;"",MAESTRO!$D118,"")</f>
        <v>Honorable Diputado</v>
      </c>
      <c r="H118" t="str">
        <f>IF($A118&lt;&gt;"",IF(TRIM(MAESTRO!$G118&amp;" "&amp;MAESTRO!$H118&amp;" "&amp;MAESTRO!$I118)="",MAESTRO!$F118,TRIM(MAESTRO!$G118&amp;" "&amp;MAESTRO!$H118&amp;" "&amp;MAESTRO!$I118)),"")</f>
        <v>Marlene Pérez Cartes</v>
      </c>
      <c r="I118" t="str">
        <f>IF($A118&lt;&gt;"",MAESTRO!$K118,"")</f>
        <v>Diputado Distrito 20</v>
      </c>
      <c r="J118">
        <f>IF($A118&lt;&gt;"",118,"")</f>
        <v>118</v>
      </c>
    </row>
    <row r="119" spans="1:10" x14ac:dyDescent="0.2">
      <c r="A119" t="str">
        <f>IF(AND(UPPER(MAESTRO!$M119)="VIP",UPPER(MAESTRO!$J119)="SI",MAESTRO!$F119&lt;&gt;""),MAESTRO!$P119,"")</f>
        <v>B9</v>
      </c>
      <c r="B119">
        <f>IF($A119&lt;&gt;"",MAESTRO!$B119,"")</f>
        <v>118</v>
      </c>
      <c r="C119">
        <f t="shared" ref="C119:C138" si="2">IF($A119&lt;&gt;"",$CAT$237:$K$2147516417,"")</f>
        <v>118</v>
      </c>
      <c r="D119" t="str">
        <f>IF($A119&lt;&gt;"",MAESTRO!$C119,"")</f>
        <v>OPA</v>
      </c>
      <c r="E119" t="str">
        <f>IF($A119&lt;&gt;"",MAESTRO!$M119,"")</f>
        <v>VIP</v>
      </c>
      <c r="F119" t="str">
        <f>IF($A119&lt;&gt;"",MAESTRO!$J119,"")</f>
        <v>SI</v>
      </c>
      <c r="G119" t="str">
        <f>IF($A119&lt;&gt;"",MAESTRO!$D119,"")</f>
        <v>Honorable Diputado</v>
      </c>
      <c r="H119" t="str">
        <f>IF($A119&lt;&gt;"",IF(TRIM(MAESTRO!$G119&amp;" "&amp;MAESTRO!$H119&amp;" "&amp;MAESTRO!$I119)="",MAESTRO!$F119,TRIM(MAESTRO!$G119&amp;" "&amp;MAESTRO!$H119&amp;" "&amp;MAESTRO!$I119)),"")</f>
        <v>José Rivas Villalobos</v>
      </c>
      <c r="I119" t="str">
        <f>IF($A119&lt;&gt;"",MAESTRO!$K119,"")</f>
        <v>Diputado Distrito 20</v>
      </c>
      <c r="J119">
        <f>IF($A119&lt;&gt;"",119,"")</f>
        <v>119</v>
      </c>
    </row>
    <row r="120" spans="1:10" x14ac:dyDescent="0.2">
      <c r="A120" t="str">
        <f>IF(AND(UPPER(MAESTRO!$M120)="VIP",UPPER(MAESTRO!$J120)="SI",MAESTRO!$F120&lt;&gt;""),MAESTRO!$P120,"")</f>
        <v/>
      </c>
      <c r="B120" t="str">
        <f>IF($A120&lt;&gt;"",MAESTRO!$B120,"")</f>
        <v/>
      </c>
      <c r="C120" t="str">
        <f t="shared" si="2"/>
        <v/>
      </c>
      <c r="D120" t="str">
        <f>IF($A120&lt;&gt;"",MAESTRO!$C120,"")</f>
        <v/>
      </c>
      <c r="E120" t="str">
        <f>IF($A120&lt;&gt;"",MAESTRO!$M120,"")</f>
        <v/>
      </c>
      <c r="F120" t="str">
        <f>IF($A120&lt;&gt;"",MAESTRO!$J120,"")</f>
        <v/>
      </c>
      <c r="G120" t="str">
        <f>IF($A120&lt;&gt;"",MAESTRO!$D120,"")</f>
        <v/>
      </c>
      <c r="H120" t="str">
        <f>IF($A120&lt;&gt;"",IF(TRIM(MAESTRO!$G120&amp;" "&amp;MAESTRO!$H120&amp;" "&amp;MAESTRO!$I120)="",MAESTRO!$F120,TRIM(MAESTRO!$G120&amp;" "&amp;MAESTRO!$H120&amp;" "&amp;MAESTRO!$I120)),"")</f>
        <v/>
      </c>
      <c r="I120" t="str">
        <f>IF($A120&lt;&gt;"",MAESTRO!$K120,"")</f>
        <v/>
      </c>
      <c r="J120" t="str">
        <f>IF($A120&lt;&gt;"",120,"")</f>
        <v/>
      </c>
    </row>
    <row r="121" spans="1:10" x14ac:dyDescent="0.2">
      <c r="A121" t="str">
        <f>IF(AND(UPPER(MAESTRO!$M121)="VIP",UPPER(MAESTRO!$J121)="SI",MAESTRO!$F121&lt;&gt;""),MAESTRO!$P121,"")</f>
        <v/>
      </c>
      <c r="B121" t="str">
        <f>IF($A121&lt;&gt;"",MAESTRO!$B121,"")</f>
        <v/>
      </c>
      <c r="C121" t="str">
        <f t="shared" si="2"/>
        <v/>
      </c>
      <c r="D121" t="str">
        <f>IF($A121&lt;&gt;"",MAESTRO!$C121,"")</f>
        <v/>
      </c>
      <c r="E121" t="str">
        <f>IF($A121&lt;&gt;"",MAESTRO!$M121,"")</f>
        <v/>
      </c>
      <c r="F121" t="str">
        <f>IF($A121&lt;&gt;"",MAESTRO!$J121,"")</f>
        <v/>
      </c>
      <c r="G121" t="str">
        <f>IF($A121&lt;&gt;"",MAESTRO!$D121,"")</f>
        <v/>
      </c>
      <c r="H121" t="str">
        <f>IF($A121&lt;&gt;"",IF(TRIM(MAESTRO!$G121&amp;" "&amp;MAESTRO!$H121&amp;" "&amp;MAESTRO!$I121)="",MAESTRO!$F121,TRIM(MAESTRO!$G121&amp;" "&amp;MAESTRO!$H121&amp;" "&amp;MAESTRO!$I121)),"")</f>
        <v/>
      </c>
      <c r="I121" t="str">
        <f>IF($A121&lt;&gt;"",MAESTRO!$K121,"")</f>
        <v/>
      </c>
      <c r="J121" t="str">
        <f>IF($A121&lt;&gt;"",121,"")</f>
        <v/>
      </c>
    </row>
    <row r="122" spans="1:10" x14ac:dyDescent="0.2">
      <c r="A122" t="str">
        <f>IF(AND(UPPER(MAESTRO!$M122)="VIP",UPPER(MAESTRO!$J122)="SI",MAESTRO!$F122&lt;&gt;""),MAESTRO!$P122,"")</f>
        <v>B38</v>
      </c>
      <c r="B122">
        <f>IF($A122&lt;&gt;"",MAESTRO!$B122,"")</f>
        <v>121</v>
      </c>
      <c r="C122">
        <f t="shared" si="2"/>
        <v>118</v>
      </c>
      <c r="D122" t="str">
        <f>IF($A122&lt;&gt;"",MAESTRO!$C122,"")</f>
        <v>OPA</v>
      </c>
      <c r="E122" t="str">
        <f>IF($A122&lt;&gt;"",MAESTRO!$M122,"")</f>
        <v>VIP</v>
      </c>
      <c r="F122" t="str">
        <f>IF($A122&lt;&gt;"",MAESTRO!$J122,"")</f>
        <v>SI</v>
      </c>
      <c r="G122" t="str">
        <f>IF($A122&lt;&gt;"",MAESTRO!$D122,"")</f>
        <v>Honorable Diputado</v>
      </c>
      <c r="H122" t="str">
        <f>IF($A122&lt;&gt;"",IF(TRIM(MAESTRO!$G122&amp;" "&amp;MAESTRO!$H122&amp;" "&amp;MAESTRO!$I122)="",MAESTRO!$F122,TRIM(MAESTRO!$G122&amp;" "&amp;MAESTRO!$H122&amp;" "&amp;MAESTRO!$I122)),"")</f>
        <v>Patricio Pinilla Valencia</v>
      </c>
      <c r="I122" t="str">
        <f>IF($A122&lt;&gt;"",MAESTRO!$K122,"")</f>
        <v>Diputado Distrito 21</v>
      </c>
      <c r="J122">
        <f>IF($A122&lt;&gt;"",122,"")</f>
        <v>122</v>
      </c>
    </row>
    <row r="123" spans="1:10" x14ac:dyDescent="0.2">
      <c r="A123" t="str">
        <f>IF(AND(UPPER(MAESTRO!$M123)="VIP",UPPER(MAESTRO!$J123)="SI",MAESTRO!$F123&lt;&gt;""),MAESTRO!$P123,"")</f>
        <v/>
      </c>
      <c r="B123" t="str">
        <f>IF($A123&lt;&gt;"",MAESTRO!$B123,"")</f>
        <v/>
      </c>
      <c r="C123" t="str">
        <f t="shared" si="2"/>
        <v/>
      </c>
      <c r="D123" t="str">
        <f>IF($A123&lt;&gt;"",MAESTRO!$C123,"")</f>
        <v/>
      </c>
      <c r="E123" t="str">
        <f>IF($A123&lt;&gt;"",MAESTRO!$M123,"")</f>
        <v/>
      </c>
      <c r="F123" t="str">
        <f>IF($A123&lt;&gt;"",MAESTRO!$J123,"")</f>
        <v/>
      </c>
      <c r="G123" t="str">
        <f>IF($A123&lt;&gt;"",MAESTRO!$D123,"")</f>
        <v/>
      </c>
      <c r="H123" t="str">
        <f>IF($A123&lt;&gt;"",IF(TRIM(MAESTRO!$G123&amp;" "&amp;MAESTRO!$H123&amp;" "&amp;MAESTRO!$I123)="",MAESTRO!$F123,TRIM(MAESTRO!$G123&amp;" "&amp;MAESTRO!$H123&amp;" "&amp;MAESTRO!$I123)),"")</f>
        <v/>
      </c>
      <c r="I123" t="str">
        <f>IF($A123&lt;&gt;"",MAESTRO!$K123,"")</f>
        <v/>
      </c>
      <c r="J123" t="str">
        <f>IF($A123&lt;&gt;"",123,"")</f>
        <v/>
      </c>
    </row>
    <row r="124" spans="1:10" x14ac:dyDescent="0.2">
      <c r="A124" t="str">
        <f>IF(AND(UPPER(MAESTRO!$M124)="VIP",UPPER(MAESTRO!$J124)="SI",MAESTRO!$F124&lt;&gt;""),MAESTRO!$P124,"")</f>
        <v/>
      </c>
      <c r="B124" t="str">
        <f>IF($A124&lt;&gt;"",MAESTRO!$B124,"")</f>
        <v/>
      </c>
      <c r="C124" t="str">
        <f t="shared" si="2"/>
        <v/>
      </c>
      <c r="D124" t="str">
        <f>IF($A124&lt;&gt;"",MAESTRO!$C124,"")</f>
        <v/>
      </c>
      <c r="E124" t="str">
        <f>IF($A124&lt;&gt;"",MAESTRO!$M124,"")</f>
        <v/>
      </c>
      <c r="F124" t="str">
        <f>IF($A124&lt;&gt;"",MAESTRO!$J124,"")</f>
        <v/>
      </c>
      <c r="G124" t="str">
        <f>IF($A124&lt;&gt;"",MAESTRO!$D124,"")</f>
        <v/>
      </c>
      <c r="H124" t="str">
        <f>IF($A124&lt;&gt;"",IF(TRIM(MAESTRO!$G124&amp;" "&amp;MAESTRO!$H124&amp;" "&amp;MAESTRO!$I124)="",MAESTRO!$F124,TRIM(MAESTRO!$G124&amp;" "&amp;MAESTRO!$H124&amp;" "&amp;MAESTRO!$I124)),"")</f>
        <v/>
      </c>
      <c r="I124" t="str">
        <f>IF($A124&lt;&gt;"",MAESTRO!$K124,"")</f>
        <v/>
      </c>
      <c r="J124" t="str">
        <f>IF($A124&lt;&gt;"",124,"")</f>
        <v/>
      </c>
    </row>
    <row r="125" spans="1:10" x14ac:dyDescent="0.2">
      <c r="A125" t="str">
        <f>IF(AND(UPPER(MAESTRO!$M125)="VIP",UPPER(MAESTRO!$J125)="SI",MAESTRO!$F125&lt;&gt;""),MAESTRO!$P125,"")</f>
        <v/>
      </c>
      <c r="B125" t="str">
        <f>IF($A125&lt;&gt;"",MAESTRO!$B125,"")</f>
        <v/>
      </c>
      <c r="C125" t="str">
        <f t="shared" si="2"/>
        <v/>
      </c>
      <c r="D125" t="str">
        <f>IF($A125&lt;&gt;"",MAESTRO!$C125,"")</f>
        <v/>
      </c>
      <c r="E125" t="str">
        <f>IF($A125&lt;&gt;"",MAESTRO!$M125,"")</f>
        <v/>
      </c>
      <c r="F125" t="str">
        <f>IF($A125&lt;&gt;"",MAESTRO!$J125,"")</f>
        <v/>
      </c>
      <c r="G125" t="str">
        <f>IF($A125&lt;&gt;"",MAESTRO!$D125,"")</f>
        <v/>
      </c>
      <c r="H125" t="str">
        <f>IF($A125&lt;&gt;"",IF(TRIM(MAESTRO!$G125&amp;" "&amp;MAESTRO!$H125&amp;" "&amp;MAESTRO!$I125)="",MAESTRO!$F125,TRIM(MAESTRO!$G125&amp;" "&amp;MAESTRO!$H125&amp;" "&amp;MAESTRO!$I125)),"")</f>
        <v/>
      </c>
      <c r="I125" t="str">
        <f>IF($A125&lt;&gt;"",MAESTRO!$K125,"")</f>
        <v/>
      </c>
      <c r="J125" t="str">
        <f>IF($A125&lt;&gt;"",125,"")</f>
        <v/>
      </c>
    </row>
    <row r="126" spans="1:10" x14ac:dyDescent="0.2">
      <c r="A126" t="str">
        <f>IF(AND(UPPER(MAESTRO!$M126)="VIP",UPPER(MAESTRO!$J126)="SI",MAESTRO!$F126&lt;&gt;""),MAESTRO!$P126,"")</f>
        <v>B6</v>
      </c>
      <c r="B126">
        <f>IF($A126&lt;&gt;"",MAESTRO!$B126,"")</f>
        <v>125</v>
      </c>
      <c r="C126">
        <f t="shared" si="2"/>
        <v>118</v>
      </c>
      <c r="D126" t="str">
        <f>IF($A126&lt;&gt;"",MAESTRO!$C126,"")</f>
        <v>OPA</v>
      </c>
      <c r="E126" t="str">
        <f>IF($A126&lt;&gt;"",MAESTRO!$M126,"")</f>
        <v>VIP</v>
      </c>
      <c r="F126" t="str">
        <f>IF($A126&lt;&gt;"",MAESTRO!$J126,"")</f>
        <v>SI</v>
      </c>
      <c r="G126" t="str">
        <f>IF($A126&lt;&gt;"",MAESTRO!$D126,"")</f>
        <v>Subsecretario</v>
      </c>
      <c r="H126" t="str">
        <f>IF($A126&lt;&gt;"",IF(TRIM(MAESTRO!$G126&amp;" "&amp;MAESTRO!$H126&amp;" "&amp;MAESTRO!$I126)="",MAESTRO!$F126,TRIM(MAESTRO!$G126&amp;" "&amp;MAESTRO!$H126&amp;" "&amp;MAESTRO!$I126)),"")</f>
        <v>Rodrigo Álvarez Aguirre</v>
      </c>
      <c r="I126" t="str">
        <f>IF($A126&lt;&gt;"",MAESTRO!$K126,"")</f>
        <v>*Subsecretario de Defensa</v>
      </c>
      <c r="J126">
        <f>IF($A126&lt;&gt;"",126,"")</f>
        <v>126</v>
      </c>
    </row>
    <row r="127" spans="1:10" x14ac:dyDescent="0.2">
      <c r="A127" t="str">
        <f>IF(AND(UPPER(MAESTRO!$M127)="VIP",UPPER(MAESTRO!$J127)="SI",MAESTRO!$F127&lt;&gt;""),MAESTRO!$P127,"")</f>
        <v>B40</v>
      </c>
      <c r="B127">
        <f>IF($A127&lt;&gt;"",MAESTRO!$B127,"")</f>
        <v>126</v>
      </c>
      <c r="C127">
        <f t="shared" si="2"/>
        <v>118</v>
      </c>
      <c r="D127" t="str">
        <f>IF($A127&lt;&gt;"",MAESTRO!$C127,"")</f>
        <v>OPA</v>
      </c>
      <c r="E127" t="str">
        <f>IF($A127&lt;&gt;"",MAESTRO!$M127,"")</f>
        <v>VIP</v>
      </c>
      <c r="F127" t="str">
        <f>IF($A127&lt;&gt;"",MAESTRO!$J127,"")</f>
        <v>SI</v>
      </c>
      <c r="G127" t="str">
        <f>IF($A127&lt;&gt;"",MAESTRO!$D127,"")</f>
        <v>Subsecretario</v>
      </c>
      <c r="H127" t="str">
        <f>IF($A127&lt;&gt;"",IF(TRIM(MAESTRO!$G127&amp;" "&amp;MAESTRO!$H127&amp;" "&amp;MAESTRO!$I127)="",MAESTRO!$F127,TRIM(MAESTRO!$G127&amp;" "&amp;MAESTRO!$H127&amp;" "&amp;MAESTRO!$I127)),"")</f>
        <v>Christian Bolívar Romero</v>
      </c>
      <c r="I127" t="str">
        <f>IF($A127&lt;&gt;"",MAESTRO!$K127,"")</f>
        <v>*Subsecretario de las Fuerzas Armadas</v>
      </c>
      <c r="J127">
        <f>IF($A127&lt;&gt;"",127,"")</f>
        <v>127</v>
      </c>
    </row>
    <row r="128" spans="1:10" x14ac:dyDescent="0.2">
      <c r="A128" t="str">
        <f>IF(AND(UPPER(MAESTRO!$M128)="VIP",UPPER(MAESTRO!$J128)="SI",MAESTRO!$F128&lt;&gt;""),MAESTRO!$P128,"")</f>
        <v/>
      </c>
      <c r="B128" t="str">
        <f>IF($A128&lt;&gt;"",MAESTRO!$B128,"")</f>
        <v/>
      </c>
      <c r="C128" t="str">
        <f t="shared" si="2"/>
        <v/>
      </c>
      <c r="D128" t="str">
        <f>IF($A128&lt;&gt;"",MAESTRO!$C128,"")</f>
        <v/>
      </c>
      <c r="E128" t="str">
        <f>IF($A128&lt;&gt;"",MAESTRO!$M128,"")</f>
        <v/>
      </c>
      <c r="F128" t="str">
        <f>IF($A128&lt;&gt;"",MAESTRO!$J128,"")</f>
        <v/>
      </c>
      <c r="G128" t="str">
        <f>IF($A128&lt;&gt;"",MAESTRO!$D128,"")</f>
        <v/>
      </c>
      <c r="H128" t="str">
        <f>IF($A128&lt;&gt;"",IF(TRIM(MAESTRO!$G128&amp;" "&amp;MAESTRO!$H128&amp;" "&amp;MAESTRO!$I128)="",MAESTRO!$F128,TRIM(MAESTRO!$G128&amp;" "&amp;MAESTRO!$H128&amp;" "&amp;MAESTRO!$I128)),"")</f>
        <v/>
      </c>
      <c r="I128" t="str">
        <f>IF($A128&lt;&gt;"",MAESTRO!$K128,"")</f>
        <v/>
      </c>
      <c r="J128" t="str">
        <f>IF($A128&lt;&gt;"",128,"")</f>
        <v/>
      </c>
    </row>
    <row r="129" spans="1:10" x14ac:dyDescent="0.2">
      <c r="A129" t="str">
        <f>IF(AND(UPPER(MAESTRO!$M129)="VIP",UPPER(MAESTRO!$J129)="SI",MAESTRO!$F129&lt;&gt;""),MAESTRO!$P129,"")</f>
        <v/>
      </c>
      <c r="B129" t="str">
        <f>IF($A129&lt;&gt;"",MAESTRO!$B129,"")</f>
        <v/>
      </c>
      <c r="C129" t="str">
        <f t="shared" si="2"/>
        <v/>
      </c>
      <c r="D129" t="str">
        <f>IF($A129&lt;&gt;"",MAESTRO!$C129,"")</f>
        <v/>
      </c>
      <c r="E129" t="str">
        <f>IF($A129&lt;&gt;"",MAESTRO!$M129,"")</f>
        <v/>
      </c>
      <c r="F129" t="str">
        <f>IF($A129&lt;&gt;"",MAESTRO!$J129,"")</f>
        <v/>
      </c>
      <c r="G129" t="str">
        <f>IF($A129&lt;&gt;"",MAESTRO!$D129,"")</f>
        <v/>
      </c>
      <c r="H129" t="str">
        <f>IF($A129&lt;&gt;"",IF(TRIM(MAESTRO!$G129&amp;" "&amp;MAESTRO!$H129&amp;" "&amp;MAESTRO!$I129)="",MAESTRO!$F129,TRIM(MAESTRO!$G129&amp;" "&amp;MAESTRO!$H129&amp;" "&amp;MAESTRO!$I129)),"")</f>
        <v/>
      </c>
      <c r="I129" t="str">
        <f>IF($A129&lt;&gt;"",MAESTRO!$K129,"")</f>
        <v/>
      </c>
      <c r="J129" t="str">
        <f>IF($A129&lt;&gt;"",129,"")</f>
        <v/>
      </c>
    </row>
    <row r="130" spans="1:10" x14ac:dyDescent="0.2">
      <c r="A130" t="str">
        <f>IF(AND(UPPER(MAESTRO!$M130)="VIP",UPPER(MAESTRO!$J130)="SI",MAESTRO!$F130&lt;&gt;""),MAESTRO!$P130,"")</f>
        <v/>
      </c>
      <c r="B130" t="str">
        <f>IF($A130&lt;&gt;"",MAESTRO!$B130,"")</f>
        <v/>
      </c>
      <c r="C130" t="str">
        <f t="shared" si="2"/>
        <v/>
      </c>
      <c r="D130" t="str">
        <f>IF($A130&lt;&gt;"",MAESTRO!$C130,"")</f>
        <v/>
      </c>
      <c r="E130" t="str">
        <f>IF($A130&lt;&gt;"",MAESTRO!$M130,"")</f>
        <v/>
      </c>
      <c r="F130" t="str">
        <f>IF($A130&lt;&gt;"",MAESTRO!$J130,"")</f>
        <v/>
      </c>
      <c r="G130" t="str">
        <f>IF($A130&lt;&gt;"",MAESTRO!$D130,"")</f>
        <v/>
      </c>
      <c r="H130" t="str">
        <f>IF($A130&lt;&gt;"",IF(TRIM(MAESTRO!$G130&amp;" "&amp;MAESTRO!$H130&amp;" "&amp;MAESTRO!$I130)="",MAESTRO!$F130,TRIM(MAESTRO!$G130&amp;" "&amp;MAESTRO!$H130&amp;" "&amp;MAESTRO!$I130)),"")</f>
        <v/>
      </c>
      <c r="I130" t="str">
        <f>IF($A130&lt;&gt;"",MAESTRO!$K130,"")</f>
        <v/>
      </c>
      <c r="J130" t="str">
        <f>IF($A130&lt;&gt;"",130,"")</f>
        <v/>
      </c>
    </row>
    <row r="131" spans="1:10" x14ac:dyDescent="0.2">
      <c r="A131" t="str">
        <f>IF(AND(UPPER(MAESTRO!$M131)="VIP",UPPER(MAESTRO!$J131)="SI",MAESTRO!$F131&lt;&gt;""),MAESTRO!$P131,"")</f>
        <v>B5</v>
      </c>
      <c r="B131">
        <f>IF($A131&lt;&gt;"",MAESTRO!$B131,"")</f>
        <v>130</v>
      </c>
      <c r="C131">
        <f t="shared" si="2"/>
        <v>118</v>
      </c>
      <c r="D131" t="str">
        <f>IF($A131&lt;&gt;"",MAESTRO!$C131,"")</f>
        <v>OPA</v>
      </c>
      <c r="E131" t="str">
        <f>IF($A131&lt;&gt;"",MAESTRO!$M131,"")</f>
        <v>VIP</v>
      </c>
      <c r="F131" t="str">
        <f>IF($A131&lt;&gt;"",MAESTRO!$J131,"")</f>
        <v>SI</v>
      </c>
      <c r="G131" t="str">
        <f>IF($A131&lt;&gt;"",MAESTRO!$D131,"")</f>
        <v>Subsecretario</v>
      </c>
      <c r="H131" t="str">
        <f>IF($A131&lt;&gt;"",IF(TRIM(MAESTRO!$G131&amp;" "&amp;MAESTRO!$H131&amp;" "&amp;MAESTRO!$I131)="",MAESTRO!$F131,TRIM(MAESTRO!$G131&amp;" "&amp;MAESTRO!$H131&amp;" "&amp;MAESTRO!$I131)),"")</f>
        <v>Rafael Araos Bralic</v>
      </c>
      <c r="I131" t="str">
        <f>IF($A131&lt;&gt;"",MAESTRO!$K131,"")</f>
        <v>Subsecretaria de Ciencia, Tecnología, Conocimiento e Innovación</v>
      </c>
      <c r="J131">
        <f>IF($A131&lt;&gt;"",131,"")</f>
        <v>131</v>
      </c>
    </row>
    <row r="132" spans="1:10" x14ac:dyDescent="0.2">
      <c r="A132" t="str">
        <f>IF(AND(UPPER(MAESTRO!$M132)="VIP",UPPER(MAESTRO!$J132)="SI",MAESTRO!$F132&lt;&gt;""),MAESTRO!$P132,"")</f>
        <v>B41</v>
      </c>
      <c r="B132">
        <f>IF($A132&lt;&gt;"",MAESTRO!$B132,"")</f>
        <v>131</v>
      </c>
      <c r="C132">
        <f t="shared" si="2"/>
        <v>118</v>
      </c>
      <c r="D132" t="str">
        <f>IF($A132&lt;&gt;"",MAESTRO!$C132,"")</f>
        <v>OPA</v>
      </c>
      <c r="E132" t="str">
        <f>IF($A132&lt;&gt;"",MAESTRO!$M132,"")</f>
        <v>VIP</v>
      </c>
      <c r="F132" t="str">
        <f>IF($A132&lt;&gt;"",MAESTRO!$J132,"")</f>
        <v>SI</v>
      </c>
      <c r="G132" t="str">
        <f>IF($A132&lt;&gt;"",MAESTRO!$D132,"")</f>
        <v>Vicealmirante</v>
      </c>
      <c r="H132" t="str">
        <f>IF($A132&lt;&gt;"",IF(TRIM(MAESTRO!$G132&amp;" "&amp;MAESTRO!$H132&amp;" "&amp;MAESTRO!$I132)="",MAESTRO!$F132,TRIM(MAESTRO!$G132&amp;" "&amp;MAESTRO!$H132&amp;" "&amp;MAESTRO!$I132)),"")</f>
        <v>Julio Cacho Morán</v>
      </c>
      <c r="I132" t="str">
        <f>IF($A132&lt;&gt;"",MAESTRO!$K132,"")</f>
        <v>*Jefe del Estado Mayor de la Armada de Perú</v>
      </c>
      <c r="J132">
        <f>IF($A132&lt;&gt;"",132,"")</f>
        <v>132</v>
      </c>
    </row>
    <row r="133" spans="1:10" x14ac:dyDescent="0.2">
      <c r="A133" t="str">
        <f>IF(AND(UPPER(MAESTRO!$M133)="VIP",UPPER(MAESTRO!$J133)="SI",MAESTRO!$F133&lt;&gt;""),MAESTRO!$P133,"")</f>
        <v/>
      </c>
      <c r="B133" t="str">
        <f>IF($A133&lt;&gt;"",MAESTRO!$B133,"")</f>
        <v/>
      </c>
      <c r="C133" t="str">
        <f t="shared" si="2"/>
        <v/>
      </c>
      <c r="D133" t="str">
        <f>IF($A133&lt;&gt;"",MAESTRO!$C133,"")</f>
        <v/>
      </c>
      <c r="E133" t="str">
        <f>IF($A133&lt;&gt;"",MAESTRO!$M133,"")</f>
        <v/>
      </c>
      <c r="F133" t="str">
        <f>IF($A133&lt;&gt;"",MAESTRO!$J133,"")</f>
        <v/>
      </c>
      <c r="G133" t="str">
        <f>IF($A133&lt;&gt;"",MAESTRO!$D133,"")</f>
        <v/>
      </c>
      <c r="H133" t="str">
        <f>IF($A133&lt;&gt;"",IF(TRIM(MAESTRO!$G133&amp;" "&amp;MAESTRO!$H133&amp;" "&amp;MAESTRO!$I133)="",MAESTRO!$F133,TRIM(MAESTRO!$G133&amp;" "&amp;MAESTRO!$H133&amp;" "&amp;MAESTRO!$I133)),"")</f>
        <v/>
      </c>
      <c r="I133" t="str">
        <f>IF($A133&lt;&gt;"",MAESTRO!$K133,"")</f>
        <v/>
      </c>
      <c r="J133" t="str">
        <f>IF($A133&lt;&gt;"",133,"")</f>
        <v/>
      </c>
    </row>
    <row r="134" spans="1:10" x14ac:dyDescent="0.2">
      <c r="A134" t="str">
        <f>IF(AND(UPPER(MAESTRO!$M134)="VIP",UPPER(MAESTRO!$J134)="SI",MAESTRO!$F134&lt;&gt;""),MAESTRO!$P134,"")</f>
        <v/>
      </c>
      <c r="B134" t="str">
        <f>IF($A134&lt;&gt;"",MAESTRO!$B134,"")</f>
        <v/>
      </c>
      <c r="C134" t="str">
        <f t="shared" si="2"/>
        <v/>
      </c>
      <c r="D134" t="str">
        <f>IF($A134&lt;&gt;"",MAESTRO!$C134,"")</f>
        <v/>
      </c>
      <c r="E134" t="str">
        <f>IF($A134&lt;&gt;"",MAESTRO!$M134,"")</f>
        <v/>
      </c>
      <c r="F134" t="str">
        <f>IF($A134&lt;&gt;"",MAESTRO!$J134,"")</f>
        <v/>
      </c>
      <c r="G134" t="str">
        <f>IF($A134&lt;&gt;"",MAESTRO!$D134,"")</f>
        <v/>
      </c>
      <c r="H134" t="str">
        <f>IF($A134&lt;&gt;"",IF(TRIM(MAESTRO!$G134&amp;" "&amp;MAESTRO!$H134&amp;" "&amp;MAESTRO!$I134)="",MAESTRO!$F134,TRIM(MAESTRO!$G134&amp;" "&amp;MAESTRO!$H134&amp;" "&amp;MAESTRO!$I134)),"")</f>
        <v/>
      </c>
      <c r="I134" t="str">
        <f>IF($A134&lt;&gt;"",MAESTRO!$K134,"")</f>
        <v/>
      </c>
      <c r="J134" t="str">
        <f>IF($A134&lt;&gt;"",134,"")</f>
        <v/>
      </c>
    </row>
    <row r="135" spans="1:10" x14ac:dyDescent="0.2">
      <c r="A135" t="str">
        <f>IF(AND(UPPER(MAESTRO!$M135)="VIP",UPPER(MAESTRO!$J135)="SI",MAESTRO!$F135&lt;&gt;""),MAESTRO!$P135,"")</f>
        <v/>
      </c>
      <c r="B135" t="str">
        <f>IF($A135&lt;&gt;"",MAESTRO!$B135,"")</f>
        <v/>
      </c>
      <c r="C135" t="str">
        <f t="shared" si="2"/>
        <v/>
      </c>
      <c r="D135" t="str">
        <f>IF($A135&lt;&gt;"",MAESTRO!$C135,"")</f>
        <v/>
      </c>
      <c r="E135" t="str">
        <f>IF($A135&lt;&gt;"",MAESTRO!$M135,"")</f>
        <v/>
      </c>
      <c r="F135" t="str">
        <f>IF($A135&lt;&gt;"",MAESTRO!$J135,"")</f>
        <v/>
      </c>
      <c r="G135" t="str">
        <f>IF($A135&lt;&gt;"",MAESTRO!$D135,"")</f>
        <v/>
      </c>
      <c r="H135" t="str">
        <f>IF($A135&lt;&gt;"",IF(TRIM(MAESTRO!$G135&amp;" "&amp;MAESTRO!$H135&amp;" "&amp;MAESTRO!$I135)="",MAESTRO!$F135,TRIM(MAESTRO!$G135&amp;" "&amp;MAESTRO!$H135&amp;" "&amp;MAESTRO!$I135)),"")</f>
        <v/>
      </c>
      <c r="I135" t="str">
        <f>IF($A135&lt;&gt;"",MAESTRO!$K135,"")</f>
        <v/>
      </c>
      <c r="J135" t="str">
        <f>IF($A135&lt;&gt;"",135,"")</f>
        <v/>
      </c>
    </row>
    <row r="136" spans="1:10" x14ac:dyDescent="0.2">
      <c r="A136" t="str">
        <f>IF(AND(UPPER(MAESTRO!$M136)="VIP",UPPER(MAESTRO!$J136)="SI",MAESTRO!$F136&lt;&gt;""),MAESTRO!$P136,"")</f>
        <v>B42</v>
      </c>
      <c r="B136">
        <f>IF($A136&lt;&gt;"",MAESTRO!$B136,"")</f>
        <v>135</v>
      </c>
      <c r="C136">
        <f t="shared" si="2"/>
        <v>118</v>
      </c>
      <c r="D136" t="str">
        <f>IF($A136&lt;&gt;"",MAESTRO!$C136,"")</f>
        <v>OPA</v>
      </c>
      <c r="E136" t="str">
        <f>IF($A136&lt;&gt;"",MAESTRO!$M136,"")</f>
        <v>VIP</v>
      </c>
      <c r="F136" t="str">
        <f>IF($A136&lt;&gt;"",MAESTRO!$J136,"")</f>
        <v>SI</v>
      </c>
      <c r="G136" t="str">
        <f>IF($A136&lt;&gt;"",MAESTRO!$D136,"")</f>
        <v>Presidente</v>
      </c>
      <c r="H136" t="str">
        <f>IF($A136&lt;&gt;"",IF(TRIM(MAESTRO!$G136&amp;" "&amp;MAESTRO!$H136&amp;" "&amp;MAESTRO!$I136)="",MAESTRO!$F136,TRIM(MAESTRO!$G136&amp;" "&amp;MAESTRO!$H136&amp;" "&amp;MAESTRO!$I136)),"")</f>
        <v>José Ignacio Mujica Castro</v>
      </c>
      <c r="I136" t="str">
        <f>IF($A136&lt;&gt;"",MAESTRO!$K136,"")</f>
        <v>Vicepresidente Corfo</v>
      </c>
      <c r="J136">
        <f>IF($A136&lt;&gt;"",136,"")</f>
        <v>136</v>
      </c>
    </row>
    <row r="137" spans="1:10" x14ac:dyDescent="0.2">
      <c r="A137" t="str">
        <f>IF(AND(UPPER(MAESTRO!$M137)="VIP",UPPER(MAESTRO!$J137)="SI",MAESTRO!$F137&lt;&gt;""),MAESTRO!$P137,"")</f>
        <v>B3</v>
      </c>
      <c r="B137">
        <f>IF($A137&lt;&gt;"",MAESTRO!$B137,"")</f>
        <v>136</v>
      </c>
      <c r="C137">
        <f t="shared" si="2"/>
        <v>118</v>
      </c>
      <c r="D137" t="str">
        <f>IF($A137&lt;&gt;"",MAESTRO!$C137,"")</f>
        <v>OPA</v>
      </c>
      <c r="E137" t="str">
        <f>IF($A137&lt;&gt;"",MAESTRO!$M137,"")</f>
        <v>VIP</v>
      </c>
      <c r="F137" t="str">
        <f>IF($A137&lt;&gt;"",MAESTRO!$J137,"")</f>
        <v>SI</v>
      </c>
      <c r="G137" t="str">
        <f>IF($A137&lt;&gt;"",MAESTRO!$D137,"")</f>
        <v>Señor</v>
      </c>
      <c r="H137" t="str">
        <f>IF($A137&lt;&gt;"",IF(TRIM(MAESTRO!$G137&amp;" "&amp;MAESTRO!$H137&amp;" "&amp;MAESTRO!$I137)="",MAESTRO!$F137,TRIM(MAESTRO!$G137&amp;" "&amp;MAESTRO!$H137&amp;" "&amp;MAESTRO!$I137)),"")</f>
        <v>Elizabeth Zapata González</v>
      </c>
      <c r="I137" t="str">
        <f>IF($A137&lt;&gt;"",MAESTRO!$K137,"")</f>
        <v>Directora Desarrollo Tecnológico Corfo y Directora Ejecutiva Comité de Construcción Naval</v>
      </c>
      <c r="J137">
        <f>IF($A137&lt;&gt;"",137,"")</f>
        <v>137</v>
      </c>
    </row>
    <row r="138" spans="1:10" x14ac:dyDescent="0.2">
      <c r="A138" t="str">
        <f>IF(AND(UPPER(MAESTRO!$M138)="VIP",UPPER(MAESTRO!$J138)="SI",MAESTRO!$F138&lt;&gt;""),MAESTRO!$P138,"")</f>
        <v>B43</v>
      </c>
      <c r="B138">
        <f>IF($A138&lt;&gt;"",MAESTRO!$B138,"")</f>
        <v>137</v>
      </c>
      <c r="C138">
        <f t="shared" si="2"/>
        <v>118</v>
      </c>
      <c r="D138" t="str">
        <f>IF($A138&lt;&gt;"",MAESTRO!$C138,"")</f>
        <v>OPA</v>
      </c>
      <c r="E138" t="str">
        <f>IF($A138&lt;&gt;"",MAESTRO!$M138,"")</f>
        <v>VIP</v>
      </c>
      <c r="F138" t="str">
        <f>IF($A138&lt;&gt;"",MAESTRO!$J138,"")</f>
        <v>SI</v>
      </c>
      <c r="G138">
        <f>IF($A138&lt;&gt;"",MAESTRO!$D138,"")</f>
        <v>0</v>
      </c>
      <c r="H138" t="str">
        <f>IF($A138&lt;&gt;"",IF(TRIM(MAESTRO!$G138&amp;" "&amp;MAESTRO!$H138&amp;" "&amp;MAESTRO!$I138)="",MAESTRO!$F138,TRIM(MAESTRO!$G138&amp;" "&amp;MAESTRO!$H138&amp;" "&amp;MAESTRO!$I138)),"")</f>
        <v>Santiago Browne Hurtado</v>
      </c>
      <c r="I138" t="str">
        <f>IF($A138&lt;&gt;"",MAESTRO!$K138,"")</f>
        <v>Gerente de Asuntos Estratégicos (s) de Corfo</v>
      </c>
      <c r="J138">
        <f>IF($A138&lt;&gt;"",138,"")</f>
        <v>138</v>
      </c>
    </row>
    <row r="139" spans="1:10" x14ac:dyDescent="0.2">
      <c r="A139" t="str">
        <f>IF(AND(UPPER(MAESTRO!$M139)="VIP",UPPER(MAESTRO!$J139)="SI",MAESTRO!$F139&lt;&gt;""),MAESTRO!$P139,"")</f>
        <v/>
      </c>
      <c r="B139" t="str">
        <f>IF($A139&lt;&gt;"",MAESTRO!$B139,"")</f>
        <v/>
      </c>
      <c r="C139" t="str">
        <f>IF($A139&lt;&gt;"",MAESTRO!$A139,"")</f>
        <v/>
      </c>
      <c r="D139" t="str">
        <f>IF($A139&lt;&gt;"",MAESTRO!$C139,"")</f>
        <v/>
      </c>
      <c r="E139" t="str">
        <f>IF($A139&lt;&gt;"",MAESTRO!$M139,"")</f>
        <v/>
      </c>
      <c r="F139" t="str">
        <f>IF($A139&lt;&gt;"",MAESTRO!$J139,"")</f>
        <v/>
      </c>
      <c r="G139" t="str">
        <f>IF($A139&lt;&gt;"",MAESTRO!$D139,"")</f>
        <v/>
      </c>
      <c r="H139" t="str">
        <f>IF($A139&lt;&gt;"",IF(TRIM(MAESTRO!$G139&amp;" "&amp;MAESTRO!$H139&amp;" "&amp;MAESTRO!$I139)="",MAESTRO!$F139,TRIM(MAESTRO!$G139&amp;" "&amp;MAESTRO!$H139&amp;" "&amp;MAESTRO!$I139)),"")</f>
        <v/>
      </c>
      <c r="I139" t="str">
        <f>IF($A139&lt;&gt;"",MAESTRO!$K139,"")</f>
        <v/>
      </c>
      <c r="J139" t="str">
        <f>IF($A139&lt;&gt;"",139,"")</f>
        <v/>
      </c>
    </row>
    <row r="140" spans="1:10" x14ac:dyDescent="0.2">
      <c r="A140" t="str">
        <f>IF(AND(UPPER(MAESTRO!$M140)="VIP",UPPER(MAESTRO!$J140)="SI",MAESTRO!$F140&lt;&gt;""),MAESTRO!$P140,"")</f>
        <v/>
      </c>
      <c r="B140" t="str">
        <f>IF($A140&lt;&gt;"",MAESTRO!$B140,"")</f>
        <v/>
      </c>
      <c r="C140" t="str">
        <f>IF($A140&lt;&gt;"",MAESTRO!$A140,"")</f>
        <v/>
      </c>
      <c r="D140" t="str">
        <f>IF($A140&lt;&gt;"",MAESTRO!$C140,"")</f>
        <v/>
      </c>
      <c r="E140" t="str">
        <f>IF($A140&lt;&gt;"",MAESTRO!$M140,"")</f>
        <v/>
      </c>
      <c r="F140" t="str">
        <f>IF($A140&lt;&gt;"",MAESTRO!$J140,"")</f>
        <v/>
      </c>
      <c r="G140" t="str">
        <f>IF($A140&lt;&gt;"",MAESTRO!$D140,"")</f>
        <v/>
      </c>
      <c r="H140" t="str">
        <f>IF($A140&lt;&gt;"",IF(TRIM(MAESTRO!$G140&amp;" "&amp;MAESTRO!$H140&amp;" "&amp;MAESTRO!$I140)="",MAESTRO!$F140,TRIM(MAESTRO!$G140&amp;" "&amp;MAESTRO!$H140&amp;" "&amp;MAESTRO!$I140)),"")</f>
        <v/>
      </c>
      <c r="I140" t="str">
        <f>IF($A140&lt;&gt;"",MAESTRO!$K140,"")</f>
        <v/>
      </c>
      <c r="J140" t="str">
        <f>IF($A140&lt;&gt;"",140,"")</f>
        <v/>
      </c>
    </row>
    <row r="141" spans="1:10" x14ac:dyDescent="0.2">
      <c r="A141" t="str">
        <f>IF(AND(UPPER(MAESTRO!$M141)="VIP",UPPER(MAESTRO!$J141)="SI",MAESTRO!$F141&lt;&gt;""),MAESTRO!$P141,"")</f>
        <v/>
      </c>
      <c r="B141" t="str">
        <f>IF($A141&lt;&gt;"",MAESTRO!$B141,"")</f>
        <v/>
      </c>
      <c r="C141" t="str">
        <f>IF($A141&lt;&gt;"",MAESTRO!$A141,"")</f>
        <v/>
      </c>
      <c r="D141" t="str">
        <f>IF($A141&lt;&gt;"",MAESTRO!$C141,"")</f>
        <v/>
      </c>
      <c r="E141" t="str">
        <f>IF($A141&lt;&gt;"",MAESTRO!$M141,"")</f>
        <v/>
      </c>
      <c r="F141" t="str">
        <f>IF($A141&lt;&gt;"",MAESTRO!$J141,"")</f>
        <v/>
      </c>
      <c r="G141" t="str">
        <f>IF($A141&lt;&gt;"",MAESTRO!$D141,"")</f>
        <v/>
      </c>
      <c r="H141" t="str">
        <f>IF($A141&lt;&gt;"",IF(TRIM(MAESTRO!$G141&amp;" "&amp;MAESTRO!$H141&amp;" "&amp;MAESTRO!$I141)="",MAESTRO!$F141,TRIM(MAESTRO!$G141&amp;" "&amp;MAESTRO!$H141&amp;" "&amp;MAESTRO!$I141)),"")</f>
        <v/>
      </c>
      <c r="I141" t="str">
        <f>IF($A141&lt;&gt;"",MAESTRO!$K141,"")</f>
        <v/>
      </c>
      <c r="J141" t="str">
        <f>IF($A141&lt;&gt;"",141,"")</f>
        <v/>
      </c>
    </row>
    <row r="142" spans="1:10" x14ac:dyDescent="0.2">
      <c r="A142" t="str">
        <f>IF(AND(UPPER(MAESTRO!$M142)="VIP",UPPER(MAESTRO!$J142)="SI",MAESTRO!$F142&lt;&gt;""),MAESTRO!$P142,"")</f>
        <v/>
      </c>
      <c r="B142" t="str">
        <f>IF($A142&lt;&gt;"",MAESTRO!$B142,"")</f>
        <v/>
      </c>
      <c r="C142" t="str">
        <f>IF($A142&lt;&gt;"",MAESTRO!$A142,"")</f>
        <v/>
      </c>
      <c r="D142" t="str">
        <f>IF($A142&lt;&gt;"",MAESTRO!$C142,"")</f>
        <v/>
      </c>
      <c r="E142" t="str">
        <f>IF($A142&lt;&gt;"",MAESTRO!$M142,"")</f>
        <v/>
      </c>
      <c r="F142" t="str">
        <f>IF($A142&lt;&gt;"",MAESTRO!$J142,"")</f>
        <v/>
      </c>
      <c r="G142" t="str">
        <f>IF($A142&lt;&gt;"",MAESTRO!$D142,"")</f>
        <v/>
      </c>
      <c r="H142" t="str">
        <f>IF($A142&lt;&gt;"",IF(TRIM(MAESTRO!$G142&amp;" "&amp;MAESTRO!$H142&amp;" "&amp;MAESTRO!$I142)="",MAESTRO!$F142,TRIM(MAESTRO!$G142&amp;" "&amp;MAESTRO!$H142&amp;" "&amp;MAESTRO!$I142)),"")</f>
        <v/>
      </c>
      <c r="I142" t="str">
        <f>IF($A142&lt;&gt;"",MAESTRO!$K142,"")</f>
        <v/>
      </c>
      <c r="J142" t="str">
        <f>IF($A142&lt;&gt;"",142,"")</f>
        <v/>
      </c>
    </row>
    <row r="143" spans="1:10" x14ac:dyDescent="0.2">
      <c r="A143" t="str">
        <f>IF(AND(UPPER(MAESTRO!$M143)="VIP",UPPER(MAESTRO!$J143)="SI",MAESTRO!$F143&lt;&gt;""),MAESTRO!$P143,"")</f>
        <v/>
      </c>
      <c r="B143" t="str">
        <f>IF($A143&lt;&gt;"",MAESTRO!$B143,"")</f>
        <v/>
      </c>
      <c r="C143" t="str">
        <f>IF($A143&lt;&gt;"",MAESTRO!$A143,"")</f>
        <v/>
      </c>
      <c r="D143" t="str">
        <f>IF($A143&lt;&gt;"",MAESTRO!$C143,"")</f>
        <v/>
      </c>
      <c r="E143" t="str">
        <f>IF($A143&lt;&gt;"",MAESTRO!$M143,"")</f>
        <v/>
      </c>
      <c r="F143" t="str">
        <f>IF($A143&lt;&gt;"",MAESTRO!$J143,"")</f>
        <v/>
      </c>
      <c r="G143" t="str">
        <f>IF($A143&lt;&gt;"",MAESTRO!$D143,"")</f>
        <v/>
      </c>
      <c r="H143" t="str">
        <f>IF($A143&lt;&gt;"",IF(TRIM(MAESTRO!$G143&amp;" "&amp;MAESTRO!$H143&amp;" "&amp;MAESTRO!$I143)="",MAESTRO!$F143,TRIM(MAESTRO!$G143&amp;" "&amp;MAESTRO!$H143&amp;" "&amp;MAESTRO!$I143)),"")</f>
        <v/>
      </c>
      <c r="I143" t="str">
        <f>IF($A143&lt;&gt;"",MAESTRO!$K143,"")</f>
        <v/>
      </c>
      <c r="J143" t="str">
        <f>IF($A143&lt;&gt;"",143,"")</f>
        <v/>
      </c>
    </row>
    <row r="144" spans="1:10" x14ac:dyDescent="0.2">
      <c r="A144" t="str">
        <f>IF(AND(UPPER(MAESTRO!$M144)="VIP",UPPER(MAESTRO!$J144)="SI",MAESTRO!$F144&lt;&gt;""),MAESTRO!$P144,"")</f>
        <v/>
      </c>
      <c r="B144" t="str">
        <f>IF($A144&lt;&gt;"",MAESTRO!$B144,"")</f>
        <v/>
      </c>
      <c r="C144" t="str">
        <f>IF($A144&lt;&gt;"",MAESTRO!$A144,"")</f>
        <v/>
      </c>
      <c r="D144" t="str">
        <f>IF($A144&lt;&gt;"",MAESTRO!$C144,"")</f>
        <v/>
      </c>
      <c r="E144" t="str">
        <f>IF($A144&lt;&gt;"",MAESTRO!$M144,"")</f>
        <v/>
      </c>
      <c r="F144" t="str">
        <f>IF($A144&lt;&gt;"",MAESTRO!$J144,"")</f>
        <v/>
      </c>
      <c r="G144" t="str">
        <f>IF($A144&lt;&gt;"",MAESTRO!$D144,"")</f>
        <v/>
      </c>
      <c r="H144" t="str">
        <f>IF($A144&lt;&gt;"",IF(TRIM(MAESTRO!$G144&amp;" "&amp;MAESTRO!$H144&amp;" "&amp;MAESTRO!$I144)="",MAESTRO!$F144,TRIM(MAESTRO!$G144&amp;" "&amp;MAESTRO!$H144&amp;" "&amp;MAESTRO!$I144)),"")</f>
        <v/>
      </c>
      <c r="I144" t="str">
        <f>IF($A144&lt;&gt;"",MAESTRO!$K144,"")</f>
        <v/>
      </c>
      <c r="J144" t="str">
        <f>IF($A144&lt;&gt;"",144,"")</f>
        <v/>
      </c>
    </row>
    <row r="145" spans="1:10" x14ac:dyDescent="0.2">
      <c r="A145" t="str">
        <f>IF(AND(UPPER(MAESTRO!$M145)="VIP",UPPER(MAESTRO!$J145)="SI",MAESTRO!$F145&lt;&gt;""),MAESTRO!$P145,"")</f>
        <v/>
      </c>
      <c r="B145" t="str">
        <f>IF($A145&lt;&gt;"",MAESTRO!$B145,"")</f>
        <v/>
      </c>
      <c r="C145" t="str">
        <f>IF($A145&lt;&gt;"",MAESTRO!$A145,"")</f>
        <v/>
      </c>
      <c r="D145" t="str">
        <f>IF($A145&lt;&gt;"",MAESTRO!$C145,"")</f>
        <v/>
      </c>
      <c r="E145" t="str">
        <f>IF($A145&lt;&gt;"",MAESTRO!$M145,"")</f>
        <v/>
      </c>
      <c r="F145" t="str">
        <f>IF($A145&lt;&gt;"",MAESTRO!$J145,"")</f>
        <v/>
      </c>
      <c r="G145" t="str">
        <f>IF($A145&lt;&gt;"",MAESTRO!$D145,"")</f>
        <v/>
      </c>
      <c r="H145" t="str">
        <f>IF($A145&lt;&gt;"",IF(TRIM(MAESTRO!$G145&amp;" "&amp;MAESTRO!$H145&amp;" "&amp;MAESTRO!$I145)="",MAESTRO!$F145,TRIM(MAESTRO!$G145&amp;" "&amp;MAESTRO!$H145&amp;" "&amp;MAESTRO!$I145)),"")</f>
        <v/>
      </c>
      <c r="I145" t="str">
        <f>IF($A145&lt;&gt;"",MAESTRO!$K145,"")</f>
        <v/>
      </c>
      <c r="J145" t="str">
        <f>IF($A145&lt;&gt;"",145,"")</f>
        <v/>
      </c>
    </row>
    <row r="146" spans="1:10" x14ac:dyDescent="0.2">
      <c r="A146" t="str">
        <f>IF(AND(UPPER(MAESTRO!$M146)="VIP",UPPER(MAESTRO!$J146)="SI",MAESTRO!$F146&lt;&gt;""),MAESTRO!$P146,"")</f>
        <v/>
      </c>
      <c r="B146" t="str">
        <f>IF($A146&lt;&gt;"",MAESTRO!$B146,"")</f>
        <v/>
      </c>
      <c r="C146" t="str">
        <f>IF($A146&lt;&gt;"",MAESTRO!$A146,"")</f>
        <v/>
      </c>
      <c r="D146" t="str">
        <f>IF($A146&lt;&gt;"",MAESTRO!$C146,"")</f>
        <v/>
      </c>
      <c r="E146" t="str">
        <f>IF($A146&lt;&gt;"",MAESTRO!$M146,"")</f>
        <v/>
      </c>
      <c r="F146" t="str">
        <f>IF($A146&lt;&gt;"",MAESTRO!$J146,"")</f>
        <v/>
      </c>
      <c r="G146" t="str">
        <f>IF($A146&lt;&gt;"",MAESTRO!$D146,"")</f>
        <v/>
      </c>
      <c r="H146" t="str">
        <f>IF($A146&lt;&gt;"",IF(TRIM(MAESTRO!$G146&amp;" "&amp;MAESTRO!$H146&amp;" "&amp;MAESTRO!$I146)="",MAESTRO!$F146,TRIM(MAESTRO!$G146&amp;" "&amp;MAESTRO!$H146&amp;" "&amp;MAESTRO!$I146)),"")</f>
        <v/>
      </c>
      <c r="I146" t="str">
        <f>IF($A146&lt;&gt;"",MAESTRO!$K146,"")</f>
        <v/>
      </c>
      <c r="J146" t="str">
        <f>IF($A146&lt;&gt;"",146,"")</f>
        <v/>
      </c>
    </row>
    <row r="147" spans="1:10" x14ac:dyDescent="0.2">
      <c r="A147" t="str">
        <f>IF(AND(UPPER(MAESTRO!$M147)="VIP",UPPER(MAESTRO!$J147)="SI",MAESTRO!$F147&lt;&gt;""),MAESTRO!$P147,"")</f>
        <v/>
      </c>
      <c r="B147" t="str">
        <f>IF($A147&lt;&gt;"",MAESTRO!$B147,"")</f>
        <v/>
      </c>
      <c r="C147" t="str">
        <f>IF($A147&lt;&gt;"",MAESTRO!$A147,"")</f>
        <v/>
      </c>
      <c r="D147" t="str">
        <f>IF($A147&lt;&gt;"",MAESTRO!$C147,"")</f>
        <v/>
      </c>
      <c r="E147" t="str">
        <f>IF($A147&lt;&gt;"",MAESTRO!$M147,"")</f>
        <v/>
      </c>
      <c r="F147" t="str">
        <f>IF($A147&lt;&gt;"",MAESTRO!$J147,"")</f>
        <v/>
      </c>
      <c r="G147" t="str">
        <f>IF($A147&lt;&gt;"",MAESTRO!$D147,"")</f>
        <v/>
      </c>
      <c r="H147" t="str">
        <f>IF($A147&lt;&gt;"",IF(TRIM(MAESTRO!$G147&amp;" "&amp;MAESTRO!$H147&amp;" "&amp;MAESTRO!$I147)="",MAESTRO!$F147,TRIM(MAESTRO!$G147&amp;" "&amp;MAESTRO!$H147&amp;" "&amp;MAESTRO!$I147)),"")</f>
        <v/>
      </c>
      <c r="I147" t="str">
        <f>IF($A147&lt;&gt;"",MAESTRO!$K147,"")</f>
        <v/>
      </c>
      <c r="J147" t="str">
        <f>IF($A147&lt;&gt;"",147,"")</f>
        <v/>
      </c>
    </row>
    <row r="148" spans="1:10" x14ac:dyDescent="0.2">
      <c r="A148" t="str">
        <f>IF(AND(UPPER(MAESTRO!$M148)="VIP",UPPER(MAESTRO!$J148)="SI",MAESTRO!$F148&lt;&gt;""),MAESTRO!$P148,"")</f>
        <v/>
      </c>
      <c r="B148" t="str">
        <f>IF($A148&lt;&gt;"",MAESTRO!$B148,"")</f>
        <v/>
      </c>
      <c r="C148" t="str">
        <f>IF($A148&lt;&gt;"",MAESTRO!$A148,"")</f>
        <v/>
      </c>
      <c r="D148" t="str">
        <f>IF($A148&lt;&gt;"",MAESTRO!$C148,"")</f>
        <v/>
      </c>
      <c r="E148" t="str">
        <f>IF($A148&lt;&gt;"",MAESTRO!$M148,"")</f>
        <v/>
      </c>
      <c r="F148" t="str">
        <f>IF($A148&lt;&gt;"",MAESTRO!$J148,"")</f>
        <v/>
      </c>
      <c r="G148" t="str">
        <f>IF($A148&lt;&gt;"",MAESTRO!$D148,"")</f>
        <v/>
      </c>
      <c r="H148" t="str">
        <f>IF($A148&lt;&gt;"",IF(TRIM(MAESTRO!$G148&amp;" "&amp;MAESTRO!$H148&amp;" "&amp;MAESTRO!$I148)="",MAESTRO!$F148,TRIM(MAESTRO!$G148&amp;" "&amp;MAESTRO!$H148&amp;" "&amp;MAESTRO!$I148)),"")</f>
        <v/>
      </c>
      <c r="I148" t="str">
        <f>IF($A148&lt;&gt;"",MAESTRO!$K148,"")</f>
        <v/>
      </c>
      <c r="J148" t="str">
        <f>IF($A148&lt;&gt;"",148,"")</f>
        <v/>
      </c>
    </row>
    <row r="149" spans="1:10" x14ac:dyDescent="0.2">
      <c r="A149" t="str">
        <f>IF(AND(UPPER(MAESTRO!$M149)="VIP",UPPER(MAESTRO!$J149)="SI",MAESTRO!$F149&lt;&gt;""),MAESTRO!$P149,"")</f>
        <v/>
      </c>
      <c r="B149" t="str">
        <f>IF($A149&lt;&gt;"",MAESTRO!$B149,"")</f>
        <v/>
      </c>
      <c r="C149" t="str">
        <f>IF($A149&lt;&gt;"",MAESTRO!$A149,"")</f>
        <v/>
      </c>
      <c r="D149" t="str">
        <f>IF($A149&lt;&gt;"",MAESTRO!$C149,"")</f>
        <v/>
      </c>
      <c r="E149" t="str">
        <f>IF($A149&lt;&gt;"",MAESTRO!$M149,"")</f>
        <v/>
      </c>
      <c r="F149" t="str">
        <f>IF($A149&lt;&gt;"",MAESTRO!$J149,"")</f>
        <v/>
      </c>
      <c r="G149" t="str">
        <f>IF($A149&lt;&gt;"",MAESTRO!$D149,"")</f>
        <v/>
      </c>
      <c r="H149" t="str">
        <f>IF($A149&lt;&gt;"",IF(TRIM(MAESTRO!$G149&amp;" "&amp;MAESTRO!$H149&amp;" "&amp;MAESTRO!$I149)="",MAESTRO!$F149,TRIM(MAESTRO!$G149&amp;" "&amp;MAESTRO!$H149&amp;" "&amp;MAESTRO!$I149)),"")</f>
        <v/>
      </c>
      <c r="I149" t="str">
        <f>IF($A149&lt;&gt;"",MAESTRO!$K149,"")</f>
        <v/>
      </c>
      <c r="J149" t="str">
        <f>IF($A149&lt;&gt;"",149,"")</f>
        <v/>
      </c>
    </row>
    <row r="150" spans="1:10" x14ac:dyDescent="0.2">
      <c r="A150" t="str">
        <f>IF(AND(UPPER(MAESTRO!$M150)="VIP",UPPER(MAESTRO!$J150)="SI",MAESTRO!$F150&lt;&gt;""),MAESTRO!$P150,"")</f>
        <v/>
      </c>
      <c r="B150" t="str">
        <f>IF($A150&lt;&gt;"",MAESTRO!$B150,"")</f>
        <v/>
      </c>
      <c r="C150" t="str">
        <f>IF($A150&lt;&gt;"",MAESTRO!$A150,"")</f>
        <v/>
      </c>
      <c r="D150" t="str">
        <f>IF($A150&lt;&gt;"",MAESTRO!$C150,"")</f>
        <v/>
      </c>
      <c r="E150" t="str">
        <f>IF($A150&lt;&gt;"",MAESTRO!$M150,"")</f>
        <v/>
      </c>
      <c r="F150" t="str">
        <f>IF($A150&lt;&gt;"",MAESTRO!$J150,"")</f>
        <v/>
      </c>
      <c r="G150" t="str">
        <f>IF($A150&lt;&gt;"",MAESTRO!$D150,"")</f>
        <v/>
      </c>
      <c r="H150" t="str">
        <f>IF($A150&lt;&gt;"",IF(TRIM(MAESTRO!$G150&amp;" "&amp;MAESTRO!$H150&amp;" "&amp;MAESTRO!$I150)="",MAESTRO!$F150,TRIM(MAESTRO!$G150&amp;" "&amp;MAESTRO!$H150&amp;" "&amp;MAESTRO!$I150)),"")</f>
        <v/>
      </c>
      <c r="I150" t="str">
        <f>IF($A150&lt;&gt;"",MAESTRO!$K150,"")</f>
        <v/>
      </c>
      <c r="J150" t="str">
        <f>IF($A150&lt;&gt;"",150,"")</f>
        <v/>
      </c>
    </row>
    <row r="151" spans="1:10" x14ac:dyDescent="0.2">
      <c r="A151" t="str">
        <f>IF(AND(UPPER(MAESTRO!$M151)="VIP",UPPER(MAESTRO!$J151)="SI",MAESTRO!$F151&lt;&gt;""),MAESTRO!$P151,"")</f>
        <v/>
      </c>
      <c r="B151" t="str">
        <f>IF($A151&lt;&gt;"",MAESTRO!$B151,"")</f>
        <v/>
      </c>
      <c r="C151" t="str">
        <f>IF($A151&lt;&gt;"",MAESTRO!$A151,"")</f>
        <v/>
      </c>
      <c r="D151" t="str">
        <f>IF($A151&lt;&gt;"",MAESTRO!$C151,"")</f>
        <v/>
      </c>
      <c r="E151" t="str">
        <f>IF($A151&lt;&gt;"",MAESTRO!$M151,"")</f>
        <v/>
      </c>
      <c r="F151" t="str">
        <f>IF($A151&lt;&gt;"",MAESTRO!$J151,"")</f>
        <v/>
      </c>
      <c r="G151" t="str">
        <f>IF($A151&lt;&gt;"",MAESTRO!$D151,"")</f>
        <v/>
      </c>
      <c r="H151" t="str">
        <f>IF($A151&lt;&gt;"",IF(TRIM(MAESTRO!$G151&amp;" "&amp;MAESTRO!$H151&amp;" "&amp;MAESTRO!$I151)="",MAESTRO!$F151,TRIM(MAESTRO!$G151&amp;" "&amp;MAESTRO!$H151&amp;" "&amp;MAESTRO!$I151)),"")</f>
        <v/>
      </c>
      <c r="I151" t="str">
        <f>IF($A151&lt;&gt;"",MAESTRO!$K151,"")</f>
        <v/>
      </c>
      <c r="J151" t="str">
        <f>IF($A151&lt;&gt;"",151,"")</f>
        <v/>
      </c>
    </row>
    <row r="152" spans="1:10" x14ac:dyDescent="0.2">
      <c r="A152" t="str">
        <f>IF(AND(UPPER(MAESTRO!$M152)="VIP",UPPER(MAESTRO!$J152)="SI",MAESTRO!$F152&lt;&gt;""),MAESTRO!$P152,"")</f>
        <v/>
      </c>
      <c r="B152" t="str">
        <f>IF($A152&lt;&gt;"",MAESTRO!$B152,"")</f>
        <v/>
      </c>
      <c r="C152" t="str">
        <f>IF($A152&lt;&gt;"",MAESTRO!$A152,"")</f>
        <v/>
      </c>
      <c r="D152" t="str">
        <f>IF($A152&lt;&gt;"",MAESTRO!$C152,"")</f>
        <v/>
      </c>
      <c r="E152" t="str">
        <f>IF($A152&lt;&gt;"",MAESTRO!$M152,"")</f>
        <v/>
      </c>
      <c r="F152" t="str">
        <f>IF($A152&lt;&gt;"",MAESTRO!$J152,"")</f>
        <v/>
      </c>
      <c r="G152" t="str">
        <f>IF($A152&lt;&gt;"",MAESTRO!$D152,"")</f>
        <v/>
      </c>
      <c r="H152" t="str">
        <f>IF($A152&lt;&gt;"",IF(TRIM(MAESTRO!$G152&amp;" "&amp;MAESTRO!$H152&amp;" "&amp;MAESTRO!$I152)="",MAESTRO!$F152,TRIM(MAESTRO!$G152&amp;" "&amp;MAESTRO!$H152&amp;" "&amp;MAESTRO!$I152)),"")</f>
        <v/>
      </c>
      <c r="I152" t="str">
        <f>IF($A152&lt;&gt;"",MAESTRO!$K152,"")</f>
        <v/>
      </c>
      <c r="J152" t="str">
        <f>IF($A152&lt;&gt;"",152,"")</f>
        <v/>
      </c>
    </row>
    <row r="153" spans="1:10" x14ac:dyDescent="0.2">
      <c r="A153" t="str">
        <f>IF(AND(UPPER(MAESTRO!$M153)="VIP",UPPER(MAESTRO!$J153)="SI",MAESTRO!$F153&lt;&gt;""),MAESTRO!$P153,"")</f>
        <v/>
      </c>
      <c r="B153" t="str">
        <f>IF($A153&lt;&gt;"",MAESTRO!$B153,"")</f>
        <v/>
      </c>
      <c r="C153" t="str">
        <f>IF($A153&lt;&gt;"",MAESTRO!$A153,"")</f>
        <v/>
      </c>
      <c r="D153" t="str">
        <f>IF($A153&lt;&gt;"",MAESTRO!$C153,"")</f>
        <v/>
      </c>
      <c r="E153" t="str">
        <f>IF($A153&lt;&gt;"",MAESTRO!$M153,"")</f>
        <v/>
      </c>
      <c r="F153" t="str">
        <f>IF($A153&lt;&gt;"",MAESTRO!$J153,"")</f>
        <v/>
      </c>
      <c r="G153" t="str">
        <f>IF($A153&lt;&gt;"",MAESTRO!$D153,"")</f>
        <v/>
      </c>
      <c r="H153" t="str">
        <f>IF($A153&lt;&gt;"",IF(TRIM(MAESTRO!$G153&amp;" "&amp;MAESTRO!$H153&amp;" "&amp;MAESTRO!$I153)="",MAESTRO!$F153,TRIM(MAESTRO!$G153&amp;" "&amp;MAESTRO!$H153&amp;" "&amp;MAESTRO!$I153)),"")</f>
        <v/>
      </c>
      <c r="I153" t="str">
        <f>IF($A153&lt;&gt;"",MAESTRO!$K153,"")</f>
        <v/>
      </c>
      <c r="J153" t="str">
        <f>IF($A153&lt;&gt;"",153,"")</f>
        <v/>
      </c>
    </row>
    <row r="154" spans="1:10" x14ac:dyDescent="0.2">
      <c r="A154" t="str">
        <f>IF(AND(UPPER(MAESTRO!$M154)="VIP",UPPER(MAESTRO!$J154)="SI",MAESTRO!$F154&lt;&gt;""),MAESTRO!$P154,"")</f>
        <v/>
      </c>
      <c r="B154" t="str">
        <f>IF($A154&lt;&gt;"",MAESTRO!$B154,"")</f>
        <v/>
      </c>
      <c r="C154" t="str">
        <f>IF($A154&lt;&gt;"",MAESTRO!$A154,"")</f>
        <v/>
      </c>
      <c r="D154" t="str">
        <f>IF($A154&lt;&gt;"",MAESTRO!$C154,"")</f>
        <v/>
      </c>
      <c r="E154" t="str">
        <f>IF($A154&lt;&gt;"",MAESTRO!$M154,"")</f>
        <v/>
      </c>
      <c r="F154" t="str">
        <f>IF($A154&lt;&gt;"",MAESTRO!$J154,"")</f>
        <v/>
      </c>
      <c r="G154" t="str">
        <f>IF($A154&lt;&gt;"",MAESTRO!$D154,"")</f>
        <v/>
      </c>
      <c r="H154" t="str">
        <f>IF($A154&lt;&gt;"",IF(TRIM(MAESTRO!$G154&amp;" "&amp;MAESTRO!$H154&amp;" "&amp;MAESTRO!$I154)="",MAESTRO!$F154,TRIM(MAESTRO!$G154&amp;" "&amp;MAESTRO!$H154&amp;" "&amp;MAESTRO!$I154)),"")</f>
        <v/>
      </c>
      <c r="I154" t="str">
        <f>IF($A154&lt;&gt;"",MAESTRO!$K154,"")</f>
        <v/>
      </c>
      <c r="J154" t="str">
        <f>IF($A154&lt;&gt;"",154,"")</f>
        <v/>
      </c>
    </row>
    <row r="155" spans="1:10" x14ac:dyDescent="0.2">
      <c r="A155" t="str">
        <f>IF(AND(UPPER(MAESTRO!$M155)="VIP",UPPER(MAESTRO!$J155)="SI",MAESTRO!$F155&lt;&gt;""),MAESTRO!$P155,"")</f>
        <v/>
      </c>
      <c r="B155" t="str">
        <f>IF($A155&lt;&gt;"",MAESTRO!$B155,"")</f>
        <v/>
      </c>
      <c r="C155" t="str">
        <f>IF($A155&lt;&gt;"",MAESTRO!$A155,"")</f>
        <v/>
      </c>
      <c r="D155" t="str">
        <f>IF($A155&lt;&gt;"",MAESTRO!$C155,"")</f>
        <v/>
      </c>
      <c r="E155" t="str">
        <f>IF($A155&lt;&gt;"",MAESTRO!$M155,"")</f>
        <v/>
      </c>
      <c r="F155" t="str">
        <f>IF($A155&lt;&gt;"",MAESTRO!$J155,"")</f>
        <v/>
      </c>
      <c r="G155" t="str">
        <f>IF($A155&lt;&gt;"",MAESTRO!$D155,"")</f>
        <v/>
      </c>
      <c r="H155" t="str">
        <f>IF($A155&lt;&gt;"",IF(TRIM(MAESTRO!$G155&amp;" "&amp;MAESTRO!$H155&amp;" "&amp;MAESTRO!$I155)="",MAESTRO!$F155,TRIM(MAESTRO!$G155&amp;" "&amp;MAESTRO!$H155&amp;" "&amp;MAESTRO!$I155)),"")</f>
        <v/>
      </c>
      <c r="I155" t="str">
        <f>IF($A155&lt;&gt;"",MAESTRO!$K155,"")</f>
        <v/>
      </c>
      <c r="J155" t="str">
        <f>IF($A155&lt;&gt;"",155,"")</f>
        <v/>
      </c>
    </row>
    <row r="156" spans="1:10" x14ac:dyDescent="0.2">
      <c r="A156" t="str">
        <f>IF(AND(UPPER(MAESTRO!$M156)="VIP",UPPER(MAESTRO!$J156)="SI",MAESTRO!$F156&lt;&gt;""),MAESTRO!$P156,"")</f>
        <v/>
      </c>
      <c r="B156" t="str">
        <f>IF($A156&lt;&gt;"",MAESTRO!$B156,"")</f>
        <v/>
      </c>
      <c r="C156" t="str">
        <f>IF($A156&lt;&gt;"",MAESTRO!$A156,"")</f>
        <v/>
      </c>
      <c r="D156" t="str">
        <f>IF($A156&lt;&gt;"",MAESTRO!$C156,"")</f>
        <v/>
      </c>
      <c r="E156" t="str">
        <f>IF($A156&lt;&gt;"",MAESTRO!$M156,"")</f>
        <v/>
      </c>
      <c r="F156" t="str">
        <f>IF($A156&lt;&gt;"",MAESTRO!$J156,"")</f>
        <v/>
      </c>
      <c r="G156" t="str">
        <f>IF($A156&lt;&gt;"",MAESTRO!$D156,"")</f>
        <v/>
      </c>
      <c r="H156" t="str">
        <f>IF($A156&lt;&gt;"",IF(TRIM(MAESTRO!$G156&amp;" "&amp;MAESTRO!$H156&amp;" "&amp;MAESTRO!$I156)="",MAESTRO!$F156,TRIM(MAESTRO!$G156&amp;" "&amp;MAESTRO!$H156&amp;" "&amp;MAESTRO!$I156)),"")</f>
        <v/>
      </c>
      <c r="I156" t="str">
        <f>IF($A156&lt;&gt;"",MAESTRO!$K156,"")</f>
        <v/>
      </c>
      <c r="J156" t="str">
        <f>IF($A156&lt;&gt;"",156,"")</f>
        <v/>
      </c>
    </row>
    <row r="157" spans="1:10" x14ac:dyDescent="0.2">
      <c r="A157" t="str">
        <f>IF(AND(UPPER(MAESTRO!$M157)="VIP",UPPER(MAESTRO!$J157)="SI",MAESTRO!$F157&lt;&gt;""),MAESTRO!$P157,"")</f>
        <v/>
      </c>
      <c r="B157" t="str">
        <f>IF($A157&lt;&gt;"",MAESTRO!$B157,"")</f>
        <v/>
      </c>
      <c r="C157" t="str">
        <f>IF($A157&lt;&gt;"",MAESTRO!$A157,"")</f>
        <v/>
      </c>
      <c r="D157" t="str">
        <f>IF($A157&lt;&gt;"",MAESTRO!$C157,"")</f>
        <v/>
      </c>
      <c r="E157" t="str">
        <f>IF($A157&lt;&gt;"",MAESTRO!$M157,"")</f>
        <v/>
      </c>
      <c r="F157" t="str">
        <f>IF($A157&lt;&gt;"",MAESTRO!$J157,"")</f>
        <v/>
      </c>
      <c r="G157" t="str">
        <f>IF($A157&lt;&gt;"",MAESTRO!$D157,"")</f>
        <v/>
      </c>
      <c r="H157" t="str">
        <f>IF($A157&lt;&gt;"",IF(TRIM(MAESTRO!$G157&amp;" "&amp;MAESTRO!$H157&amp;" "&amp;MAESTRO!$I157)="",MAESTRO!$F157,TRIM(MAESTRO!$G157&amp;" "&amp;MAESTRO!$H157&amp;" "&amp;MAESTRO!$I157)),"")</f>
        <v/>
      </c>
      <c r="I157" t="str">
        <f>IF($A157&lt;&gt;"",MAESTRO!$K157,"")</f>
        <v/>
      </c>
      <c r="J157" t="str">
        <f>IF($A157&lt;&gt;"",157,"")</f>
        <v/>
      </c>
    </row>
    <row r="158" spans="1:10" x14ac:dyDescent="0.2">
      <c r="A158" t="str">
        <f>IF(AND(UPPER(MAESTRO!$M158)="VIP",UPPER(MAESTRO!$J158)="SI",MAESTRO!$F158&lt;&gt;""),MAESTRO!$P158,"")</f>
        <v/>
      </c>
      <c r="B158" t="str">
        <f>IF($A158&lt;&gt;"",MAESTRO!$B158,"")</f>
        <v/>
      </c>
      <c r="C158" t="str">
        <f>IF($A158&lt;&gt;"",MAESTRO!$A158,"")</f>
        <v/>
      </c>
      <c r="D158" t="str">
        <f>IF($A158&lt;&gt;"",MAESTRO!$C158,"")</f>
        <v/>
      </c>
      <c r="E158" t="str">
        <f>IF($A158&lt;&gt;"",MAESTRO!$M158,"")</f>
        <v/>
      </c>
      <c r="F158" t="str">
        <f>IF($A158&lt;&gt;"",MAESTRO!$J158,"")</f>
        <v/>
      </c>
      <c r="G158" t="str">
        <f>IF($A158&lt;&gt;"",MAESTRO!$D158,"")</f>
        <v/>
      </c>
      <c r="H158" t="str">
        <f>IF($A158&lt;&gt;"",IF(TRIM(MAESTRO!$G158&amp;" "&amp;MAESTRO!$H158&amp;" "&amp;MAESTRO!$I158)="",MAESTRO!$F158,TRIM(MAESTRO!$G158&amp;" "&amp;MAESTRO!$H158&amp;" "&amp;MAESTRO!$I158)),"")</f>
        <v/>
      </c>
      <c r="I158" t="str">
        <f>IF($A158&lt;&gt;"",MAESTRO!$K158,"")</f>
        <v/>
      </c>
      <c r="J158" t="str">
        <f>IF($A158&lt;&gt;"",158,"")</f>
        <v/>
      </c>
    </row>
    <row r="159" spans="1:10" x14ac:dyDescent="0.2">
      <c r="A159" t="str">
        <f>IF(AND(UPPER(MAESTRO!$M159)="VIP",UPPER(MAESTRO!$J159)="SI",MAESTRO!$F159&lt;&gt;""),MAESTRO!$P159,"")</f>
        <v>C20</v>
      </c>
      <c r="B159">
        <f>IF($A159&lt;&gt;"",MAESTRO!$B159,"")</f>
        <v>158</v>
      </c>
      <c r="C159">
        <f>IF($A159&lt;&gt;"",MAESTRO!$A159,"")</f>
        <v>158</v>
      </c>
      <c r="D159" t="str">
        <f>IF($A159&lt;&gt;"",MAESTRO!$C159,"")</f>
        <v>OPA</v>
      </c>
      <c r="E159" t="str">
        <f>IF($A159&lt;&gt;"",MAESTRO!$M159,"")</f>
        <v>VIP</v>
      </c>
      <c r="F159" t="str">
        <f>IF($A159&lt;&gt;"",MAESTRO!$J159,"")</f>
        <v>SI</v>
      </c>
      <c r="G159">
        <f>IF($A159&lt;&gt;"",MAESTRO!$D159,"")</f>
        <v>0</v>
      </c>
      <c r="H159" t="str">
        <f>IF($A159&lt;&gt;"",IF(TRIM(MAESTRO!$G159&amp;" "&amp;MAESTRO!$H159&amp;" "&amp;MAESTRO!$I159)="",MAESTRO!$F159,TRIM(MAESTRO!$G159&amp;" "&amp;MAESTRO!$H159&amp;" "&amp;MAESTRO!$I159)),"")</f>
        <v>Constanza Leiva Larrañaga</v>
      </c>
      <c r="I159" t="str">
        <f>IF($A159&lt;&gt;"",MAESTRO!$K159,"")</f>
        <v>T2 RNY</v>
      </c>
      <c r="J159">
        <f>IF($A159&lt;&gt;"",159,"")</f>
        <v>159</v>
      </c>
    </row>
    <row r="160" spans="1:10" x14ac:dyDescent="0.2">
      <c r="A160" t="str">
        <f>IF(AND(UPPER(MAESTRO!$M160)="VIP",UPPER(MAESTRO!$J160)="SI",MAESTRO!$F160&lt;&gt;""),MAESTRO!$P160,"")</f>
        <v>C26</v>
      </c>
      <c r="B160">
        <f>IF($A160&lt;&gt;"",MAESTRO!$B160,"")</f>
        <v>159</v>
      </c>
      <c r="C160">
        <f>IF($A160&lt;&gt;"",MAESTRO!$A160,"")</f>
        <v>159</v>
      </c>
      <c r="D160" t="str">
        <f>IF($A160&lt;&gt;"",MAESTRO!$C160,"")</f>
        <v>OPA</v>
      </c>
      <c r="E160" t="str">
        <f>IF($A160&lt;&gt;"",MAESTRO!$M160,"")</f>
        <v>VIP</v>
      </c>
      <c r="F160" t="str">
        <f>IF($A160&lt;&gt;"",MAESTRO!$J160,"")</f>
        <v>SI</v>
      </c>
      <c r="G160">
        <f>IF($A160&lt;&gt;"",MAESTRO!$D160,"")</f>
        <v>0</v>
      </c>
      <c r="H160" t="str">
        <f>IF($A160&lt;&gt;"",IF(TRIM(MAESTRO!$G160&amp;" "&amp;MAESTRO!$H160&amp;" "&amp;MAESTRO!$I160)="",MAESTRO!$F160,TRIM(MAESTRO!$G160&amp;" "&amp;MAESTRO!$H160&amp;" "&amp;MAESTRO!$I160)),"")</f>
        <v>Marcela Paz Leiva Larrañaga</v>
      </c>
      <c r="I160" t="str">
        <f>IF($A160&lt;&gt;"",MAESTRO!$K160,"")</f>
        <v>Hija Madrina</v>
      </c>
      <c r="J160">
        <f>IF($A160&lt;&gt;"",160,"")</f>
        <v>160</v>
      </c>
    </row>
    <row r="161" spans="1:10" x14ac:dyDescent="0.2">
      <c r="A161" t="str">
        <f>IF(AND(UPPER(MAESTRO!$M161)="VIP",UPPER(MAESTRO!$J161)="SI",MAESTRO!$F161&lt;&gt;""),MAESTRO!$P161,"")</f>
        <v>C19</v>
      </c>
      <c r="B161">
        <f>IF($A161&lt;&gt;"",MAESTRO!$B161,"")</f>
        <v>160</v>
      </c>
      <c r="C161">
        <f>IF($A161&lt;&gt;"",MAESTRO!$A161,"")</f>
        <v>160</v>
      </c>
      <c r="D161" t="str">
        <f>IF($A161&lt;&gt;"",MAESTRO!$C161,"")</f>
        <v>OPA</v>
      </c>
      <c r="E161" t="str">
        <f>IF($A161&lt;&gt;"",MAESTRO!$M161,"")</f>
        <v>VIP</v>
      </c>
      <c r="F161" t="str">
        <f>IF($A161&lt;&gt;"",MAESTRO!$J161,"")</f>
        <v>SI</v>
      </c>
      <c r="G161">
        <f>IF($A161&lt;&gt;"",MAESTRO!$D161,"")</f>
        <v>0</v>
      </c>
      <c r="H161" t="str">
        <f>IF($A161&lt;&gt;"",IF(TRIM(MAESTRO!$G161&amp;" "&amp;MAESTRO!$H161&amp;" "&amp;MAESTRO!$I161)="",MAESTRO!$F161,TRIM(MAESTRO!$G161&amp;" "&amp;MAESTRO!$H161&amp;" "&amp;MAESTRO!$I161)),"")</f>
        <v>Matias Pérez Cruz</v>
      </c>
      <c r="I161" t="str">
        <f>IF($A161&lt;&gt;"",MAESTRO!$K161,"")</f>
        <v>Gerenete Perezcruz</v>
      </c>
      <c r="J161">
        <f>IF($A161&lt;&gt;"",161,"")</f>
        <v>161</v>
      </c>
    </row>
    <row r="162" spans="1:10" x14ac:dyDescent="0.2">
      <c r="A162" t="str">
        <f>IF(AND(UPPER(MAESTRO!$M162)="VIP",UPPER(MAESTRO!$J162)="SI",MAESTRO!$F162&lt;&gt;""),MAESTRO!$P162,"")</f>
        <v/>
      </c>
      <c r="B162" t="str">
        <f>IF($A162&lt;&gt;"",MAESTRO!$B162,"")</f>
        <v/>
      </c>
      <c r="C162" t="str">
        <f>IF($A162&lt;&gt;"",MAESTRO!$A162,"")</f>
        <v/>
      </c>
      <c r="D162" t="str">
        <f>IF($A162&lt;&gt;"",MAESTRO!$C162,"")</f>
        <v/>
      </c>
      <c r="E162" t="str">
        <f>IF($A162&lt;&gt;"",MAESTRO!$M162,"")</f>
        <v/>
      </c>
      <c r="F162" t="str">
        <f>IF($A162&lt;&gt;"",MAESTRO!$J162,"")</f>
        <v/>
      </c>
      <c r="G162" t="str">
        <f>IF($A162&lt;&gt;"",MAESTRO!$D162,"")</f>
        <v/>
      </c>
      <c r="H162" t="str">
        <f>IF($A162&lt;&gt;"",IF(TRIM(MAESTRO!$G162&amp;" "&amp;MAESTRO!$H162&amp;" "&amp;MAESTRO!$I162)="",MAESTRO!$F162,TRIM(MAESTRO!$G162&amp;" "&amp;MAESTRO!$H162&amp;" "&amp;MAESTRO!$I162)),"")</f>
        <v/>
      </c>
      <c r="I162" t="str">
        <f>IF($A162&lt;&gt;"",MAESTRO!$K162,"")</f>
        <v/>
      </c>
      <c r="J162" t="str">
        <f>IF($A162&lt;&gt;"",162,"")</f>
        <v/>
      </c>
    </row>
    <row r="163" spans="1:10" x14ac:dyDescent="0.2">
      <c r="A163" t="str">
        <f>IF(AND(UPPER(MAESTRO!$M163)="VIP",UPPER(MAESTRO!$J163)="SI",MAESTRO!$F163&lt;&gt;""),MAESTRO!$P163,"")</f>
        <v/>
      </c>
      <c r="B163" t="str">
        <f>IF($A163&lt;&gt;"",MAESTRO!$B163,"")</f>
        <v/>
      </c>
      <c r="C163" t="str">
        <f>IF($A163&lt;&gt;"",MAESTRO!$A163,"")</f>
        <v/>
      </c>
      <c r="D163" t="str">
        <f>IF($A163&lt;&gt;"",MAESTRO!$C163,"")</f>
        <v/>
      </c>
      <c r="E163" t="str">
        <f>IF($A163&lt;&gt;"",MAESTRO!$M163,"")</f>
        <v/>
      </c>
      <c r="F163" t="str">
        <f>IF($A163&lt;&gt;"",MAESTRO!$J163,"")</f>
        <v/>
      </c>
      <c r="G163" t="str">
        <f>IF($A163&lt;&gt;"",MAESTRO!$D163,"")</f>
        <v/>
      </c>
      <c r="H163" t="str">
        <f>IF($A163&lt;&gt;"",IF(TRIM(MAESTRO!$G163&amp;" "&amp;MAESTRO!$H163&amp;" "&amp;MAESTRO!$I163)="",MAESTRO!$F163,TRIM(MAESTRO!$G163&amp;" "&amp;MAESTRO!$H163&amp;" "&amp;MAESTRO!$I163)),"")</f>
        <v/>
      </c>
      <c r="I163" t="str">
        <f>IF($A163&lt;&gt;"",MAESTRO!$K163,"")</f>
        <v/>
      </c>
      <c r="J163" t="str">
        <f>IF($A163&lt;&gt;"",163,"")</f>
        <v/>
      </c>
    </row>
    <row r="164" spans="1:10" x14ac:dyDescent="0.2">
      <c r="A164" t="str">
        <f>IF(AND(UPPER(MAESTRO!$M164)="VIP",UPPER(MAESTRO!$J164)="SI",MAESTRO!$F164&lt;&gt;""),MAESTRO!$P164,"")</f>
        <v>C27</v>
      </c>
      <c r="B164">
        <f>IF($A164&lt;&gt;"",MAESTRO!$B164,"")</f>
        <v>163</v>
      </c>
      <c r="C164">
        <f>IF($A164&lt;&gt;"",MAESTRO!$A164,"")</f>
        <v>163</v>
      </c>
      <c r="D164" t="str">
        <f>IF($A164&lt;&gt;"",MAESTRO!$C164,"")</f>
        <v>OPA</v>
      </c>
      <c r="E164" t="str">
        <f>IF($A164&lt;&gt;"",MAESTRO!$M164,"")</f>
        <v>VIP</v>
      </c>
      <c r="F164" t="str">
        <f>IF($A164&lt;&gt;"",MAESTRO!$J164,"")</f>
        <v>SI</v>
      </c>
      <c r="G164" t="str">
        <f>IF($A164&lt;&gt;"",MAESTRO!$D164,"")</f>
        <v>Señor</v>
      </c>
      <c r="H164" t="str">
        <f>IF($A164&lt;&gt;"",IF(TRIM(MAESTRO!$G164&amp;" "&amp;MAESTRO!$H164&amp;" "&amp;MAESTRO!$I164)="",MAESTRO!$F164,TRIM(MAESTRO!$G164&amp;" "&amp;MAESTRO!$H164&amp;" "&amp;MAESTRO!$I164)),"")</f>
        <v>Eugenio Cornejo Locroix</v>
      </c>
      <c r="I164" t="str">
        <f>IF($A164&lt;&gt;"",MAESTRO!$K164,"")</f>
        <v>Presidente Mutual de Seguros de Chile</v>
      </c>
      <c r="J164">
        <f>IF($A164&lt;&gt;"",164,"")</f>
        <v>164</v>
      </c>
    </row>
    <row r="165" spans="1:10" x14ac:dyDescent="0.2">
      <c r="A165" t="str">
        <f>IF(AND(UPPER(MAESTRO!$M165)="VIP",UPPER(MAESTRO!$J165)="SI",MAESTRO!$F165&lt;&gt;""),MAESTRO!$P165,"")</f>
        <v>C18</v>
      </c>
      <c r="B165">
        <f>IF($A165&lt;&gt;"",MAESTRO!$B165,"")</f>
        <v>164</v>
      </c>
      <c r="C165">
        <f>IF($A165&lt;&gt;"",MAESTRO!$A165,"")</f>
        <v>164</v>
      </c>
      <c r="D165" t="str">
        <f>IF($A165&lt;&gt;"",MAESTRO!$C165,"")</f>
        <v>OPA</v>
      </c>
      <c r="E165" t="str">
        <f>IF($A165&lt;&gt;"",MAESTRO!$M165,"")</f>
        <v>VIP</v>
      </c>
      <c r="F165" t="str">
        <f>IF($A165&lt;&gt;"",MAESTRO!$J165,"")</f>
        <v>SI</v>
      </c>
      <c r="G165" t="str">
        <f>IF($A165&lt;&gt;"",MAESTRO!$D165,"")</f>
        <v>Señor</v>
      </c>
      <c r="H165" t="str">
        <f>IF($A165&lt;&gt;"",IF(TRIM(MAESTRO!$G165&amp;" "&amp;MAESTRO!$H165&amp;" "&amp;MAESTRO!$I165)="",MAESTRO!$F165,TRIM(MAESTRO!$G165&amp;" "&amp;MAESTRO!$H165&amp;" "&amp;MAESTRO!$I165)),"")</f>
        <v>Vicente Leiva Larrañaga</v>
      </c>
      <c r="I165" t="str">
        <f>IF($A165&lt;&gt;"",MAESTRO!$K165,"")</f>
        <v>Hijo Madrina</v>
      </c>
      <c r="J165">
        <f>IF($A165&lt;&gt;"",165,"")</f>
        <v>165</v>
      </c>
    </row>
    <row r="166" spans="1:10" x14ac:dyDescent="0.2">
      <c r="A166" t="str">
        <f>IF(AND(UPPER(MAESTRO!$M166)="VIP",UPPER(MAESTRO!$J166)="SI",MAESTRO!$F166&lt;&gt;""),MAESTRO!$P166,"")</f>
        <v/>
      </c>
      <c r="B166" t="str">
        <f>IF($A166&lt;&gt;"",MAESTRO!$B166,"")</f>
        <v/>
      </c>
      <c r="C166" t="str">
        <f>IF($A166&lt;&gt;"",MAESTRO!$A166,"")</f>
        <v/>
      </c>
      <c r="D166" t="str">
        <f>IF($A166&lt;&gt;"",MAESTRO!$C166,"")</f>
        <v/>
      </c>
      <c r="E166" t="str">
        <f>IF($A166&lt;&gt;"",MAESTRO!$M166,"")</f>
        <v/>
      </c>
      <c r="F166" t="str">
        <f>IF($A166&lt;&gt;"",MAESTRO!$J166,"")</f>
        <v/>
      </c>
      <c r="G166" t="str">
        <f>IF($A166&lt;&gt;"",MAESTRO!$D166,"")</f>
        <v/>
      </c>
      <c r="H166" t="str">
        <f>IF($A166&lt;&gt;"",IF(TRIM(MAESTRO!$G166&amp;" "&amp;MAESTRO!$H166&amp;" "&amp;MAESTRO!$I166)="",MAESTRO!$F166,TRIM(MAESTRO!$G166&amp;" "&amp;MAESTRO!$H166&amp;" "&amp;MAESTRO!$I166)),"")</f>
        <v/>
      </c>
      <c r="I166" t="str">
        <f>IF($A166&lt;&gt;"",MAESTRO!$K166,"")</f>
        <v/>
      </c>
      <c r="J166" t="str">
        <f>IF($A166&lt;&gt;"",166,"")</f>
        <v/>
      </c>
    </row>
    <row r="167" spans="1:10" x14ac:dyDescent="0.2">
      <c r="A167" t="str">
        <f>IF(AND(UPPER(MAESTRO!$M167)="VIP",UPPER(MAESTRO!$J167)="SI",MAESTRO!$F167&lt;&gt;""),MAESTRO!$P167,"")</f>
        <v/>
      </c>
      <c r="B167" t="str">
        <f>IF($A167&lt;&gt;"",MAESTRO!$B167,"")</f>
        <v/>
      </c>
      <c r="C167" t="str">
        <f>IF($A167&lt;&gt;"",MAESTRO!$A167,"")</f>
        <v/>
      </c>
      <c r="D167" t="str">
        <f>IF($A167&lt;&gt;"",MAESTRO!$C167,"")</f>
        <v/>
      </c>
      <c r="E167" t="str">
        <f>IF($A167&lt;&gt;"",MAESTRO!$M167,"")</f>
        <v/>
      </c>
      <c r="F167" t="str">
        <f>IF($A167&lt;&gt;"",MAESTRO!$J167,"")</f>
        <v/>
      </c>
      <c r="G167" t="str">
        <f>IF($A167&lt;&gt;"",MAESTRO!$D167,"")</f>
        <v/>
      </c>
      <c r="H167" t="str">
        <f>IF($A167&lt;&gt;"",IF(TRIM(MAESTRO!$G167&amp;" "&amp;MAESTRO!$H167&amp;" "&amp;MAESTRO!$I167)="",MAESTRO!$F167,TRIM(MAESTRO!$G167&amp;" "&amp;MAESTRO!$H167&amp;" "&amp;MAESTRO!$I167)),"")</f>
        <v/>
      </c>
      <c r="I167" t="str">
        <f>IF($A167&lt;&gt;"",MAESTRO!$K167,"")</f>
        <v/>
      </c>
      <c r="J167" t="str">
        <f>IF($A167&lt;&gt;"",167,"")</f>
        <v/>
      </c>
    </row>
    <row r="168" spans="1:10" x14ac:dyDescent="0.2">
      <c r="A168" t="str">
        <f>IF(AND(UPPER(MAESTRO!$M168)="VIP",UPPER(MAESTRO!$J168)="SI",MAESTRO!$F168&lt;&gt;""),MAESTRO!$P168,"")</f>
        <v>C28</v>
      </c>
      <c r="B168">
        <f>IF($A168&lt;&gt;"",MAESTRO!$B168,"")</f>
        <v>167</v>
      </c>
      <c r="C168">
        <f>IF($A168&lt;&gt;"",MAESTRO!$A168,"")</f>
        <v>167</v>
      </c>
      <c r="D168" t="str">
        <f>IF($A168&lt;&gt;"",MAESTRO!$C168,"")</f>
        <v>OPA</v>
      </c>
      <c r="E168" t="str">
        <f>IF($A168&lt;&gt;"",MAESTRO!$M168,"")</f>
        <v>VIP</v>
      </c>
      <c r="F168" t="str">
        <f>IF($A168&lt;&gt;"",MAESTRO!$J168,"")</f>
        <v>SI</v>
      </c>
      <c r="G168" t="str">
        <f>IF($A168&lt;&gt;"",MAESTRO!$D168,"")</f>
        <v>Señora</v>
      </c>
      <c r="H168" t="str">
        <f>IF($A168&lt;&gt;"",IF(TRIM(MAESTRO!$G168&amp;" "&amp;MAESTRO!$H168&amp;" "&amp;MAESTRO!$I168)="",MAESTRO!$F168,TRIM(MAESTRO!$G168&amp;" "&amp;MAESTRO!$H168&amp;" "&amp;MAESTRO!$I168)),"")</f>
        <v>Cecy Sirena Quijada Pérez</v>
      </c>
      <c r="I168" t="str">
        <f>IF($A168&lt;&gt;"",MAESTRO!$K168,"")</f>
        <v>Esposa del Jefe estado mayor de la Armada de Perú.</v>
      </c>
      <c r="J168">
        <f>IF($A168&lt;&gt;"",168,"")</f>
        <v>168</v>
      </c>
    </row>
    <row r="169" spans="1:10" x14ac:dyDescent="0.2">
      <c r="A169" t="str">
        <f>IF(AND(UPPER(MAESTRO!$M169)="VIP",UPPER(MAESTRO!$J169)="SI",MAESTRO!$F169&lt;&gt;""),MAESTRO!$P169,"")</f>
        <v/>
      </c>
      <c r="B169" t="str">
        <f>IF($A169&lt;&gt;"",MAESTRO!$B169,"")</f>
        <v/>
      </c>
      <c r="C169" t="str">
        <f>IF($A169&lt;&gt;"",MAESTRO!$A169,"")</f>
        <v/>
      </c>
      <c r="D169" t="str">
        <f>IF($A169&lt;&gt;"",MAESTRO!$C169,"")</f>
        <v/>
      </c>
      <c r="E169" t="str">
        <f>IF($A169&lt;&gt;"",MAESTRO!$M169,"")</f>
        <v/>
      </c>
      <c r="F169" t="str">
        <f>IF($A169&lt;&gt;"",MAESTRO!$J169,"")</f>
        <v/>
      </c>
      <c r="G169" t="str">
        <f>IF($A169&lt;&gt;"",MAESTRO!$D169,"")</f>
        <v/>
      </c>
      <c r="H169" t="str">
        <f>IF($A169&lt;&gt;"",IF(TRIM(MAESTRO!$G169&amp;" "&amp;MAESTRO!$H169&amp;" "&amp;MAESTRO!$I169)="",MAESTRO!$F169,TRIM(MAESTRO!$G169&amp;" "&amp;MAESTRO!$H169&amp;" "&amp;MAESTRO!$I169)),"")</f>
        <v/>
      </c>
      <c r="I169" t="str">
        <f>IF($A169&lt;&gt;"",MAESTRO!$K169,"")</f>
        <v/>
      </c>
      <c r="J169" t="str">
        <f>IF($A169&lt;&gt;"",169,"")</f>
        <v/>
      </c>
    </row>
    <row r="170" spans="1:10" x14ac:dyDescent="0.2">
      <c r="A170" t="str">
        <f>IF(AND(UPPER(MAESTRO!$M170)="VIP",UPPER(MAESTRO!$J170)="SI",MAESTRO!$F170&lt;&gt;""),MAESTRO!$P170,"")</f>
        <v/>
      </c>
      <c r="B170" t="str">
        <f>IF($A170&lt;&gt;"",MAESTRO!$B170,"")</f>
        <v/>
      </c>
      <c r="C170" t="str">
        <f>IF($A170&lt;&gt;"",MAESTRO!$A170,"")</f>
        <v/>
      </c>
      <c r="D170" t="str">
        <f>IF($A170&lt;&gt;"",MAESTRO!$C170,"")</f>
        <v/>
      </c>
      <c r="E170" t="str">
        <f>IF($A170&lt;&gt;"",MAESTRO!$M170,"")</f>
        <v/>
      </c>
      <c r="F170" t="str">
        <f>IF($A170&lt;&gt;"",MAESTRO!$J170,"")</f>
        <v/>
      </c>
      <c r="G170" t="str">
        <f>IF($A170&lt;&gt;"",MAESTRO!$D170,"")</f>
        <v/>
      </c>
      <c r="H170" t="str">
        <f>IF($A170&lt;&gt;"",IF(TRIM(MAESTRO!$G170&amp;" "&amp;MAESTRO!$H170&amp;" "&amp;MAESTRO!$I170)="",MAESTRO!$F170,TRIM(MAESTRO!$G170&amp;" "&amp;MAESTRO!$H170&amp;" "&amp;MAESTRO!$I170)),"")</f>
        <v/>
      </c>
      <c r="I170" t="str">
        <f>IF($A170&lt;&gt;"",MAESTRO!$K170,"")</f>
        <v/>
      </c>
      <c r="J170" t="str">
        <f>IF($A170&lt;&gt;"",170,"")</f>
        <v/>
      </c>
    </row>
    <row r="171" spans="1:10" x14ac:dyDescent="0.2">
      <c r="A171" t="str">
        <f>IF(AND(UPPER(MAESTRO!$M171)="VIP",UPPER(MAESTRO!$J171)="SI",MAESTRO!$F171&lt;&gt;""),MAESTRO!$P171,"")</f>
        <v/>
      </c>
      <c r="B171" t="str">
        <f>IF($A171&lt;&gt;"",MAESTRO!$B171,"")</f>
        <v/>
      </c>
      <c r="C171" t="str">
        <f>IF($A171&lt;&gt;"",MAESTRO!$A171,"")</f>
        <v/>
      </c>
      <c r="D171" t="str">
        <f>IF($A171&lt;&gt;"",MAESTRO!$C171,"")</f>
        <v/>
      </c>
      <c r="E171" t="str">
        <f>IF($A171&lt;&gt;"",MAESTRO!$M171,"")</f>
        <v/>
      </c>
      <c r="F171" t="str">
        <f>IF($A171&lt;&gt;"",MAESTRO!$J171,"")</f>
        <v/>
      </c>
      <c r="G171" t="str">
        <f>IF($A171&lt;&gt;"",MAESTRO!$D171,"")</f>
        <v/>
      </c>
      <c r="H171" t="str">
        <f>IF($A171&lt;&gt;"",IF(TRIM(MAESTRO!$G171&amp;" "&amp;MAESTRO!$H171&amp;" "&amp;MAESTRO!$I171)="",MAESTRO!$F171,TRIM(MAESTRO!$G171&amp;" "&amp;MAESTRO!$H171&amp;" "&amp;MAESTRO!$I171)),"")</f>
        <v/>
      </c>
      <c r="I171" t="str">
        <f>IF($A171&lt;&gt;"",MAESTRO!$K171,"")</f>
        <v/>
      </c>
      <c r="J171" t="str">
        <f>IF($A171&lt;&gt;"",171,"")</f>
        <v/>
      </c>
    </row>
    <row r="172" spans="1:10" x14ac:dyDescent="0.2">
      <c r="A172" t="str">
        <f>IF(AND(UPPER(MAESTRO!$M172)="VIP",UPPER(MAESTRO!$J172)="SI",MAESTRO!$F172&lt;&gt;""),MAESTRO!$P172,"")</f>
        <v/>
      </c>
      <c r="B172" t="str">
        <f>IF($A172&lt;&gt;"",MAESTRO!$B172,"")</f>
        <v/>
      </c>
      <c r="C172" t="str">
        <f>IF($A172&lt;&gt;"",MAESTRO!$A172,"")</f>
        <v/>
      </c>
      <c r="D172" t="str">
        <f>IF($A172&lt;&gt;"",MAESTRO!$C172,"")</f>
        <v/>
      </c>
      <c r="E172" t="str">
        <f>IF($A172&lt;&gt;"",MAESTRO!$M172,"")</f>
        <v/>
      </c>
      <c r="F172" t="str">
        <f>IF($A172&lt;&gt;"",MAESTRO!$J172,"")</f>
        <v/>
      </c>
      <c r="G172" t="str">
        <f>IF($A172&lt;&gt;"",MAESTRO!$D172,"")</f>
        <v/>
      </c>
      <c r="H172" t="str">
        <f>IF($A172&lt;&gt;"",IF(TRIM(MAESTRO!$G172&amp;" "&amp;MAESTRO!$H172&amp;" "&amp;MAESTRO!$I172)="",MAESTRO!$F172,TRIM(MAESTRO!$G172&amp;" "&amp;MAESTRO!$H172&amp;" "&amp;MAESTRO!$I172)),"")</f>
        <v/>
      </c>
      <c r="I172" t="str">
        <f>IF($A172&lt;&gt;"",MAESTRO!$K172,"")</f>
        <v/>
      </c>
      <c r="J172" t="str">
        <f>IF($A172&lt;&gt;"",172,"")</f>
        <v/>
      </c>
    </row>
    <row r="173" spans="1:10" x14ac:dyDescent="0.2">
      <c r="A173" t="str">
        <f>IF(AND(UPPER(MAESTRO!$M173)="VIP",UPPER(MAESTRO!$J173)="SI",MAESTRO!$F173&lt;&gt;""),MAESTRO!$P173,"")</f>
        <v/>
      </c>
      <c r="B173" t="str">
        <f>IF($A173&lt;&gt;"",MAESTRO!$B173,"")</f>
        <v/>
      </c>
      <c r="C173" t="str">
        <f>IF($A173&lt;&gt;"",MAESTRO!$A173,"")</f>
        <v/>
      </c>
      <c r="D173" t="str">
        <f>IF($A173&lt;&gt;"",MAESTRO!$C173,"")</f>
        <v/>
      </c>
      <c r="E173" t="str">
        <f>IF($A173&lt;&gt;"",MAESTRO!$M173,"")</f>
        <v/>
      </c>
      <c r="F173" t="str">
        <f>IF($A173&lt;&gt;"",MAESTRO!$J173,"")</f>
        <v/>
      </c>
      <c r="G173" t="str">
        <f>IF($A173&lt;&gt;"",MAESTRO!$D173,"")</f>
        <v/>
      </c>
      <c r="H173" t="str">
        <f>IF($A173&lt;&gt;"",IF(TRIM(MAESTRO!$G173&amp;" "&amp;MAESTRO!$H173&amp;" "&amp;MAESTRO!$I173)="",MAESTRO!$F173,TRIM(MAESTRO!$G173&amp;" "&amp;MAESTRO!$H173&amp;" "&amp;MAESTRO!$I173)),"")</f>
        <v/>
      </c>
      <c r="I173" t="str">
        <f>IF($A173&lt;&gt;"",MAESTRO!$K173,"")</f>
        <v/>
      </c>
      <c r="J173" t="str">
        <f>IF($A173&lt;&gt;"",173,"")</f>
        <v/>
      </c>
    </row>
    <row r="174" spans="1:10" x14ac:dyDescent="0.2">
      <c r="A174" t="str">
        <f>IF(AND(UPPER(MAESTRO!$M174)="VIP",UPPER(MAESTRO!$J174)="SI",MAESTRO!$F174&lt;&gt;""),MAESTRO!$P174,"")</f>
        <v/>
      </c>
      <c r="B174" t="str">
        <f>IF($A174&lt;&gt;"",MAESTRO!$B174,"")</f>
        <v/>
      </c>
      <c r="C174" t="str">
        <f>IF($A174&lt;&gt;"",MAESTRO!$A174,"")</f>
        <v/>
      </c>
      <c r="D174" t="str">
        <f>IF($A174&lt;&gt;"",MAESTRO!$C174,"")</f>
        <v/>
      </c>
      <c r="E174" t="str">
        <f>IF($A174&lt;&gt;"",MAESTRO!$M174,"")</f>
        <v/>
      </c>
      <c r="F174" t="str">
        <f>IF($A174&lt;&gt;"",MAESTRO!$J174,"")</f>
        <v/>
      </c>
      <c r="G174" t="str">
        <f>IF($A174&lt;&gt;"",MAESTRO!$D174,"")</f>
        <v/>
      </c>
      <c r="H174" t="str">
        <f>IF($A174&lt;&gt;"",IF(TRIM(MAESTRO!$G174&amp;" "&amp;MAESTRO!$H174&amp;" "&amp;MAESTRO!$I174)="",MAESTRO!$F174,TRIM(MAESTRO!$G174&amp;" "&amp;MAESTRO!$H174&amp;" "&amp;MAESTRO!$I174)),"")</f>
        <v/>
      </c>
      <c r="I174" t="str">
        <f>IF($A174&lt;&gt;"",MAESTRO!$K174,"")</f>
        <v/>
      </c>
      <c r="J174" t="str">
        <f>IF($A174&lt;&gt;"",174,"")</f>
        <v/>
      </c>
    </row>
    <row r="175" spans="1:10" x14ac:dyDescent="0.2">
      <c r="A175" t="str">
        <f>IF(AND(UPPER(MAESTRO!$M175)="VIP",UPPER(MAESTRO!$J175)="SI",MAESTRO!$F175&lt;&gt;""),MAESTRO!$P175,"")</f>
        <v/>
      </c>
      <c r="B175" t="str">
        <f>IF($A175&lt;&gt;"",MAESTRO!$B175,"")</f>
        <v/>
      </c>
      <c r="C175" t="str">
        <f>IF($A175&lt;&gt;"",MAESTRO!$A175,"")</f>
        <v/>
      </c>
      <c r="D175" t="str">
        <f>IF($A175&lt;&gt;"",MAESTRO!$C175,"")</f>
        <v/>
      </c>
      <c r="E175" t="str">
        <f>IF($A175&lt;&gt;"",MAESTRO!$M175,"")</f>
        <v/>
      </c>
      <c r="F175" t="str">
        <f>IF($A175&lt;&gt;"",MAESTRO!$J175,"")</f>
        <v/>
      </c>
      <c r="G175" t="str">
        <f>IF($A175&lt;&gt;"",MAESTRO!$D175,"")</f>
        <v/>
      </c>
      <c r="H175" t="str">
        <f>IF($A175&lt;&gt;"",IF(TRIM(MAESTRO!$G175&amp;" "&amp;MAESTRO!$H175&amp;" "&amp;MAESTRO!$I175)="",MAESTRO!$F175,TRIM(MAESTRO!$G175&amp;" "&amp;MAESTRO!$H175&amp;" "&amp;MAESTRO!$I175)),"")</f>
        <v/>
      </c>
      <c r="I175" t="str">
        <f>IF($A175&lt;&gt;"",MAESTRO!$K175,"")</f>
        <v/>
      </c>
      <c r="J175" t="str">
        <f>IF($A175&lt;&gt;"",175,"")</f>
        <v/>
      </c>
    </row>
    <row r="176" spans="1:10" x14ac:dyDescent="0.2">
      <c r="A176" t="str">
        <f>IF(AND(UPPER(MAESTRO!$M176)="VIP",UPPER(MAESTRO!$J176)="SI",MAESTRO!$F176&lt;&gt;""),MAESTRO!$P176,"")</f>
        <v/>
      </c>
      <c r="B176" t="str">
        <f>IF($A176&lt;&gt;"",MAESTRO!$B176,"")</f>
        <v/>
      </c>
      <c r="C176" t="str">
        <f>IF($A176&lt;&gt;"",MAESTRO!$A176,"")</f>
        <v/>
      </c>
      <c r="D176" t="str">
        <f>IF($A176&lt;&gt;"",MAESTRO!$C176,"")</f>
        <v/>
      </c>
      <c r="E176" t="str">
        <f>IF($A176&lt;&gt;"",MAESTRO!$M176,"")</f>
        <v/>
      </c>
      <c r="F176" t="str">
        <f>IF($A176&lt;&gt;"",MAESTRO!$J176,"")</f>
        <v/>
      </c>
      <c r="G176" t="str">
        <f>IF($A176&lt;&gt;"",MAESTRO!$D176,"")</f>
        <v/>
      </c>
      <c r="H176" t="str">
        <f>IF($A176&lt;&gt;"",IF(TRIM(MAESTRO!$G176&amp;" "&amp;MAESTRO!$H176&amp;" "&amp;MAESTRO!$I176)="",MAESTRO!$F176,TRIM(MAESTRO!$G176&amp;" "&amp;MAESTRO!$H176&amp;" "&amp;MAESTRO!$I176)),"")</f>
        <v/>
      </c>
      <c r="I176" t="str">
        <f>IF($A176&lt;&gt;"",MAESTRO!$K176,"")</f>
        <v/>
      </c>
      <c r="J176" t="str">
        <f>IF($A176&lt;&gt;"",176,"")</f>
        <v/>
      </c>
    </row>
    <row r="177" spans="1:10" x14ac:dyDescent="0.2">
      <c r="A177" t="str">
        <f>IF(AND(UPPER(MAESTRO!$M177)="VIP",UPPER(MAESTRO!$J177)="SI",MAESTRO!$F177&lt;&gt;""),MAESTRO!$P177,"")</f>
        <v/>
      </c>
      <c r="B177" t="str">
        <f>IF($A177&lt;&gt;"",MAESTRO!$B177,"")</f>
        <v/>
      </c>
      <c r="C177" t="str">
        <f>IF($A177&lt;&gt;"",MAESTRO!$A177,"")</f>
        <v/>
      </c>
      <c r="D177" t="str">
        <f>IF($A177&lt;&gt;"",MAESTRO!$C177,"")</f>
        <v/>
      </c>
      <c r="E177" t="str">
        <f>IF($A177&lt;&gt;"",MAESTRO!$M177,"")</f>
        <v/>
      </c>
      <c r="F177" t="str">
        <f>IF($A177&lt;&gt;"",MAESTRO!$J177,"")</f>
        <v/>
      </c>
      <c r="G177" t="str">
        <f>IF($A177&lt;&gt;"",MAESTRO!$D177,"")</f>
        <v/>
      </c>
      <c r="H177" t="str">
        <f>IF($A177&lt;&gt;"",IF(TRIM(MAESTRO!$G177&amp;" "&amp;MAESTRO!$H177&amp;" "&amp;MAESTRO!$I177)="",MAESTRO!$F177,TRIM(MAESTRO!$G177&amp;" "&amp;MAESTRO!$H177&amp;" "&amp;MAESTRO!$I177)),"")</f>
        <v/>
      </c>
      <c r="I177" t="str">
        <f>IF($A177&lt;&gt;"",MAESTRO!$K177,"")</f>
        <v/>
      </c>
      <c r="J177" t="str">
        <f>IF($A177&lt;&gt;"",177,"")</f>
        <v/>
      </c>
    </row>
    <row r="178" spans="1:10" x14ac:dyDescent="0.2">
      <c r="A178" t="str">
        <f>IF(AND(UPPER(MAESTRO!$M178)="VIP",UPPER(MAESTRO!$J178)="SI",MAESTRO!$F178&lt;&gt;""),MAESTRO!$P178,"")</f>
        <v/>
      </c>
      <c r="B178" t="str">
        <f>IF($A178&lt;&gt;"",MAESTRO!$B178,"")</f>
        <v/>
      </c>
      <c r="C178" t="str">
        <f>IF($A178&lt;&gt;"",MAESTRO!$A178,"")</f>
        <v/>
      </c>
      <c r="D178" t="str">
        <f>IF($A178&lt;&gt;"",MAESTRO!$C178,"")</f>
        <v/>
      </c>
      <c r="E178" t="str">
        <f>IF($A178&lt;&gt;"",MAESTRO!$M178,"")</f>
        <v/>
      </c>
      <c r="F178" t="str">
        <f>IF($A178&lt;&gt;"",MAESTRO!$J178,"")</f>
        <v/>
      </c>
      <c r="G178" t="str">
        <f>IF($A178&lt;&gt;"",MAESTRO!$D178,"")</f>
        <v/>
      </c>
      <c r="H178" t="str">
        <f>IF($A178&lt;&gt;"",IF(TRIM(MAESTRO!$G178&amp;" "&amp;MAESTRO!$H178&amp;" "&amp;MAESTRO!$I178)="",MAESTRO!$F178,TRIM(MAESTRO!$G178&amp;" "&amp;MAESTRO!$H178&amp;" "&amp;MAESTRO!$I178)),"")</f>
        <v/>
      </c>
      <c r="I178" t="str">
        <f>IF($A178&lt;&gt;"",MAESTRO!$K178,"")</f>
        <v/>
      </c>
      <c r="J178" t="str">
        <f>IF($A178&lt;&gt;"",178,"")</f>
        <v/>
      </c>
    </row>
    <row r="179" spans="1:10" x14ac:dyDescent="0.2">
      <c r="A179" t="str">
        <f>IF(AND(UPPER(MAESTRO!$M179)="VIP",UPPER(MAESTRO!$J179)="SI",MAESTRO!$F179&lt;&gt;""),MAESTRO!$P179,"")</f>
        <v>C30</v>
      </c>
      <c r="B179">
        <f>IF($A179&lt;&gt;"",MAESTRO!$B179,"")</f>
        <v>178</v>
      </c>
      <c r="C179">
        <f>IF($A179&lt;&gt;"",MAESTRO!$A179,"")</f>
        <v>178</v>
      </c>
      <c r="D179" t="str">
        <f>IF($A179&lt;&gt;"",MAESTRO!$C179,"")</f>
        <v>OPA/ASMAR</v>
      </c>
      <c r="E179" t="str">
        <f>IF($A179&lt;&gt;"",MAESTRO!$M179,"")</f>
        <v>VIP</v>
      </c>
      <c r="F179" t="str">
        <f>IF($A179&lt;&gt;"",MAESTRO!$J179,"")</f>
        <v>SI</v>
      </c>
      <c r="G179" t="str">
        <f>IF($A179&lt;&gt;"",MAESTRO!$D179,"")</f>
        <v>Capitán de Navío RL</v>
      </c>
      <c r="H179" t="str">
        <f>IF($A179&lt;&gt;"",IF(TRIM(MAESTRO!$G179&amp;" "&amp;MAESTRO!$H179&amp;" "&amp;MAESTRO!$I179)="",MAESTRO!$F179,TRIM(MAESTRO!$G179&amp;" "&amp;MAESTRO!$H179&amp;" "&amp;MAESTRO!$I179)),"")</f>
        <v>José Fernando Jarpa Parada</v>
      </c>
      <c r="I179" t="str">
        <f>IF($A179&lt;&gt;"",MAESTRO!$K179,"")</f>
        <v>Jefe del Servicio Religioso de la Armada</v>
      </c>
      <c r="J179">
        <f>IF($A179&lt;&gt;"",179,"")</f>
        <v>179</v>
      </c>
    </row>
    <row r="180" spans="1:10" x14ac:dyDescent="0.2">
      <c r="A180" t="str">
        <f>IF(AND(UPPER(MAESTRO!$M180)="VIP",UPPER(MAESTRO!$J180)="SI",MAESTRO!$F180&lt;&gt;""),MAESTRO!$P180,"")</f>
        <v>C15</v>
      </c>
      <c r="B180">
        <f>IF($A180&lt;&gt;"",MAESTRO!$B180,"")</f>
        <v>179</v>
      </c>
      <c r="C180">
        <f>IF($A180&lt;&gt;"",MAESTRO!$A180,"")</f>
        <v>179</v>
      </c>
      <c r="D180" t="str">
        <f>IF($A180&lt;&gt;"",MAESTRO!$C180,"")</f>
        <v>OPA/ASMAR</v>
      </c>
      <c r="E180" t="str">
        <f>IF($A180&lt;&gt;"",MAESTRO!$M180,"")</f>
        <v>VIP</v>
      </c>
      <c r="F180" t="str">
        <f>IF($A180&lt;&gt;"",MAESTRO!$J180,"")</f>
        <v>SI</v>
      </c>
      <c r="G180" t="str">
        <f>IF($A180&lt;&gt;"",MAESTRO!$D180,"")</f>
        <v>Capellán Evangélico</v>
      </c>
      <c r="H180" t="str">
        <f>IF($A180&lt;&gt;"",IF(TRIM(MAESTRO!$G180&amp;" "&amp;MAESTRO!$H180&amp;" "&amp;MAESTRO!$I180)="",MAESTRO!$F180,TRIM(MAESTRO!$G180&amp;" "&amp;MAESTRO!$H180&amp;" "&amp;MAESTRO!$I180)),"")</f>
        <v>Vladimir Recabarren Esparza</v>
      </c>
      <c r="I180" t="str">
        <f>IF($A180&lt;&gt;"",MAESTRO!$K180,"")</f>
        <v>Capellán Nacional Evangélico de la Armada</v>
      </c>
      <c r="J180">
        <f>IF($A180&lt;&gt;"",180,"")</f>
        <v>180</v>
      </c>
    </row>
    <row r="181" spans="1:10" x14ac:dyDescent="0.2">
      <c r="A181" t="str">
        <f>IF(AND(UPPER(MAESTRO!$M181)="VIP",UPPER(MAESTRO!$J181)="SI",MAESTRO!$F181&lt;&gt;""),MAESTRO!$P181,"")</f>
        <v/>
      </c>
      <c r="B181" t="str">
        <f>IF($A181&lt;&gt;"",MAESTRO!$B181,"")</f>
        <v/>
      </c>
      <c r="C181" t="str">
        <f>IF($A181&lt;&gt;"",MAESTRO!$A181,"")</f>
        <v/>
      </c>
      <c r="D181" t="str">
        <f>IF($A181&lt;&gt;"",MAESTRO!$C181,"")</f>
        <v/>
      </c>
      <c r="E181" t="str">
        <f>IF($A181&lt;&gt;"",MAESTRO!$M181,"")</f>
        <v/>
      </c>
      <c r="F181" t="str">
        <f>IF($A181&lt;&gt;"",MAESTRO!$J181,"")</f>
        <v/>
      </c>
      <c r="G181" t="str">
        <f>IF($A181&lt;&gt;"",MAESTRO!$D181,"")</f>
        <v/>
      </c>
      <c r="H181" t="str">
        <f>IF($A181&lt;&gt;"",IF(TRIM(MAESTRO!$G181&amp;" "&amp;MAESTRO!$H181&amp;" "&amp;MAESTRO!$I181)="",MAESTRO!$F181,TRIM(MAESTRO!$G181&amp;" "&amp;MAESTRO!$H181&amp;" "&amp;MAESTRO!$I181)),"")</f>
        <v/>
      </c>
      <c r="I181" t="str">
        <f>IF($A181&lt;&gt;"",MAESTRO!$K181,"")</f>
        <v/>
      </c>
      <c r="J181" t="str">
        <f>IF($A181&lt;&gt;"",181,"")</f>
        <v/>
      </c>
    </row>
    <row r="182" spans="1:10" x14ac:dyDescent="0.2">
      <c r="A182" t="str">
        <f>IF(AND(UPPER(MAESTRO!$M182)="VIP",UPPER(MAESTRO!$J182)="SI",MAESTRO!$F182&lt;&gt;""),MAESTRO!$P182,"")</f>
        <v/>
      </c>
      <c r="B182" t="str">
        <f>IF($A182&lt;&gt;"",MAESTRO!$B182,"")</f>
        <v/>
      </c>
      <c r="C182" t="str">
        <f>IF($A182&lt;&gt;"",MAESTRO!$A182,"")</f>
        <v/>
      </c>
      <c r="D182" t="str">
        <f>IF($A182&lt;&gt;"",MAESTRO!$C182,"")</f>
        <v/>
      </c>
      <c r="E182" t="str">
        <f>IF($A182&lt;&gt;"",MAESTRO!$M182,"")</f>
        <v/>
      </c>
      <c r="F182" t="str">
        <f>IF($A182&lt;&gt;"",MAESTRO!$J182,"")</f>
        <v/>
      </c>
      <c r="G182" t="str">
        <f>IF($A182&lt;&gt;"",MAESTRO!$D182,"")</f>
        <v/>
      </c>
      <c r="H182" t="str">
        <f>IF($A182&lt;&gt;"",IF(TRIM(MAESTRO!$G182&amp;" "&amp;MAESTRO!$H182&amp;" "&amp;MAESTRO!$I182)="",MAESTRO!$F182,TRIM(MAESTRO!$G182&amp;" "&amp;MAESTRO!$H182&amp;" "&amp;MAESTRO!$I182)),"")</f>
        <v/>
      </c>
      <c r="I182" t="str">
        <f>IF($A182&lt;&gt;"",MAESTRO!$K182,"")</f>
        <v/>
      </c>
      <c r="J182" t="str">
        <f>IF($A182&lt;&gt;"",182,"")</f>
        <v/>
      </c>
    </row>
    <row r="183" spans="1:10" x14ac:dyDescent="0.2">
      <c r="A183" t="str">
        <f>IF(AND(UPPER(MAESTRO!$M183)="VIP",UPPER(MAESTRO!$J183)="SI",MAESTRO!$F183&lt;&gt;""),MAESTRO!$P183,"")</f>
        <v>C14</v>
      </c>
      <c r="B183">
        <f>IF($A183&lt;&gt;"",MAESTRO!$B183,"")</f>
        <v>182</v>
      </c>
      <c r="C183">
        <f>IF($A183&lt;&gt;"",MAESTRO!$A183,"")</f>
        <v>182</v>
      </c>
      <c r="D183" t="str">
        <f>IF($A183&lt;&gt;"",MAESTRO!$C183,"")</f>
        <v>OPA/ASMAR</v>
      </c>
      <c r="E183" t="str">
        <f>IF($A183&lt;&gt;"",MAESTRO!$M183,"")</f>
        <v>VIP</v>
      </c>
      <c r="F183" t="str">
        <f>IF($A183&lt;&gt;"",MAESTRO!$J183,"")</f>
        <v>SI</v>
      </c>
      <c r="G183" t="str">
        <f>IF($A183&lt;&gt;"",MAESTRO!$D183,"")</f>
        <v>Seremi</v>
      </c>
      <c r="H183" t="str">
        <f>IF($A183&lt;&gt;"",IF(TRIM(MAESTRO!$G183&amp;" "&amp;MAESTRO!$H183&amp;" "&amp;MAESTRO!$I183)="",MAESTRO!$F183,TRIM(MAESTRO!$G183&amp;" "&amp;MAESTRO!$H183&amp;" "&amp;MAESTRO!$I183)),"")</f>
        <v>Pedro Ramirez Glade</v>
      </c>
      <c r="I183" t="str">
        <f>IF($A183&lt;&gt;"",MAESTRO!$K183,"")</f>
        <v>Seremi de Ciencia, Tecnologías, Conocimidento e Innovación</v>
      </c>
      <c r="J183">
        <f>IF($A183&lt;&gt;"",183,"")</f>
        <v>183</v>
      </c>
    </row>
    <row r="184" spans="1:10" x14ac:dyDescent="0.2">
      <c r="A184" t="str">
        <f>IF(AND(UPPER(MAESTRO!$M184)="VIP",UPPER(MAESTRO!$J184)="SI",MAESTRO!$F184&lt;&gt;""),MAESTRO!$P184,"")</f>
        <v/>
      </c>
      <c r="B184" t="str">
        <f>IF($A184&lt;&gt;"",MAESTRO!$B184,"")</f>
        <v/>
      </c>
      <c r="C184" t="str">
        <f>IF($A184&lt;&gt;"",MAESTRO!$A184,"")</f>
        <v/>
      </c>
      <c r="D184" t="str">
        <f>IF($A184&lt;&gt;"",MAESTRO!$C184,"")</f>
        <v/>
      </c>
      <c r="E184" t="str">
        <f>IF($A184&lt;&gt;"",MAESTRO!$M184,"")</f>
        <v/>
      </c>
      <c r="F184" t="str">
        <f>IF($A184&lt;&gt;"",MAESTRO!$J184,"")</f>
        <v/>
      </c>
      <c r="G184" t="str">
        <f>IF($A184&lt;&gt;"",MAESTRO!$D184,"")</f>
        <v/>
      </c>
      <c r="H184" t="str">
        <f>IF($A184&lt;&gt;"",IF(TRIM(MAESTRO!$G184&amp;" "&amp;MAESTRO!$H184&amp;" "&amp;MAESTRO!$I184)="",MAESTRO!$F184,TRIM(MAESTRO!$G184&amp;" "&amp;MAESTRO!$H184&amp;" "&amp;MAESTRO!$I184)),"")</f>
        <v/>
      </c>
      <c r="I184" t="str">
        <f>IF($A184&lt;&gt;"",MAESTRO!$K184,"")</f>
        <v/>
      </c>
      <c r="J184" t="str">
        <f>IF($A184&lt;&gt;"",184,"")</f>
        <v/>
      </c>
    </row>
    <row r="185" spans="1:10" x14ac:dyDescent="0.2">
      <c r="A185" t="str">
        <f>IF(AND(UPPER(MAESTRO!$M185)="VIP",UPPER(MAESTRO!$J185)="SI",MAESTRO!$F185&lt;&gt;""),MAESTRO!$P185,"")</f>
        <v>C32</v>
      </c>
      <c r="B185">
        <f>IF($A185&lt;&gt;"",MAESTRO!$B185,"")</f>
        <v>184</v>
      </c>
      <c r="C185">
        <f>IF($A185&lt;&gt;"",MAESTRO!$A185,"")</f>
        <v>184</v>
      </c>
      <c r="D185" t="str">
        <f>IF($A185&lt;&gt;"",MAESTRO!$C185,"")</f>
        <v>OPA/ASMAR</v>
      </c>
      <c r="E185" t="str">
        <f>IF($A185&lt;&gt;"",MAESTRO!$M185,"")</f>
        <v>VIP</v>
      </c>
      <c r="F185" t="str">
        <f>IF($A185&lt;&gt;"",MAESTRO!$J185,"")</f>
        <v>SI</v>
      </c>
      <c r="G185" t="str">
        <f>IF($A185&lt;&gt;"",MAESTRO!$D185,"")</f>
        <v>Seremi</v>
      </c>
      <c r="H185" t="str">
        <f>IF($A185&lt;&gt;"",IF(TRIM(MAESTRO!$G185&amp;" "&amp;MAESTRO!$H185&amp;" "&amp;MAESTRO!$I185)="",MAESTRO!$F185,TRIM(MAESTRO!$G185&amp;" "&amp;MAESTRO!$H185&amp;" "&amp;MAESTRO!$I185)),"")</f>
        <v>Ronald Ruf Wilkomirsky</v>
      </c>
      <c r="I185" t="str">
        <f>IF($A185&lt;&gt;"",MAESTRO!$K185,"")</f>
        <v>Seremi de Hacienda</v>
      </c>
      <c r="J185">
        <f>IF($A185&lt;&gt;"",185,"")</f>
        <v>185</v>
      </c>
    </row>
    <row r="186" spans="1:10" x14ac:dyDescent="0.2">
      <c r="A186" t="str">
        <f>IF(AND(UPPER(MAESTRO!$M186)="VIP",UPPER(MAESTRO!$J186)="SI",MAESTRO!$F186&lt;&gt;""),MAESTRO!$P186,"")</f>
        <v/>
      </c>
      <c r="B186" t="str">
        <f>IF($A186&lt;&gt;"",MAESTRO!$B186,"")</f>
        <v/>
      </c>
      <c r="C186" t="str">
        <f>IF($A186&lt;&gt;"",MAESTRO!$A186,"")</f>
        <v/>
      </c>
      <c r="D186" t="str">
        <f>IF($A186&lt;&gt;"",MAESTRO!$C186,"")</f>
        <v/>
      </c>
      <c r="E186" t="str">
        <f>IF($A186&lt;&gt;"",MAESTRO!$M186,"")</f>
        <v/>
      </c>
      <c r="F186" t="str">
        <f>IF($A186&lt;&gt;"",MAESTRO!$J186,"")</f>
        <v/>
      </c>
      <c r="G186" t="str">
        <f>IF($A186&lt;&gt;"",MAESTRO!$D186,"")</f>
        <v/>
      </c>
      <c r="H186" t="str">
        <f>IF($A186&lt;&gt;"",IF(TRIM(MAESTRO!$G186&amp;" "&amp;MAESTRO!$H186&amp;" "&amp;MAESTRO!$I186)="",MAESTRO!$F186,TRIM(MAESTRO!$G186&amp;" "&amp;MAESTRO!$H186&amp;" "&amp;MAESTRO!$I186)),"")</f>
        <v/>
      </c>
      <c r="I186" t="str">
        <f>IF($A186&lt;&gt;"",MAESTRO!$K186,"")</f>
        <v/>
      </c>
      <c r="J186" t="str">
        <f>IF($A186&lt;&gt;"",186,"")</f>
        <v/>
      </c>
    </row>
    <row r="187" spans="1:10" x14ac:dyDescent="0.2">
      <c r="A187" t="str">
        <f>IF(AND(UPPER(MAESTRO!$M187)="VIP",UPPER(MAESTRO!$J187)="SI",MAESTRO!$F187&lt;&gt;""),MAESTRO!$P187,"")</f>
        <v>C33</v>
      </c>
      <c r="B187">
        <f>IF($A187&lt;&gt;"",MAESTRO!$B187,"")</f>
        <v>186</v>
      </c>
      <c r="C187">
        <f>IF($A187&lt;&gt;"",MAESTRO!$A187,"")</f>
        <v>186</v>
      </c>
      <c r="D187" t="str">
        <f>IF($A187&lt;&gt;"",MAESTRO!$C187,"")</f>
        <v>OPA/ASMAR</v>
      </c>
      <c r="E187" t="str">
        <f>IF($A187&lt;&gt;"",MAESTRO!$M187,"")</f>
        <v>VIP</v>
      </c>
      <c r="F187" t="str">
        <f>IF($A187&lt;&gt;"",MAESTRO!$J187,"")</f>
        <v>SI</v>
      </c>
      <c r="G187" t="str">
        <f>IF($A187&lt;&gt;"",MAESTRO!$D187,"")</f>
        <v>Finanzas</v>
      </c>
      <c r="H187" t="str">
        <f>IF($A187&lt;&gt;"",IF(TRIM(MAESTRO!$G187&amp;" "&amp;MAESTRO!$H187&amp;" "&amp;MAESTRO!$I187)="",MAESTRO!$F187,TRIM(MAESTRO!$G187&amp;" "&amp;MAESTRO!$H187&amp;" "&amp;MAESTRO!$I187)),"")</f>
        <v>Katherine Ampuero Martínez</v>
      </c>
      <c r="I187" t="str">
        <f>IF($A187&lt;&gt;"",MAESTRO!$K187,"")</f>
        <v>Directora Regional Aduana de Talcahuano</v>
      </c>
      <c r="J187">
        <f>IF($A187&lt;&gt;"",187,"")</f>
        <v>187</v>
      </c>
    </row>
    <row r="188" spans="1:10" x14ac:dyDescent="0.2">
      <c r="A188" t="str">
        <f>IF(AND(UPPER(MAESTRO!$M188)="VIP",UPPER(MAESTRO!$J188)="SI",MAESTRO!$F188&lt;&gt;""),MAESTRO!$P188,"")</f>
        <v>C12</v>
      </c>
      <c r="B188">
        <f>IF($A188&lt;&gt;"",MAESTRO!$B188,"")</f>
        <v>187</v>
      </c>
      <c r="C188">
        <f>IF($A188&lt;&gt;"",MAESTRO!$A188,"")</f>
        <v>187</v>
      </c>
      <c r="D188" t="str">
        <f>IF($A188&lt;&gt;"",MAESTRO!$C188,"")</f>
        <v>OPA/ASMAR</v>
      </c>
      <c r="E188" t="str">
        <f>IF($A188&lt;&gt;"",MAESTRO!$M188,"")</f>
        <v>VIP</v>
      </c>
      <c r="F188" t="str">
        <f>IF($A188&lt;&gt;"",MAESTRO!$J188,"")</f>
        <v>SI</v>
      </c>
      <c r="G188" t="str">
        <f>IF($A188&lt;&gt;"",MAESTRO!$D188,"")</f>
        <v>Rector</v>
      </c>
      <c r="H188" t="str">
        <f>IF($A188&lt;&gt;"",IF(TRIM(MAESTRO!$G188&amp;" "&amp;MAESTRO!$H188&amp;" "&amp;MAESTRO!$I188)="",MAESTRO!$F188,TRIM(MAESTRO!$G188&amp;" "&amp;MAESTRO!$H188&amp;" "&amp;MAESTRO!$I188)),"")</f>
        <v>Henry Cleveland Cartes</v>
      </c>
      <c r="I188" t="str">
        <f>IF($A188&lt;&gt;"",MAESTRO!$K188,"")</f>
        <v>Director Ejecutivo ENAER</v>
      </c>
      <c r="J188">
        <f>IF($A188&lt;&gt;"",188,"")</f>
        <v>188</v>
      </c>
    </row>
    <row r="189" spans="1:10" x14ac:dyDescent="0.2">
      <c r="A189" t="str">
        <f>IF(AND(UPPER(MAESTRO!$M189)="VIP",UPPER(MAESTRO!$J189)="SI",MAESTRO!$F189&lt;&gt;""),MAESTRO!$P189,"")</f>
        <v/>
      </c>
      <c r="B189" t="str">
        <f>IF($A189&lt;&gt;"",MAESTRO!$B189,"")</f>
        <v/>
      </c>
      <c r="C189" t="str">
        <f>IF($A189&lt;&gt;"",MAESTRO!$A189,"")</f>
        <v/>
      </c>
      <c r="D189" t="str">
        <f>IF($A189&lt;&gt;"",MAESTRO!$C189,"")</f>
        <v/>
      </c>
      <c r="E189" t="str">
        <f>IF($A189&lt;&gt;"",MAESTRO!$M189,"")</f>
        <v/>
      </c>
      <c r="F189" t="str">
        <f>IF($A189&lt;&gt;"",MAESTRO!$J189,"")</f>
        <v/>
      </c>
      <c r="G189" t="str">
        <f>IF($A189&lt;&gt;"",MAESTRO!$D189,"")</f>
        <v/>
      </c>
      <c r="H189" t="str">
        <f>IF($A189&lt;&gt;"",IF(TRIM(MAESTRO!$G189&amp;" "&amp;MAESTRO!$H189&amp;" "&amp;MAESTRO!$I189)="",MAESTRO!$F189,TRIM(MAESTRO!$G189&amp;" "&amp;MAESTRO!$H189&amp;" "&amp;MAESTRO!$I189)),"")</f>
        <v/>
      </c>
      <c r="I189" t="str">
        <f>IF($A189&lt;&gt;"",MAESTRO!$K189,"")</f>
        <v/>
      </c>
      <c r="J189" t="str">
        <f>IF($A189&lt;&gt;"",189,"")</f>
        <v/>
      </c>
    </row>
    <row r="190" spans="1:10" x14ac:dyDescent="0.2">
      <c r="A190" t="str">
        <f>IF(AND(UPPER(MAESTRO!$M190)="VIP",UPPER(MAESTRO!$J190)="SI",MAESTRO!$F190&lt;&gt;""),MAESTRO!$P190,"")</f>
        <v>C11</v>
      </c>
      <c r="B190">
        <f>IF($A190&lt;&gt;"",MAESTRO!$B190,"")</f>
        <v>189</v>
      </c>
      <c r="C190">
        <f>IF($A190&lt;&gt;"",MAESTRO!$A190,"")</f>
        <v>189</v>
      </c>
      <c r="D190" t="str">
        <f>IF($A190&lt;&gt;"",MAESTRO!$C190,"")</f>
        <v>OPA/DGSA</v>
      </c>
      <c r="E190" t="str">
        <f>IF($A190&lt;&gt;"",MAESTRO!$M190,"")</f>
        <v>VIP</v>
      </c>
      <c r="F190" t="str">
        <f>IF($A190&lt;&gt;"",MAESTRO!$J190,"")</f>
        <v>SI</v>
      </c>
      <c r="G190" t="str">
        <f>IF($A190&lt;&gt;"",MAESTRO!$D190,"")</f>
        <v>Vicealmirante</v>
      </c>
      <c r="H190" t="str">
        <f>IF($A190&lt;&gt;"",IF(TRIM(MAESTRO!$G190&amp;" "&amp;MAESTRO!$H190&amp;" "&amp;MAESTRO!$I190)="",MAESTRO!$F190,TRIM(MAESTRO!$G190&amp;" "&amp;MAESTRO!$H190&amp;" "&amp;MAESTRO!$I190)),"")</f>
        <v>Jorge Pires</v>
      </c>
      <c r="I190" t="str">
        <f>IF($A190&lt;&gt;"",MAESTRO!$K190,"")</f>
        <v>Superintendente del Material Armada de Portugal</v>
      </c>
      <c r="J190">
        <f>IF($A190&lt;&gt;"",190,"")</f>
        <v>190</v>
      </c>
    </row>
    <row r="191" spans="1:10" x14ac:dyDescent="0.2">
      <c r="A191" t="str">
        <f>IF(AND(UPPER(MAESTRO!$M191)="VIP",UPPER(MAESTRO!$J191)="SI",MAESTRO!$F191&lt;&gt;""),MAESTRO!$P191,"")</f>
        <v>C35</v>
      </c>
      <c r="B191">
        <f>IF($A191&lt;&gt;"",MAESTRO!$B191,"")</f>
        <v>190</v>
      </c>
      <c r="C191">
        <f>IF($A191&lt;&gt;"",MAESTRO!$A191,"")</f>
        <v>190</v>
      </c>
      <c r="D191" t="str">
        <f>IF($A191&lt;&gt;"",MAESTRO!$C191,"")</f>
        <v>OPA/DGSA</v>
      </c>
      <c r="E191" t="str">
        <f>IF($A191&lt;&gt;"",MAESTRO!$M191,"")</f>
        <v>VIP</v>
      </c>
      <c r="F191" t="str">
        <f>IF($A191&lt;&gt;"",MAESTRO!$J191,"")</f>
        <v>SI</v>
      </c>
      <c r="G191" t="str">
        <f>IF($A191&lt;&gt;"",MAESTRO!$D191,"")</f>
        <v>Contraalmirante</v>
      </c>
      <c r="H191" t="str">
        <f>IF($A191&lt;&gt;"",IF(TRIM(MAESTRO!$G191&amp;" "&amp;MAESTRO!$H191&amp;" "&amp;MAESTRO!$I191)="",MAESTRO!$F191,TRIM(MAESTRO!$G191&amp;" "&amp;MAESTRO!$H191&amp;" "&amp;MAESTRO!$I191)),"")</f>
        <v>Joao Costa</v>
      </c>
      <c r="I191" t="str">
        <f>IF($A191&lt;&gt;"",MAESTRO!$K191,"")</f>
        <v>Director de los Navios Armada de Portugal</v>
      </c>
      <c r="J191">
        <f>IF($A191&lt;&gt;"",191,"")</f>
        <v>191</v>
      </c>
    </row>
    <row r="192" spans="1:10" x14ac:dyDescent="0.2">
      <c r="A192" t="str">
        <f>IF(AND(UPPER(MAESTRO!$M192)="VIP",UPPER(MAESTRO!$J192)="SI",MAESTRO!$F192&lt;&gt;""),MAESTRO!$P192,"")</f>
        <v/>
      </c>
      <c r="B192" t="str">
        <f>IF($A192&lt;&gt;"",MAESTRO!$B192,"")</f>
        <v/>
      </c>
      <c r="C192" t="str">
        <f>IF($A192&lt;&gt;"",MAESTRO!$A192,"")</f>
        <v/>
      </c>
      <c r="D192" t="str">
        <f>IF($A192&lt;&gt;"",MAESTRO!$C192,"")</f>
        <v/>
      </c>
      <c r="E192" t="str">
        <f>IF($A192&lt;&gt;"",MAESTRO!$M192,"")</f>
        <v/>
      </c>
      <c r="F192" t="str">
        <f>IF($A192&lt;&gt;"",MAESTRO!$J192,"")</f>
        <v/>
      </c>
      <c r="G192" t="str">
        <f>IF($A192&lt;&gt;"",MAESTRO!$D192,"")</f>
        <v/>
      </c>
      <c r="H192" t="str">
        <f>IF($A192&lt;&gt;"",IF(TRIM(MAESTRO!$G192&amp;" "&amp;MAESTRO!$H192&amp;" "&amp;MAESTRO!$I192)="",MAESTRO!$F192,TRIM(MAESTRO!$G192&amp;" "&amp;MAESTRO!$H192&amp;" "&amp;MAESTRO!$I192)),"")</f>
        <v/>
      </c>
      <c r="I192" t="str">
        <f>IF($A192&lt;&gt;"",MAESTRO!$K192,"")</f>
        <v/>
      </c>
      <c r="J192" t="str">
        <f>IF($A192&lt;&gt;"",192,"")</f>
        <v/>
      </c>
    </row>
    <row r="193" spans="1:10" x14ac:dyDescent="0.2">
      <c r="A193" t="str">
        <f>IF(AND(UPPER(MAESTRO!$M193)="VIP",UPPER(MAESTRO!$J193)="SI",MAESTRO!$F193&lt;&gt;""),MAESTRO!$P193,"")</f>
        <v>C36</v>
      </c>
      <c r="B193">
        <f>IF($A193&lt;&gt;"",MAESTRO!$B193,"")</f>
        <v>192</v>
      </c>
      <c r="C193">
        <f>IF($A193&lt;&gt;"",MAESTRO!$A193,"")</f>
        <v>192</v>
      </c>
      <c r="D193" t="str">
        <f>IF($A193&lt;&gt;"",MAESTRO!$C193,"")</f>
        <v>OPA/DGSA</v>
      </c>
      <c r="E193" t="str">
        <f>IF($A193&lt;&gt;"",MAESTRO!$M193,"")</f>
        <v>VIP</v>
      </c>
      <c r="F193" t="str">
        <f>IF($A193&lt;&gt;"",MAESTRO!$J193,"")</f>
        <v>SI</v>
      </c>
      <c r="G193" t="str">
        <f>IF($A193&lt;&gt;"",MAESTRO!$D193,"")</f>
        <v>Rector</v>
      </c>
      <c r="H193" t="str">
        <f>IF($A193&lt;&gt;"",IF(TRIM(MAESTRO!$G193&amp;" "&amp;MAESTRO!$H193&amp;" "&amp;MAESTRO!$I193)="",MAESTRO!$F193,TRIM(MAESTRO!$G193&amp;" "&amp;MAESTRO!$H193&amp;" "&amp;MAESTRO!$I193)),"")</f>
        <v>Gino Casassa Rogazinski</v>
      </c>
      <c r="I193" t="str">
        <f>IF($A193&lt;&gt;"",MAESTRO!$K193,"")</f>
        <v>Director del INACH</v>
      </c>
      <c r="J193">
        <f>IF($A193&lt;&gt;"",193,"")</f>
        <v>193</v>
      </c>
    </row>
    <row r="194" spans="1:10" x14ac:dyDescent="0.2">
      <c r="A194" t="str">
        <f>IF(AND(UPPER(MAESTRO!$M194)="VIP",UPPER(MAESTRO!$J194)="SI",MAESTRO!$F194&lt;&gt;""),MAESTRO!$P194,"")</f>
        <v/>
      </c>
      <c r="B194" t="str">
        <f>IF($A194&lt;&gt;"",MAESTRO!$B194,"")</f>
        <v/>
      </c>
      <c r="C194" t="str">
        <f>IF($A194&lt;&gt;"",MAESTRO!$A194,"")</f>
        <v/>
      </c>
      <c r="D194" t="str">
        <f>IF($A194&lt;&gt;"",MAESTRO!$C194,"")</f>
        <v/>
      </c>
      <c r="E194" t="str">
        <f>IF($A194&lt;&gt;"",MAESTRO!$M194,"")</f>
        <v/>
      </c>
      <c r="F194" t="str">
        <f>IF($A194&lt;&gt;"",MAESTRO!$J194,"")</f>
        <v/>
      </c>
      <c r="G194" t="str">
        <f>IF($A194&lt;&gt;"",MAESTRO!$D194,"")</f>
        <v/>
      </c>
      <c r="H194" t="str">
        <f>IF($A194&lt;&gt;"",IF(TRIM(MAESTRO!$G194&amp;" "&amp;MAESTRO!$H194&amp;" "&amp;MAESTRO!$I194)="",MAESTRO!$F194,TRIM(MAESTRO!$G194&amp;" "&amp;MAESTRO!$H194&amp;" "&amp;MAESTRO!$I194)),"")</f>
        <v/>
      </c>
      <c r="I194" t="str">
        <f>IF($A194&lt;&gt;"",MAESTRO!$K194,"")</f>
        <v/>
      </c>
      <c r="J194" t="str">
        <f>IF($A194&lt;&gt;"",194,"")</f>
        <v/>
      </c>
    </row>
    <row r="195" spans="1:10" x14ac:dyDescent="0.2">
      <c r="A195" t="str">
        <f>IF(AND(UPPER(MAESTRO!$M195)="VIP",UPPER(MAESTRO!$J195)="SI",MAESTRO!$F195&lt;&gt;""),MAESTRO!$P195,"")</f>
        <v/>
      </c>
      <c r="B195" t="str">
        <f>IF($A195&lt;&gt;"",MAESTRO!$B195,"")</f>
        <v/>
      </c>
      <c r="C195" t="str">
        <f>IF($A195&lt;&gt;"",MAESTRO!$A195,"")</f>
        <v/>
      </c>
      <c r="D195" t="str">
        <f>IF($A195&lt;&gt;"",MAESTRO!$C195,"")</f>
        <v/>
      </c>
      <c r="E195" t="str">
        <f>IF($A195&lt;&gt;"",MAESTRO!$M195,"")</f>
        <v/>
      </c>
      <c r="F195" t="str">
        <f>IF($A195&lt;&gt;"",MAESTRO!$J195,"")</f>
        <v/>
      </c>
      <c r="G195" t="str">
        <f>IF($A195&lt;&gt;"",MAESTRO!$D195,"")</f>
        <v/>
      </c>
      <c r="H195" t="str">
        <f>IF($A195&lt;&gt;"",IF(TRIM(MAESTRO!$G195&amp;" "&amp;MAESTRO!$H195&amp;" "&amp;MAESTRO!$I195)="",MAESTRO!$F195,TRIM(MAESTRO!$G195&amp;" "&amp;MAESTRO!$H195&amp;" "&amp;MAESTRO!$I195)),"")</f>
        <v/>
      </c>
      <c r="I195" t="str">
        <f>IF($A195&lt;&gt;"",MAESTRO!$K195,"")</f>
        <v/>
      </c>
      <c r="J195" t="str">
        <f>IF($A195&lt;&gt;"",195,"")</f>
        <v/>
      </c>
    </row>
    <row r="196" spans="1:10" x14ac:dyDescent="0.2">
      <c r="A196" t="str">
        <f>IF(AND(UPPER(MAESTRO!$M196)="VIP",UPPER(MAESTRO!$J196)="SI",MAESTRO!$F196&lt;&gt;""),MAESTRO!$P196,"")</f>
        <v/>
      </c>
      <c r="B196" t="str">
        <f>IF($A196&lt;&gt;"",MAESTRO!$B196,"")</f>
        <v/>
      </c>
      <c r="C196" t="str">
        <f>IF($A196&lt;&gt;"",MAESTRO!$A196,"")</f>
        <v/>
      </c>
      <c r="D196" t="str">
        <f>IF($A196&lt;&gt;"",MAESTRO!$C196,"")</f>
        <v/>
      </c>
      <c r="E196" t="str">
        <f>IF($A196&lt;&gt;"",MAESTRO!$M196,"")</f>
        <v/>
      </c>
      <c r="F196" t="str">
        <f>IF($A196&lt;&gt;"",MAESTRO!$J196,"")</f>
        <v/>
      </c>
      <c r="G196" t="str">
        <f>IF($A196&lt;&gt;"",MAESTRO!$D196,"")</f>
        <v/>
      </c>
      <c r="H196" t="str">
        <f>IF($A196&lt;&gt;"",IF(TRIM(MAESTRO!$G196&amp;" "&amp;MAESTRO!$H196&amp;" "&amp;MAESTRO!$I196)="",MAESTRO!$F196,TRIM(MAESTRO!$G196&amp;" "&amp;MAESTRO!$H196&amp;" "&amp;MAESTRO!$I196)),"")</f>
        <v/>
      </c>
      <c r="I196" t="str">
        <f>IF($A196&lt;&gt;"",MAESTRO!$K196,"")</f>
        <v/>
      </c>
      <c r="J196" t="str">
        <f>IF($A196&lt;&gt;"",196,"")</f>
        <v/>
      </c>
    </row>
    <row r="197" spans="1:10" x14ac:dyDescent="0.2">
      <c r="A197" t="str">
        <f>IF(AND(UPPER(MAESTRO!$M197)="VIP",UPPER(MAESTRO!$J197)="SI",MAESTRO!$F197&lt;&gt;""),MAESTRO!$P197,"")</f>
        <v/>
      </c>
      <c r="B197" t="str">
        <f>IF($A197&lt;&gt;"",MAESTRO!$B197,"")</f>
        <v/>
      </c>
      <c r="C197" t="str">
        <f>IF($A197&lt;&gt;"",MAESTRO!$A197,"")</f>
        <v/>
      </c>
      <c r="D197" t="str">
        <f>IF($A197&lt;&gt;"",MAESTRO!$C197,"")</f>
        <v/>
      </c>
      <c r="E197" t="str">
        <f>IF($A197&lt;&gt;"",MAESTRO!$M197,"")</f>
        <v/>
      </c>
      <c r="F197" t="str">
        <f>IF($A197&lt;&gt;"",MAESTRO!$J197,"")</f>
        <v/>
      </c>
      <c r="G197" t="str">
        <f>IF($A197&lt;&gt;"",MAESTRO!$D197,"")</f>
        <v/>
      </c>
      <c r="H197" t="str">
        <f>IF($A197&lt;&gt;"",IF(TRIM(MAESTRO!$G197&amp;" "&amp;MAESTRO!$H197&amp;" "&amp;MAESTRO!$I197)="",MAESTRO!$F197,TRIM(MAESTRO!$G197&amp;" "&amp;MAESTRO!$H197&amp;" "&amp;MAESTRO!$I197)),"")</f>
        <v/>
      </c>
      <c r="I197" t="str">
        <f>IF($A197&lt;&gt;"",MAESTRO!$K197,"")</f>
        <v/>
      </c>
      <c r="J197" t="str">
        <f>IF($A197&lt;&gt;"",197,"")</f>
        <v/>
      </c>
    </row>
    <row r="198" spans="1:10" x14ac:dyDescent="0.2">
      <c r="A198" t="str">
        <f>IF(AND(UPPER(MAESTRO!$M198)="VIP",UPPER(MAESTRO!$J198)="SI",MAESTRO!$F198&lt;&gt;""),MAESTRO!$P198,"")</f>
        <v>C8</v>
      </c>
      <c r="B198">
        <f>IF($A198&lt;&gt;"",MAESTRO!$B198,"")</f>
        <v>197</v>
      </c>
      <c r="C198">
        <f>IF($A198&lt;&gt;"",MAESTRO!$A198,"")</f>
        <v>197</v>
      </c>
      <c r="D198" t="str">
        <f>IF($A198&lt;&gt;"",MAESTRO!$C198,"")</f>
        <v>OPA/CIVILES</v>
      </c>
      <c r="E198" t="str">
        <f>IF($A198&lt;&gt;"",MAESTRO!$M198,"")</f>
        <v>VIP</v>
      </c>
      <c r="F198" t="str">
        <f>IF($A198&lt;&gt;"",MAESTRO!$J198,"")</f>
        <v>SI</v>
      </c>
      <c r="G198" t="str">
        <f>IF($A198&lt;&gt;"",MAESTRO!$D198,"")</f>
        <v>Alcalde</v>
      </c>
      <c r="H198" t="str">
        <f>IF($A198&lt;&gt;"",IF(TRIM(MAESTRO!$G198&amp;" "&amp;MAESTRO!$H198&amp;" "&amp;MAESTRO!$I198)="",MAESTRO!$F198,TRIM(MAESTRO!$G198&amp;" "&amp;MAESTRO!$H198&amp;" "&amp;MAESTRO!$I198)),"")</f>
        <v>Miguel Rivera Morales</v>
      </c>
      <c r="I198" t="str">
        <f>IF($A198&lt;&gt;"",MAESTRO!$K198,"")</f>
        <v>Alcalde Ilustre Municipalidad de Hualpén</v>
      </c>
      <c r="J198">
        <f>IF($A198&lt;&gt;"",198,"")</f>
        <v>198</v>
      </c>
    </row>
    <row r="199" spans="1:10" x14ac:dyDescent="0.2">
      <c r="A199" t="str">
        <f>IF(AND(UPPER(MAESTRO!$M199)="VIP",UPPER(MAESTRO!$J199)="SI",MAESTRO!$F199&lt;&gt;""),MAESTRO!$P199,"")</f>
        <v>C38</v>
      </c>
      <c r="B199">
        <f>IF($A199&lt;&gt;"",MAESTRO!$B199,"")</f>
        <v>198</v>
      </c>
      <c r="C199">
        <f>IF($A199&lt;&gt;"",MAESTRO!$A199,"")</f>
        <v>198</v>
      </c>
      <c r="D199" t="str">
        <f>IF($A199&lt;&gt;"",MAESTRO!$C199,"")</f>
        <v>OPA/CIVILES</v>
      </c>
      <c r="E199" t="str">
        <f>IF($A199&lt;&gt;"",MAESTRO!$M199,"")</f>
        <v>VIP</v>
      </c>
      <c r="F199" t="str">
        <f>IF($A199&lt;&gt;"",MAESTRO!$J199,"")</f>
        <v>SI</v>
      </c>
      <c r="G199" t="str">
        <f>IF($A199&lt;&gt;"",MAESTRO!$D199,"")</f>
        <v>Alcalde</v>
      </c>
      <c r="H199" t="str">
        <f>IF($A199&lt;&gt;"",IF(TRIM(MAESTRO!$G199&amp;" "&amp;MAESTRO!$H199&amp;" "&amp;MAESTRO!$I199)="",MAESTRO!$F199,TRIM(MAESTRO!$G199&amp;" "&amp;MAESTRO!$H199&amp;" "&amp;MAESTRO!$I199)),"")</f>
        <v>Eduardo Saavedra Bustos</v>
      </c>
      <c r="I199" t="str">
        <f>IF($A199&lt;&gt;"",MAESTRO!$K199,"")</f>
        <v>Alcalde Ilustre Municipalidad de Talcahuano</v>
      </c>
      <c r="J199">
        <f>IF($A199&lt;&gt;"",199,"")</f>
        <v>199</v>
      </c>
    </row>
    <row r="200" spans="1:10" x14ac:dyDescent="0.2">
      <c r="A200" t="str">
        <f>IF(AND(UPPER(MAESTRO!$M200)="VIP",UPPER(MAESTRO!$J200)="SI",MAESTRO!$F200&lt;&gt;""),MAESTRO!$P200,"")</f>
        <v>C7</v>
      </c>
      <c r="B200">
        <f>IF($A200&lt;&gt;"",MAESTRO!$B200,"")</f>
        <v>199</v>
      </c>
      <c r="C200">
        <f>IF($A200&lt;&gt;"",MAESTRO!$A200,"")</f>
        <v>199</v>
      </c>
      <c r="D200" t="str">
        <f>IF($A200&lt;&gt;"",MAESTRO!$C200,"")</f>
        <v>OPA/CIVILES</v>
      </c>
      <c r="E200" t="str">
        <f>IF($A200&lt;&gt;"",MAESTRO!$M200,"")</f>
        <v>VIP</v>
      </c>
      <c r="F200" t="str">
        <f>IF($A200&lt;&gt;"",MAESTRO!$J200,"")</f>
        <v>SI</v>
      </c>
      <c r="G200" t="str">
        <f>IF($A200&lt;&gt;"",MAESTRO!$D200,"")</f>
        <v>Alcalde</v>
      </c>
      <c r="H200" t="str">
        <f>IF($A200&lt;&gt;"",IF(TRIM(MAESTRO!$G200&amp;" "&amp;MAESTRO!$H200&amp;" "&amp;MAESTRO!$I200)="",MAESTRO!$F200,TRIM(MAESTRO!$G200&amp;" "&amp;MAESTRO!$H200&amp;" "&amp;MAESTRO!$I200)),"")</f>
        <v>Carla Amtmann Fecci</v>
      </c>
      <c r="I200" t="str">
        <f>IF($A200&lt;&gt;"",MAESTRO!$K200,"")</f>
        <v>Alcaldesa de Valdivia</v>
      </c>
      <c r="J200">
        <f>IF($A200&lt;&gt;"",200,"")</f>
        <v>200</v>
      </c>
    </row>
    <row r="201" spans="1:10" x14ac:dyDescent="0.2">
      <c r="A201" t="str">
        <f>IF(AND(UPPER(MAESTRO!$M201)="VIP",UPPER(MAESTRO!$J201)="SI",MAESTRO!$F201&lt;&gt;""),MAESTRO!$P201,"")</f>
        <v/>
      </c>
      <c r="B201" t="str">
        <f>IF($A201&lt;&gt;"",MAESTRO!$B201,"")</f>
        <v/>
      </c>
      <c r="C201" t="str">
        <f>IF($A201&lt;&gt;"",MAESTRO!$A201,"")</f>
        <v/>
      </c>
      <c r="D201" t="str">
        <f>IF($A201&lt;&gt;"",MAESTRO!$C201,"")</f>
        <v/>
      </c>
      <c r="E201" t="str">
        <f>IF($A201&lt;&gt;"",MAESTRO!$M201,"")</f>
        <v/>
      </c>
      <c r="F201" t="str">
        <f>IF($A201&lt;&gt;"",MAESTRO!$J201,"")</f>
        <v/>
      </c>
      <c r="G201" t="str">
        <f>IF($A201&lt;&gt;"",MAESTRO!$D201,"")</f>
        <v/>
      </c>
      <c r="H201" t="str">
        <f>IF($A201&lt;&gt;"",IF(TRIM(MAESTRO!$G201&amp;" "&amp;MAESTRO!$H201&amp;" "&amp;MAESTRO!$I201)="",MAESTRO!$F201,TRIM(MAESTRO!$G201&amp;" "&amp;MAESTRO!$H201&amp;" "&amp;MAESTRO!$I201)),"")</f>
        <v/>
      </c>
      <c r="I201" t="str">
        <f>IF($A201&lt;&gt;"",MAESTRO!$K201,"")</f>
        <v/>
      </c>
      <c r="J201" t="str">
        <f>IF($A201&lt;&gt;"",201,"")</f>
        <v/>
      </c>
    </row>
    <row r="202" spans="1:10" x14ac:dyDescent="0.2">
      <c r="A202" t="str">
        <f>IF(AND(UPPER(MAESTRO!$M202)="VIP",UPPER(MAESTRO!$J202)="SI",MAESTRO!$F202&lt;&gt;""),MAESTRO!$P202,"")</f>
        <v/>
      </c>
      <c r="B202" t="str">
        <f>IF($A202&lt;&gt;"",MAESTRO!$B202,"")</f>
        <v/>
      </c>
      <c r="C202" t="str">
        <f>IF($A202&lt;&gt;"",MAESTRO!$A202,"")</f>
        <v/>
      </c>
      <c r="D202" t="str">
        <f>IF($A202&lt;&gt;"",MAESTRO!$C202,"")</f>
        <v/>
      </c>
      <c r="E202" t="str">
        <f>IF($A202&lt;&gt;"",MAESTRO!$M202,"")</f>
        <v/>
      </c>
      <c r="F202" t="str">
        <f>IF($A202&lt;&gt;"",MAESTRO!$J202,"")</f>
        <v/>
      </c>
      <c r="G202" t="str">
        <f>IF($A202&lt;&gt;"",MAESTRO!$D202,"")</f>
        <v/>
      </c>
      <c r="H202" t="str">
        <f>IF($A202&lt;&gt;"",IF(TRIM(MAESTRO!$G202&amp;" "&amp;MAESTRO!$H202&amp;" "&amp;MAESTRO!$I202)="",MAESTRO!$F202,TRIM(MAESTRO!$G202&amp;" "&amp;MAESTRO!$H202&amp;" "&amp;MAESTRO!$I202)),"")</f>
        <v/>
      </c>
      <c r="I202" t="str">
        <f>IF($A202&lt;&gt;"",MAESTRO!$K202,"")</f>
        <v/>
      </c>
      <c r="J202" t="str">
        <f>IF($A202&lt;&gt;"",202,"")</f>
        <v/>
      </c>
    </row>
    <row r="203" spans="1:10" x14ac:dyDescent="0.2">
      <c r="A203" t="str">
        <f>IF(AND(UPPER(MAESTRO!$M203)="VIP",UPPER(MAESTRO!$J203)="SI",MAESTRO!$F203&lt;&gt;""),MAESTRO!$P203,"")</f>
        <v/>
      </c>
      <c r="B203" t="str">
        <f>IF($A203&lt;&gt;"",MAESTRO!$B203,"")</f>
        <v/>
      </c>
      <c r="C203" t="str">
        <f>IF($A203&lt;&gt;"",MAESTRO!$A203,"")</f>
        <v/>
      </c>
      <c r="D203" t="str">
        <f>IF($A203&lt;&gt;"",MAESTRO!$C203,"")</f>
        <v/>
      </c>
      <c r="E203" t="str">
        <f>IF($A203&lt;&gt;"",MAESTRO!$M203,"")</f>
        <v/>
      </c>
      <c r="F203" t="str">
        <f>IF($A203&lt;&gt;"",MAESTRO!$J203,"")</f>
        <v/>
      </c>
      <c r="G203" t="str">
        <f>IF($A203&lt;&gt;"",MAESTRO!$D203,"")</f>
        <v/>
      </c>
      <c r="H203" t="str">
        <f>IF($A203&lt;&gt;"",IF(TRIM(MAESTRO!$G203&amp;" "&amp;MAESTRO!$H203&amp;" "&amp;MAESTRO!$I203)="",MAESTRO!$F203,TRIM(MAESTRO!$G203&amp;" "&amp;MAESTRO!$H203&amp;" "&amp;MAESTRO!$I203)),"")</f>
        <v/>
      </c>
      <c r="I203" t="str">
        <f>IF($A203&lt;&gt;"",MAESTRO!$K203,"")</f>
        <v/>
      </c>
      <c r="J203" t="str">
        <f>IF($A203&lt;&gt;"",203,"")</f>
        <v/>
      </c>
    </row>
    <row r="204" spans="1:10" x14ac:dyDescent="0.2">
      <c r="A204" t="str">
        <f>IF(AND(UPPER(MAESTRO!$M204)="VIP",UPPER(MAESTRO!$J204)="SI",MAESTRO!$F204&lt;&gt;""),MAESTRO!$P204,"")</f>
        <v>C40</v>
      </c>
      <c r="B204">
        <f>IF($A204&lt;&gt;"",MAESTRO!$B204,"")</f>
        <v>203</v>
      </c>
      <c r="C204">
        <f>IF($A204&lt;&gt;"",MAESTRO!$A204,"")</f>
        <v>203</v>
      </c>
      <c r="D204" t="str">
        <f>IF($A204&lt;&gt;"",MAESTRO!$C204,"")</f>
        <v>OPA/CIVILES</v>
      </c>
      <c r="E204" t="str">
        <f>IF($A204&lt;&gt;"",MAESTRO!$M204,"")</f>
        <v>VIP</v>
      </c>
      <c r="F204" t="str">
        <f>IF($A204&lt;&gt;"",MAESTRO!$J204,"")</f>
        <v>SI</v>
      </c>
      <c r="G204" t="str">
        <f>IF($A204&lt;&gt;"",MAESTRO!$D204,"")</f>
        <v>Rector</v>
      </c>
      <c r="H204" t="str">
        <f>IF($A204&lt;&gt;"",IF(TRIM(MAESTRO!$G204&amp;" "&amp;MAESTRO!$H204&amp;" "&amp;MAESTRO!$I204)="",MAESTRO!$F204,TRIM(MAESTRO!$G204&amp;" "&amp;MAESTRO!$H204&amp;" "&amp;MAESTRO!$I204)),"")</f>
        <v>María Soledad Tapia Almonacid</v>
      </c>
      <c r="I204" t="str">
        <f>IF($A204&lt;&gt;"",MAESTRO!$K204,"")</f>
        <v>Director Nacional Servicio Nacional de Pesca y Acuicultura SERNAPESCA</v>
      </c>
      <c r="J204">
        <f>IF($A204&lt;&gt;"",204,"")</f>
        <v>204</v>
      </c>
    </row>
    <row r="205" spans="1:10" x14ac:dyDescent="0.2">
      <c r="A205" t="str">
        <f>IF(AND(UPPER(MAESTRO!$M205)="VIP",UPPER(MAESTRO!$J205)="SI",MAESTRO!$F205&lt;&gt;""),MAESTRO!$P205,"")</f>
        <v>C5</v>
      </c>
      <c r="B205">
        <f>IF($A205&lt;&gt;"",MAESTRO!$B205,"")</f>
        <v>204</v>
      </c>
      <c r="C205">
        <f>IF($A205&lt;&gt;"",MAESTRO!$A205,"")</f>
        <v>204</v>
      </c>
      <c r="D205" t="str">
        <f>IF($A205&lt;&gt;"",MAESTRO!$C205,"")</f>
        <v>OPA/CIVILES</v>
      </c>
      <c r="E205" t="str">
        <f>IF($A205&lt;&gt;"",MAESTRO!$M205,"")</f>
        <v>VIP</v>
      </c>
      <c r="F205" t="str">
        <f>IF($A205&lt;&gt;"",MAESTRO!$J205,"")</f>
        <v>SI</v>
      </c>
      <c r="G205" t="str">
        <f>IF($A205&lt;&gt;"",MAESTRO!$D205,"")</f>
        <v>Presidente</v>
      </c>
      <c r="H205" t="str">
        <f>IF($A205&lt;&gt;"",IF(TRIM(MAESTRO!$G205&amp;" "&amp;MAESTRO!$H205&amp;" "&amp;MAESTRO!$I205)="",MAESTRO!$F205,TRIM(MAESTRO!$G205&amp;" "&amp;MAESTRO!$H205&amp;" "&amp;MAESTRO!$I205)),"")</f>
        <v>Pablo Zavala Fernández</v>
      </c>
      <c r="I205" t="str">
        <f>IF($A205&lt;&gt;"",MAESTRO!$K205,"")</f>
        <v>Presidente de la Ilustrísima Corte de Apelaciones de Concepción</v>
      </c>
      <c r="J205">
        <f>IF($A205&lt;&gt;"",205,"")</f>
        <v>205</v>
      </c>
    </row>
    <row r="206" spans="1:10" x14ac:dyDescent="0.2">
      <c r="A206" t="str">
        <f>IF(AND(UPPER(MAESTRO!$M206)="VIP",UPPER(MAESTRO!$J206)="SI",MAESTRO!$F206&lt;&gt;""),MAESTRO!$P206,"")</f>
        <v>C41</v>
      </c>
      <c r="B206">
        <f>IF($A206&lt;&gt;"",MAESTRO!$B206,"")</f>
        <v>205</v>
      </c>
      <c r="C206">
        <f>IF($A206&lt;&gt;"",MAESTRO!$A206,"")</f>
        <v>205</v>
      </c>
      <c r="D206" t="str">
        <f>IF($A206&lt;&gt;"",MAESTRO!$C206,"")</f>
        <v>OPA/CIVILES</v>
      </c>
      <c r="E206" t="str">
        <f>IF($A206&lt;&gt;"",MAESTRO!$M206,"")</f>
        <v>VIP</v>
      </c>
      <c r="F206" t="str">
        <f>IF($A206&lt;&gt;"",MAESTRO!$J206,"")</f>
        <v>SI</v>
      </c>
      <c r="G206">
        <f>IF($A206&lt;&gt;"",MAESTRO!$D206,"")</f>
        <v>0</v>
      </c>
      <c r="H206" t="str">
        <f>IF($A206&lt;&gt;"",IF(TRIM(MAESTRO!$G206&amp;" "&amp;MAESTRO!$H206&amp;" "&amp;MAESTRO!$I206)="",MAESTRO!$F206,TRIM(MAESTRO!$G206&amp;" "&amp;MAESTRO!$H206&amp;" "&amp;MAESTRO!$I206)),"")</f>
        <v>Marcela Cartagena Ramos</v>
      </c>
      <c r="I206" t="str">
        <f>IF($A206&lt;&gt;"",MAESTRO!$K206,"")</f>
        <v>Fiscal Regional de Concepción</v>
      </c>
      <c r="J206">
        <f>IF($A206&lt;&gt;"",206,"")</f>
        <v>206</v>
      </c>
    </row>
    <row r="207" spans="1:10" x14ac:dyDescent="0.2">
      <c r="A207" t="str">
        <f>IF(AND(UPPER(MAESTRO!$M207)="VIP",UPPER(MAESTRO!$J207)="SI",MAESTRO!$F207&lt;&gt;""),MAESTRO!$P207,"")</f>
        <v>C4</v>
      </c>
      <c r="B207">
        <f>IF($A207&lt;&gt;"",MAESTRO!$B207,"")</f>
        <v>206</v>
      </c>
      <c r="C207">
        <f>IF($A207&lt;&gt;"",MAESTRO!$A207,"")</f>
        <v>206</v>
      </c>
      <c r="D207" t="str">
        <f>IF($A207&lt;&gt;"",MAESTRO!$C207,"")</f>
        <v>OPA/CIVILES</v>
      </c>
      <c r="E207" t="str">
        <f>IF($A207&lt;&gt;"",MAESTRO!$M207,"")</f>
        <v>VIP</v>
      </c>
      <c r="F207" t="str">
        <f>IF($A207&lt;&gt;"",MAESTRO!$J207,"")</f>
        <v>SI</v>
      </c>
      <c r="G207">
        <f>IF($A207&lt;&gt;"",MAESTRO!$D207,"")</f>
        <v>0</v>
      </c>
      <c r="H207" t="str">
        <f>IF($A207&lt;&gt;"",IF(TRIM(MAESTRO!$G207&amp;" "&amp;MAESTRO!$H207&amp;" "&amp;MAESTRO!$I207)="",MAESTRO!$F207,TRIM(MAESTRO!$G207&amp;" "&amp;MAESTRO!$H207&amp;" "&amp;MAESTRO!$I207)),"")</f>
        <v>Claudio Andrade Otarola</v>
      </c>
      <c r="I207" t="str">
        <f>IF($A207&lt;&gt;"",MAESTRO!$K207,"")</f>
        <v>Director Regional de la Agencia Nacional de Inteligencia</v>
      </c>
      <c r="J207">
        <f>IF($A207&lt;&gt;"",207,"")</f>
        <v>207</v>
      </c>
    </row>
    <row r="208" spans="1:10" x14ac:dyDescent="0.2">
      <c r="A208" t="str">
        <f>IF(AND(UPPER(MAESTRO!$M208)="VIP",UPPER(MAESTRO!$J208)="SI",MAESTRO!$F208&lt;&gt;""),MAESTRO!$P208,"")</f>
        <v>C42</v>
      </c>
      <c r="B208">
        <f>IF($A208&lt;&gt;"",MAESTRO!$B208,"")</f>
        <v>207</v>
      </c>
      <c r="C208">
        <f>IF($A208&lt;&gt;"",MAESTRO!$A208,"")</f>
        <v>207</v>
      </c>
      <c r="D208" t="str">
        <f>IF($A208&lt;&gt;"",MAESTRO!$C208,"")</f>
        <v>OPA/CIVILES</v>
      </c>
      <c r="E208" t="str">
        <f>IF($A208&lt;&gt;"",MAESTRO!$M208,"")</f>
        <v>VIP</v>
      </c>
      <c r="F208" t="str">
        <f>IF($A208&lt;&gt;"",MAESTRO!$J208,"")</f>
        <v>SI</v>
      </c>
      <c r="G208">
        <f>IF($A208&lt;&gt;"",MAESTRO!$D208,"")</f>
        <v>0</v>
      </c>
      <c r="H208" t="str">
        <f>IF($A208&lt;&gt;"",IF(TRIM(MAESTRO!$G208&amp;" "&amp;MAESTRO!$H208&amp;" "&amp;MAESTRO!$I208)="",MAESTRO!$F208,TRIM(MAESTRO!$G208&amp;" "&amp;MAESTRO!$H208&amp;" "&amp;MAESTRO!$I208)),"")</f>
        <v>Alvaro Ananías Itaim</v>
      </c>
      <c r="I208" t="str">
        <f>IF($A208&lt;&gt;"",MAESTRO!$K208,"")</f>
        <v>Presidernte de la Cámara de Producción y Comercio del Bio Bio</v>
      </c>
      <c r="J208">
        <f>IF($A208&lt;&gt;"",208,"")</f>
        <v>208</v>
      </c>
    </row>
    <row r="209" spans="1:10" x14ac:dyDescent="0.2">
      <c r="A209" t="str">
        <f>IF(AND(UPPER(MAESTRO!$M209)="VIP",UPPER(MAESTRO!$J209)="SI",MAESTRO!$F209&lt;&gt;""),MAESTRO!$P209,"")</f>
        <v>C3</v>
      </c>
      <c r="B209">
        <f>IF($A209&lt;&gt;"",MAESTRO!$B209,"")</f>
        <v>208</v>
      </c>
      <c r="C209">
        <f>IF($A209&lt;&gt;"",MAESTRO!$A209,"")</f>
        <v>208</v>
      </c>
      <c r="D209" t="str">
        <f>IF($A209&lt;&gt;"",MAESTRO!$C209,"")</f>
        <v>OPA/CIVILES</v>
      </c>
      <c r="E209" t="str">
        <f>IF($A209&lt;&gt;"",MAESTRO!$M209,"")</f>
        <v>VIP</v>
      </c>
      <c r="F209" t="str">
        <f>IF($A209&lt;&gt;"",MAESTRO!$J209,"")</f>
        <v>SI</v>
      </c>
      <c r="G209">
        <f>IF($A209&lt;&gt;"",MAESTRO!$D209,"")</f>
        <v>0</v>
      </c>
      <c r="H209" t="str">
        <f>IF($A209&lt;&gt;"",IF(TRIM(MAESTRO!$G209&amp;" "&amp;MAESTRO!$H209&amp;" "&amp;MAESTRO!$I209)="",MAESTRO!$F209,TRIM(MAESTRO!$G209&amp;" "&amp;MAESTRO!$H209&amp;" "&amp;MAESTRO!$I209)),"")</f>
        <v>Oscar Rivera Marin</v>
      </c>
      <c r="I209" t="str">
        <f>IF($A209&lt;&gt;"",MAESTRO!$K209,"")</f>
        <v>Director Regional de Obras Portuarias</v>
      </c>
      <c r="J209">
        <f>IF($A209&lt;&gt;"",209,"")</f>
        <v>209</v>
      </c>
    </row>
    <row r="210" spans="1:10" x14ac:dyDescent="0.2">
      <c r="A210" t="str">
        <f>IF(AND(UPPER(MAESTRO!$M210)="VIP",UPPER(MAESTRO!$J210)="SI",MAESTRO!$F210&lt;&gt;""),MAESTRO!$P210,"")</f>
        <v>C43</v>
      </c>
      <c r="B210">
        <f>IF($A210&lt;&gt;"",MAESTRO!$B210,"")</f>
        <v>209</v>
      </c>
      <c r="C210">
        <f>IF($A210&lt;&gt;"",MAESTRO!$A210,"")</f>
        <v>209</v>
      </c>
      <c r="D210" t="str">
        <f>IF($A210&lt;&gt;"",MAESTRO!$C210,"")</f>
        <v>OPA/CIVILES</v>
      </c>
      <c r="E210" t="str">
        <f>IF($A210&lt;&gt;"",MAESTRO!$M210,"")</f>
        <v>VIP</v>
      </c>
      <c r="F210" t="str">
        <f>IF($A210&lt;&gt;"",MAESTRO!$J210,"")</f>
        <v>SI</v>
      </c>
      <c r="G210">
        <f>IF($A210&lt;&gt;"",MAESTRO!$D210,"")</f>
        <v>0</v>
      </c>
      <c r="H210" t="str">
        <f>IF($A210&lt;&gt;"",IF(TRIM(MAESTRO!$G210&amp;" "&amp;MAESTRO!$H210&amp;" "&amp;MAESTRO!$I210)="",MAESTRO!$F210,TRIM(MAESTRO!$G210&amp;" "&amp;MAESTRO!$H210&amp;" "&amp;MAESTRO!$I210)),"")</f>
        <v>Carlos Basáez Valdebenito</v>
      </c>
      <c r="I210" t="str">
        <f>IF($A210&lt;&gt;"",MAESTRO!$K210,"")</f>
        <v>Contralor Regional Bio Bio</v>
      </c>
      <c r="J210">
        <f>IF($A210&lt;&gt;"",210,"")</f>
        <v>210</v>
      </c>
    </row>
    <row r="211" spans="1:10" x14ac:dyDescent="0.2">
      <c r="A211" t="str">
        <f>IF(AND(UPPER(MAESTRO!$M211)="VIP",UPPER(MAESTRO!$J211)="SI",MAESTRO!$F211&lt;&gt;""),MAESTRO!$P211,"")</f>
        <v>C2</v>
      </c>
      <c r="B211">
        <f>IF($A211&lt;&gt;"",MAESTRO!$B211,"")</f>
        <v>210</v>
      </c>
      <c r="C211">
        <f>IF($A211&lt;&gt;"",MAESTRO!$A211,"")</f>
        <v>210</v>
      </c>
      <c r="D211" t="str">
        <f>IF($A211&lt;&gt;"",MAESTRO!$C211,"")</f>
        <v>OPA/CIVILES</v>
      </c>
      <c r="E211" t="str">
        <f>IF($A211&lt;&gt;"",MAESTRO!$M211,"")</f>
        <v>VIP</v>
      </c>
      <c r="F211" t="str">
        <f>IF($A211&lt;&gt;"",MAESTRO!$J211,"")</f>
        <v>SI</v>
      </c>
      <c r="G211">
        <f>IF($A211&lt;&gt;"",MAESTRO!$D211,"")</f>
        <v>0</v>
      </c>
      <c r="H211" t="str">
        <f>IF($A211&lt;&gt;"",IF(TRIM(MAESTRO!$G211&amp;" "&amp;MAESTRO!$H211&amp;" "&amp;MAESTRO!$I211)="",MAESTRO!$F211,TRIM(MAESTRO!$G211&amp;" "&amp;MAESTRO!$H211&amp;" "&amp;MAESTRO!$I211)),"")</f>
        <v>Claudia Chamorro Contreras</v>
      </c>
      <c r="I211" t="str">
        <f>IF($A211&lt;&gt;"",MAESTRO!$K211,"")</f>
        <v>Jefe VIII Región Policial Bío Bío</v>
      </c>
      <c r="J211">
        <f>IF($A211&lt;&gt;"",211,"")</f>
        <v>211</v>
      </c>
    </row>
    <row r="212" spans="1:10" x14ac:dyDescent="0.2">
      <c r="A212" t="str">
        <f>IF(AND(UPPER(MAESTRO!$M212)="VIP",UPPER(MAESTRO!$J212)="SI",MAESTRO!$F212&lt;&gt;""),MAESTRO!$P212,"")</f>
        <v>C44</v>
      </c>
      <c r="B212">
        <f>IF($A212&lt;&gt;"",MAESTRO!$B212,"")</f>
        <v>211</v>
      </c>
      <c r="C212">
        <f>IF($A212&lt;&gt;"",MAESTRO!$A212,"")</f>
        <v>211</v>
      </c>
      <c r="D212" t="str">
        <f>IF($A212&lt;&gt;"",MAESTRO!$C212,"")</f>
        <v>OPA/MILITAR</v>
      </c>
      <c r="E212" t="str">
        <f>IF($A212&lt;&gt;"",MAESTRO!$M212,"")</f>
        <v>VIP</v>
      </c>
      <c r="F212" t="str">
        <f>IF($A212&lt;&gt;"",MAESTRO!$J212,"")</f>
        <v>SI</v>
      </c>
      <c r="G212" t="str">
        <f>IF($A212&lt;&gt;"",MAESTRO!$D212,"")</f>
        <v>General</v>
      </c>
      <c r="H212" t="str">
        <f>IF($A212&lt;&gt;"",IF(TRIM(MAESTRO!$G212&amp;" "&amp;MAESTRO!$H212&amp;" "&amp;MAESTRO!$I212)="",MAESTRO!$F212,TRIM(MAESTRO!$G212&amp;" "&amp;MAESTRO!$H212&amp;" "&amp;MAESTRO!$I212)),"")</f>
        <v>Renzo Miccono Villablanca</v>
      </c>
      <c r="I212" t="str">
        <f>IF($A212&lt;&gt;"",MAESTRO!$K212,"")</f>
        <v>Jefe VIII Zona de Carabineros BIOBÍO</v>
      </c>
      <c r="J212">
        <f>IF($A212&lt;&gt;"",212,"")</f>
        <v>212</v>
      </c>
    </row>
    <row r="213" spans="1:10" x14ac:dyDescent="0.2">
      <c r="A213" t="str">
        <f>IF(AND(UPPER(MAESTRO!$M213)="VIP",UPPER(MAESTRO!$J213)="SI",MAESTRO!$F213&lt;&gt;""),MAESTRO!$P213,"")</f>
        <v/>
      </c>
      <c r="B213" t="str">
        <f>IF($A213&lt;&gt;"",MAESTRO!$B213,"")</f>
        <v/>
      </c>
      <c r="C213" t="str">
        <f>IF($A213&lt;&gt;"",MAESTRO!$A213,"")</f>
        <v/>
      </c>
      <c r="D213" t="str">
        <f>IF($A213&lt;&gt;"",MAESTRO!$C213,"")</f>
        <v/>
      </c>
      <c r="E213" t="str">
        <f>IF($A213&lt;&gt;"",MAESTRO!$M213,"")</f>
        <v/>
      </c>
      <c r="F213" t="str">
        <f>IF($A213&lt;&gt;"",MAESTRO!$J213,"")</f>
        <v/>
      </c>
      <c r="G213" t="str">
        <f>IF($A213&lt;&gt;"",MAESTRO!$D213,"")</f>
        <v/>
      </c>
      <c r="H213" t="str">
        <f>IF($A213&lt;&gt;"",IF(TRIM(MAESTRO!$G213&amp;" "&amp;MAESTRO!$H213&amp;" "&amp;MAESTRO!$I213)="",MAESTRO!$F213,TRIM(MAESTRO!$G213&amp;" "&amp;MAESTRO!$H213&amp;" "&amp;MAESTRO!$I213)),"")</f>
        <v/>
      </c>
      <c r="I213" t="str">
        <f>IF($A213&lt;&gt;"",MAESTRO!$K213,"")</f>
        <v/>
      </c>
      <c r="J213" t="str">
        <f>IF($A213&lt;&gt;"",213,"")</f>
        <v/>
      </c>
    </row>
    <row r="214" spans="1:10" x14ac:dyDescent="0.2">
      <c r="A214" t="str">
        <f>IF(AND(UPPER(MAESTRO!$M214)="VIP",UPPER(MAESTRO!$J214)="SI",MAESTRO!$F214&lt;&gt;""),MAESTRO!$P214,"")</f>
        <v>C1</v>
      </c>
      <c r="B214">
        <f>IF($A214&lt;&gt;"",MAESTRO!$B214,"")</f>
        <v>213</v>
      </c>
      <c r="C214">
        <f>IF($A214&lt;&gt;"",MAESTRO!$A214,"")</f>
        <v>213</v>
      </c>
      <c r="D214" t="str">
        <f>IF($A214&lt;&gt;"",MAESTRO!$C214,"")</f>
        <v>OPA/MILITAR</v>
      </c>
      <c r="E214" t="str">
        <f>IF($A214&lt;&gt;"",MAESTRO!$M214,"")</f>
        <v>VIP</v>
      </c>
      <c r="F214" t="str">
        <f>IF($A214&lt;&gt;"",MAESTRO!$J214,"")</f>
        <v>SI</v>
      </c>
      <c r="G214" t="str">
        <f>IF($A214&lt;&gt;"",MAESTRO!$D214,"")</f>
        <v>Vicealmirante</v>
      </c>
      <c r="H214" t="str">
        <f>IF($A214&lt;&gt;"",IF(TRIM(MAESTRO!$G214&amp;" "&amp;MAESTRO!$H214&amp;" "&amp;MAESTRO!$I214)="",MAESTRO!$F214,TRIM(MAESTRO!$G214&amp;" "&amp;MAESTRO!$H214&amp;" "&amp;MAESTRO!$I214)),"")</f>
        <v>Raúl Zamorano Goñi</v>
      </c>
      <c r="I214" t="str">
        <f>IF($A214&lt;&gt;"",MAESTRO!$K214,"")</f>
        <v>Jefe del Estado Mayor General de la Armada</v>
      </c>
      <c r="J214">
        <f>IF($A214&lt;&gt;"",214,"")</f>
        <v>214</v>
      </c>
    </row>
    <row r="215" spans="1:10" x14ac:dyDescent="0.2">
      <c r="A215" t="str">
        <f>IF(AND(UPPER(MAESTRO!$M215)="VIP",UPPER(MAESTRO!$J215)="SI",MAESTRO!$F215&lt;&gt;""),MAESTRO!$P215,"")</f>
        <v>C45</v>
      </c>
      <c r="B215">
        <f>IF($A215&lt;&gt;"",MAESTRO!$B215,"")</f>
        <v>214</v>
      </c>
      <c r="C215">
        <f>IF($A215&lt;&gt;"",MAESTRO!$A215,"")</f>
        <v>214</v>
      </c>
      <c r="D215" t="str">
        <f>IF($A215&lt;&gt;"",MAESTRO!$C215,"")</f>
        <v>OPA/MILITAR</v>
      </c>
      <c r="E215" t="str">
        <f>IF($A215&lt;&gt;"",MAESTRO!$M215,"")</f>
        <v>VIP</v>
      </c>
      <c r="F215" t="str">
        <f>IF($A215&lt;&gt;"",MAESTRO!$J215,"")</f>
        <v>SI</v>
      </c>
      <c r="G215" t="str">
        <f>IF($A215&lt;&gt;"",MAESTRO!$D215,"")</f>
        <v>Vicealmirante</v>
      </c>
      <c r="H215" t="str">
        <f>IF($A215&lt;&gt;"",IF(TRIM(MAESTRO!$G215&amp;" "&amp;MAESTRO!$H215&amp;" "&amp;MAESTRO!$I215)="",MAESTRO!$F215,TRIM(MAESTRO!$G215&amp;" "&amp;MAESTRO!$H215&amp;" "&amp;MAESTRO!$I215)),"")</f>
        <v>Mauricio Arenas Menares</v>
      </c>
      <c r="I215" t="str">
        <f>IF($A215&lt;&gt;"",MAESTRO!$K215,"")</f>
        <v>Directo General del Personal de la Armada</v>
      </c>
      <c r="J215">
        <f>IF($A215&lt;&gt;"",215,"")</f>
        <v>215</v>
      </c>
    </row>
    <row r="216" spans="1:10" x14ac:dyDescent="0.2">
      <c r="A216" t="str">
        <f>IF(AND(UPPER(MAESTRO!$M216)="VIP",UPPER(MAESTRO!$J216)="SI",MAESTRO!$F216&lt;&gt;""),MAESTRO!$P216,"")</f>
        <v>D10</v>
      </c>
      <c r="B216">
        <f>IF($A216&lt;&gt;"",MAESTRO!$B216,"")</f>
        <v>215</v>
      </c>
      <c r="C216">
        <f>IF($A216&lt;&gt;"",MAESTRO!$A216,"")</f>
        <v>215</v>
      </c>
      <c r="D216" t="str">
        <f>IF($A216&lt;&gt;"",MAESTRO!$C216,"")</f>
        <v>OPA/MILITAR</v>
      </c>
      <c r="E216" t="str">
        <f>IF($A216&lt;&gt;"",MAESTRO!$M216,"")</f>
        <v>VIP</v>
      </c>
      <c r="F216" t="str">
        <f>IF($A216&lt;&gt;"",MAESTRO!$J216,"")</f>
        <v>SI</v>
      </c>
      <c r="G216" t="str">
        <f>IF($A216&lt;&gt;"",MAESTRO!$D216,"")</f>
        <v>Vicealmirante</v>
      </c>
      <c r="H216" t="str">
        <f>IF($A216&lt;&gt;"",IF(TRIM(MAESTRO!$G216&amp;" "&amp;MAESTRO!$H216&amp;" "&amp;MAESTRO!$I216)="",MAESTRO!$F216,TRIM(MAESTRO!$G216&amp;" "&amp;MAESTRO!$H216&amp;" "&amp;MAESTRO!$I216)),"")</f>
        <v>César Delgado Boffil</v>
      </c>
      <c r="I216" t="str">
        <f>IF($A216&lt;&gt;"",MAESTRO!$K216,"")</f>
        <v>Director General de los Servicios de la Armada</v>
      </c>
      <c r="J216">
        <f>IF($A216&lt;&gt;"",216,"")</f>
        <v>216</v>
      </c>
    </row>
    <row r="217" spans="1:10" x14ac:dyDescent="0.2">
      <c r="A217" t="str">
        <f>IF(AND(UPPER(MAESTRO!$M217)="VIP",UPPER(MAESTRO!$J217)="SI",MAESTRO!$F217&lt;&gt;""),MAESTRO!$P217,"")</f>
        <v>D36</v>
      </c>
      <c r="B217">
        <f>IF($A217&lt;&gt;"",MAESTRO!$B217,"")</f>
        <v>216</v>
      </c>
      <c r="C217">
        <f>IF($A217&lt;&gt;"",MAESTRO!$A217,"")</f>
        <v>216</v>
      </c>
      <c r="D217" t="str">
        <f>IF($A217&lt;&gt;"",MAESTRO!$C217,"")</f>
        <v>OPA/MILITAR</v>
      </c>
      <c r="E217" t="str">
        <f>IF($A217&lt;&gt;"",MAESTRO!$M217,"")</f>
        <v>VIP</v>
      </c>
      <c r="F217" t="str">
        <f>IF($A217&lt;&gt;"",MAESTRO!$J217,"")</f>
        <v>SI</v>
      </c>
      <c r="G217" t="str">
        <f>IF($A217&lt;&gt;"",MAESTRO!$D217,"")</f>
        <v>Vicealmirante</v>
      </c>
      <c r="H217" t="str">
        <f>IF($A217&lt;&gt;"",IF(TRIM(MAESTRO!$G217&amp;" "&amp;MAESTRO!$H217&amp;" "&amp;MAESTRO!$I217)="",MAESTRO!$F217,TRIM(MAESTRO!$G217&amp;" "&amp;MAESTRO!$H217&amp;" "&amp;MAESTRO!$I217)),"")</f>
        <v>Arturo Oxley Lizana</v>
      </c>
      <c r="I217" t="str">
        <f>IF($A217&lt;&gt;"",MAESTRO!$K217,"")</f>
        <v>Director General del Territorio Marítimo y de Marina Mercante</v>
      </c>
      <c r="J217">
        <f>IF($A217&lt;&gt;"",217,"")</f>
        <v>217</v>
      </c>
    </row>
    <row r="218" spans="1:10" x14ac:dyDescent="0.2">
      <c r="A218" t="str">
        <f>IF(AND(UPPER(MAESTRO!$M218)="VIP",UPPER(MAESTRO!$J218)="SI",MAESTRO!$F218&lt;&gt;""),MAESTRO!$P218,"")</f>
        <v>D9</v>
      </c>
      <c r="B218">
        <f>IF($A218&lt;&gt;"",MAESTRO!$B218,"")</f>
        <v>217</v>
      </c>
      <c r="C218">
        <f>IF($A218&lt;&gt;"",MAESTRO!$A218,"")</f>
        <v>217</v>
      </c>
      <c r="D218" t="str">
        <f>IF($A218&lt;&gt;"",MAESTRO!$C218,"")</f>
        <v>OPA/MILITAR</v>
      </c>
      <c r="E218" t="str">
        <f>IF($A218&lt;&gt;"",MAESTRO!$M218,"")</f>
        <v>VIP</v>
      </c>
      <c r="F218" t="str">
        <f>IF($A218&lt;&gt;"",MAESTRO!$J218,"")</f>
        <v>SI</v>
      </c>
      <c r="G218" t="str">
        <f>IF($A218&lt;&gt;"",MAESTRO!$D218,"")</f>
        <v>Vicealmirante</v>
      </c>
      <c r="H218" t="str">
        <f>IF($A218&lt;&gt;"",IF(TRIM(MAESTRO!$G218&amp;" "&amp;MAESTRO!$H218&amp;" "&amp;MAESTRO!$I218)="",MAESTRO!$F218,TRIM(MAESTRO!$G218&amp;" "&amp;MAESTRO!$H218&amp;" "&amp;MAESTRO!$I218)),"")</f>
        <v>Juan Pablo Marín Fernández</v>
      </c>
      <c r="I218" t="str">
        <f>IF($A218&lt;&gt;"",MAESTRO!$K218,"")</f>
        <v>Subjefe del Estado Mayor Conjunto</v>
      </c>
      <c r="J218">
        <f>IF($A218&lt;&gt;"",218,"")</f>
        <v>218</v>
      </c>
    </row>
    <row r="219" spans="1:10" x14ac:dyDescent="0.2">
      <c r="A219" t="str">
        <f>IF(AND(UPPER(MAESTRO!$M219)="VIP",UPPER(MAESTRO!$J219)="SI",MAESTRO!$F219&lt;&gt;""),MAESTRO!$P219,"")</f>
        <v>D37</v>
      </c>
      <c r="B219">
        <f>IF($A219&lt;&gt;"",MAESTRO!$B219,"")</f>
        <v>218</v>
      </c>
      <c r="C219">
        <f>IF($A219&lt;&gt;"",MAESTRO!$A219,"")</f>
        <v>218</v>
      </c>
      <c r="D219" t="str">
        <f>IF($A219&lt;&gt;"",MAESTRO!$C219,"")</f>
        <v>OPA/MILITAR</v>
      </c>
      <c r="E219" t="str">
        <f>IF($A219&lt;&gt;"",MAESTRO!$M219,"")</f>
        <v>VIP</v>
      </c>
      <c r="F219" t="str">
        <f>IF($A219&lt;&gt;"",MAESTRO!$J219,"")</f>
        <v>SI</v>
      </c>
      <c r="G219" t="str">
        <f>IF($A219&lt;&gt;"",MAESTRO!$D219,"")</f>
        <v>Vicealmirante</v>
      </c>
      <c r="H219" t="str">
        <f>IF($A219&lt;&gt;"",IF(TRIM(MAESTRO!$G219&amp;" "&amp;MAESTRO!$H219&amp;" "&amp;MAESTRO!$I219)="",MAESTRO!$F219,TRIM(MAESTRO!$G219&amp;" "&amp;MAESTRO!$H219&amp;" "&amp;MAESTRO!$I219)),"")</f>
        <v>Daniel Muñoz Miranda</v>
      </c>
      <c r="I219" t="str">
        <f>IF($A219&lt;&gt;"",MAESTRO!$K219,"")</f>
        <v>*Comandante de Operaciones Navales</v>
      </c>
      <c r="J219">
        <f>IF($A219&lt;&gt;"",219,"")</f>
        <v>219</v>
      </c>
    </row>
    <row r="220" spans="1:10" x14ac:dyDescent="0.2">
      <c r="A220" t="str">
        <f>IF(AND(UPPER(MAESTRO!$M220)="VIP",UPPER(MAESTRO!$J220)="SI",MAESTRO!$F220&lt;&gt;""),MAESTRO!$P220,"")</f>
        <v>D8</v>
      </c>
      <c r="B220">
        <f>IF($A220&lt;&gt;"",MAESTRO!$B220,"")</f>
        <v>219</v>
      </c>
      <c r="C220">
        <f>IF($A220&lt;&gt;"",MAESTRO!$A220,"")</f>
        <v>219</v>
      </c>
      <c r="D220" t="str">
        <f>IF($A220&lt;&gt;"",MAESTRO!$C220,"")</f>
        <v>OPA/MILITAR</v>
      </c>
      <c r="E220" t="str">
        <f>IF($A220&lt;&gt;"",MAESTRO!$M220,"")</f>
        <v>VIP</v>
      </c>
      <c r="F220" t="str">
        <f>IF($A220&lt;&gt;"",MAESTRO!$J220,"")</f>
        <v>SI</v>
      </c>
      <c r="G220" t="str">
        <f>IF($A220&lt;&gt;"",MAESTRO!$D220,"")</f>
        <v>Contraalmirante</v>
      </c>
      <c r="H220" t="str">
        <f>IF($A220&lt;&gt;"",IF(TRIM(MAESTRO!$G220&amp;" "&amp;MAESTRO!$H220&amp;" "&amp;MAESTRO!$I220)="",MAESTRO!$F220,TRIM(MAESTRO!$G220&amp;" "&amp;MAESTRO!$H220&amp;" "&amp;MAESTRO!$I220)),"")</f>
        <v>José Miguel Hernández Jacir</v>
      </c>
      <c r="I220" t="str">
        <f>IF($A220&lt;&gt;"",MAESTRO!$K220,"")</f>
        <v>Director de Astilleros y Maestranzas de la Armada</v>
      </c>
      <c r="J220">
        <f>IF($A220&lt;&gt;"",220,"")</f>
        <v>220</v>
      </c>
    </row>
    <row r="221" spans="1:10" x14ac:dyDescent="0.2">
      <c r="A221" t="str">
        <f>IF(AND(UPPER(MAESTRO!$M221)="VIP",UPPER(MAESTRO!$J221)="SI",MAESTRO!$F221&lt;&gt;""),MAESTRO!$P221,"")</f>
        <v>D38</v>
      </c>
      <c r="B221">
        <f>IF($A221&lt;&gt;"",MAESTRO!$B221,"")</f>
        <v>220</v>
      </c>
      <c r="C221">
        <f>IF($A221&lt;&gt;"",MAESTRO!$A221,"")</f>
        <v>220</v>
      </c>
      <c r="D221" t="str">
        <f>IF($A221&lt;&gt;"",MAESTRO!$C221,"")</f>
        <v>OPA/MILITAR</v>
      </c>
      <c r="E221" t="str">
        <f>IF($A221&lt;&gt;"",MAESTRO!$M221,"")</f>
        <v>VIP</v>
      </c>
      <c r="F221" t="str">
        <f>IF($A221&lt;&gt;"",MAESTRO!$J221,"")</f>
        <v>SI</v>
      </c>
      <c r="G221" t="str">
        <f>IF($A221&lt;&gt;"",MAESTRO!$D221,"")</f>
        <v>Contraalmirante</v>
      </c>
      <c r="H221" t="str">
        <f>IF($A221&lt;&gt;"",IF(TRIM(MAESTRO!$G221&amp;" "&amp;MAESTRO!$H221&amp;" "&amp;MAESTRO!$I221)="",MAESTRO!$F221,TRIM(MAESTRO!$G221&amp;" "&amp;MAESTRO!$H221&amp;" "&amp;MAESTRO!$I221)),"")</f>
        <v>Oscar Manzano Sanguineti</v>
      </c>
      <c r="I221" t="str">
        <f>IF($A221&lt;&gt;"",MAESTRO!$K221,"")</f>
        <v>Director de Recuperaciones de Unidades de la Armada</v>
      </c>
      <c r="J221">
        <f>IF($A221&lt;&gt;"",221,"")</f>
        <v>221</v>
      </c>
    </row>
    <row r="222" spans="1:10" x14ac:dyDescent="0.2">
      <c r="A222" t="str">
        <f>IF(AND(UPPER(MAESTRO!$M222)="VIP",UPPER(MAESTRO!$J222)="SI",MAESTRO!$F222&lt;&gt;""),MAESTRO!$P222,"")</f>
        <v>D7</v>
      </c>
      <c r="B222">
        <f>IF($A222&lt;&gt;"",MAESTRO!$B222,"")</f>
        <v>221</v>
      </c>
      <c r="C222">
        <f>IF($A222&lt;&gt;"",MAESTRO!$A222,"")</f>
        <v>221</v>
      </c>
      <c r="D222" t="str">
        <f>IF($A222&lt;&gt;"",MAESTRO!$C222,"")</f>
        <v>OPA/MILITAR</v>
      </c>
      <c r="E222" t="str">
        <f>IF($A222&lt;&gt;"",MAESTRO!$M222,"")</f>
        <v>VIP</v>
      </c>
      <c r="F222" t="str">
        <f>IF($A222&lt;&gt;"",MAESTRO!$J222,"")</f>
        <v>SI</v>
      </c>
      <c r="G222" t="str">
        <f>IF($A222&lt;&gt;"",MAESTRO!$D222,"")</f>
        <v>Contraalmirante</v>
      </c>
      <c r="H222" t="str">
        <f>IF($A222&lt;&gt;"",IF(TRIM(MAESTRO!$G222&amp;" "&amp;MAESTRO!$H222&amp;" "&amp;MAESTRO!$I222)="",MAESTRO!$F222,TRIM(MAESTRO!$G222&amp;" "&amp;MAESTRO!$H222&amp;" "&amp;MAESTRO!$I222)),"")</f>
        <v>José Agustín Pájaro Márquez</v>
      </c>
      <c r="I222" t="str">
        <f>IF($A222&lt;&gt;"",MAESTRO!$K222,"")</f>
        <v>Director de Operaciones del Estado Mayor General de la Armada</v>
      </c>
      <c r="J222">
        <f>IF($A222&lt;&gt;"",222,"")</f>
        <v>222</v>
      </c>
    </row>
    <row r="223" spans="1:10" x14ac:dyDescent="0.2">
      <c r="A223" t="str">
        <f>IF(AND(UPPER(MAESTRO!$M223)="VIP",UPPER(MAESTRO!$J223)="SI",MAESTRO!$F223&lt;&gt;""),MAESTRO!$P223,"")</f>
        <v>D39</v>
      </c>
      <c r="B223">
        <f>IF($A223&lt;&gt;"",MAESTRO!$B223,"")</f>
        <v>222</v>
      </c>
      <c r="C223">
        <f>IF($A223&lt;&gt;"",MAESTRO!$A223,"")</f>
        <v>222</v>
      </c>
      <c r="D223" t="str">
        <f>IF($A223&lt;&gt;"",MAESTRO!$C223,"")</f>
        <v>OPA/MILITAR</v>
      </c>
      <c r="E223" t="str">
        <f>IF($A223&lt;&gt;"",MAESTRO!$M223,"")</f>
        <v>VIP</v>
      </c>
      <c r="F223" t="str">
        <f>IF($A223&lt;&gt;"",MAESTRO!$J223,"")</f>
        <v>SI</v>
      </c>
      <c r="G223" t="str">
        <f>IF($A223&lt;&gt;"",MAESTRO!$D223,"")</f>
        <v>Contraalmirante</v>
      </c>
      <c r="H223" t="str">
        <f>IF($A223&lt;&gt;"",IF(TRIM(MAESTRO!$G223&amp;" "&amp;MAESTRO!$H223&amp;" "&amp;MAESTRO!$I223)="",MAESTRO!$F223,TRIM(MAESTRO!$G223&amp;" "&amp;MAESTRO!$H223&amp;" "&amp;MAESTRO!$I223)),"")</f>
        <v>Edgardo Acevedo Pérez</v>
      </c>
      <c r="I223" t="str">
        <f>IF($A223&lt;&gt;"",MAESTRO!$K223,"")</f>
        <v>*Comandante en Jefe de la Segunda Zona Naval</v>
      </c>
      <c r="J223">
        <f>IF($A223&lt;&gt;"",223,"")</f>
        <v>223</v>
      </c>
    </row>
    <row r="224" spans="1:10" x14ac:dyDescent="0.2">
      <c r="A224" t="str">
        <f>IF(AND(UPPER(MAESTRO!$M224)="VIP",UPPER(MAESTRO!$J224)="SI",MAESTRO!$F224&lt;&gt;""),MAESTRO!$P224,"")</f>
        <v>D6</v>
      </c>
      <c r="B224">
        <f>IF($A224&lt;&gt;"",MAESTRO!$B224,"")</f>
        <v>223</v>
      </c>
      <c r="C224">
        <f>IF($A224&lt;&gt;"",MAESTRO!$A224,"")</f>
        <v>223</v>
      </c>
      <c r="D224" t="str">
        <f>IF($A224&lt;&gt;"",MAESTRO!$C224,"")</f>
        <v>OPA/MILITAR</v>
      </c>
      <c r="E224" t="str">
        <f>IF($A224&lt;&gt;"",MAESTRO!$M224,"")</f>
        <v>VIP</v>
      </c>
      <c r="F224" t="str">
        <f>IF($A224&lt;&gt;"",MAESTRO!$J224,"")</f>
        <v>SI</v>
      </c>
      <c r="G224" t="str">
        <f>IF($A224&lt;&gt;"",MAESTRO!$D224,"")</f>
        <v>Contraalmirante</v>
      </c>
      <c r="H224" t="str">
        <f>IF($A224&lt;&gt;"",IF(TRIM(MAESTRO!$G224&amp;" "&amp;MAESTRO!$H224&amp;" "&amp;MAESTRO!$I224)="",MAESTRO!$F224,TRIM(MAESTRO!$G224&amp;" "&amp;MAESTRO!$H224&amp;" "&amp;MAESTRO!$I224)),"")</f>
        <v>Federico Saelzer Concha</v>
      </c>
      <c r="I224" t="str">
        <f>IF($A224&lt;&gt;"",MAESTRO!$K224,"")</f>
        <v>*Comandante en Jefe de la Fuerza de Submarinos</v>
      </c>
      <c r="J224">
        <f>IF($A224&lt;&gt;"",224,"")</f>
        <v>224</v>
      </c>
    </row>
    <row r="225" spans="1:10" x14ac:dyDescent="0.2">
      <c r="A225" t="str">
        <f>IF(AND(UPPER(MAESTRO!$M225)="VIP",UPPER(MAESTRO!$J225)="SI",MAESTRO!$F225&lt;&gt;""),MAESTRO!$P225,"")</f>
        <v>D40</v>
      </c>
      <c r="B225">
        <f>IF($A225&lt;&gt;"",MAESTRO!$B225,"")</f>
        <v>224</v>
      </c>
      <c r="C225">
        <f>IF($A225&lt;&gt;"",MAESTRO!$A225,"")</f>
        <v>224</v>
      </c>
      <c r="D225" t="str">
        <f>IF($A225&lt;&gt;"",MAESTRO!$C225,"")</f>
        <v>OPA/MILITAR</v>
      </c>
      <c r="E225" t="str">
        <f>IF($A225&lt;&gt;"",MAESTRO!$M225,"")</f>
        <v>VIP</v>
      </c>
      <c r="F225" t="str">
        <f>IF($A225&lt;&gt;"",MAESTRO!$J225,"")</f>
        <v>SI</v>
      </c>
      <c r="G225" t="str">
        <f>IF($A225&lt;&gt;"",MAESTRO!$D225,"")</f>
        <v>Señora</v>
      </c>
      <c r="H225" t="str">
        <f>IF($A225&lt;&gt;"",IF(TRIM(MAESTRO!$G225&amp;" "&amp;MAESTRO!$H225&amp;" "&amp;MAESTRO!$I225)="",MAESTRO!$F225,TRIM(MAESTRO!$G225&amp;" "&amp;MAESTRO!$H225&amp;" "&amp;MAESTRO!$I225)),"")</f>
        <v>Claudia Arrieta Figueroa</v>
      </c>
      <c r="I225" t="str">
        <f>IF($A225&lt;&gt;"",MAESTRO!$K225,"")</f>
        <v>Esposa Comandante en Jefe de la Fuerza de Submarinos</v>
      </c>
      <c r="J225">
        <f>IF($A225&lt;&gt;"",225,"")</f>
        <v>225</v>
      </c>
    </row>
    <row r="226" spans="1:10" x14ac:dyDescent="0.2">
      <c r="A226" t="str">
        <f>IF(AND(UPPER(MAESTRO!$M226)="VIP",UPPER(MAESTRO!$J226)="SI",MAESTRO!$F226&lt;&gt;""),MAESTRO!$P226,"")</f>
        <v>D5</v>
      </c>
      <c r="B226">
        <f>IF($A226&lt;&gt;"",MAESTRO!$B226,"")</f>
        <v>225</v>
      </c>
      <c r="C226">
        <f>IF($A226&lt;&gt;"",MAESTRO!$A226,"")</f>
        <v>225</v>
      </c>
      <c r="D226" t="str">
        <f>IF($A226&lt;&gt;"",MAESTRO!$C226,"")</f>
        <v>OPA/MILITAR</v>
      </c>
      <c r="E226" t="str">
        <f>IF($A226&lt;&gt;"",MAESTRO!$M226,"")</f>
        <v>VIP</v>
      </c>
      <c r="F226" t="str">
        <f>IF($A226&lt;&gt;"",MAESTRO!$J226,"")</f>
        <v>SI</v>
      </c>
      <c r="G226" t="str">
        <f>IF($A226&lt;&gt;"",MAESTRO!$D226,"")</f>
        <v>Contraalmirante IM</v>
      </c>
      <c r="H226" t="str">
        <f>IF($A226&lt;&gt;"",IF(TRIM(MAESTRO!$G226&amp;" "&amp;MAESTRO!$H226&amp;" "&amp;MAESTRO!$I226)="",MAESTRO!$F226,TRIM(MAESTRO!$G226&amp;" "&amp;MAESTRO!$H226&amp;" "&amp;MAESTRO!$I226)),"")</f>
        <v>Daniel Opazo Riquelme</v>
      </c>
      <c r="I226" t="str">
        <f>IF($A226&lt;&gt;"",MAESTRO!$K226,"")</f>
        <v>*Comandante General del Cuerpo de Infantería de Marina</v>
      </c>
      <c r="J226">
        <f>IF($A226&lt;&gt;"",226,"")</f>
        <v>226</v>
      </c>
    </row>
    <row r="227" spans="1:10" x14ac:dyDescent="0.2">
      <c r="A227" t="str">
        <f>IF(AND(UPPER(MAESTRO!$M227)="VIP",UPPER(MAESTRO!$J227)="SI",MAESTRO!$F227&lt;&gt;""),MAESTRO!$P227,"")</f>
        <v>D41</v>
      </c>
      <c r="B227">
        <f>IF($A227&lt;&gt;"",MAESTRO!$B227,"")</f>
        <v>226</v>
      </c>
      <c r="C227">
        <f>IF($A227&lt;&gt;"",MAESTRO!$A227,"")</f>
        <v>226</v>
      </c>
      <c r="D227" t="str">
        <f>IF($A227&lt;&gt;"",MAESTRO!$C227,"")</f>
        <v>OPA/MILITAR</v>
      </c>
      <c r="E227" t="str">
        <f>IF($A227&lt;&gt;"",MAESTRO!$M227,"")</f>
        <v>VIP</v>
      </c>
      <c r="F227" t="str">
        <f>IF($A227&lt;&gt;"",MAESTRO!$J227,"")</f>
        <v>SI</v>
      </c>
      <c r="G227" t="str">
        <f>IF($A227&lt;&gt;"",MAESTRO!$D227,"")</f>
        <v>Contraalmirante</v>
      </c>
      <c r="H227" t="str">
        <f>IF($A227&lt;&gt;"",IF(TRIM(MAESTRO!$G227&amp;" "&amp;MAESTRO!$H227&amp;" "&amp;MAESTRO!$I227)="",MAESTRO!$F227,TRIM(MAESTRO!$G227&amp;" "&amp;MAESTRO!$H227&amp;" "&amp;MAESTRO!$I227)),"")</f>
        <v>Alberto Guerrero García</v>
      </c>
      <c r="I227" t="str">
        <f>IF($A227&lt;&gt;"",MAESTRO!$K227,"")</f>
        <v>Director de Programas, Investigación y Desarrollo de la Armada</v>
      </c>
      <c r="J227">
        <f>IF($A227&lt;&gt;"",227,"")</f>
        <v>227</v>
      </c>
    </row>
    <row r="228" spans="1:10" x14ac:dyDescent="0.2">
      <c r="A228" t="str">
        <f>IF(AND(UPPER(MAESTRO!$M228)="VIP",UPPER(MAESTRO!$J228)="SI",MAESTRO!$F228&lt;&gt;""),MAESTRO!$P228,"")</f>
        <v>D4</v>
      </c>
      <c r="B228">
        <f>IF($A228&lt;&gt;"",MAESTRO!$B228,"")</f>
        <v>227</v>
      </c>
      <c r="C228">
        <f>IF($A228&lt;&gt;"",MAESTRO!$A228,"")</f>
        <v>227</v>
      </c>
      <c r="D228" t="str">
        <f>IF($A228&lt;&gt;"",MAESTRO!$C228,"")</f>
        <v>OPA/MILITAR</v>
      </c>
      <c r="E228" t="str">
        <f>IF($A228&lt;&gt;"",MAESTRO!$M228,"")</f>
        <v>VIP</v>
      </c>
      <c r="F228" t="str">
        <f>IF($A228&lt;&gt;"",MAESTRO!$J228,"")</f>
        <v>SI</v>
      </c>
      <c r="G228" t="str">
        <f>IF($A228&lt;&gt;"",MAESTRO!$D228,"")</f>
        <v>Contraalmirante</v>
      </c>
      <c r="H228" t="str">
        <f>IF($A228&lt;&gt;"",IF(TRIM(MAESTRO!$G228&amp;" "&amp;MAESTRO!$H228&amp;" "&amp;MAESTRO!$I228)="",MAESTRO!$F228,TRIM(MAESTRO!$G228&amp;" "&amp;MAESTRO!$H228&amp;" "&amp;MAESTRO!$I228)),"")</f>
        <v>Claudio Muñoz Cabrera</v>
      </c>
      <c r="I228" t="str">
        <f>IF($A228&lt;&gt;"",MAESTRO!$K228,"")</f>
        <v>Contralor de la Armada</v>
      </c>
      <c r="J228">
        <f>IF($A228&lt;&gt;"",228,"")</f>
        <v>228</v>
      </c>
    </row>
    <row r="229" spans="1:10" x14ac:dyDescent="0.2">
      <c r="A229" t="str">
        <f>IF(AND(UPPER(MAESTRO!$M229)="VIP",UPPER(MAESTRO!$J229)="SI",MAESTRO!$F229&lt;&gt;""),MAESTRO!$P229,"")</f>
        <v>D42</v>
      </c>
      <c r="B229">
        <f>IF($A229&lt;&gt;"",MAESTRO!$B229,"")</f>
        <v>228</v>
      </c>
      <c r="C229">
        <f>IF($A229&lt;&gt;"",MAESTRO!$A229,"")</f>
        <v>228</v>
      </c>
      <c r="D229" t="str">
        <f>IF($A229&lt;&gt;"",MAESTRO!$C229,"")</f>
        <v>OPA/MILITAR</v>
      </c>
      <c r="E229" t="str">
        <f>IF($A229&lt;&gt;"",MAESTRO!$M229,"")</f>
        <v>VIP</v>
      </c>
      <c r="F229" t="str">
        <f>IF($A229&lt;&gt;"",MAESTRO!$J229,"")</f>
        <v>SI</v>
      </c>
      <c r="G229" t="str">
        <f>IF($A229&lt;&gt;"",MAESTRO!$D229,"")</f>
        <v>Contraalmirante AB</v>
      </c>
      <c r="H229" t="str">
        <f>IF($A229&lt;&gt;"",IF(TRIM(MAESTRO!$G229&amp;" "&amp;MAESTRO!$H229&amp;" "&amp;MAESTRO!$I229)="",MAESTRO!$F229,TRIM(MAESTRO!$G229&amp;" "&amp;MAESTRO!$H229&amp;" "&amp;MAESTRO!$I229)),"")</f>
        <v>Marcel Fort Santander</v>
      </c>
      <c r="I229" t="str">
        <f>IF($A229&lt;&gt;"",MAESTRO!$K229,"")</f>
        <v>Director de finanzaas de la Armada.</v>
      </c>
      <c r="J229">
        <f>IF($A229&lt;&gt;"",229,"")</f>
        <v>229</v>
      </c>
    </row>
    <row r="230" spans="1:10" x14ac:dyDescent="0.2">
      <c r="A230" t="str">
        <f>IF(AND(UPPER(MAESTRO!$M230)="VIP",UPPER(MAESTRO!$J230)="SI",MAESTRO!$F230&lt;&gt;""),MAESTRO!$P230,"")</f>
        <v>D3</v>
      </c>
      <c r="B230">
        <f>IF($A230&lt;&gt;"",MAESTRO!$B230,"")</f>
        <v>229</v>
      </c>
      <c r="C230">
        <f>IF($A230&lt;&gt;"",MAESTRO!$A230,"")</f>
        <v>229</v>
      </c>
      <c r="D230" t="str">
        <f>IF($A230&lt;&gt;"",MAESTRO!$C230,"")</f>
        <v>OPA/MILITAR</v>
      </c>
      <c r="E230" t="str">
        <f>IF($A230&lt;&gt;"",MAESTRO!$M230,"")</f>
        <v>VIP</v>
      </c>
      <c r="F230" t="str">
        <f>IF($A230&lt;&gt;"",MAESTRO!$J230,"")</f>
        <v>SI</v>
      </c>
      <c r="G230" t="str">
        <f>IF($A230&lt;&gt;"",MAESTRO!$D230,"")</f>
        <v>Contraalmirante</v>
      </c>
      <c r="H230" t="str">
        <f>IF($A230&lt;&gt;"",IF(TRIM(MAESTRO!$G230&amp;" "&amp;MAESTRO!$H230&amp;" "&amp;MAESTRO!$I230)="",MAESTRO!$F230,TRIM(MAESTRO!$G230&amp;" "&amp;MAESTRO!$H230&amp;" "&amp;MAESTRO!$I230)),"")</f>
        <v>Alejandro Torres Horton</v>
      </c>
      <c r="I230" t="str">
        <f>IF($A230&lt;&gt;"",MAESTRO!$K230,"")</f>
        <v>SUBMAYOR Consejo Superior ASMAR</v>
      </c>
      <c r="J230">
        <f>IF($A230&lt;&gt;"",230,"")</f>
        <v>230</v>
      </c>
    </row>
    <row r="231" spans="1:10" x14ac:dyDescent="0.2">
      <c r="A231" t="str">
        <f>IF(AND(UPPER(MAESTRO!$M231)="VIP",UPPER(MAESTRO!$J231)="SI",MAESTRO!$F231&lt;&gt;""),MAESTRO!$P231,"")</f>
        <v>D43</v>
      </c>
      <c r="B231">
        <f>IF($A231&lt;&gt;"",MAESTRO!$B231,"")</f>
        <v>230</v>
      </c>
      <c r="C231">
        <f>IF($A231&lt;&gt;"",MAESTRO!$A231,"")</f>
        <v>230</v>
      </c>
      <c r="D231" t="str">
        <f>IF($A231&lt;&gt;"",MAESTRO!$C231,"")</f>
        <v>OPA/MILITAR</v>
      </c>
      <c r="E231" t="str">
        <f>IF($A231&lt;&gt;"",MAESTRO!$M231,"")</f>
        <v>VIP</v>
      </c>
      <c r="F231" t="str">
        <f>IF($A231&lt;&gt;"",MAESTRO!$J231,"")</f>
        <v>SI</v>
      </c>
      <c r="G231" t="str">
        <f>IF($A231&lt;&gt;"",MAESTRO!$D231,"")</f>
        <v>Contraalmirante</v>
      </c>
      <c r="H231" t="str">
        <f>IF($A231&lt;&gt;"",IF(TRIM(MAESTRO!$G231&amp;" "&amp;MAESTRO!$H231&amp;" "&amp;MAESTRO!$I231)="",MAESTRO!$F231,TRIM(MAESTRO!$G231&amp;" "&amp;MAESTRO!$H231&amp;" "&amp;MAESTRO!$I231)),"")</f>
        <v>J. Cristobal Mendez Tapia</v>
      </c>
      <c r="I231" t="str">
        <f>IF($A231&lt;&gt;"",MAESTRO!$K231,"")</f>
        <v>DIRISNAV Consejo Superior ASMAR</v>
      </c>
      <c r="J231">
        <f>IF($A231&lt;&gt;"",231,"")</f>
        <v>231</v>
      </c>
    </row>
    <row r="232" spans="1:10" x14ac:dyDescent="0.2">
      <c r="A232" t="str">
        <f>IF(AND(UPPER(MAESTRO!$M232)="VIP",UPPER(MAESTRO!$J232)="SI",MAESTRO!$F232&lt;&gt;""),MAESTRO!$P232,"")</f>
        <v>D2</v>
      </c>
      <c r="B232">
        <f>IF($A232&lt;&gt;"",MAESTRO!$B232,"")</f>
        <v>231</v>
      </c>
      <c r="C232">
        <f>IF($A232&lt;&gt;"",MAESTRO!$A232,"")</f>
        <v>231</v>
      </c>
      <c r="D232" t="str">
        <f>IF($A232&lt;&gt;"",MAESTRO!$C232,"")</f>
        <v>OPA/MILITAR</v>
      </c>
      <c r="E232" t="str">
        <f>IF($A232&lt;&gt;"",MAESTRO!$M232,"")</f>
        <v>VIP</v>
      </c>
      <c r="F232" t="str">
        <f>IF($A232&lt;&gt;"",MAESTRO!$J232,"")</f>
        <v>SI</v>
      </c>
      <c r="G232" t="str">
        <f>IF($A232&lt;&gt;"",MAESTRO!$D232,"")</f>
        <v>Comodoro</v>
      </c>
      <c r="H232" t="str">
        <f>IF($A232&lt;&gt;"",IF(TRIM(MAESTRO!$G232&amp;" "&amp;MAESTRO!$H232&amp;" "&amp;MAESTRO!$I232)="",MAESTRO!$F232,TRIM(MAESTRO!$G232&amp;" "&amp;MAESTRO!$H232&amp;" "&amp;MAESTRO!$I232)),"")</f>
        <v>Rene Valenzuea Azócar</v>
      </c>
      <c r="I232" t="str">
        <f>IF($A232&lt;&gt;"",MAESTRO!$K232,"")</f>
        <v>Secretario General de la Armada</v>
      </c>
      <c r="J232">
        <f>IF($A232&lt;&gt;"",232,"")</f>
        <v>232</v>
      </c>
    </row>
    <row r="233" spans="1:10" x14ac:dyDescent="0.2">
      <c r="A233" t="str">
        <f>IF(AND(UPPER(MAESTRO!$M233)="VIP",UPPER(MAESTRO!$J233)="SI",MAESTRO!$F233&lt;&gt;""),MAESTRO!$P233,"")</f>
        <v>D44</v>
      </c>
      <c r="B233">
        <f>IF($A233&lt;&gt;"",MAESTRO!$B233,"")</f>
        <v>232</v>
      </c>
      <c r="C233">
        <f>IF($A233&lt;&gt;"",MAESTRO!$A233,"")</f>
        <v>232</v>
      </c>
      <c r="D233" t="str">
        <f>IF($A233&lt;&gt;"",MAESTRO!$C233,"")</f>
        <v>OPA/MILITAR</v>
      </c>
      <c r="E233" t="str">
        <f>IF($A233&lt;&gt;"",MAESTRO!$M233,"")</f>
        <v>VIP</v>
      </c>
      <c r="F233" t="str">
        <f>IF($A233&lt;&gt;"",MAESTRO!$J233,"")</f>
        <v>SI</v>
      </c>
      <c r="G233" t="str">
        <f>IF($A233&lt;&gt;"",MAESTRO!$D233,"")</f>
        <v>Comodoro AB</v>
      </c>
      <c r="H233" t="str">
        <f>IF($A233&lt;&gt;"",IF(TRIM(MAESTRO!$G233&amp;" "&amp;MAESTRO!$H233&amp;" "&amp;MAESTRO!$I233)="",MAESTRO!$F233,TRIM(MAESTRO!$G233&amp;" "&amp;MAESTRO!$H233&amp;" "&amp;MAESTRO!$I233)),"")</f>
        <v>Jorge Vidal Berrocal</v>
      </c>
      <c r="I233" t="str">
        <f>IF($A233&lt;&gt;"",MAESTRO!$K233,"")</f>
        <v>DABA Consejo Superior ASMAR</v>
      </c>
      <c r="J233">
        <f>IF($A233&lt;&gt;"",233,"")</f>
        <v>233</v>
      </c>
    </row>
    <row r="234" spans="1:10" x14ac:dyDescent="0.2">
      <c r="A234" t="str">
        <f>IF(AND(UPPER(MAESTRO!$M234)="VIP",UPPER(MAESTRO!$J234)="SI",MAESTRO!$F234&lt;&gt;""),MAESTRO!$P234,"")</f>
        <v/>
      </c>
      <c r="B234" t="str">
        <f>IF($A234&lt;&gt;"",MAESTRO!$B234,"")</f>
        <v/>
      </c>
      <c r="C234" t="str">
        <f>IF($A234&lt;&gt;"",MAESTRO!$A234,"")</f>
        <v/>
      </c>
      <c r="D234" t="str">
        <f>IF($A234&lt;&gt;"",MAESTRO!$C234,"")</f>
        <v/>
      </c>
      <c r="E234" t="str">
        <f>IF($A234&lt;&gt;"",MAESTRO!$M234,"")</f>
        <v/>
      </c>
      <c r="F234" t="str">
        <f>IF($A234&lt;&gt;"",MAESTRO!$J234,"")</f>
        <v/>
      </c>
      <c r="G234" t="str">
        <f>IF($A234&lt;&gt;"",MAESTRO!$D234,"")</f>
        <v/>
      </c>
      <c r="H234" t="str">
        <f>IF($A234&lt;&gt;"",IF(TRIM(MAESTRO!$G234&amp;" "&amp;MAESTRO!$H234&amp;" "&amp;MAESTRO!$I234)="",MAESTRO!$F234,TRIM(MAESTRO!$G234&amp;" "&amp;MAESTRO!$H234&amp;" "&amp;MAESTRO!$I234)),"")</f>
        <v/>
      </c>
      <c r="I234" t="str">
        <f>IF($A234&lt;&gt;"",MAESTRO!$K234,"")</f>
        <v/>
      </c>
      <c r="J234" t="str">
        <f>IF($A234&lt;&gt;"",234,"")</f>
        <v/>
      </c>
    </row>
    <row r="235" spans="1:10" x14ac:dyDescent="0.2">
      <c r="A235" t="str">
        <f>IF(AND(UPPER(MAESTRO!$M235)="VIP",UPPER(MAESTRO!$J235)="SI",MAESTRO!$F235&lt;&gt;""),MAESTRO!$P235,"")</f>
        <v>A20</v>
      </c>
      <c r="B235">
        <f>IF($A235&lt;&gt;"",MAESTRO!$B235,"")</f>
        <v>234</v>
      </c>
      <c r="C235">
        <f>IF($A235&lt;&gt;"",MAESTRO!$A235,"")</f>
        <v>234</v>
      </c>
      <c r="D235" t="str">
        <f>IF($A235&lt;&gt;"",MAESTRO!$C235,"")</f>
        <v>OPA/MILITAR</v>
      </c>
      <c r="E235" t="str">
        <f>IF($A235&lt;&gt;"",MAESTRO!$M235,"")</f>
        <v>VIP</v>
      </c>
      <c r="F235" t="str">
        <f>IF($A235&lt;&gt;"",MAESTRO!$J235,"")</f>
        <v>SI</v>
      </c>
      <c r="G235" t="str">
        <f>IF($A235&lt;&gt;"",MAESTRO!$D235,"")</f>
        <v>General de Brigada Aérea</v>
      </c>
      <c r="H235" t="str">
        <f>IF($A235&lt;&gt;"",IF(TRIM(MAESTRO!$G235&amp;" "&amp;MAESTRO!$H235&amp;" "&amp;MAESTRO!$I235)="",MAESTRO!$F235,TRIM(MAESTRO!$G235&amp;" "&amp;MAESTRO!$H235&amp;" "&amp;MAESTRO!$I235)),"")</f>
        <v>Alan Cárcamo Barrientos</v>
      </c>
      <c r="I235" t="str">
        <f>IF($A235&lt;&gt;"",MAESTRO!$K235,"")</f>
        <v>Representante FACH Consejo Superior ASMAR</v>
      </c>
      <c r="J235">
        <f>IF($A235&lt;&gt;"",235,"")</f>
        <v>235</v>
      </c>
    </row>
    <row r="236" spans="1:10" x14ac:dyDescent="0.2">
      <c r="A236" t="str">
        <f>IF(AND(UPPER(MAESTRO!$M236)="VIP",UPPER(MAESTRO!$J236)="SI",MAESTRO!$F236&lt;&gt;""),MAESTRO!$P236,"")</f>
        <v>D1</v>
      </c>
      <c r="B236">
        <f>IF($A236&lt;&gt;"",MAESTRO!$B236,"")</f>
        <v>235</v>
      </c>
      <c r="C236">
        <f>IF($A236&lt;&gt;"",MAESTRO!$A236,"")</f>
        <v>235</v>
      </c>
      <c r="D236" t="str">
        <f>IF($A236&lt;&gt;"",MAESTRO!$C236,"")</f>
        <v>ACADÉMICOS</v>
      </c>
      <c r="E236" t="str">
        <f>IF($A236&lt;&gt;"",MAESTRO!$M236,"")</f>
        <v>VIP</v>
      </c>
      <c r="F236" t="str">
        <f>IF($A236&lt;&gt;"",MAESTRO!$J236,"")</f>
        <v>SI</v>
      </c>
      <c r="G236" t="str">
        <f>IF($A236&lt;&gt;"",MAESTRO!$D236,"")</f>
        <v>Señor</v>
      </c>
      <c r="H236" t="str">
        <f>IF($A236&lt;&gt;"",IF(TRIM(MAESTRO!$G236&amp;" "&amp;MAESTRO!$H236&amp;" "&amp;MAESTRO!$I236)="",MAESTRO!$F236,TRIM(MAESTRO!$G236&amp;" "&amp;MAESTRO!$H236&amp;" "&amp;MAESTRO!$I236)),"")</f>
        <v>Cristian Lara Valenzuela</v>
      </c>
      <c r="I236" t="str">
        <f>IF($A236&lt;&gt;"",MAESTRO!$K236,"")</f>
        <v>Director Universidad Técnica Federico Santa María Sede Concepción</v>
      </c>
      <c r="J236">
        <f>IF($A236&lt;&gt;"",236,"")</f>
        <v>236</v>
      </c>
    </row>
    <row r="237" spans="1:10" x14ac:dyDescent="0.2">
      <c r="A237" t="str">
        <f>IF(AND(UPPER(MAESTRO!$M237)="VIP",UPPER(MAESTRO!$J237)="SI",MAESTRO!$F237&lt;&gt;""),MAESTRO!$P237,"")</f>
        <v/>
      </c>
      <c r="B237" t="str">
        <f>IF($A237&lt;&gt;"",MAESTRO!$B237,"")</f>
        <v/>
      </c>
      <c r="C237" t="str">
        <f>IF($A237&lt;&gt;"",MAESTRO!$A237,"")</f>
        <v/>
      </c>
      <c r="D237" t="str">
        <f>IF($A237&lt;&gt;"",MAESTRO!$C237,"")</f>
        <v/>
      </c>
      <c r="E237" t="str">
        <f>IF($A237&lt;&gt;"",MAESTRO!$M237,"")</f>
        <v/>
      </c>
      <c r="F237" t="str">
        <f>IF($A237&lt;&gt;"",MAESTRO!$J237,"")</f>
        <v/>
      </c>
      <c r="G237" t="str">
        <f>IF($A237&lt;&gt;"",MAESTRO!$D237,"")</f>
        <v/>
      </c>
      <c r="H237" t="str">
        <f>IF($A237&lt;&gt;"",IF(TRIM(MAESTRO!$G237&amp;" "&amp;MAESTRO!$H237&amp;" "&amp;MAESTRO!$I237)="",MAESTRO!$F237,TRIM(MAESTRO!$G237&amp;" "&amp;MAESTRO!$H237&amp;" "&amp;MAESTRO!$I237)),"")</f>
        <v/>
      </c>
      <c r="I237" t="str">
        <f>IF($A237&lt;&gt;"",MAESTRO!$K237,"")</f>
        <v/>
      </c>
      <c r="J237" t="str">
        <f>IF($A237&lt;&gt;"",237,"")</f>
        <v/>
      </c>
    </row>
    <row r="238" spans="1:10" x14ac:dyDescent="0.2">
      <c r="A238" t="str">
        <f>IF(AND(UPPER(MAESTRO!$M238)="VIP",UPPER(MAESTRO!$J238)="SI",MAESTRO!$F238&lt;&gt;""),MAESTRO!$P238,"")</f>
        <v>D45</v>
      </c>
      <c r="B238">
        <f>IF($A238&lt;&gt;"",MAESTRO!$B238,"")</f>
        <v>237</v>
      </c>
      <c r="C238">
        <f>IF($A238&lt;&gt;"",MAESTRO!$A238,"")</f>
        <v>237</v>
      </c>
      <c r="D238" t="str">
        <f>IF($A238&lt;&gt;"",MAESTRO!$C238,"")</f>
        <v>ACADÉMICOS</v>
      </c>
      <c r="E238" t="str">
        <f>IF($A238&lt;&gt;"",MAESTRO!$M238,"")</f>
        <v>VIP</v>
      </c>
      <c r="F238" t="str">
        <f>IF($A238&lt;&gt;"",MAESTRO!$J238,"")</f>
        <v>SI</v>
      </c>
      <c r="G238" t="str">
        <f>IF($A238&lt;&gt;"",MAESTRO!$D238,"")</f>
        <v>Rector</v>
      </c>
      <c r="H238" t="str">
        <f>IF($A238&lt;&gt;"",IF(TRIM(MAESTRO!$G238&amp;" "&amp;MAESTRO!$H238&amp;" "&amp;MAESTRO!$I238)="",MAESTRO!$F238,TRIM(MAESTRO!$G238&amp;" "&amp;MAESTRO!$H238&amp;" "&amp;MAESTRO!$I238)),"")</f>
        <v>Thomas Klischies Nevermann</v>
      </c>
      <c r="I238" t="str">
        <f>IF($A238&lt;&gt;"",MAESTRO!$K238,"")</f>
        <v>Director DUOC UC Sede San Andrés de Concepción</v>
      </c>
      <c r="J238">
        <f>IF($A238&lt;&gt;"",238,"")</f>
        <v>238</v>
      </c>
    </row>
    <row r="239" spans="1:10" x14ac:dyDescent="0.2">
      <c r="A239" t="str">
        <f>IF(AND(UPPER(MAESTRO!$M239)="VIP",UPPER(MAESTRO!$J239)="SI",MAESTRO!$F239&lt;&gt;""),MAESTRO!$P239,"")</f>
        <v/>
      </c>
      <c r="B239" t="str">
        <f>IF($A239&lt;&gt;"",MAESTRO!$B239,"")</f>
        <v/>
      </c>
      <c r="C239" t="str">
        <f>IF($A239&lt;&gt;"",MAESTRO!$A239,"")</f>
        <v/>
      </c>
      <c r="D239" t="str">
        <f>IF($A239&lt;&gt;"",MAESTRO!$C239,"")</f>
        <v/>
      </c>
      <c r="E239" t="str">
        <f>IF($A239&lt;&gt;"",MAESTRO!$M239,"")</f>
        <v/>
      </c>
      <c r="F239" t="str">
        <f>IF($A239&lt;&gt;"",MAESTRO!$J239,"")</f>
        <v/>
      </c>
      <c r="G239" t="str">
        <f>IF($A239&lt;&gt;"",MAESTRO!$D239,"")</f>
        <v/>
      </c>
      <c r="H239" t="str">
        <f>IF($A239&lt;&gt;"",IF(TRIM(MAESTRO!$G239&amp;" "&amp;MAESTRO!$H239&amp;" "&amp;MAESTRO!$I239)="",MAESTRO!$F239,TRIM(MAESTRO!$G239&amp;" "&amp;MAESTRO!$H239&amp;" "&amp;MAESTRO!$I239)),"")</f>
        <v/>
      </c>
      <c r="I239" t="str">
        <f>IF($A239&lt;&gt;"",MAESTRO!$K239,"")</f>
        <v/>
      </c>
      <c r="J239" t="str">
        <f>IF($A239&lt;&gt;"",239,"")</f>
        <v/>
      </c>
    </row>
    <row r="240" spans="1:10" x14ac:dyDescent="0.2">
      <c r="A240" t="str">
        <f>IF(AND(UPPER(MAESTRO!$M240)="VIP",UPPER(MAESTRO!$J240)="SI",MAESTRO!$F240&lt;&gt;""),MAESTRO!$P240,"")</f>
        <v/>
      </c>
      <c r="B240" t="str">
        <f>IF($A240&lt;&gt;"",MAESTRO!$B240,"")</f>
        <v/>
      </c>
      <c r="C240" t="str">
        <f>IF($A240&lt;&gt;"",MAESTRO!$A240,"")</f>
        <v/>
      </c>
      <c r="D240" t="str">
        <f>IF($A240&lt;&gt;"",MAESTRO!$C240,"")</f>
        <v/>
      </c>
      <c r="E240" t="str">
        <f>IF($A240&lt;&gt;"",MAESTRO!$M240,"")</f>
        <v/>
      </c>
      <c r="F240" t="str">
        <f>IF($A240&lt;&gt;"",MAESTRO!$J240,"")</f>
        <v/>
      </c>
      <c r="G240" t="str">
        <f>IF($A240&lt;&gt;"",MAESTRO!$D240,"")</f>
        <v/>
      </c>
      <c r="H240" t="str">
        <f>IF($A240&lt;&gt;"",IF(TRIM(MAESTRO!$G240&amp;" "&amp;MAESTRO!$H240&amp;" "&amp;MAESTRO!$I240)="",MAESTRO!$F240,TRIM(MAESTRO!$G240&amp;" "&amp;MAESTRO!$H240&amp;" "&amp;MAESTRO!$I240)),"")</f>
        <v/>
      </c>
      <c r="I240" t="str">
        <f>IF($A240&lt;&gt;"",MAESTRO!$K240,"")</f>
        <v/>
      </c>
      <c r="J240" t="str">
        <f>IF($A240&lt;&gt;"",240,"")</f>
        <v/>
      </c>
    </row>
    <row r="241" spans="1:10" x14ac:dyDescent="0.2">
      <c r="A241" t="str">
        <f>IF(AND(UPPER(MAESTRO!$M241)="VIP",UPPER(MAESTRO!$J241)="SI",MAESTRO!$F241&lt;&gt;""),MAESTRO!$P241,"")</f>
        <v>A19</v>
      </c>
      <c r="B241">
        <f>IF($A241&lt;&gt;"",MAESTRO!$B241,"")</f>
        <v>240</v>
      </c>
      <c r="C241">
        <f>IF($A241&lt;&gt;"",MAESTRO!$A241,"")</f>
        <v>240</v>
      </c>
      <c r="D241" t="str">
        <f>IF($A241&lt;&gt;"",MAESTRO!$C241,"")</f>
        <v>ACADÉMICOS</v>
      </c>
      <c r="E241" t="str">
        <f>IF($A241&lt;&gt;"",MAESTRO!$M241,"")</f>
        <v>VIP</v>
      </c>
      <c r="F241" t="str">
        <f>IF($A241&lt;&gt;"",MAESTRO!$J241,"")</f>
        <v>SI</v>
      </c>
      <c r="G241" t="str">
        <f>IF($A241&lt;&gt;"",MAESTRO!$D241,"")</f>
        <v>Rector</v>
      </c>
      <c r="H241" t="str">
        <f>IF($A241&lt;&gt;"",IF(TRIM(MAESTRO!$G241&amp;" "&amp;MAESTRO!$H241&amp;" "&amp;MAESTRO!$I241)="",MAESTRO!$F241,TRIM(MAESTRO!$G241&amp;" "&amp;MAESTRO!$H241&amp;" "&amp;MAESTRO!$I241)),"")</f>
        <v>Jacqueline Sepúlveda Carreño</v>
      </c>
      <c r="I241" t="str">
        <f>IF($A241&lt;&gt;"",MAESTRO!$K241,"")</f>
        <v>Rector Universidad de Concepción</v>
      </c>
      <c r="J241">
        <f>IF($A241&lt;&gt;"",241,"")</f>
        <v>241</v>
      </c>
    </row>
    <row r="242" spans="1:10" x14ac:dyDescent="0.2">
      <c r="A242" t="str">
        <f>IF(AND(UPPER(MAESTRO!$M242)="VIP",UPPER(MAESTRO!$J242)="SI",MAESTRO!$F242&lt;&gt;""),MAESTRO!$P242,"")</f>
        <v/>
      </c>
      <c r="B242" t="str">
        <f>IF($A242&lt;&gt;"",MAESTRO!$B242,"")</f>
        <v/>
      </c>
      <c r="C242" t="str">
        <f>IF($A242&lt;&gt;"",MAESTRO!$A242,"")</f>
        <v/>
      </c>
      <c r="D242" t="str">
        <f>IF($A242&lt;&gt;"",MAESTRO!$C242,"")</f>
        <v/>
      </c>
      <c r="E242" t="str">
        <f>IF($A242&lt;&gt;"",MAESTRO!$M242,"")</f>
        <v/>
      </c>
      <c r="F242" t="str">
        <f>IF($A242&lt;&gt;"",MAESTRO!$J242,"")</f>
        <v/>
      </c>
      <c r="G242" t="str">
        <f>IF($A242&lt;&gt;"",MAESTRO!$D242,"")</f>
        <v/>
      </c>
      <c r="H242" t="str">
        <f>IF($A242&lt;&gt;"",IF(TRIM(MAESTRO!$G242&amp;" "&amp;MAESTRO!$H242&amp;" "&amp;MAESTRO!$I242)="",MAESTRO!$F242,TRIM(MAESTRO!$G242&amp;" "&amp;MAESTRO!$H242&amp;" "&amp;MAESTRO!$I242)),"")</f>
        <v/>
      </c>
      <c r="I242" t="str">
        <f>IF($A242&lt;&gt;"",MAESTRO!$K242,"")</f>
        <v/>
      </c>
      <c r="J242" t="str">
        <f>IF($A242&lt;&gt;"",242,"")</f>
        <v/>
      </c>
    </row>
    <row r="243" spans="1:10" x14ac:dyDescent="0.2">
      <c r="A243" t="str">
        <f>IF(AND(UPPER(MAESTRO!$M243)="VIP",UPPER(MAESTRO!$J243)="SI",MAESTRO!$F243&lt;&gt;""),MAESTRO!$P243,"")</f>
        <v/>
      </c>
      <c r="B243" t="str">
        <f>IF($A243&lt;&gt;"",MAESTRO!$B243,"")</f>
        <v/>
      </c>
      <c r="C243" t="str">
        <f>IF($A243&lt;&gt;"",MAESTRO!$A243,"")</f>
        <v/>
      </c>
      <c r="D243" t="str">
        <f>IF($A243&lt;&gt;"",MAESTRO!$C243,"")</f>
        <v/>
      </c>
      <c r="E243" t="str">
        <f>IF($A243&lt;&gt;"",MAESTRO!$M243,"")</f>
        <v/>
      </c>
      <c r="F243" t="str">
        <f>IF($A243&lt;&gt;"",MAESTRO!$J243,"")</f>
        <v/>
      </c>
      <c r="G243" t="str">
        <f>IF($A243&lt;&gt;"",MAESTRO!$D243,"")</f>
        <v/>
      </c>
      <c r="H243" t="str">
        <f>IF($A243&lt;&gt;"",IF(TRIM(MAESTRO!$G243&amp;" "&amp;MAESTRO!$H243&amp;" "&amp;MAESTRO!$I243)="",MAESTRO!$F243,TRIM(MAESTRO!$G243&amp;" "&amp;MAESTRO!$H243&amp;" "&amp;MAESTRO!$I243)),"")</f>
        <v/>
      </c>
      <c r="I243" t="str">
        <f>IF($A243&lt;&gt;"",MAESTRO!$K243,"")</f>
        <v/>
      </c>
      <c r="J243" t="str">
        <f>IF($A243&lt;&gt;"",243,"")</f>
        <v/>
      </c>
    </row>
    <row r="244" spans="1:10" x14ac:dyDescent="0.2">
      <c r="A244" t="str">
        <f>IF(AND(UPPER(MAESTRO!$M244)="VIP",UPPER(MAESTRO!$J244)="SI",MAESTRO!$F244&lt;&gt;""),MAESTRO!$P244,"")</f>
        <v/>
      </c>
      <c r="B244" t="str">
        <f>IF($A244&lt;&gt;"",MAESTRO!$B244,"")</f>
        <v/>
      </c>
      <c r="C244" t="str">
        <f>IF($A244&lt;&gt;"",MAESTRO!$A244,"")</f>
        <v/>
      </c>
      <c r="D244" t="str">
        <f>IF($A244&lt;&gt;"",MAESTRO!$C244,"")</f>
        <v/>
      </c>
      <c r="E244" t="str">
        <f>IF($A244&lt;&gt;"",MAESTRO!$M244,"")</f>
        <v/>
      </c>
      <c r="F244" t="str">
        <f>IF($A244&lt;&gt;"",MAESTRO!$J244,"")</f>
        <v/>
      </c>
      <c r="G244" t="str">
        <f>IF($A244&lt;&gt;"",MAESTRO!$D244,"")</f>
        <v/>
      </c>
      <c r="H244" t="str">
        <f>IF($A244&lt;&gt;"",IF(TRIM(MAESTRO!$G244&amp;" "&amp;MAESTRO!$H244&amp;" "&amp;MAESTRO!$I244)="",MAESTRO!$F244,TRIM(MAESTRO!$G244&amp;" "&amp;MAESTRO!$H244&amp;" "&amp;MAESTRO!$I244)),"")</f>
        <v/>
      </c>
      <c r="I244" t="str">
        <f>IF($A244&lt;&gt;"",MAESTRO!$K244,"")</f>
        <v/>
      </c>
      <c r="J244" t="str">
        <f>IF($A244&lt;&gt;"",244,"")</f>
        <v/>
      </c>
    </row>
    <row r="245" spans="1:10" x14ac:dyDescent="0.2">
      <c r="A245" t="str">
        <f>IF(AND(UPPER(MAESTRO!$M245)="VIP",UPPER(MAESTRO!$J245)="SI",MAESTRO!$F245&lt;&gt;""),MAESTRO!$P245,"")</f>
        <v/>
      </c>
      <c r="B245" t="str">
        <f>IF($A245&lt;&gt;"",MAESTRO!$B245,"")</f>
        <v/>
      </c>
      <c r="C245" t="str">
        <f>IF($A245&lt;&gt;"",MAESTRO!$A245,"")</f>
        <v/>
      </c>
      <c r="D245" t="str">
        <f>IF($A245&lt;&gt;"",MAESTRO!$C245,"")</f>
        <v/>
      </c>
      <c r="E245" t="str">
        <f>IF($A245&lt;&gt;"",MAESTRO!$M245,"")</f>
        <v/>
      </c>
      <c r="F245" t="str">
        <f>IF($A245&lt;&gt;"",MAESTRO!$J245,"")</f>
        <v/>
      </c>
      <c r="G245" t="str">
        <f>IF($A245&lt;&gt;"",MAESTRO!$D245,"")</f>
        <v/>
      </c>
      <c r="H245" t="str">
        <f>IF($A245&lt;&gt;"",IF(TRIM(MAESTRO!$G245&amp;" "&amp;MAESTRO!$H245&amp;" "&amp;MAESTRO!$I245)="",MAESTRO!$F245,TRIM(MAESTRO!$G245&amp;" "&amp;MAESTRO!$H245&amp;" "&amp;MAESTRO!$I245)),"")</f>
        <v/>
      </c>
      <c r="I245" t="str">
        <f>IF($A245&lt;&gt;"",MAESTRO!$K245,"")</f>
        <v/>
      </c>
      <c r="J245" t="str">
        <f>IF($A245&lt;&gt;"",245,"")</f>
        <v/>
      </c>
    </row>
    <row r="246" spans="1:10" x14ac:dyDescent="0.2">
      <c r="A246" t="str">
        <f>IF(AND(UPPER(MAESTRO!$M246)="VIP",UPPER(MAESTRO!$J246)="SI",MAESTRO!$F246&lt;&gt;""),MAESTRO!$P246,"")</f>
        <v/>
      </c>
      <c r="B246" t="str">
        <f>IF($A246&lt;&gt;"",MAESTRO!$B246,"")</f>
        <v/>
      </c>
      <c r="C246" t="str">
        <f>IF($A246&lt;&gt;"",MAESTRO!$A246,"")</f>
        <v/>
      </c>
      <c r="D246" t="str">
        <f>IF($A246&lt;&gt;"",MAESTRO!$C246,"")</f>
        <v/>
      </c>
      <c r="E246" t="str">
        <f>IF($A246&lt;&gt;"",MAESTRO!$M246,"")</f>
        <v/>
      </c>
      <c r="F246" t="str">
        <f>IF($A246&lt;&gt;"",MAESTRO!$J246,"")</f>
        <v/>
      </c>
      <c r="G246" t="str">
        <f>IF($A246&lt;&gt;"",MAESTRO!$D246,"")</f>
        <v/>
      </c>
      <c r="H246" t="str">
        <f>IF($A246&lt;&gt;"",IF(TRIM(MAESTRO!$G246&amp;" "&amp;MAESTRO!$H246&amp;" "&amp;MAESTRO!$I246)="",MAESTRO!$F246,TRIM(MAESTRO!$G246&amp;" "&amp;MAESTRO!$H246&amp;" "&amp;MAESTRO!$I246)),"")</f>
        <v/>
      </c>
      <c r="I246" t="str">
        <f>IF($A246&lt;&gt;"",MAESTRO!$K246,"")</f>
        <v/>
      </c>
      <c r="J246" t="str">
        <f>IF($A246&lt;&gt;"",246,"")</f>
        <v/>
      </c>
    </row>
    <row r="247" spans="1:10" x14ac:dyDescent="0.2">
      <c r="A247" t="str">
        <f>IF(AND(UPPER(MAESTRO!$M247)="VIP",UPPER(MAESTRO!$J247)="SI",MAESTRO!$F247&lt;&gt;""),MAESTRO!$P247,"")</f>
        <v/>
      </c>
      <c r="B247" t="str">
        <f>IF($A247&lt;&gt;"",MAESTRO!$B247,"")</f>
        <v/>
      </c>
      <c r="C247" t="str">
        <f>IF($A247&lt;&gt;"",MAESTRO!$A247,"")</f>
        <v/>
      </c>
      <c r="D247" t="str">
        <f>IF($A247&lt;&gt;"",MAESTRO!$C247,"")</f>
        <v/>
      </c>
      <c r="E247" t="str">
        <f>IF($A247&lt;&gt;"",MAESTRO!$M247,"")</f>
        <v/>
      </c>
      <c r="F247" t="str">
        <f>IF($A247&lt;&gt;"",MAESTRO!$J247,"")</f>
        <v/>
      </c>
      <c r="G247" t="str">
        <f>IF($A247&lt;&gt;"",MAESTRO!$D247,"")</f>
        <v/>
      </c>
      <c r="H247" t="str">
        <f>IF($A247&lt;&gt;"",IF(TRIM(MAESTRO!$G247&amp;" "&amp;MAESTRO!$H247&amp;" "&amp;MAESTRO!$I247)="",MAESTRO!$F247,TRIM(MAESTRO!$G247&amp;" "&amp;MAESTRO!$H247&amp;" "&amp;MAESTRO!$I247)),"")</f>
        <v/>
      </c>
      <c r="I247" t="str">
        <f>IF($A247&lt;&gt;"",MAESTRO!$K247,"")</f>
        <v/>
      </c>
      <c r="J247" t="str">
        <f>IF($A247&lt;&gt;"",247,"")</f>
        <v/>
      </c>
    </row>
    <row r="248" spans="1:10" x14ac:dyDescent="0.2">
      <c r="A248" t="str">
        <f>IF(AND(UPPER(MAESTRO!$M248)="VIP",UPPER(MAESTRO!$J248)="SI",MAESTRO!$F248&lt;&gt;""),MAESTRO!$P248,"")</f>
        <v/>
      </c>
      <c r="B248" t="str">
        <f>IF($A248&lt;&gt;"",MAESTRO!$B248,"")</f>
        <v/>
      </c>
      <c r="C248" t="str">
        <f>IF($A248&lt;&gt;"",MAESTRO!$A248,"")</f>
        <v/>
      </c>
      <c r="D248" t="str">
        <f>IF($A248&lt;&gt;"",MAESTRO!$C248,"")</f>
        <v/>
      </c>
      <c r="E248" t="str">
        <f>IF($A248&lt;&gt;"",MAESTRO!$M248,"")</f>
        <v/>
      </c>
      <c r="F248" t="str">
        <f>IF($A248&lt;&gt;"",MAESTRO!$J248,"")</f>
        <v/>
      </c>
      <c r="G248" t="str">
        <f>IF($A248&lt;&gt;"",MAESTRO!$D248,"")</f>
        <v/>
      </c>
      <c r="H248" t="str">
        <f>IF($A248&lt;&gt;"",IF(TRIM(MAESTRO!$G248&amp;" "&amp;MAESTRO!$H248&amp;" "&amp;MAESTRO!$I248)="",MAESTRO!$F248,TRIM(MAESTRO!$G248&amp;" "&amp;MAESTRO!$H248&amp;" "&amp;MAESTRO!$I248)),"")</f>
        <v/>
      </c>
      <c r="I248" t="str">
        <f>IF($A248&lt;&gt;"",MAESTRO!$K248,"")</f>
        <v/>
      </c>
      <c r="J248" t="str">
        <f>IF($A248&lt;&gt;"",248,"")</f>
        <v/>
      </c>
    </row>
    <row r="249" spans="1:10" x14ac:dyDescent="0.2">
      <c r="A249" t="str">
        <f>IF(AND(UPPER(MAESTRO!$M249)="VIP",UPPER(MAESTRO!$J249)="SI",MAESTRO!$F249&lt;&gt;""),MAESTRO!$P249,"")</f>
        <v/>
      </c>
      <c r="B249" t="str">
        <f>IF($A249&lt;&gt;"",MAESTRO!$B249,"")</f>
        <v/>
      </c>
      <c r="C249" t="str">
        <f>IF($A249&lt;&gt;"",MAESTRO!$A249,"")</f>
        <v/>
      </c>
      <c r="D249" t="str">
        <f>IF($A249&lt;&gt;"",MAESTRO!$C249,"")</f>
        <v/>
      </c>
      <c r="E249" t="str">
        <f>IF($A249&lt;&gt;"",MAESTRO!$M249,"")</f>
        <v/>
      </c>
      <c r="F249" t="str">
        <f>IF($A249&lt;&gt;"",MAESTRO!$J249,"")</f>
        <v/>
      </c>
      <c r="G249" t="str">
        <f>IF($A249&lt;&gt;"",MAESTRO!$D249,"")</f>
        <v/>
      </c>
      <c r="H249" t="str">
        <f>IF($A249&lt;&gt;"",IF(TRIM(MAESTRO!$G249&amp;" "&amp;MAESTRO!$H249&amp;" "&amp;MAESTRO!$I249)="",MAESTRO!$F249,TRIM(MAESTRO!$G249&amp;" "&amp;MAESTRO!$H249&amp;" "&amp;MAESTRO!$I249)),"")</f>
        <v/>
      </c>
      <c r="I249" t="str">
        <f>IF($A249&lt;&gt;"",MAESTRO!$K249,"")</f>
        <v/>
      </c>
      <c r="J249" t="str">
        <f>IF($A249&lt;&gt;"",249,"")</f>
        <v/>
      </c>
    </row>
    <row r="250" spans="1:10" x14ac:dyDescent="0.2">
      <c r="A250" t="str">
        <f>IF(AND(UPPER(MAESTRO!$M250)="VIP",UPPER(MAESTRO!$J250)="SI",MAESTRO!$F250&lt;&gt;""),MAESTRO!$P250,"")</f>
        <v/>
      </c>
      <c r="B250" t="str">
        <f>IF($A250&lt;&gt;"",MAESTRO!$B250,"")</f>
        <v/>
      </c>
      <c r="C250" t="str">
        <f>IF($A250&lt;&gt;"",MAESTRO!$A250,"")</f>
        <v/>
      </c>
      <c r="D250" t="str">
        <f>IF($A250&lt;&gt;"",MAESTRO!$C250,"")</f>
        <v/>
      </c>
      <c r="E250" t="str">
        <f>IF($A250&lt;&gt;"",MAESTRO!$M250,"")</f>
        <v/>
      </c>
      <c r="F250" t="str">
        <f>IF($A250&lt;&gt;"",MAESTRO!$J250,"")</f>
        <v/>
      </c>
      <c r="G250" t="str">
        <f>IF($A250&lt;&gt;"",MAESTRO!$D250,"")</f>
        <v/>
      </c>
      <c r="H250" t="str">
        <f>IF($A250&lt;&gt;"",IF(TRIM(MAESTRO!$G250&amp;" "&amp;MAESTRO!$H250&amp;" "&amp;MAESTRO!$I250)="",MAESTRO!$F250,TRIM(MAESTRO!$G250&amp;" "&amp;MAESTRO!$H250&amp;" "&amp;MAESTRO!$I250)),"")</f>
        <v/>
      </c>
      <c r="I250" t="str">
        <f>IF($A250&lt;&gt;"",MAESTRO!$K250,"")</f>
        <v/>
      </c>
      <c r="J250" t="str">
        <f>IF($A250&lt;&gt;"",250,"")</f>
        <v/>
      </c>
    </row>
    <row r="251" spans="1:10" x14ac:dyDescent="0.2">
      <c r="A251" t="str">
        <f>IF(AND(UPPER(MAESTRO!$M251)="VIP",UPPER(MAESTRO!$J251)="SI",MAESTRO!$F251&lt;&gt;""),MAESTRO!$P251,"")</f>
        <v/>
      </c>
      <c r="B251" t="str">
        <f>IF($A251&lt;&gt;"",MAESTRO!$B251,"")</f>
        <v/>
      </c>
      <c r="C251" t="str">
        <f>IF($A251&lt;&gt;"",MAESTRO!$A251,"")</f>
        <v/>
      </c>
      <c r="D251" t="str">
        <f>IF($A251&lt;&gt;"",MAESTRO!$C251,"")</f>
        <v/>
      </c>
      <c r="E251" t="str">
        <f>IF($A251&lt;&gt;"",MAESTRO!$M251,"")</f>
        <v/>
      </c>
      <c r="F251" t="str">
        <f>IF($A251&lt;&gt;"",MAESTRO!$J251,"")</f>
        <v/>
      </c>
      <c r="G251" t="str">
        <f>IF($A251&lt;&gt;"",MAESTRO!$D251,"")</f>
        <v/>
      </c>
      <c r="H251" t="str">
        <f>IF($A251&lt;&gt;"",IF(TRIM(MAESTRO!$G251&amp;" "&amp;MAESTRO!$H251&amp;" "&amp;MAESTRO!$I251)="",MAESTRO!$F251,TRIM(MAESTRO!$G251&amp;" "&amp;MAESTRO!$H251&amp;" "&amp;MAESTRO!$I251)),"")</f>
        <v/>
      </c>
      <c r="I251" t="str">
        <f>IF($A251&lt;&gt;"",MAESTRO!$K251,"")</f>
        <v/>
      </c>
      <c r="J251" t="str">
        <f>IF($A251&lt;&gt;"",251,"")</f>
        <v/>
      </c>
    </row>
    <row r="252" spans="1:10" x14ac:dyDescent="0.2">
      <c r="A252" t="str">
        <f>IF(AND(UPPER(MAESTRO!$M252)="VIP",UPPER(MAESTRO!$J252)="SI",MAESTRO!$F252&lt;&gt;""),MAESTRO!$P252,"")</f>
        <v/>
      </c>
      <c r="B252" t="str">
        <f>IF($A252&lt;&gt;"",MAESTRO!$B252,"")</f>
        <v/>
      </c>
      <c r="C252" t="str">
        <f>IF($A252&lt;&gt;"",MAESTRO!$A252,"")</f>
        <v/>
      </c>
      <c r="D252" t="str">
        <f>IF($A252&lt;&gt;"",MAESTRO!$C252,"")</f>
        <v/>
      </c>
      <c r="E252" t="str">
        <f>IF($A252&lt;&gt;"",MAESTRO!$M252,"")</f>
        <v/>
      </c>
      <c r="F252" t="str">
        <f>IF($A252&lt;&gt;"",MAESTRO!$J252,"")</f>
        <v/>
      </c>
      <c r="G252" t="str">
        <f>IF($A252&lt;&gt;"",MAESTRO!$D252,"")</f>
        <v/>
      </c>
      <c r="H252" t="str">
        <f>IF($A252&lt;&gt;"",IF(TRIM(MAESTRO!$G252&amp;" "&amp;MAESTRO!$H252&amp;" "&amp;MAESTRO!$I252)="",MAESTRO!$F252,TRIM(MAESTRO!$G252&amp;" "&amp;MAESTRO!$H252&amp;" "&amp;MAESTRO!$I252)),"")</f>
        <v/>
      </c>
      <c r="I252" t="str">
        <f>IF($A252&lt;&gt;"",MAESTRO!$K252,"")</f>
        <v/>
      </c>
      <c r="J252" t="str">
        <f>IF($A252&lt;&gt;"",252,"")</f>
        <v/>
      </c>
    </row>
    <row r="253" spans="1:10" x14ac:dyDescent="0.2">
      <c r="A253" t="str">
        <f>IF(AND(UPPER(MAESTRO!$M253)="VIP",UPPER(MAESTRO!$J253)="SI",MAESTRO!$F253&lt;&gt;""),MAESTRO!$P253,"")</f>
        <v>PENDIENTE POR ASIGNAR</v>
      </c>
      <c r="B253">
        <f>IF($A253&lt;&gt;"",MAESTRO!$B253,"")</f>
        <v>252</v>
      </c>
      <c r="C253">
        <f>IF($A253&lt;&gt;"",MAESTRO!$A253,"")</f>
        <v>252</v>
      </c>
      <c r="D253" t="str">
        <f>IF($A253&lt;&gt;"",MAESTRO!$C253,"")</f>
        <v>ACADÉMICOS</v>
      </c>
      <c r="E253" t="str">
        <f>IF($A253&lt;&gt;"",MAESTRO!$M253,"")</f>
        <v>VIP</v>
      </c>
      <c r="F253" t="str">
        <f>IF($A253&lt;&gt;"",MAESTRO!$J253,"")</f>
        <v>SI</v>
      </c>
      <c r="G253" t="str">
        <f>IF($A253&lt;&gt;"",MAESTRO!$D253,"")</f>
        <v>Rector</v>
      </c>
      <c r="H253" t="str">
        <f>IF($A253&lt;&gt;"",IF(TRIM(MAESTRO!$G253&amp;" "&amp;MAESTRO!$H253&amp;" "&amp;MAESTRO!$I253)="",MAESTRO!$F253,TRIM(MAESTRO!$G253&amp;" "&amp;MAESTRO!$H253&amp;" "&amp;MAESTRO!$I253)),"")</f>
        <v>Henry Monks Ruiz</v>
      </c>
      <c r="I253" t="str">
        <f>IF($A253&lt;&gt;"",MAESTRO!$K253,"")</f>
        <v>Vicerrector Inacap</v>
      </c>
      <c r="J253">
        <f>IF($A253&lt;&gt;"",253,"")</f>
        <v>253</v>
      </c>
    </row>
    <row r="254" spans="1:10" x14ac:dyDescent="0.2">
      <c r="A254" t="str">
        <f>IF(AND(UPPER(MAESTRO!$M254)="VIP",UPPER(MAESTRO!$J254)="SI",MAESTRO!$F254&lt;&gt;""),MAESTRO!$P254,"")</f>
        <v/>
      </c>
      <c r="B254" t="str">
        <f>IF($A254&lt;&gt;"",MAESTRO!$B254,"")</f>
        <v/>
      </c>
      <c r="C254" t="str">
        <f>IF($A254&lt;&gt;"",MAESTRO!$A254,"")</f>
        <v/>
      </c>
      <c r="D254" t="str">
        <f>IF($A254&lt;&gt;"",MAESTRO!$C254,"")</f>
        <v/>
      </c>
      <c r="E254" t="str">
        <f>IF($A254&lt;&gt;"",MAESTRO!$M254,"")</f>
        <v/>
      </c>
      <c r="F254" t="str">
        <f>IF($A254&lt;&gt;"",MAESTRO!$J254,"")</f>
        <v/>
      </c>
      <c r="G254" t="str">
        <f>IF($A254&lt;&gt;"",MAESTRO!$D254,"")</f>
        <v/>
      </c>
      <c r="H254" t="str">
        <f>IF($A254&lt;&gt;"",IF(TRIM(MAESTRO!$G254&amp;" "&amp;MAESTRO!$H254&amp;" "&amp;MAESTRO!$I254)="",MAESTRO!$F254,TRIM(MAESTRO!$G254&amp;" "&amp;MAESTRO!$H254&amp;" "&amp;MAESTRO!$I254)),"")</f>
        <v/>
      </c>
      <c r="I254" t="str">
        <f>IF($A254&lt;&gt;"",MAESTRO!$K254,"")</f>
        <v/>
      </c>
      <c r="J254" t="str">
        <f>IF($A254&lt;&gt;"",254,"")</f>
        <v/>
      </c>
    </row>
    <row r="255" spans="1:10" x14ac:dyDescent="0.2">
      <c r="A255" t="str">
        <f>IF(AND(UPPER(MAESTRO!$M255)="VIP",UPPER(MAESTRO!$J255)="SI",MAESTRO!$F255&lt;&gt;""),MAESTRO!$P255,"")</f>
        <v/>
      </c>
      <c r="B255" t="str">
        <f>IF($A255&lt;&gt;"",MAESTRO!$B255,"")</f>
        <v/>
      </c>
      <c r="C255" t="str">
        <f>IF($A255&lt;&gt;"",MAESTRO!$A255,"")</f>
        <v/>
      </c>
      <c r="D255" t="str">
        <f>IF($A255&lt;&gt;"",MAESTRO!$C255,"")</f>
        <v/>
      </c>
      <c r="E255" t="str">
        <f>IF($A255&lt;&gt;"",MAESTRO!$M255,"")</f>
        <v/>
      </c>
      <c r="F255" t="str">
        <f>IF($A255&lt;&gt;"",MAESTRO!$J255,"")</f>
        <v/>
      </c>
      <c r="G255" t="str">
        <f>IF($A255&lt;&gt;"",MAESTRO!$D255,"")</f>
        <v/>
      </c>
      <c r="H255" t="str">
        <f>IF($A255&lt;&gt;"",IF(TRIM(MAESTRO!$G255&amp;" "&amp;MAESTRO!$H255&amp;" "&amp;MAESTRO!$I255)="",MAESTRO!$F255,TRIM(MAESTRO!$G255&amp;" "&amp;MAESTRO!$H255&amp;" "&amp;MAESTRO!$I255)),"")</f>
        <v/>
      </c>
      <c r="I255" t="str">
        <f>IF($A255&lt;&gt;"",MAESTRO!$K255,"")</f>
        <v/>
      </c>
      <c r="J255" t="str">
        <f>IF($A255&lt;&gt;"",255,"")</f>
        <v/>
      </c>
    </row>
    <row r="256" spans="1:10" x14ac:dyDescent="0.2">
      <c r="A256" t="str">
        <f>IF(AND(UPPER(MAESTRO!$M256)="VIP",UPPER(MAESTRO!$J256)="SI",MAESTRO!$F256&lt;&gt;""),MAESTRO!$P256,"")</f>
        <v>A27</v>
      </c>
      <c r="B256">
        <f>IF($A256&lt;&gt;"",MAESTRO!$B256,"")</f>
        <v>255</v>
      </c>
      <c r="C256">
        <f>IF($A256&lt;&gt;"",MAESTRO!$A256,"")</f>
        <v>255</v>
      </c>
      <c r="D256" t="str">
        <f>IF($A256&lt;&gt;"",MAESTRO!$C256,"")</f>
        <v>ACADÉMICOS</v>
      </c>
      <c r="E256" t="str">
        <f>IF($A256&lt;&gt;"",MAESTRO!$M256,"")</f>
        <v>VIP</v>
      </c>
      <c r="F256" t="str">
        <f>IF($A256&lt;&gt;"",MAESTRO!$J256,"")</f>
        <v>SI</v>
      </c>
      <c r="G256" t="str">
        <f>IF($A256&lt;&gt;"",MAESTRO!$D256,"")</f>
        <v>Señora</v>
      </c>
      <c r="H256" t="str">
        <f>IF($A256&lt;&gt;"",IF(TRIM(MAESTRO!$G256&amp;" "&amp;MAESTRO!$H256&amp;" "&amp;MAESTRO!$I256)="",MAESTRO!$F256,TRIM(MAESTRO!$G256&amp;" "&amp;MAESTRO!$H256&amp;" "&amp;MAESTRO!$I256)),"")</f>
        <v>Paz Hormazábal Poblete</v>
      </c>
      <c r="I256" t="str">
        <f>IF($A256&lt;&gt;"",MAESTRO!$K256,"")</f>
        <v>Vicerrectora Universidad de Las Américas sede Concepción - Vicepresidenta CIDERE Biobio</v>
      </c>
      <c r="J256">
        <f>IF($A256&lt;&gt;"",256,"")</f>
        <v>256</v>
      </c>
    </row>
    <row r="257" spans="1:10" x14ac:dyDescent="0.2">
      <c r="A257" t="str">
        <f>IF(AND(UPPER(MAESTRO!$M257)="VIP",UPPER(MAESTRO!$J257)="SI",MAESTRO!$F257&lt;&gt;""),MAESTRO!$P257,"")</f>
        <v/>
      </c>
      <c r="B257" t="str">
        <f>IF($A257&lt;&gt;"",MAESTRO!$B257,"")</f>
        <v/>
      </c>
      <c r="C257" t="str">
        <f>IF($A257&lt;&gt;"",MAESTRO!$A257,"")</f>
        <v/>
      </c>
      <c r="D257" t="str">
        <f>IF($A257&lt;&gt;"",MAESTRO!$C257,"")</f>
        <v/>
      </c>
      <c r="E257" t="str">
        <f>IF($A257&lt;&gt;"",MAESTRO!$M257,"")</f>
        <v/>
      </c>
      <c r="F257" t="str">
        <f>IF($A257&lt;&gt;"",MAESTRO!$J257,"")</f>
        <v/>
      </c>
      <c r="G257" t="str">
        <f>IF($A257&lt;&gt;"",MAESTRO!$D257,"")</f>
        <v/>
      </c>
      <c r="H257" t="str">
        <f>IF($A257&lt;&gt;"",IF(TRIM(MAESTRO!$G257&amp;" "&amp;MAESTRO!$H257&amp;" "&amp;MAESTRO!$I257)="",MAESTRO!$F257,TRIM(MAESTRO!$G257&amp;" "&amp;MAESTRO!$H257&amp;" "&amp;MAESTRO!$I257)),"")</f>
        <v/>
      </c>
      <c r="I257" t="str">
        <f>IF($A257&lt;&gt;"",MAESTRO!$K257,"")</f>
        <v/>
      </c>
      <c r="J257" t="str">
        <f>IF($A257&lt;&gt;"",257,"")</f>
        <v/>
      </c>
    </row>
    <row r="258" spans="1:10" x14ac:dyDescent="0.2">
      <c r="A258" t="str">
        <f>IF(AND(UPPER(MAESTRO!$M258)="VIP",UPPER(MAESTRO!$J258)="SI",MAESTRO!$F258&lt;&gt;""),MAESTRO!$P258,"")</f>
        <v/>
      </c>
      <c r="B258" t="str">
        <f>IF($A258&lt;&gt;"",MAESTRO!$B258,"")</f>
        <v/>
      </c>
      <c r="C258" t="str">
        <f>IF($A258&lt;&gt;"",MAESTRO!$A258,"")</f>
        <v/>
      </c>
      <c r="D258" t="str">
        <f>IF($A258&lt;&gt;"",MAESTRO!$C258,"")</f>
        <v/>
      </c>
      <c r="E258" t="str">
        <f>IF($A258&lt;&gt;"",MAESTRO!$M258,"")</f>
        <v/>
      </c>
      <c r="F258" t="str">
        <f>IF($A258&lt;&gt;"",MAESTRO!$J258,"")</f>
        <v/>
      </c>
      <c r="G258" t="str">
        <f>IF($A258&lt;&gt;"",MAESTRO!$D258,"")</f>
        <v/>
      </c>
      <c r="H258" t="str">
        <f>IF($A258&lt;&gt;"",IF(TRIM(MAESTRO!$G258&amp;" "&amp;MAESTRO!$H258&amp;" "&amp;MAESTRO!$I258)="",MAESTRO!$F258,TRIM(MAESTRO!$G258&amp;" "&amp;MAESTRO!$H258&amp;" "&amp;MAESTRO!$I258)),"")</f>
        <v/>
      </c>
      <c r="I258" t="str">
        <f>IF($A258&lt;&gt;"",MAESTRO!$K258,"")</f>
        <v/>
      </c>
      <c r="J258" t="str">
        <f>IF($A258&lt;&gt;"",258,"")</f>
        <v/>
      </c>
    </row>
    <row r="259" spans="1:10" x14ac:dyDescent="0.2">
      <c r="A259" t="str">
        <f>IF(AND(UPPER(MAESTRO!$M259)="VIP",UPPER(MAESTRO!$J259)="SI",MAESTRO!$F259&lt;&gt;""),MAESTRO!$P259,"")</f>
        <v/>
      </c>
      <c r="B259" t="str">
        <f>IF($A259&lt;&gt;"",MAESTRO!$B259,"")</f>
        <v/>
      </c>
      <c r="C259" t="str">
        <f>IF($A259&lt;&gt;"",MAESTRO!$A259,"")</f>
        <v/>
      </c>
      <c r="D259" t="str">
        <f>IF($A259&lt;&gt;"",MAESTRO!$C259,"")</f>
        <v/>
      </c>
      <c r="E259" t="str">
        <f>IF($A259&lt;&gt;"",MAESTRO!$M259,"")</f>
        <v/>
      </c>
      <c r="F259" t="str">
        <f>IF($A259&lt;&gt;"",MAESTRO!$J259,"")</f>
        <v/>
      </c>
      <c r="G259" t="str">
        <f>IF($A259&lt;&gt;"",MAESTRO!$D259,"")</f>
        <v/>
      </c>
      <c r="H259" t="str">
        <f>IF($A259&lt;&gt;"",IF(TRIM(MAESTRO!$G259&amp;" "&amp;MAESTRO!$H259&amp;" "&amp;MAESTRO!$I259)="",MAESTRO!$F259,TRIM(MAESTRO!$G259&amp;" "&amp;MAESTRO!$H259&amp;" "&amp;MAESTRO!$I259)),"")</f>
        <v/>
      </c>
      <c r="I259" t="str">
        <f>IF($A259&lt;&gt;"",MAESTRO!$K259,"")</f>
        <v/>
      </c>
      <c r="J259" t="str">
        <f>IF($A259&lt;&gt;"",259,"")</f>
        <v/>
      </c>
    </row>
    <row r="260" spans="1:10" x14ac:dyDescent="0.2">
      <c r="A260" t="str">
        <f>IF(AND(UPPER(MAESTRO!$M260)="VIP",UPPER(MAESTRO!$J260)="SI",MAESTRO!$F260&lt;&gt;""),MAESTRO!$P260,"")</f>
        <v/>
      </c>
      <c r="B260" t="str">
        <f>IF($A260&lt;&gt;"",MAESTRO!$B260,"")</f>
        <v/>
      </c>
      <c r="C260" t="str">
        <f>IF($A260&lt;&gt;"",MAESTRO!$A260,"")</f>
        <v/>
      </c>
      <c r="D260" t="str">
        <f>IF($A260&lt;&gt;"",MAESTRO!$C260,"")</f>
        <v/>
      </c>
      <c r="E260" t="str">
        <f>IF($A260&lt;&gt;"",MAESTRO!$M260,"")</f>
        <v/>
      </c>
      <c r="F260" t="str">
        <f>IF($A260&lt;&gt;"",MAESTRO!$J260,"")</f>
        <v/>
      </c>
      <c r="G260" t="str">
        <f>IF($A260&lt;&gt;"",MAESTRO!$D260,"")</f>
        <v/>
      </c>
      <c r="H260" t="str">
        <f>IF($A260&lt;&gt;"",IF(TRIM(MAESTRO!$G260&amp;" "&amp;MAESTRO!$H260&amp;" "&amp;MAESTRO!$I260)="",MAESTRO!$F260,TRIM(MAESTRO!$G260&amp;" "&amp;MAESTRO!$H260&amp;" "&amp;MAESTRO!$I260)),"")</f>
        <v/>
      </c>
      <c r="I260" t="str">
        <f>IF($A260&lt;&gt;"",MAESTRO!$K260,"")</f>
        <v/>
      </c>
      <c r="J260" t="str">
        <f>IF($A260&lt;&gt;"",260,"")</f>
        <v/>
      </c>
    </row>
    <row r="261" spans="1:10" x14ac:dyDescent="0.2">
      <c r="A261" t="str">
        <f>IF(AND(UPPER(MAESTRO!$M261)="VIP",UPPER(MAESTRO!$J261)="SI",MAESTRO!$F261&lt;&gt;""),MAESTRO!$P261,"")</f>
        <v/>
      </c>
      <c r="B261" t="str">
        <f>IF($A261&lt;&gt;"",MAESTRO!$B261,"")</f>
        <v/>
      </c>
      <c r="C261" t="str">
        <f>IF($A261&lt;&gt;"",MAESTRO!$A261,"")</f>
        <v/>
      </c>
      <c r="D261" t="str">
        <f>IF($A261&lt;&gt;"",MAESTRO!$C261,"")</f>
        <v/>
      </c>
      <c r="E261" t="str">
        <f>IF($A261&lt;&gt;"",MAESTRO!$M261,"")</f>
        <v/>
      </c>
      <c r="F261" t="str">
        <f>IF($A261&lt;&gt;"",MAESTRO!$J261,"")</f>
        <v/>
      </c>
      <c r="G261" t="str">
        <f>IF($A261&lt;&gt;"",MAESTRO!$D261,"")</f>
        <v/>
      </c>
      <c r="H261" t="str">
        <f>IF($A261&lt;&gt;"",IF(TRIM(MAESTRO!$G261&amp;" "&amp;MAESTRO!$H261&amp;" "&amp;MAESTRO!$I261)="",MAESTRO!$F261,TRIM(MAESTRO!$G261&amp;" "&amp;MAESTRO!$H261&amp;" "&amp;MAESTRO!$I261)),"")</f>
        <v/>
      </c>
      <c r="I261" t="str">
        <f>IF($A261&lt;&gt;"",MAESTRO!$K261,"")</f>
        <v/>
      </c>
      <c r="J261" t="str">
        <f>IF($A261&lt;&gt;"",261,"")</f>
        <v/>
      </c>
    </row>
    <row r="262" spans="1:10" x14ac:dyDescent="0.2">
      <c r="A262" t="str">
        <f>IF(AND(UPPER(MAESTRO!$M262)="VIP",UPPER(MAESTRO!$J262)="SI",MAESTRO!$F262&lt;&gt;""),MAESTRO!$P262,"")</f>
        <v/>
      </c>
      <c r="B262" t="str">
        <f>IF($A262&lt;&gt;"",MAESTRO!$B262,"")</f>
        <v/>
      </c>
      <c r="C262" t="str">
        <f>IF($A262&lt;&gt;"",MAESTRO!$A262,"")</f>
        <v/>
      </c>
      <c r="D262" t="str">
        <f>IF($A262&lt;&gt;"",MAESTRO!$C262,"")</f>
        <v/>
      </c>
      <c r="E262" t="str">
        <f>IF($A262&lt;&gt;"",MAESTRO!$M262,"")</f>
        <v/>
      </c>
      <c r="F262" t="str">
        <f>IF($A262&lt;&gt;"",MAESTRO!$J262,"")</f>
        <v/>
      </c>
      <c r="G262" t="str">
        <f>IF($A262&lt;&gt;"",MAESTRO!$D262,"")</f>
        <v/>
      </c>
      <c r="H262" t="str">
        <f>IF($A262&lt;&gt;"",IF(TRIM(MAESTRO!$G262&amp;" "&amp;MAESTRO!$H262&amp;" "&amp;MAESTRO!$I262)="",MAESTRO!$F262,TRIM(MAESTRO!$G262&amp;" "&amp;MAESTRO!$H262&amp;" "&amp;MAESTRO!$I262)),"")</f>
        <v/>
      </c>
      <c r="I262" t="str">
        <f>IF($A262&lt;&gt;"",MAESTRO!$K262,"")</f>
        <v/>
      </c>
      <c r="J262" t="str">
        <f>IF($A262&lt;&gt;"",262,"")</f>
        <v/>
      </c>
    </row>
    <row r="263" spans="1:10" x14ac:dyDescent="0.2">
      <c r="A263" t="str">
        <f>IF(AND(UPPER(MAESTRO!$M263)="VIP",UPPER(MAESTRO!$J263)="SI",MAESTRO!$F263&lt;&gt;""),MAESTRO!$P263,"")</f>
        <v/>
      </c>
      <c r="B263" t="str">
        <f>IF($A263&lt;&gt;"",MAESTRO!$B263,"")</f>
        <v/>
      </c>
      <c r="C263" t="str">
        <f>IF($A263&lt;&gt;"",MAESTRO!$A263,"")</f>
        <v/>
      </c>
      <c r="D263" t="str">
        <f>IF($A263&lt;&gt;"",MAESTRO!$C263,"")</f>
        <v/>
      </c>
      <c r="E263" t="str">
        <f>IF($A263&lt;&gt;"",MAESTRO!$M263,"")</f>
        <v/>
      </c>
      <c r="F263" t="str">
        <f>IF($A263&lt;&gt;"",MAESTRO!$J263,"")</f>
        <v/>
      </c>
      <c r="G263" t="str">
        <f>IF($A263&lt;&gt;"",MAESTRO!$D263,"")</f>
        <v/>
      </c>
      <c r="H263" t="str">
        <f>IF($A263&lt;&gt;"",IF(TRIM(MAESTRO!$G263&amp;" "&amp;MAESTRO!$H263&amp;" "&amp;MAESTRO!$I263)="",MAESTRO!$F263,TRIM(MAESTRO!$G263&amp;" "&amp;MAESTRO!$H263&amp;" "&amp;MAESTRO!$I263)),"")</f>
        <v/>
      </c>
      <c r="I263" t="str">
        <f>IF($A263&lt;&gt;"",MAESTRO!$K263,"")</f>
        <v/>
      </c>
      <c r="J263" t="str">
        <f>IF($A263&lt;&gt;"",263,"")</f>
        <v/>
      </c>
    </row>
    <row r="264" spans="1:10" x14ac:dyDescent="0.2">
      <c r="A264" t="str">
        <f>IF(AND(UPPER(MAESTRO!$M264)="VIP",UPPER(MAESTRO!$J264)="SI",MAESTRO!$F264&lt;&gt;""),MAESTRO!$P264,"")</f>
        <v/>
      </c>
      <c r="B264" t="str">
        <f>IF($A264&lt;&gt;"",MAESTRO!$B264,"")</f>
        <v/>
      </c>
      <c r="C264" t="str">
        <f>IF($A264&lt;&gt;"",MAESTRO!$A264,"")</f>
        <v/>
      </c>
      <c r="D264" t="str">
        <f>IF($A264&lt;&gt;"",MAESTRO!$C264,"")</f>
        <v/>
      </c>
      <c r="E264" t="str">
        <f>IF($A264&lt;&gt;"",MAESTRO!$M264,"")</f>
        <v/>
      </c>
      <c r="F264" t="str">
        <f>IF($A264&lt;&gt;"",MAESTRO!$J264,"")</f>
        <v/>
      </c>
      <c r="G264" t="str">
        <f>IF($A264&lt;&gt;"",MAESTRO!$D264,"")</f>
        <v/>
      </c>
      <c r="H264" t="str">
        <f>IF($A264&lt;&gt;"",IF(TRIM(MAESTRO!$G264&amp;" "&amp;MAESTRO!$H264&amp;" "&amp;MAESTRO!$I264)="",MAESTRO!$F264,TRIM(MAESTRO!$G264&amp;" "&amp;MAESTRO!$H264&amp;" "&amp;MAESTRO!$I264)),"")</f>
        <v/>
      </c>
      <c r="I264" t="str">
        <f>IF($A264&lt;&gt;"",MAESTRO!$K264,"")</f>
        <v/>
      </c>
      <c r="J264" t="str">
        <f>IF($A264&lt;&gt;"",264,"")</f>
        <v/>
      </c>
    </row>
    <row r="265" spans="1:10" x14ac:dyDescent="0.2">
      <c r="A265" t="str">
        <f>IF(AND(UPPER(MAESTRO!$M265)="VIP",UPPER(MAESTRO!$J265)="SI",MAESTRO!$F265&lt;&gt;""),MAESTRO!$P265,"")</f>
        <v/>
      </c>
      <c r="B265" t="str">
        <f>IF($A265&lt;&gt;"",MAESTRO!$B265,"")</f>
        <v/>
      </c>
      <c r="C265" t="str">
        <f>IF($A265&lt;&gt;"",MAESTRO!$A265,"")</f>
        <v/>
      </c>
      <c r="D265" t="str">
        <f>IF($A265&lt;&gt;"",MAESTRO!$C265,"")</f>
        <v/>
      </c>
      <c r="E265" t="str">
        <f>IF($A265&lt;&gt;"",MAESTRO!$M265,"")</f>
        <v/>
      </c>
      <c r="F265" t="str">
        <f>IF($A265&lt;&gt;"",MAESTRO!$J265,"")</f>
        <v/>
      </c>
      <c r="G265" t="str">
        <f>IF($A265&lt;&gt;"",MAESTRO!$D265,"")</f>
        <v/>
      </c>
      <c r="H265" t="str">
        <f>IF($A265&lt;&gt;"",IF(TRIM(MAESTRO!$G265&amp;" "&amp;MAESTRO!$H265&amp;" "&amp;MAESTRO!$I265)="",MAESTRO!$F265,TRIM(MAESTRO!$G265&amp;" "&amp;MAESTRO!$H265&amp;" "&amp;MAESTRO!$I265)),"")</f>
        <v/>
      </c>
      <c r="I265" t="str">
        <f>IF($A265&lt;&gt;"",MAESTRO!$K265,"")</f>
        <v/>
      </c>
      <c r="J265" t="str">
        <f>IF($A265&lt;&gt;"",265,"")</f>
        <v/>
      </c>
    </row>
    <row r="266" spans="1:10" x14ac:dyDescent="0.2">
      <c r="A266" t="str">
        <f>IF(AND(UPPER(MAESTRO!$M266)="VIP",UPPER(MAESTRO!$J266)="SI",MAESTRO!$F266&lt;&gt;""),MAESTRO!$P266,"")</f>
        <v/>
      </c>
      <c r="B266" t="str">
        <f>IF($A266&lt;&gt;"",MAESTRO!$B266,"")</f>
        <v/>
      </c>
      <c r="C266" t="str">
        <f>IF($A266&lt;&gt;"",MAESTRO!$A266,"")</f>
        <v/>
      </c>
      <c r="D266" t="str">
        <f>IF($A266&lt;&gt;"",MAESTRO!$C266,"")</f>
        <v/>
      </c>
      <c r="E266" t="str">
        <f>IF($A266&lt;&gt;"",MAESTRO!$M266,"")</f>
        <v/>
      </c>
      <c r="F266" t="str">
        <f>IF($A266&lt;&gt;"",MAESTRO!$J266,"")</f>
        <v/>
      </c>
      <c r="G266" t="str">
        <f>IF($A266&lt;&gt;"",MAESTRO!$D266,"")</f>
        <v/>
      </c>
      <c r="H266" t="str">
        <f>IF($A266&lt;&gt;"",IF(TRIM(MAESTRO!$G266&amp;" "&amp;MAESTRO!$H266&amp;" "&amp;MAESTRO!$I266)="",MAESTRO!$F266,TRIM(MAESTRO!$G266&amp;" "&amp;MAESTRO!$H266&amp;" "&amp;MAESTRO!$I266)),"")</f>
        <v/>
      </c>
      <c r="I266" t="str">
        <f>IF($A266&lt;&gt;"",MAESTRO!$K266,"")</f>
        <v/>
      </c>
      <c r="J266" t="str">
        <f>IF($A266&lt;&gt;"",266,"")</f>
        <v/>
      </c>
    </row>
    <row r="267" spans="1:10" x14ac:dyDescent="0.2">
      <c r="A267" t="str">
        <f>IF(AND(UPPER(MAESTRO!$M267)="VIP",UPPER(MAESTRO!$J267)="SI",MAESTRO!$F267&lt;&gt;""),MAESTRO!$P267,"")</f>
        <v/>
      </c>
      <c r="B267" t="str">
        <f>IF($A267&lt;&gt;"",MAESTRO!$B267,"")</f>
        <v/>
      </c>
      <c r="C267" t="str">
        <f>IF($A267&lt;&gt;"",MAESTRO!$A267,"")</f>
        <v/>
      </c>
      <c r="D267" t="str">
        <f>IF($A267&lt;&gt;"",MAESTRO!$C267,"")</f>
        <v/>
      </c>
      <c r="E267" t="str">
        <f>IF($A267&lt;&gt;"",MAESTRO!$M267,"")</f>
        <v/>
      </c>
      <c r="F267" t="str">
        <f>IF($A267&lt;&gt;"",MAESTRO!$J267,"")</f>
        <v/>
      </c>
      <c r="G267" t="str">
        <f>IF($A267&lt;&gt;"",MAESTRO!$D267,"")</f>
        <v/>
      </c>
      <c r="H267" t="str">
        <f>IF($A267&lt;&gt;"",IF(TRIM(MAESTRO!$G267&amp;" "&amp;MAESTRO!$H267&amp;" "&amp;MAESTRO!$I267)="",MAESTRO!$F267,TRIM(MAESTRO!$G267&amp;" "&amp;MAESTRO!$H267&amp;" "&amp;MAESTRO!$I267)),"")</f>
        <v/>
      </c>
      <c r="I267" t="str">
        <f>IF($A267&lt;&gt;"",MAESTRO!$K267,"")</f>
        <v/>
      </c>
      <c r="J267" t="str">
        <f>IF($A267&lt;&gt;"",267,"")</f>
        <v/>
      </c>
    </row>
    <row r="268" spans="1:10" x14ac:dyDescent="0.2">
      <c r="A268" t="str">
        <f>IF(AND(UPPER(MAESTRO!$M268)="VIP",UPPER(MAESTRO!$J268)="SI",MAESTRO!$F268&lt;&gt;""),MAESTRO!$P268,"")</f>
        <v/>
      </c>
      <c r="B268" t="str">
        <f>IF($A268&lt;&gt;"",MAESTRO!$B268,"")</f>
        <v/>
      </c>
      <c r="C268" t="str">
        <f>IF($A268&lt;&gt;"",MAESTRO!$A268,"")</f>
        <v/>
      </c>
      <c r="D268" t="str">
        <f>IF($A268&lt;&gt;"",MAESTRO!$C268,"")</f>
        <v/>
      </c>
      <c r="E268" t="str">
        <f>IF($A268&lt;&gt;"",MAESTRO!$M268,"")</f>
        <v/>
      </c>
      <c r="F268" t="str">
        <f>IF($A268&lt;&gt;"",MAESTRO!$J268,"")</f>
        <v/>
      </c>
      <c r="G268" t="str">
        <f>IF($A268&lt;&gt;"",MAESTRO!$D268,"")</f>
        <v/>
      </c>
      <c r="H268" t="str">
        <f>IF($A268&lt;&gt;"",IF(TRIM(MAESTRO!$G268&amp;" "&amp;MAESTRO!$H268&amp;" "&amp;MAESTRO!$I268)="",MAESTRO!$F268,TRIM(MAESTRO!$G268&amp;" "&amp;MAESTRO!$H268&amp;" "&amp;MAESTRO!$I268)),"")</f>
        <v/>
      </c>
      <c r="I268" t="str">
        <f>IF($A268&lt;&gt;"",MAESTRO!$K268,"")</f>
        <v/>
      </c>
      <c r="J268" t="str">
        <f>IF($A268&lt;&gt;"",268,"")</f>
        <v/>
      </c>
    </row>
    <row r="269" spans="1:10" x14ac:dyDescent="0.2">
      <c r="A269" t="str">
        <f>IF(AND(UPPER(MAESTRO!$M269)="VIP",UPPER(MAESTRO!$J269)="SI",MAESTRO!$F269&lt;&gt;""),MAESTRO!$P269,"")</f>
        <v/>
      </c>
      <c r="B269" t="str">
        <f>IF($A269&lt;&gt;"",MAESTRO!$B269,"")</f>
        <v/>
      </c>
      <c r="C269" t="str">
        <f>IF($A269&lt;&gt;"",MAESTRO!$A269,"")</f>
        <v/>
      </c>
      <c r="D269" t="str">
        <f>IF($A269&lt;&gt;"",MAESTRO!$C269,"")</f>
        <v/>
      </c>
      <c r="E269" t="str">
        <f>IF($A269&lt;&gt;"",MAESTRO!$M269,"")</f>
        <v/>
      </c>
      <c r="F269" t="str">
        <f>IF($A269&lt;&gt;"",MAESTRO!$J269,"")</f>
        <v/>
      </c>
      <c r="G269" t="str">
        <f>IF($A269&lt;&gt;"",MAESTRO!$D269,"")</f>
        <v/>
      </c>
      <c r="H269" t="str">
        <f>IF($A269&lt;&gt;"",IF(TRIM(MAESTRO!$G269&amp;" "&amp;MAESTRO!$H269&amp;" "&amp;MAESTRO!$I269)="",MAESTRO!$F269,TRIM(MAESTRO!$G269&amp;" "&amp;MAESTRO!$H269&amp;" "&amp;MAESTRO!$I269)),"")</f>
        <v/>
      </c>
      <c r="I269" t="str">
        <f>IF($A269&lt;&gt;"",MAESTRO!$K269,"")</f>
        <v/>
      </c>
      <c r="J269" t="str">
        <f>IF($A269&lt;&gt;"",269,"")</f>
        <v/>
      </c>
    </row>
    <row r="270" spans="1:10" x14ac:dyDescent="0.2">
      <c r="A270" t="str">
        <f>IF(AND(UPPER(MAESTRO!$M270)="VIP",UPPER(MAESTRO!$J270)="SI",MAESTRO!$F270&lt;&gt;""),MAESTRO!$P270,"")</f>
        <v/>
      </c>
      <c r="B270" t="str">
        <f>IF($A270&lt;&gt;"",MAESTRO!$B270,"")</f>
        <v/>
      </c>
      <c r="C270" t="str">
        <f>IF($A270&lt;&gt;"",MAESTRO!$A270,"")</f>
        <v/>
      </c>
      <c r="D270" t="str">
        <f>IF($A270&lt;&gt;"",MAESTRO!$C270,"")</f>
        <v/>
      </c>
      <c r="E270" t="str">
        <f>IF($A270&lt;&gt;"",MAESTRO!$M270,"")</f>
        <v/>
      </c>
      <c r="F270" t="str">
        <f>IF($A270&lt;&gt;"",MAESTRO!$J270,"")</f>
        <v/>
      </c>
      <c r="G270" t="str">
        <f>IF($A270&lt;&gt;"",MAESTRO!$D270,"")</f>
        <v/>
      </c>
      <c r="H270" t="str">
        <f>IF($A270&lt;&gt;"",IF(TRIM(MAESTRO!$G270&amp;" "&amp;MAESTRO!$H270&amp;" "&amp;MAESTRO!$I270)="",MAESTRO!$F270,TRIM(MAESTRO!$G270&amp;" "&amp;MAESTRO!$H270&amp;" "&amp;MAESTRO!$I270)),"")</f>
        <v/>
      </c>
      <c r="I270" t="str">
        <f>IF($A270&lt;&gt;"",MAESTRO!$K270,"")</f>
        <v/>
      </c>
      <c r="J270" t="str">
        <f>IF($A270&lt;&gt;"",270,"")</f>
        <v/>
      </c>
    </row>
    <row r="271" spans="1:10" x14ac:dyDescent="0.2">
      <c r="A271" t="str">
        <f>IF(AND(UPPER(MAESTRO!$M271)="VIP",UPPER(MAESTRO!$J271)="SI",MAESTRO!$F271&lt;&gt;""),MAESTRO!$P271,"")</f>
        <v/>
      </c>
      <c r="B271" t="str">
        <f>IF($A271&lt;&gt;"",MAESTRO!$B271,"")</f>
        <v/>
      </c>
      <c r="C271" t="str">
        <f>IF($A271&lt;&gt;"",MAESTRO!$A271,"")</f>
        <v/>
      </c>
      <c r="D271" t="str">
        <f>IF($A271&lt;&gt;"",MAESTRO!$C271,"")</f>
        <v/>
      </c>
      <c r="E271" t="str">
        <f>IF($A271&lt;&gt;"",MAESTRO!$M271,"")</f>
        <v/>
      </c>
      <c r="F271" t="str">
        <f>IF($A271&lt;&gt;"",MAESTRO!$J271,"")</f>
        <v/>
      </c>
      <c r="G271" t="str">
        <f>IF($A271&lt;&gt;"",MAESTRO!$D271,"")</f>
        <v/>
      </c>
      <c r="H271" t="str">
        <f>IF($A271&lt;&gt;"",IF(TRIM(MAESTRO!$G271&amp;" "&amp;MAESTRO!$H271&amp;" "&amp;MAESTRO!$I271)="",MAESTRO!$F271,TRIM(MAESTRO!$G271&amp;" "&amp;MAESTRO!$H271&amp;" "&amp;MAESTRO!$I271)),"")</f>
        <v/>
      </c>
      <c r="I271" t="str">
        <f>IF($A271&lt;&gt;"",MAESTRO!$K271,"")</f>
        <v/>
      </c>
      <c r="J271" t="str">
        <f>IF($A271&lt;&gt;"",271,"")</f>
        <v/>
      </c>
    </row>
    <row r="272" spans="1:10" x14ac:dyDescent="0.2">
      <c r="A272" t="str">
        <f>IF(AND(UPPER(MAESTRO!$M272)="VIP",UPPER(MAESTRO!$J272)="SI",MAESTRO!$F272&lt;&gt;""),MAESTRO!$P272,"")</f>
        <v/>
      </c>
      <c r="B272" t="str">
        <f>IF($A272&lt;&gt;"",MAESTRO!$B272,"")</f>
        <v/>
      </c>
      <c r="C272" t="str">
        <f>IF($A272&lt;&gt;"",MAESTRO!$A272,"")</f>
        <v/>
      </c>
      <c r="D272" t="str">
        <f>IF($A272&lt;&gt;"",MAESTRO!$C272,"")</f>
        <v/>
      </c>
      <c r="E272" t="str">
        <f>IF($A272&lt;&gt;"",MAESTRO!$M272,"")</f>
        <v/>
      </c>
      <c r="F272" t="str">
        <f>IF($A272&lt;&gt;"",MAESTRO!$J272,"")</f>
        <v/>
      </c>
      <c r="G272" t="str">
        <f>IF($A272&lt;&gt;"",MAESTRO!$D272,"")</f>
        <v/>
      </c>
      <c r="H272" t="str">
        <f>IF($A272&lt;&gt;"",IF(TRIM(MAESTRO!$G272&amp;" "&amp;MAESTRO!$H272&amp;" "&amp;MAESTRO!$I272)="",MAESTRO!$F272,TRIM(MAESTRO!$G272&amp;" "&amp;MAESTRO!$H272&amp;" "&amp;MAESTRO!$I272)),"")</f>
        <v/>
      </c>
      <c r="I272" t="str">
        <f>IF($A272&lt;&gt;"",MAESTRO!$K272,"")</f>
        <v/>
      </c>
      <c r="J272" t="str">
        <f>IF($A272&lt;&gt;"",272,"")</f>
        <v/>
      </c>
    </row>
    <row r="273" spans="1:10" x14ac:dyDescent="0.2">
      <c r="A273" t="str">
        <f>IF(AND(UPPER(MAESTRO!$M273)="VIP",UPPER(MAESTRO!$J273)="SI",MAESTRO!$F273&lt;&gt;""),MAESTRO!$P273,"")</f>
        <v/>
      </c>
      <c r="B273" t="str">
        <f>IF($A273&lt;&gt;"",MAESTRO!$B273,"")</f>
        <v/>
      </c>
      <c r="C273" t="str">
        <f>IF($A273&lt;&gt;"",MAESTRO!$A273,"")</f>
        <v/>
      </c>
      <c r="D273" t="str">
        <f>IF($A273&lt;&gt;"",MAESTRO!$C273,"")</f>
        <v/>
      </c>
      <c r="E273" t="str">
        <f>IF($A273&lt;&gt;"",MAESTRO!$M273,"")</f>
        <v/>
      </c>
      <c r="F273" t="str">
        <f>IF($A273&lt;&gt;"",MAESTRO!$J273,"")</f>
        <v/>
      </c>
      <c r="G273" t="str">
        <f>IF($A273&lt;&gt;"",MAESTRO!$D273,"")</f>
        <v/>
      </c>
      <c r="H273" t="str">
        <f>IF($A273&lt;&gt;"",IF(TRIM(MAESTRO!$G273&amp;" "&amp;MAESTRO!$H273&amp;" "&amp;MAESTRO!$I273)="",MAESTRO!$F273,TRIM(MAESTRO!$G273&amp;" "&amp;MAESTRO!$H273&amp;" "&amp;MAESTRO!$I273)),"")</f>
        <v/>
      </c>
      <c r="I273" t="str">
        <f>IF($A273&lt;&gt;"",MAESTRO!$K273,"")</f>
        <v/>
      </c>
      <c r="J273" t="str">
        <f>IF($A273&lt;&gt;"",273,"")</f>
        <v/>
      </c>
    </row>
    <row r="274" spans="1:10" x14ac:dyDescent="0.2">
      <c r="A274" t="str">
        <f>IF(AND(UPPER(MAESTRO!$M274)="VIP",UPPER(MAESTRO!$J274)="SI",MAESTRO!$F274&lt;&gt;""),MAESTRO!$P274,"")</f>
        <v/>
      </c>
      <c r="B274" t="str">
        <f>IF($A274&lt;&gt;"",MAESTRO!$B274,"")</f>
        <v/>
      </c>
      <c r="C274" t="str">
        <f>IF($A274&lt;&gt;"",MAESTRO!$A274,"")</f>
        <v/>
      </c>
      <c r="D274" t="str">
        <f>IF($A274&lt;&gt;"",MAESTRO!$C274,"")</f>
        <v/>
      </c>
      <c r="E274" t="str">
        <f>IF($A274&lt;&gt;"",MAESTRO!$M274,"")</f>
        <v/>
      </c>
      <c r="F274" t="str">
        <f>IF($A274&lt;&gt;"",MAESTRO!$J274,"")</f>
        <v/>
      </c>
      <c r="G274" t="str">
        <f>IF($A274&lt;&gt;"",MAESTRO!$D274,"")</f>
        <v/>
      </c>
      <c r="H274" t="str">
        <f>IF($A274&lt;&gt;"",IF(TRIM(MAESTRO!$G274&amp;" "&amp;MAESTRO!$H274&amp;" "&amp;MAESTRO!$I274)="",MAESTRO!$F274,TRIM(MAESTRO!$G274&amp;" "&amp;MAESTRO!$H274&amp;" "&amp;MAESTRO!$I274)),"")</f>
        <v/>
      </c>
      <c r="I274" t="str">
        <f>IF($A274&lt;&gt;"",MAESTRO!$K274,"")</f>
        <v/>
      </c>
      <c r="J274" t="str">
        <f>IF($A274&lt;&gt;"",274,"")</f>
        <v/>
      </c>
    </row>
    <row r="275" spans="1:10" x14ac:dyDescent="0.2">
      <c r="A275" t="str">
        <f>IF(AND(UPPER(MAESTRO!$M275)="VIP",UPPER(MAESTRO!$J275)="SI",MAESTRO!$F275&lt;&gt;""),MAESTRO!$P275,"")</f>
        <v/>
      </c>
      <c r="B275" t="str">
        <f>IF($A275&lt;&gt;"",MAESTRO!$B275,"")</f>
        <v/>
      </c>
      <c r="C275" t="str">
        <f>IF($A275&lt;&gt;"",MAESTRO!$A275,"")</f>
        <v/>
      </c>
      <c r="D275" t="str">
        <f>IF($A275&lt;&gt;"",MAESTRO!$C275,"")</f>
        <v/>
      </c>
      <c r="E275" t="str">
        <f>IF($A275&lt;&gt;"",MAESTRO!$M275,"")</f>
        <v/>
      </c>
      <c r="F275" t="str">
        <f>IF($A275&lt;&gt;"",MAESTRO!$J275,"")</f>
        <v/>
      </c>
      <c r="G275" t="str">
        <f>IF($A275&lt;&gt;"",MAESTRO!$D275,"")</f>
        <v/>
      </c>
      <c r="H275" t="str">
        <f>IF($A275&lt;&gt;"",IF(TRIM(MAESTRO!$G275&amp;" "&amp;MAESTRO!$H275&amp;" "&amp;MAESTRO!$I275)="",MAESTRO!$F275,TRIM(MAESTRO!$G275&amp;" "&amp;MAESTRO!$H275&amp;" "&amp;MAESTRO!$I275)),"")</f>
        <v/>
      </c>
      <c r="I275" t="str">
        <f>IF($A275&lt;&gt;"",MAESTRO!$K275,"")</f>
        <v/>
      </c>
      <c r="J275" t="str">
        <f>IF($A275&lt;&gt;"",275,"")</f>
        <v/>
      </c>
    </row>
    <row r="276" spans="1:10" x14ac:dyDescent="0.2">
      <c r="A276" t="str">
        <f>IF(AND(UPPER(MAESTRO!$M276)="VIP",UPPER(MAESTRO!$J276)="SI",MAESTRO!$F276&lt;&gt;""),MAESTRO!$P276,"")</f>
        <v/>
      </c>
      <c r="B276" t="str">
        <f>IF($A276&lt;&gt;"",MAESTRO!$B276,"")</f>
        <v/>
      </c>
      <c r="C276" t="str">
        <f>IF($A276&lt;&gt;"",MAESTRO!$A276,"")</f>
        <v/>
      </c>
      <c r="D276" t="str">
        <f>IF($A276&lt;&gt;"",MAESTRO!$C276,"")</f>
        <v/>
      </c>
      <c r="E276" t="str">
        <f>IF($A276&lt;&gt;"",MAESTRO!$M276,"")</f>
        <v/>
      </c>
      <c r="F276" t="str">
        <f>IF($A276&lt;&gt;"",MAESTRO!$J276,"")</f>
        <v/>
      </c>
      <c r="G276" t="str">
        <f>IF($A276&lt;&gt;"",MAESTRO!$D276,"")</f>
        <v/>
      </c>
      <c r="H276" t="str">
        <f>IF($A276&lt;&gt;"",IF(TRIM(MAESTRO!$G276&amp;" "&amp;MAESTRO!$H276&amp;" "&amp;MAESTRO!$I276)="",MAESTRO!$F276,TRIM(MAESTRO!$G276&amp;" "&amp;MAESTRO!$H276&amp;" "&amp;MAESTRO!$I276)),"")</f>
        <v/>
      </c>
      <c r="I276" t="str">
        <f>IF($A276&lt;&gt;"",MAESTRO!$K276,"")</f>
        <v/>
      </c>
      <c r="J276" t="str">
        <f>IF($A276&lt;&gt;"",276,"")</f>
        <v/>
      </c>
    </row>
    <row r="277" spans="1:10" x14ac:dyDescent="0.2">
      <c r="A277" t="str">
        <f>IF(AND(UPPER(MAESTRO!$M277)="VIP",UPPER(MAESTRO!$J277)="SI",MAESTRO!$F277&lt;&gt;""),MAESTRO!$P277,"")</f>
        <v/>
      </c>
      <c r="B277" t="str">
        <f>IF($A277&lt;&gt;"",MAESTRO!$B277,"")</f>
        <v/>
      </c>
      <c r="C277" t="str">
        <f>IF($A277&lt;&gt;"",MAESTRO!$A277,"")</f>
        <v/>
      </c>
      <c r="D277" t="str">
        <f>IF($A277&lt;&gt;"",MAESTRO!$C277,"")</f>
        <v/>
      </c>
      <c r="E277" t="str">
        <f>IF($A277&lt;&gt;"",MAESTRO!$M277,"")</f>
        <v/>
      </c>
      <c r="F277" t="str">
        <f>IF($A277&lt;&gt;"",MAESTRO!$J277,"")</f>
        <v/>
      </c>
      <c r="G277" t="str">
        <f>IF($A277&lt;&gt;"",MAESTRO!$D277,"")</f>
        <v/>
      </c>
      <c r="H277" t="str">
        <f>IF($A277&lt;&gt;"",IF(TRIM(MAESTRO!$G277&amp;" "&amp;MAESTRO!$H277&amp;" "&amp;MAESTRO!$I277)="",MAESTRO!$F277,TRIM(MAESTRO!$G277&amp;" "&amp;MAESTRO!$H277&amp;" "&amp;MAESTRO!$I277)),"")</f>
        <v/>
      </c>
      <c r="I277" t="str">
        <f>IF($A277&lt;&gt;"",MAESTRO!$K277,"")</f>
        <v/>
      </c>
      <c r="J277" t="str">
        <f>IF($A277&lt;&gt;"",277,"")</f>
        <v/>
      </c>
    </row>
    <row r="278" spans="1:10" x14ac:dyDescent="0.2">
      <c r="A278" t="str">
        <f>IF(AND(UPPER(MAESTRO!$M278)="VIP",UPPER(MAESTRO!$J278)="SI",MAESTRO!$F278&lt;&gt;""),MAESTRO!$P278,"")</f>
        <v/>
      </c>
      <c r="B278" t="str">
        <f>IF($A278&lt;&gt;"",MAESTRO!$B278,"")</f>
        <v/>
      </c>
      <c r="C278" t="str">
        <f>IF($A278&lt;&gt;"",MAESTRO!$A278,"")</f>
        <v/>
      </c>
      <c r="D278" t="str">
        <f>IF($A278&lt;&gt;"",MAESTRO!$C278,"")</f>
        <v/>
      </c>
      <c r="E278" t="str">
        <f>IF($A278&lt;&gt;"",MAESTRO!$M278,"")</f>
        <v/>
      </c>
      <c r="F278" t="str">
        <f>IF($A278&lt;&gt;"",MAESTRO!$J278,"")</f>
        <v/>
      </c>
      <c r="G278" t="str">
        <f>IF($A278&lt;&gt;"",MAESTRO!$D278,"")</f>
        <v/>
      </c>
      <c r="H278" t="str">
        <f>IF($A278&lt;&gt;"",IF(TRIM(MAESTRO!$G278&amp;" "&amp;MAESTRO!$H278&amp;" "&amp;MAESTRO!$I278)="",MAESTRO!$F278,TRIM(MAESTRO!$G278&amp;" "&amp;MAESTRO!$H278&amp;" "&amp;MAESTRO!$I278)),"")</f>
        <v/>
      </c>
      <c r="I278" t="str">
        <f>IF($A278&lt;&gt;"",MAESTRO!$K278,"")</f>
        <v/>
      </c>
      <c r="J278" t="str">
        <f>IF($A278&lt;&gt;"",278,"")</f>
        <v/>
      </c>
    </row>
    <row r="279" spans="1:10" x14ac:dyDescent="0.2">
      <c r="A279" t="str">
        <f>IF(AND(UPPER(MAESTRO!$M279)="VIP",UPPER(MAESTRO!$J279)="SI",MAESTRO!$F279&lt;&gt;""),MAESTRO!$P279,"")</f>
        <v/>
      </c>
      <c r="B279" t="str">
        <f>IF($A279&lt;&gt;"",MAESTRO!$B279,"")</f>
        <v/>
      </c>
      <c r="C279" t="str">
        <f>IF($A279&lt;&gt;"",MAESTRO!$A279,"")</f>
        <v/>
      </c>
      <c r="D279" t="str">
        <f>IF($A279&lt;&gt;"",MAESTRO!$C279,"")</f>
        <v/>
      </c>
      <c r="E279" t="str">
        <f>IF($A279&lt;&gt;"",MAESTRO!$M279,"")</f>
        <v/>
      </c>
      <c r="F279" t="str">
        <f>IF($A279&lt;&gt;"",MAESTRO!$J279,"")</f>
        <v/>
      </c>
      <c r="G279" t="str">
        <f>IF($A279&lt;&gt;"",MAESTRO!$D279,"")</f>
        <v/>
      </c>
      <c r="H279" t="str">
        <f>IF($A279&lt;&gt;"",IF(TRIM(MAESTRO!$G279&amp;" "&amp;MAESTRO!$H279&amp;" "&amp;MAESTRO!$I279)="",MAESTRO!$F279,TRIM(MAESTRO!$G279&amp;" "&amp;MAESTRO!$H279&amp;" "&amp;MAESTRO!$I279)),"")</f>
        <v/>
      </c>
      <c r="I279" t="str">
        <f>IF($A279&lt;&gt;"",MAESTRO!$K279,"")</f>
        <v/>
      </c>
      <c r="J279" t="str">
        <f>IF($A279&lt;&gt;"",279,"")</f>
        <v/>
      </c>
    </row>
    <row r="280" spans="1:10" x14ac:dyDescent="0.2">
      <c r="A280" t="str">
        <f>IF(AND(UPPER(MAESTRO!$M280)="VIP",UPPER(MAESTRO!$J280)="SI",MAESTRO!$F280&lt;&gt;""),MAESTRO!$P280,"")</f>
        <v/>
      </c>
      <c r="B280" t="str">
        <f>IF($A280&lt;&gt;"",MAESTRO!$B280,"")</f>
        <v/>
      </c>
      <c r="C280" t="str">
        <f>IF($A280&lt;&gt;"",MAESTRO!$A280,"")</f>
        <v/>
      </c>
      <c r="D280" t="str">
        <f>IF($A280&lt;&gt;"",MAESTRO!$C280,"")</f>
        <v/>
      </c>
      <c r="E280" t="str">
        <f>IF($A280&lt;&gt;"",MAESTRO!$M280,"")</f>
        <v/>
      </c>
      <c r="F280" t="str">
        <f>IF($A280&lt;&gt;"",MAESTRO!$J280,"")</f>
        <v/>
      </c>
      <c r="G280" t="str">
        <f>IF($A280&lt;&gt;"",MAESTRO!$D280,"")</f>
        <v/>
      </c>
      <c r="H280" t="str">
        <f>IF($A280&lt;&gt;"",IF(TRIM(MAESTRO!$G280&amp;" "&amp;MAESTRO!$H280&amp;" "&amp;MAESTRO!$I280)="",MAESTRO!$F280,TRIM(MAESTRO!$G280&amp;" "&amp;MAESTRO!$H280&amp;" "&amp;MAESTRO!$I280)),"")</f>
        <v/>
      </c>
      <c r="I280" t="str">
        <f>IF($A280&lt;&gt;"",MAESTRO!$K280,"")</f>
        <v/>
      </c>
      <c r="J280" t="str">
        <f>IF($A280&lt;&gt;"",280,"")</f>
        <v/>
      </c>
    </row>
    <row r="281" spans="1:10" x14ac:dyDescent="0.2">
      <c r="A281" t="str">
        <f>IF(AND(UPPER(MAESTRO!$M281)="VIP",UPPER(MAESTRO!$J281)="SI",MAESTRO!$F281&lt;&gt;""),MAESTRO!$P281,"")</f>
        <v/>
      </c>
      <c r="B281" t="str">
        <f>IF($A281&lt;&gt;"",MAESTRO!$B281,"")</f>
        <v/>
      </c>
      <c r="C281" t="str">
        <f>IF($A281&lt;&gt;"",MAESTRO!$A281,"")</f>
        <v/>
      </c>
      <c r="D281" t="str">
        <f>IF($A281&lt;&gt;"",MAESTRO!$C281,"")</f>
        <v/>
      </c>
      <c r="E281" t="str">
        <f>IF($A281&lt;&gt;"",MAESTRO!$M281,"")</f>
        <v/>
      </c>
      <c r="F281" t="str">
        <f>IF($A281&lt;&gt;"",MAESTRO!$J281,"")</f>
        <v/>
      </c>
      <c r="G281" t="str">
        <f>IF($A281&lt;&gt;"",MAESTRO!$D281,"")</f>
        <v/>
      </c>
      <c r="H281" t="str">
        <f>IF($A281&lt;&gt;"",IF(TRIM(MAESTRO!$G281&amp;" "&amp;MAESTRO!$H281&amp;" "&amp;MAESTRO!$I281)="",MAESTRO!$F281,TRIM(MAESTRO!$G281&amp;" "&amp;MAESTRO!$H281&amp;" "&amp;MAESTRO!$I281)),"")</f>
        <v/>
      </c>
      <c r="I281" t="str">
        <f>IF($A281&lt;&gt;"",MAESTRO!$K281,"")</f>
        <v/>
      </c>
      <c r="J281" t="str">
        <f>IF($A281&lt;&gt;"",281,"")</f>
        <v/>
      </c>
    </row>
    <row r="282" spans="1:10" x14ac:dyDescent="0.2">
      <c r="A282" t="str">
        <f>IF(AND(UPPER(MAESTRO!$M282)="VIP",UPPER(MAESTRO!$J282)="SI",MAESTRO!$F282&lt;&gt;""),MAESTRO!$P282,"")</f>
        <v/>
      </c>
      <c r="B282" t="str">
        <f>IF($A282&lt;&gt;"",MAESTRO!$B282,"")</f>
        <v/>
      </c>
      <c r="C282" t="str">
        <f>IF($A282&lt;&gt;"",MAESTRO!$A282,"")</f>
        <v/>
      </c>
      <c r="D282" t="str">
        <f>IF($A282&lt;&gt;"",MAESTRO!$C282,"")</f>
        <v/>
      </c>
      <c r="E282" t="str">
        <f>IF($A282&lt;&gt;"",MAESTRO!$M282,"")</f>
        <v/>
      </c>
      <c r="F282" t="str">
        <f>IF($A282&lt;&gt;"",MAESTRO!$J282,"")</f>
        <v/>
      </c>
      <c r="G282" t="str">
        <f>IF($A282&lt;&gt;"",MAESTRO!$D282,"")</f>
        <v/>
      </c>
      <c r="H282" t="str">
        <f>IF($A282&lt;&gt;"",IF(TRIM(MAESTRO!$G282&amp;" "&amp;MAESTRO!$H282&amp;" "&amp;MAESTRO!$I282)="",MAESTRO!$F282,TRIM(MAESTRO!$G282&amp;" "&amp;MAESTRO!$H282&amp;" "&amp;MAESTRO!$I282)),"")</f>
        <v/>
      </c>
      <c r="I282" t="str">
        <f>IF($A282&lt;&gt;"",MAESTRO!$K282,"")</f>
        <v/>
      </c>
      <c r="J282" t="str">
        <f>IF($A282&lt;&gt;"",282,"")</f>
        <v/>
      </c>
    </row>
    <row r="283" spans="1:10" x14ac:dyDescent="0.2">
      <c r="A283" t="str">
        <f>IF(AND(UPPER(MAESTRO!$M283)="VIP",UPPER(MAESTRO!$J283)="SI",MAESTRO!$F283&lt;&gt;""),MAESTRO!$P283,"")</f>
        <v/>
      </c>
      <c r="B283" t="str">
        <f>IF($A283&lt;&gt;"",MAESTRO!$B283,"")</f>
        <v/>
      </c>
      <c r="C283" t="str">
        <f>IF($A283&lt;&gt;"",MAESTRO!$A283,"")</f>
        <v/>
      </c>
      <c r="D283" t="str">
        <f>IF($A283&lt;&gt;"",MAESTRO!$C283,"")</f>
        <v/>
      </c>
      <c r="E283" t="str">
        <f>IF($A283&lt;&gt;"",MAESTRO!$M283,"")</f>
        <v/>
      </c>
      <c r="F283" t="str">
        <f>IF($A283&lt;&gt;"",MAESTRO!$J283,"")</f>
        <v/>
      </c>
      <c r="G283" t="str">
        <f>IF($A283&lt;&gt;"",MAESTRO!$D283,"")</f>
        <v/>
      </c>
      <c r="H283" t="str">
        <f>IF($A283&lt;&gt;"",IF(TRIM(MAESTRO!$G283&amp;" "&amp;MAESTRO!$H283&amp;" "&amp;MAESTRO!$I283)="",MAESTRO!$F283,TRIM(MAESTRO!$G283&amp;" "&amp;MAESTRO!$H283&amp;" "&amp;MAESTRO!$I283)),"")</f>
        <v/>
      </c>
      <c r="I283" t="str">
        <f>IF($A283&lt;&gt;"",MAESTRO!$K283,"")</f>
        <v/>
      </c>
      <c r="J283" t="str">
        <f>IF($A283&lt;&gt;"",283,"")</f>
        <v/>
      </c>
    </row>
    <row r="284" spans="1:10" x14ac:dyDescent="0.2">
      <c r="A284" t="str">
        <f>IF(AND(UPPER(MAESTRO!$M284)="VIP",UPPER(MAESTRO!$J284)="SI",MAESTRO!$F284&lt;&gt;""),MAESTRO!$P284,"")</f>
        <v/>
      </c>
      <c r="B284" t="str">
        <f>IF($A284&lt;&gt;"",MAESTRO!$B284,"")</f>
        <v/>
      </c>
      <c r="C284" t="str">
        <f>IF($A284&lt;&gt;"",MAESTRO!$A284,"")</f>
        <v/>
      </c>
      <c r="D284" t="str">
        <f>IF($A284&lt;&gt;"",MAESTRO!$C284,"")</f>
        <v/>
      </c>
      <c r="E284" t="str">
        <f>IF($A284&lt;&gt;"",MAESTRO!$M284,"")</f>
        <v/>
      </c>
      <c r="F284" t="str">
        <f>IF($A284&lt;&gt;"",MAESTRO!$J284,"")</f>
        <v/>
      </c>
      <c r="G284" t="str">
        <f>IF($A284&lt;&gt;"",MAESTRO!$D284,"")</f>
        <v/>
      </c>
      <c r="H284" t="str">
        <f>IF($A284&lt;&gt;"",IF(TRIM(MAESTRO!$G284&amp;" "&amp;MAESTRO!$H284&amp;" "&amp;MAESTRO!$I284)="",MAESTRO!$F284,TRIM(MAESTRO!$G284&amp;" "&amp;MAESTRO!$H284&amp;" "&amp;MAESTRO!$I284)),"")</f>
        <v/>
      </c>
      <c r="I284" t="str">
        <f>IF($A284&lt;&gt;"",MAESTRO!$K284,"")</f>
        <v/>
      </c>
      <c r="J284" t="str">
        <f>IF($A284&lt;&gt;"",284,"")</f>
        <v/>
      </c>
    </row>
    <row r="285" spans="1:10" x14ac:dyDescent="0.2">
      <c r="A285" t="str">
        <f>IF(AND(UPPER(MAESTRO!$M285)="VIP",UPPER(MAESTRO!$J285)="SI",MAESTRO!$F285&lt;&gt;""),MAESTRO!$P285,"")</f>
        <v/>
      </c>
      <c r="B285" t="str">
        <f>IF($A285&lt;&gt;"",MAESTRO!$B285,"")</f>
        <v/>
      </c>
      <c r="C285" t="str">
        <f>IF($A285&lt;&gt;"",MAESTRO!$A285,"")</f>
        <v/>
      </c>
      <c r="D285" t="str">
        <f>IF($A285&lt;&gt;"",MAESTRO!$C285,"")</f>
        <v/>
      </c>
      <c r="E285" t="str">
        <f>IF($A285&lt;&gt;"",MAESTRO!$M285,"")</f>
        <v/>
      </c>
      <c r="F285" t="str">
        <f>IF($A285&lt;&gt;"",MAESTRO!$J285,"")</f>
        <v/>
      </c>
      <c r="G285" t="str">
        <f>IF($A285&lt;&gt;"",MAESTRO!$D285,"")</f>
        <v/>
      </c>
      <c r="H285" t="str">
        <f>IF($A285&lt;&gt;"",IF(TRIM(MAESTRO!$G285&amp;" "&amp;MAESTRO!$H285&amp;" "&amp;MAESTRO!$I285)="",MAESTRO!$F285,TRIM(MAESTRO!$G285&amp;" "&amp;MAESTRO!$H285&amp;" "&amp;MAESTRO!$I285)),"")</f>
        <v/>
      </c>
      <c r="I285" t="str">
        <f>IF($A285&lt;&gt;"",MAESTRO!$K285,"")</f>
        <v/>
      </c>
      <c r="J285" t="str">
        <f>IF($A285&lt;&gt;"",285,"")</f>
        <v/>
      </c>
    </row>
    <row r="286" spans="1:10" x14ac:dyDescent="0.2">
      <c r="A286" t="str">
        <f>IF(AND(UPPER(MAESTRO!$M286)="VIP",UPPER(MAESTRO!$J286)="SI",MAESTRO!$F286&lt;&gt;""),MAESTRO!$P286,"")</f>
        <v/>
      </c>
      <c r="B286" t="str">
        <f>IF($A286&lt;&gt;"",MAESTRO!$B286,"")</f>
        <v/>
      </c>
      <c r="C286" t="str">
        <f>IF($A286&lt;&gt;"",MAESTRO!$A286,"")</f>
        <v/>
      </c>
      <c r="D286" t="str">
        <f>IF($A286&lt;&gt;"",MAESTRO!$C286,"")</f>
        <v/>
      </c>
      <c r="E286" t="str">
        <f>IF($A286&lt;&gt;"",MAESTRO!$M286,"")</f>
        <v/>
      </c>
      <c r="F286" t="str">
        <f>IF($A286&lt;&gt;"",MAESTRO!$J286,"")</f>
        <v/>
      </c>
      <c r="G286" t="str">
        <f>IF($A286&lt;&gt;"",MAESTRO!$D286,"")</f>
        <v/>
      </c>
      <c r="H286" t="str">
        <f>IF($A286&lt;&gt;"",IF(TRIM(MAESTRO!$G286&amp;" "&amp;MAESTRO!$H286&amp;" "&amp;MAESTRO!$I286)="",MAESTRO!$F286,TRIM(MAESTRO!$G286&amp;" "&amp;MAESTRO!$H286&amp;" "&amp;MAESTRO!$I286)),"")</f>
        <v/>
      </c>
      <c r="I286" t="str">
        <f>IF($A286&lt;&gt;"",MAESTRO!$K286,"")</f>
        <v/>
      </c>
      <c r="J286" t="str">
        <f>IF($A286&lt;&gt;"",286,"")</f>
        <v/>
      </c>
    </row>
    <row r="287" spans="1:10" x14ac:dyDescent="0.2">
      <c r="A287" t="str">
        <f>IF(AND(UPPER(MAESTRO!$M287)="VIP",UPPER(MAESTRO!$J287)="SI",MAESTRO!$F287&lt;&gt;""),MAESTRO!$P287,"")</f>
        <v/>
      </c>
      <c r="B287" t="str">
        <f>IF($A287&lt;&gt;"",MAESTRO!$B287,"")</f>
        <v/>
      </c>
      <c r="C287" t="str">
        <f>IF($A287&lt;&gt;"",MAESTRO!$A287,"")</f>
        <v/>
      </c>
      <c r="D287" t="str">
        <f>IF($A287&lt;&gt;"",MAESTRO!$C287,"")</f>
        <v/>
      </c>
      <c r="E287" t="str">
        <f>IF($A287&lt;&gt;"",MAESTRO!$M287,"")</f>
        <v/>
      </c>
      <c r="F287" t="str">
        <f>IF($A287&lt;&gt;"",MAESTRO!$J287,"")</f>
        <v/>
      </c>
      <c r="G287" t="str">
        <f>IF($A287&lt;&gt;"",MAESTRO!$D287,"")</f>
        <v/>
      </c>
      <c r="H287" t="str">
        <f>IF($A287&lt;&gt;"",IF(TRIM(MAESTRO!$G287&amp;" "&amp;MAESTRO!$H287&amp;" "&amp;MAESTRO!$I287)="",MAESTRO!$F287,TRIM(MAESTRO!$G287&amp;" "&amp;MAESTRO!$H287&amp;" "&amp;MAESTRO!$I287)),"")</f>
        <v/>
      </c>
      <c r="I287" t="str">
        <f>IF($A287&lt;&gt;"",MAESTRO!$K287,"")</f>
        <v/>
      </c>
      <c r="J287" t="str">
        <f>IF($A287&lt;&gt;"",287,"")</f>
        <v/>
      </c>
    </row>
    <row r="288" spans="1:10" x14ac:dyDescent="0.2">
      <c r="A288" t="str">
        <f>IF(AND(UPPER(MAESTRO!$M288)="VIP",UPPER(MAESTRO!$J288)="SI",MAESTRO!$F288&lt;&gt;""),MAESTRO!$P288,"")</f>
        <v/>
      </c>
      <c r="B288" t="str">
        <f>IF($A288&lt;&gt;"",MAESTRO!$B288,"")</f>
        <v/>
      </c>
      <c r="C288" t="str">
        <f>IF($A288&lt;&gt;"",MAESTRO!$A288,"")</f>
        <v/>
      </c>
      <c r="D288" t="str">
        <f>IF($A288&lt;&gt;"",MAESTRO!$C288,"")</f>
        <v/>
      </c>
      <c r="E288" t="str">
        <f>IF($A288&lt;&gt;"",MAESTRO!$M288,"")</f>
        <v/>
      </c>
      <c r="F288" t="str">
        <f>IF($A288&lt;&gt;"",MAESTRO!$J288,"")</f>
        <v/>
      </c>
      <c r="G288" t="str">
        <f>IF($A288&lt;&gt;"",MAESTRO!$D288,"")</f>
        <v/>
      </c>
      <c r="H288" t="str">
        <f>IF($A288&lt;&gt;"",IF(TRIM(MAESTRO!$G288&amp;" "&amp;MAESTRO!$H288&amp;" "&amp;MAESTRO!$I288)="",MAESTRO!$F288,TRIM(MAESTRO!$G288&amp;" "&amp;MAESTRO!$H288&amp;" "&amp;MAESTRO!$I288)),"")</f>
        <v/>
      </c>
      <c r="I288" t="str">
        <f>IF($A288&lt;&gt;"",MAESTRO!$K288,"")</f>
        <v/>
      </c>
      <c r="J288" t="str">
        <f>IF($A288&lt;&gt;"",288,"")</f>
        <v/>
      </c>
    </row>
    <row r="289" spans="1:10" x14ac:dyDescent="0.2">
      <c r="A289" t="str">
        <f>IF(AND(UPPER(MAESTRO!$M289)="VIP",UPPER(MAESTRO!$J289)="SI",MAESTRO!$F289&lt;&gt;""),MAESTRO!$P289,"")</f>
        <v/>
      </c>
      <c r="B289" t="str">
        <f>IF($A289&lt;&gt;"",MAESTRO!$B289,"")</f>
        <v/>
      </c>
      <c r="C289" t="str">
        <f>IF($A289&lt;&gt;"",MAESTRO!$A289,"")</f>
        <v/>
      </c>
      <c r="D289" t="str">
        <f>IF($A289&lt;&gt;"",MAESTRO!$C289,"")</f>
        <v/>
      </c>
      <c r="E289" t="str">
        <f>IF($A289&lt;&gt;"",MAESTRO!$M289,"")</f>
        <v/>
      </c>
      <c r="F289" t="str">
        <f>IF($A289&lt;&gt;"",MAESTRO!$J289,"")</f>
        <v/>
      </c>
      <c r="G289" t="str">
        <f>IF($A289&lt;&gt;"",MAESTRO!$D289,"")</f>
        <v/>
      </c>
      <c r="H289" t="str">
        <f>IF($A289&lt;&gt;"",IF(TRIM(MAESTRO!$G289&amp;" "&amp;MAESTRO!$H289&amp;" "&amp;MAESTRO!$I289)="",MAESTRO!$F289,TRIM(MAESTRO!$G289&amp;" "&amp;MAESTRO!$H289&amp;" "&amp;MAESTRO!$I289)),"")</f>
        <v/>
      </c>
      <c r="I289" t="str">
        <f>IF($A289&lt;&gt;"",MAESTRO!$K289,"")</f>
        <v/>
      </c>
      <c r="J289" t="str">
        <f>IF($A289&lt;&gt;"",289,"")</f>
        <v/>
      </c>
    </row>
    <row r="290" spans="1:10" x14ac:dyDescent="0.2">
      <c r="A290" t="str">
        <f>IF(AND(UPPER(MAESTRO!$M290)="VIP",UPPER(MAESTRO!$J290)="SI",MAESTRO!$F290&lt;&gt;""),MAESTRO!$P290,"")</f>
        <v/>
      </c>
      <c r="B290" t="str">
        <f>IF($A290&lt;&gt;"",MAESTRO!$B290,"")</f>
        <v/>
      </c>
      <c r="C290" t="str">
        <f>IF($A290&lt;&gt;"",MAESTRO!$A290,"")</f>
        <v/>
      </c>
      <c r="D290" t="str">
        <f>IF($A290&lt;&gt;"",MAESTRO!$C290,"")</f>
        <v/>
      </c>
      <c r="E290" t="str">
        <f>IF($A290&lt;&gt;"",MAESTRO!$M290,"")</f>
        <v/>
      </c>
      <c r="F290" t="str">
        <f>IF($A290&lt;&gt;"",MAESTRO!$J290,"")</f>
        <v/>
      </c>
      <c r="G290" t="str">
        <f>IF($A290&lt;&gt;"",MAESTRO!$D290,"")</f>
        <v/>
      </c>
      <c r="H290" t="str">
        <f>IF($A290&lt;&gt;"",IF(TRIM(MAESTRO!$G290&amp;" "&amp;MAESTRO!$H290&amp;" "&amp;MAESTRO!$I290)="",MAESTRO!$F290,TRIM(MAESTRO!$G290&amp;" "&amp;MAESTRO!$H290&amp;" "&amp;MAESTRO!$I290)),"")</f>
        <v/>
      </c>
      <c r="I290" t="str">
        <f>IF($A290&lt;&gt;"",MAESTRO!$K290,"")</f>
        <v/>
      </c>
      <c r="J290" t="str">
        <f>IF($A290&lt;&gt;"",290,"")</f>
        <v/>
      </c>
    </row>
    <row r="291" spans="1:10" x14ac:dyDescent="0.2">
      <c r="A291" t="str">
        <f>IF(AND(UPPER(MAESTRO!$M291)="VIP",UPPER(MAESTRO!$J291)="SI",MAESTRO!$F291&lt;&gt;""),MAESTRO!$P291,"")</f>
        <v/>
      </c>
      <c r="B291" t="str">
        <f>IF($A291&lt;&gt;"",MAESTRO!$B291,"")</f>
        <v/>
      </c>
      <c r="C291" t="str">
        <f>IF($A291&lt;&gt;"",MAESTRO!$A291,"")</f>
        <v/>
      </c>
      <c r="D291" t="str">
        <f>IF($A291&lt;&gt;"",MAESTRO!$C291,"")</f>
        <v/>
      </c>
      <c r="E291" t="str">
        <f>IF($A291&lt;&gt;"",MAESTRO!$M291,"")</f>
        <v/>
      </c>
      <c r="F291" t="str">
        <f>IF($A291&lt;&gt;"",MAESTRO!$J291,"")</f>
        <v/>
      </c>
      <c r="G291" t="str">
        <f>IF($A291&lt;&gt;"",MAESTRO!$D291,"")</f>
        <v/>
      </c>
      <c r="H291" t="str">
        <f>IF($A291&lt;&gt;"",IF(TRIM(MAESTRO!$G291&amp;" "&amp;MAESTRO!$H291&amp;" "&amp;MAESTRO!$I291)="",MAESTRO!$F291,TRIM(MAESTRO!$G291&amp;" "&amp;MAESTRO!$H291&amp;" "&amp;MAESTRO!$I291)),"")</f>
        <v/>
      </c>
      <c r="I291" t="str">
        <f>IF($A291&lt;&gt;"",MAESTRO!$K291,"")</f>
        <v/>
      </c>
      <c r="J291" t="str">
        <f>IF($A291&lt;&gt;"",291,"")</f>
        <v/>
      </c>
    </row>
    <row r="292" spans="1:10" x14ac:dyDescent="0.2">
      <c r="A292" t="str">
        <f>IF(AND(UPPER(MAESTRO!$M292)="VIP",UPPER(MAESTRO!$J292)="SI",MAESTRO!$F292&lt;&gt;""),MAESTRO!$P292,"")</f>
        <v/>
      </c>
      <c r="B292" t="str">
        <f>IF($A292&lt;&gt;"",MAESTRO!$B292,"")</f>
        <v/>
      </c>
      <c r="C292" t="str">
        <f>IF($A292&lt;&gt;"",MAESTRO!$A292,"")</f>
        <v/>
      </c>
      <c r="D292" t="str">
        <f>IF($A292&lt;&gt;"",MAESTRO!$C292,"")</f>
        <v/>
      </c>
      <c r="E292" t="str">
        <f>IF($A292&lt;&gt;"",MAESTRO!$M292,"")</f>
        <v/>
      </c>
      <c r="F292" t="str">
        <f>IF($A292&lt;&gt;"",MAESTRO!$J292,"")</f>
        <v/>
      </c>
      <c r="G292" t="str">
        <f>IF($A292&lt;&gt;"",MAESTRO!$D292,"")</f>
        <v/>
      </c>
      <c r="H292" t="str">
        <f>IF($A292&lt;&gt;"",IF(TRIM(MAESTRO!$G292&amp;" "&amp;MAESTRO!$H292&amp;" "&amp;MAESTRO!$I292)="",MAESTRO!$F292,TRIM(MAESTRO!$G292&amp;" "&amp;MAESTRO!$H292&amp;" "&amp;MAESTRO!$I292)),"")</f>
        <v/>
      </c>
      <c r="I292" t="str">
        <f>IF($A292&lt;&gt;"",MAESTRO!$K292,"")</f>
        <v/>
      </c>
      <c r="J292" t="str">
        <f>IF($A292&lt;&gt;"",292,"")</f>
        <v/>
      </c>
    </row>
    <row r="293" spans="1:10" x14ac:dyDescent="0.2">
      <c r="A293" t="str">
        <f>IF(AND(UPPER(MAESTRO!$M293)="VIP",UPPER(MAESTRO!$J293)="SI",MAESTRO!$F293&lt;&gt;""),MAESTRO!$P293,"")</f>
        <v/>
      </c>
      <c r="B293" t="str">
        <f>IF($A293&lt;&gt;"",MAESTRO!$B293,"")</f>
        <v/>
      </c>
      <c r="C293" t="str">
        <f>IF($A293&lt;&gt;"",MAESTRO!$A293,"")</f>
        <v/>
      </c>
      <c r="D293" t="str">
        <f>IF($A293&lt;&gt;"",MAESTRO!$C293,"")</f>
        <v/>
      </c>
      <c r="E293" t="str">
        <f>IF($A293&lt;&gt;"",MAESTRO!$M293,"")</f>
        <v/>
      </c>
      <c r="F293" t="str">
        <f>IF($A293&lt;&gt;"",MAESTRO!$J293,"")</f>
        <v/>
      </c>
      <c r="G293" t="str">
        <f>IF($A293&lt;&gt;"",MAESTRO!$D293,"")</f>
        <v/>
      </c>
      <c r="H293" t="str">
        <f>IF($A293&lt;&gt;"",IF(TRIM(MAESTRO!$G293&amp;" "&amp;MAESTRO!$H293&amp;" "&amp;MAESTRO!$I293)="",MAESTRO!$F293,TRIM(MAESTRO!$G293&amp;" "&amp;MAESTRO!$H293&amp;" "&amp;MAESTRO!$I293)),"")</f>
        <v/>
      </c>
      <c r="I293" t="str">
        <f>IF($A293&lt;&gt;"",MAESTRO!$K293,"")</f>
        <v/>
      </c>
      <c r="J293" t="str">
        <f>IF($A293&lt;&gt;"",293,"")</f>
        <v/>
      </c>
    </row>
    <row r="294" spans="1:10" x14ac:dyDescent="0.2">
      <c r="A294" t="str">
        <f>IF(AND(UPPER(MAESTRO!$M294)="VIP",UPPER(MAESTRO!$J294)="SI",MAESTRO!$F294&lt;&gt;""),MAESTRO!$P294,"")</f>
        <v>PENDIENTE POR ASIGNAR</v>
      </c>
      <c r="B294">
        <f>IF($A294&lt;&gt;"",MAESTRO!$B294,"")</f>
        <v>293</v>
      </c>
      <c r="C294">
        <f>IF($A294&lt;&gt;"",MAESTRO!$A294,"")</f>
        <v>293</v>
      </c>
      <c r="D294" t="str">
        <f>IF($A294&lt;&gt;"",MAESTRO!$C294,"")</f>
        <v>INVITADOS DGSA</v>
      </c>
      <c r="E294" t="str">
        <f>IF($A294&lt;&gt;"",MAESTRO!$M294,"")</f>
        <v>VIP</v>
      </c>
      <c r="F294" t="str">
        <f>IF($A294&lt;&gt;"",MAESTRO!$J294,"")</f>
        <v>SI</v>
      </c>
      <c r="G294" t="str">
        <f>IF($A294&lt;&gt;"",MAESTRO!$D294,"")</f>
        <v>Capitán de Fragata</v>
      </c>
      <c r="H294" t="str">
        <f>IF($A294&lt;&gt;"",IF(TRIM(MAESTRO!$G294&amp;" "&amp;MAESTRO!$H294&amp;" "&amp;MAESTRO!$I294)="",MAESTRO!$F294,TRIM(MAESTRO!$G294&amp;" "&amp;MAESTRO!$H294&amp;" "&amp;MAESTRO!$I294)),"")</f>
        <v>Nelson Morais</v>
      </c>
      <c r="I294" t="str">
        <f>IF($A294&lt;&gt;"",MAESTRO!$K294,"")</f>
        <v>MFG PoN Program Office representative Armada de Portugal</v>
      </c>
      <c r="J294">
        <f>IF($A294&lt;&gt;"",294,"")</f>
        <v>294</v>
      </c>
    </row>
    <row r="295" spans="1:10" x14ac:dyDescent="0.2">
      <c r="A295" t="str">
        <f>IF(AND(UPPER(MAESTRO!$M295)="VIP",UPPER(MAESTRO!$J295)="SI",MAESTRO!$F295&lt;&gt;""),MAESTRO!$P295,"")</f>
        <v/>
      </c>
      <c r="B295" t="str">
        <f>IF($A295&lt;&gt;"",MAESTRO!$B295,"")</f>
        <v/>
      </c>
      <c r="C295" t="str">
        <f>IF($A295&lt;&gt;"",MAESTRO!$A295,"")</f>
        <v/>
      </c>
      <c r="D295" t="str">
        <f>IF($A295&lt;&gt;"",MAESTRO!$C295,"")</f>
        <v/>
      </c>
      <c r="E295" t="str">
        <f>IF($A295&lt;&gt;"",MAESTRO!$M295,"")</f>
        <v/>
      </c>
      <c r="F295" t="str">
        <f>IF($A295&lt;&gt;"",MAESTRO!$J295,"")</f>
        <v/>
      </c>
      <c r="G295" t="str">
        <f>IF($A295&lt;&gt;"",MAESTRO!$D295,"")</f>
        <v/>
      </c>
      <c r="H295" t="str">
        <f>IF($A295&lt;&gt;"",IF(TRIM(MAESTRO!$G295&amp;" "&amp;MAESTRO!$H295&amp;" "&amp;MAESTRO!$I295)="",MAESTRO!$F295,TRIM(MAESTRO!$G295&amp;" "&amp;MAESTRO!$H295&amp;" "&amp;MAESTRO!$I295)),"")</f>
        <v/>
      </c>
      <c r="I295" t="str">
        <f>IF($A295&lt;&gt;"",MAESTRO!$K295,"")</f>
        <v/>
      </c>
      <c r="J295" t="str">
        <f>IF($A295&lt;&gt;"",295,"")</f>
        <v/>
      </c>
    </row>
    <row r="296" spans="1:10" x14ac:dyDescent="0.2">
      <c r="A296" t="str">
        <f>IF(AND(UPPER(MAESTRO!$M296)="VIP",UPPER(MAESTRO!$J296)="SI",MAESTRO!$F296&lt;&gt;""),MAESTRO!$P296,"")</f>
        <v/>
      </c>
      <c r="B296" t="str">
        <f>IF($A296&lt;&gt;"",MAESTRO!$B296,"")</f>
        <v/>
      </c>
      <c r="C296" t="str">
        <f>IF($A296&lt;&gt;"",MAESTRO!$A296,"")</f>
        <v/>
      </c>
      <c r="D296" t="str">
        <f>IF($A296&lt;&gt;"",MAESTRO!$C296,"")</f>
        <v/>
      </c>
      <c r="E296" t="str">
        <f>IF($A296&lt;&gt;"",MAESTRO!$M296,"")</f>
        <v/>
      </c>
      <c r="F296" t="str">
        <f>IF($A296&lt;&gt;"",MAESTRO!$J296,"")</f>
        <v/>
      </c>
      <c r="G296" t="str">
        <f>IF($A296&lt;&gt;"",MAESTRO!$D296,"")</f>
        <v/>
      </c>
      <c r="H296" t="str">
        <f>IF($A296&lt;&gt;"",IF(TRIM(MAESTRO!$G296&amp;" "&amp;MAESTRO!$H296&amp;" "&amp;MAESTRO!$I296)="",MAESTRO!$F296,TRIM(MAESTRO!$G296&amp;" "&amp;MAESTRO!$H296&amp;" "&amp;MAESTRO!$I296)),"")</f>
        <v/>
      </c>
      <c r="I296" t="str">
        <f>IF($A296&lt;&gt;"",MAESTRO!$K296,"")</f>
        <v/>
      </c>
      <c r="J296" t="str">
        <f>IF($A296&lt;&gt;"",296,"")</f>
        <v/>
      </c>
    </row>
    <row r="297" spans="1:10" x14ac:dyDescent="0.2">
      <c r="A297" t="str">
        <f>IF(AND(UPPER(MAESTRO!$M297)="VIP",UPPER(MAESTRO!$J297)="SI",MAESTRO!$F297&lt;&gt;""),MAESTRO!$P297,"")</f>
        <v/>
      </c>
      <c r="B297" t="str">
        <f>IF($A297&lt;&gt;"",MAESTRO!$B297,"")</f>
        <v/>
      </c>
      <c r="C297" t="str">
        <f>IF($A297&lt;&gt;"",MAESTRO!$A297,"")</f>
        <v/>
      </c>
      <c r="D297" t="str">
        <f>IF($A297&lt;&gt;"",MAESTRO!$C297,"")</f>
        <v/>
      </c>
      <c r="E297" t="str">
        <f>IF($A297&lt;&gt;"",MAESTRO!$M297,"")</f>
        <v/>
      </c>
      <c r="F297" t="str">
        <f>IF($A297&lt;&gt;"",MAESTRO!$J297,"")</f>
        <v/>
      </c>
      <c r="G297" t="str">
        <f>IF($A297&lt;&gt;"",MAESTRO!$D297,"")</f>
        <v/>
      </c>
      <c r="H297" t="str">
        <f>IF($A297&lt;&gt;"",IF(TRIM(MAESTRO!$G297&amp;" "&amp;MAESTRO!$H297&amp;" "&amp;MAESTRO!$I297)="",MAESTRO!$F297,TRIM(MAESTRO!$G297&amp;" "&amp;MAESTRO!$H297&amp;" "&amp;MAESTRO!$I297)),"")</f>
        <v/>
      </c>
      <c r="I297" t="str">
        <f>IF($A297&lt;&gt;"",MAESTRO!$K297,"")</f>
        <v/>
      </c>
      <c r="J297" t="str">
        <f>IF($A297&lt;&gt;"",297,"")</f>
        <v/>
      </c>
    </row>
    <row r="298" spans="1:10" x14ac:dyDescent="0.2">
      <c r="A298" t="str">
        <f>IF(AND(UPPER(MAESTRO!$M298)="VIP",UPPER(MAESTRO!$J298)="SI",MAESTRO!$F298&lt;&gt;""),MAESTRO!$P298,"")</f>
        <v/>
      </c>
      <c r="B298" t="str">
        <f>IF($A298&lt;&gt;"",MAESTRO!$B298,"")</f>
        <v/>
      </c>
      <c r="C298" t="str">
        <f>IF($A298&lt;&gt;"",MAESTRO!$A298,"")</f>
        <v/>
      </c>
      <c r="D298" t="str">
        <f>IF($A298&lt;&gt;"",MAESTRO!$C298,"")</f>
        <v/>
      </c>
      <c r="E298" t="str">
        <f>IF($A298&lt;&gt;"",MAESTRO!$M298,"")</f>
        <v/>
      </c>
      <c r="F298" t="str">
        <f>IF($A298&lt;&gt;"",MAESTRO!$J298,"")</f>
        <v/>
      </c>
      <c r="G298" t="str">
        <f>IF($A298&lt;&gt;"",MAESTRO!$D298,"")</f>
        <v/>
      </c>
      <c r="H298" t="str">
        <f>IF($A298&lt;&gt;"",IF(TRIM(MAESTRO!$G298&amp;" "&amp;MAESTRO!$H298&amp;" "&amp;MAESTRO!$I298)="",MAESTRO!$F298,TRIM(MAESTRO!$G298&amp;" "&amp;MAESTRO!$H298&amp;" "&amp;MAESTRO!$I298)),"")</f>
        <v/>
      </c>
      <c r="I298" t="str">
        <f>IF($A298&lt;&gt;"",MAESTRO!$K298,"")</f>
        <v/>
      </c>
      <c r="J298" t="str">
        <f>IF($A298&lt;&gt;"",298,"")</f>
        <v/>
      </c>
    </row>
    <row r="299" spans="1:10" x14ac:dyDescent="0.2">
      <c r="A299" t="str">
        <f>IF(AND(UPPER(MAESTRO!$M299)="VIP",UPPER(MAESTRO!$J299)="SI",MAESTRO!$F299&lt;&gt;""),MAESTRO!$P299,"")</f>
        <v/>
      </c>
      <c r="B299" t="str">
        <f>IF($A299&lt;&gt;"",MAESTRO!$B299,"")</f>
        <v/>
      </c>
      <c r="C299" t="str">
        <f>IF($A299&lt;&gt;"",MAESTRO!$A299,"")</f>
        <v/>
      </c>
      <c r="D299" t="str">
        <f>IF($A299&lt;&gt;"",MAESTRO!$C299,"")</f>
        <v/>
      </c>
      <c r="E299" t="str">
        <f>IF($A299&lt;&gt;"",MAESTRO!$M299,"")</f>
        <v/>
      </c>
      <c r="F299" t="str">
        <f>IF($A299&lt;&gt;"",MAESTRO!$J299,"")</f>
        <v/>
      </c>
      <c r="G299" t="str">
        <f>IF($A299&lt;&gt;"",MAESTRO!$D299,"")</f>
        <v/>
      </c>
      <c r="H299" t="str">
        <f>IF($A299&lt;&gt;"",IF(TRIM(MAESTRO!$G299&amp;" "&amp;MAESTRO!$H299&amp;" "&amp;MAESTRO!$I299)="",MAESTRO!$F299,TRIM(MAESTRO!$G299&amp;" "&amp;MAESTRO!$H299&amp;" "&amp;MAESTRO!$I299)),"")</f>
        <v/>
      </c>
      <c r="I299" t="str">
        <f>IF($A299&lt;&gt;"",MAESTRO!$K299,"")</f>
        <v/>
      </c>
      <c r="J299" t="str">
        <f>IF($A299&lt;&gt;"",299,"")</f>
        <v/>
      </c>
    </row>
    <row r="300" spans="1:10" x14ac:dyDescent="0.2">
      <c r="A300" t="str">
        <f>IF(AND(UPPER(MAESTRO!$M300)="VIP",UPPER(MAESTRO!$J300)="SI",MAESTRO!$F300&lt;&gt;""),MAESTRO!$P300,"")</f>
        <v/>
      </c>
      <c r="B300" t="str">
        <f>IF($A300&lt;&gt;"",MAESTRO!$B300,"")</f>
        <v/>
      </c>
      <c r="C300" t="str">
        <f>IF($A300&lt;&gt;"",MAESTRO!$A300,"")</f>
        <v/>
      </c>
      <c r="D300" t="str">
        <f>IF($A300&lt;&gt;"",MAESTRO!$C300,"")</f>
        <v/>
      </c>
      <c r="E300" t="str">
        <f>IF($A300&lt;&gt;"",MAESTRO!$M300,"")</f>
        <v/>
      </c>
      <c r="F300" t="str">
        <f>IF($A300&lt;&gt;"",MAESTRO!$J300,"")</f>
        <v/>
      </c>
      <c r="G300" t="str">
        <f>IF($A300&lt;&gt;"",MAESTRO!$D300,"")</f>
        <v/>
      </c>
      <c r="H300" t="str">
        <f>IF($A300&lt;&gt;"",IF(TRIM(MAESTRO!$G300&amp;" "&amp;MAESTRO!$H300&amp;" "&amp;MAESTRO!$I300)="",MAESTRO!$F300,TRIM(MAESTRO!$G300&amp;" "&amp;MAESTRO!$H300&amp;" "&amp;MAESTRO!$I300)),"")</f>
        <v/>
      </c>
      <c r="I300" t="str">
        <f>IF($A300&lt;&gt;"",MAESTRO!$K300,"")</f>
        <v/>
      </c>
      <c r="J300" t="str">
        <f>IF($A300&lt;&gt;"",300,"")</f>
        <v/>
      </c>
    </row>
    <row r="301" spans="1:10" x14ac:dyDescent="0.2">
      <c r="A301" t="str">
        <f>IF(AND(UPPER(MAESTRO!$M301)="VIP",UPPER(MAESTRO!$J301)="SI",MAESTRO!$F301&lt;&gt;""),MAESTRO!$P301,"")</f>
        <v>A18</v>
      </c>
      <c r="B301">
        <f>IF($A301&lt;&gt;"",MAESTRO!$B301,"")</f>
        <v>300</v>
      </c>
      <c r="C301">
        <f>IF($A301&lt;&gt;"",MAESTRO!$A301,"")</f>
        <v>300</v>
      </c>
      <c r="D301" t="str">
        <f>IF($A301&lt;&gt;"",MAESTRO!$C301,"")</f>
        <v>INVITADOS DGSA</v>
      </c>
      <c r="E301" t="str">
        <f>IF($A301&lt;&gt;"",MAESTRO!$M301,"")</f>
        <v>VIP</v>
      </c>
      <c r="F301" t="str">
        <f>IF($A301&lt;&gt;"",MAESTRO!$J301,"")</f>
        <v>SI</v>
      </c>
      <c r="G301">
        <f>IF($A301&lt;&gt;"",MAESTRO!$D301,"")</f>
        <v>0</v>
      </c>
      <c r="H301" t="str">
        <f>IF($A301&lt;&gt;"",IF(TRIM(MAESTRO!$G301&amp;" "&amp;MAESTRO!$H301&amp;" "&amp;MAESTRO!$I301)="",MAESTRO!$F301,TRIM(MAESTRO!$G301&amp;" "&amp;MAESTRO!$H301&amp;" "&amp;MAESTRO!$I301)),"")</f>
        <v>David Gonzalez Lorenzo</v>
      </c>
      <c r="I301" t="str">
        <f>IF($A301&lt;&gt;"",MAESTRO!$K301,"")</f>
        <v>Gerente General Puerto Huachipato</v>
      </c>
      <c r="J301">
        <f>IF($A301&lt;&gt;"",301,"")</f>
        <v>301</v>
      </c>
    </row>
    <row r="302" spans="1:10" x14ac:dyDescent="0.2">
      <c r="A302" t="str">
        <f>IF(AND(UPPER(MAESTRO!$M302)="VIP",UPPER(MAESTRO!$J302)="SI",MAESTRO!$F302&lt;&gt;""),MAESTRO!$P302,"")</f>
        <v/>
      </c>
      <c r="B302" t="str">
        <f>IF($A302&lt;&gt;"",MAESTRO!$B302,"")</f>
        <v/>
      </c>
      <c r="C302" t="str">
        <f>IF($A302&lt;&gt;"",MAESTRO!$A302,"")</f>
        <v/>
      </c>
      <c r="D302" t="str">
        <f>IF($A302&lt;&gt;"",MAESTRO!$C302,"")</f>
        <v/>
      </c>
      <c r="E302" t="str">
        <f>IF($A302&lt;&gt;"",MAESTRO!$M302,"")</f>
        <v/>
      </c>
      <c r="F302" t="str">
        <f>IF($A302&lt;&gt;"",MAESTRO!$J302,"")</f>
        <v/>
      </c>
      <c r="G302" t="str">
        <f>IF($A302&lt;&gt;"",MAESTRO!$D302,"")</f>
        <v/>
      </c>
      <c r="H302" t="str">
        <f>IF($A302&lt;&gt;"",IF(TRIM(MAESTRO!$G302&amp;" "&amp;MAESTRO!$H302&amp;" "&amp;MAESTRO!$I302)="",MAESTRO!$F302,TRIM(MAESTRO!$G302&amp;" "&amp;MAESTRO!$H302&amp;" "&amp;MAESTRO!$I302)),"")</f>
        <v/>
      </c>
      <c r="I302" t="str">
        <f>IF($A302&lt;&gt;"",MAESTRO!$K302,"")</f>
        <v/>
      </c>
      <c r="J302" t="str">
        <f>IF($A302&lt;&gt;"",302,"")</f>
        <v/>
      </c>
    </row>
    <row r="303" spans="1:10" x14ac:dyDescent="0.2">
      <c r="A303" t="str">
        <f>IF(AND(UPPER(MAESTRO!$M303)="VIP",UPPER(MAESTRO!$J303)="SI",MAESTRO!$F303&lt;&gt;""),MAESTRO!$P303,"")</f>
        <v/>
      </c>
      <c r="B303" t="str">
        <f>IF($A303&lt;&gt;"",MAESTRO!$B303,"")</f>
        <v/>
      </c>
      <c r="C303" t="str">
        <f>IF($A303&lt;&gt;"",MAESTRO!$A303,"")</f>
        <v/>
      </c>
      <c r="D303" t="str">
        <f>IF($A303&lt;&gt;"",MAESTRO!$C303,"")</f>
        <v/>
      </c>
      <c r="E303" t="str">
        <f>IF($A303&lt;&gt;"",MAESTRO!$M303,"")</f>
        <v/>
      </c>
      <c r="F303" t="str">
        <f>IF($A303&lt;&gt;"",MAESTRO!$J303,"")</f>
        <v/>
      </c>
      <c r="G303" t="str">
        <f>IF($A303&lt;&gt;"",MAESTRO!$D303,"")</f>
        <v/>
      </c>
      <c r="H303" t="str">
        <f>IF($A303&lt;&gt;"",IF(TRIM(MAESTRO!$G303&amp;" "&amp;MAESTRO!$H303&amp;" "&amp;MAESTRO!$I303)="",MAESTRO!$F303,TRIM(MAESTRO!$G303&amp;" "&amp;MAESTRO!$H303&amp;" "&amp;MAESTRO!$I303)),"")</f>
        <v/>
      </c>
      <c r="I303" t="str">
        <f>IF($A303&lt;&gt;"",MAESTRO!$K303,"")</f>
        <v/>
      </c>
      <c r="J303" t="str">
        <f>IF($A303&lt;&gt;"",303,"")</f>
        <v/>
      </c>
    </row>
    <row r="304" spans="1:10" x14ac:dyDescent="0.2">
      <c r="A304" t="str">
        <f>IF(AND(UPPER(MAESTRO!$M304)="VIP",UPPER(MAESTRO!$J304)="SI",MAESTRO!$F304&lt;&gt;""),MAESTRO!$P304,"")</f>
        <v/>
      </c>
      <c r="B304" t="str">
        <f>IF($A304&lt;&gt;"",MAESTRO!$B304,"")</f>
        <v/>
      </c>
      <c r="C304" t="str">
        <f>IF($A304&lt;&gt;"",MAESTRO!$A304,"")</f>
        <v/>
      </c>
      <c r="D304" t="str">
        <f>IF($A304&lt;&gt;"",MAESTRO!$C304,"")</f>
        <v/>
      </c>
      <c r="E304" t="str">
        <f>IF($A304&lt;&gt;"",MAESTRO!$M304,"")</f>
        <v/>
      </c>
      <c r="F304" t="str">
        <f>IF($A304&lt;&gt;"",MAESTRO!$J304,"")</f>
        <v/>
      </c>
      <c r="G304" t="str">
        <f>IF($A304&lt;&gt;"",MAESTRO!$D304,"")</f>
        <v/>
      </c>
      <c r="H304" t="str">
        <f>IF($A304&lt;&gt;"",IF(TRIM(MAESTRO!$G304&amp;" "&amp;MAESTRO!$H304&amp;" "&amp;MAESTRO!$I304)="",MAESTRO!$F304,TRIM(MAESTRO!$G304&amp;" "&amp;MAESTRO!$H304&amp;" "&amp;MAESTRO!$I304)),"")</f>
        <v/>
      </c>
      <c r="I304" t="str">
        <f>IF($A304&lt;&gt;"",MAESTRO!$K304,"")</f>
        <v/>
      </c>
      <c r="J304" t="str">
        <f>IF($A304&lt;&gt;"",304,"")</f>
        <v/>
      </c>
    </row>
    <row r="305" spans="1:10" x14ac:dyDescent="0.2">
      <c r="A305" t="str">
        <f>IF(AND(UPPER(MAESTRO!$M305)="VIP",UPPER(MAESTRO!$J305)="SI",MAESTRO!$F305&lt;&gt;""),MAESTRO!$P305,"")</f>
        <v>A28</v>
      </c>
      <c r="B305">
        <f>IF($A305&lt;&gt;"",MAESTRO!$B305,"")</f>
        <v>304</v>
      </c>
      <c r="C305">
        <f>IF($A305&lt;&gt;"",MAESTRO!$A305,"")</f>
        <v>304</v>
      </c>
      <c r="D305" t="str">
        <f>IF($A305&lt;&gt;"",MAESTRO!$C305,"")</f>
        <v>CIVILES</v>
      </c>
      <c r="E305" t="str">
        <f>IF($A305&lt;&gt;"",MAESTRO!$M305,"")</f>
        <v>VIP</v>
      </c>
      <c r="F305" t="str">
        <f>IF($A305&lt;&gt;"",MAESTRO!$J305,"")</f>
        <v>SI</v>
      </c>
      <c r="G305" t="str">
        <f>IF($A305&lt;&gt;"",MAESTRO!$D305,"")</f>
        <v>Señor</v>
      </c>
      <c r="H305" t="str">
        <f>IF($A305&lt;&gt;"",IF(TRIM(MAESTRO!$G305&amp;" "&amp;MAESTRO!$H305&amp;" "&amp;MAESTRO!$I305)="",MAESTRO!$F305,TRIM(MAESTRO!$G305&amp;" "&amp;MAESTRO!$H305&amp;" "&amp;MAESTRO!$I305)),"")</f>
        <v>Gonzalo Tampier Brockhaus</v>
      </c>
      <c r="I305" t="str">
        <f>IF($A305&lt;&gt;"",MAESTRO!$K305,"")</f>
        <v>Director de Desarrrollo e Innovación Universidad Austral - Comité CORFO</v>
      </c>
      <c r="J305">
        <f>IF($A305&lt;&gt;"",305,"")</f>
        <v>305</v>
      </c>
    </row>
    <row r="306" spans="1:10" x14ac:dyDescent="0.2">
      <c r="A306" t="str">
        <f>IF(AND(UPPER(MAESTRO!$M306)="VIP",UPPER(MAESTRO!$J306)="SI",MAESTRO!$F306&lt;&gt;""),MAESTRO!$P306,"")</f>
        <v/>
      </c>
      <c r="B306" t="str">
        <f>IF($A306&lt;&gt;"",MAESTRO!$B306,"")</f>
        <v/>
      </c>
      <c r="C306" t="str">
        <f>IF($A306&lt;&gt;"",MAESTRO!$A306,"")</f>
        <v/>
      </c>
      <c r="D306" t="str">
        <f>IF($A306&lt;&gt;"",MAESTRO!$C306,"")</f>
        <v/>
      </c>
      <c r="E306" t="str">
        <f>IF($A306&lt;&gt;"",MAESTRO!$M306,"")</f>
        <v/>
      </c>
      <c r="F306" t="str">
        <f>IF($A306&lt;&gt;"",MAESTRO!$J306,"")</f>
        <v/>
      </c>
      <c r="G306" t="str">
        <f>IF($A306&lt;&gt;"",MAESTRO!$D306,"")</f>
        <v/>
      </c>
      <c r="H306" t="str">
        <f>IF($A306&lt;&gt;"",IF(TRIM(MAESTRO!$G306&amp;" "&amp;MAESTRO!$H306&amp;" "&amp;MAESTRO!$I306)="",MAESTRO!$F306,TRIM(MAESTRO!$G306&amp;" "&amp;MAESTRO!$H306&amp;" "&amp;MAESTRO!$I306)),"")</f>
        <v/>
      </c>
      <c r="I306" t="str">
        <f>IF($A306&lt;&gt;"",MAESTRO!$K306,"")</f>
        <v/>
      </c>
      <c r="J306" t="str">
        <f>IF($A306&lt;&gt;"",306,"")</f>
        <v/>
      </c>
    </row>
    <row r="307" spans="1:10" x14ac:dyDescent="0.2">
      <c r="A307" t="str">
        <f>IF(AND(UPPER(MAESTRO!$M307)="VIP",UPPER(MAESTRO!$J307)="SI",MAESTRO!$F307&lt;&gt;""),MAESTRO!$P307,"")</f>
        <v/>
      </c>
      <c r="B307" t="str">
        <f>IF($A307&lt;&gt;"",MAESTRO!$B307,"")</f>
        <v/>
      </c>
      <c r="C307" t="str">
        <f>IF($A307&lt;&gt;"",MAESTRO!$A307,"")</f>
        <v/>
      </c>
      <c r="D307" t="str">
        <f>IF($A307&lt;&gt;"",MAESTRO!$C307,"")</f>
        <v/>
      </c>
      <c r="E307" t="str">
        <f>IF($A307&lt;&gt;"",MAESTRO!$M307,"")</f>
        <v/>
      </c>
      <c r="F307" t="str">
        <f>IF($A307&lt;&gt;"",MAESTRO!$J307,"")</f>
        <v/>
      </c>
      <c r="G307" t="str">
        <f>IF($A307&lt;&gt;"",MAESTRO!$D307,"")</f>
        <v/>
      </c>
      <c r="H307" t="str">
        <f>IF($A307&lt;&gt;"",IF(TRIM(MAESTRO!$G307&amp;" "&amp;MAESTRO!$H307&amp;" "&amp;MAESTRO!$I307)="",MAESTRO!$F307,TRIM(MAESTRO!$G307&amp;" "&amp;MAESTRO!$H307&amp;" "&amp;MAESTRO!$I307)),"")</f>
        <v/>
      </c>
      <c r="I307" t="str">
        <f>IF($A307&lt;&gt;"",MAESTRO!$K307,"")</f>
        <v/>
      </c>
      <c r="J307" t="str">
        <f>IF($A307&lt;&gt;"",307,"")</f>
        <v/>
      </c>
    </row>
    <row r="308" spans="1:10" x14ac:dyDescent="0.2">
      <c r="A308" t="str">
        <f>IF(AND(UPPER(MAESTRO!$M308)="VIP",UPPER(MAESTRO!$J308)="SI",MAESTRO!$F308&lt;&gt;""),MAESTRO!$P308,"")</f>
        <v/>
      </c>
      <c r="B308" t="str">
        <f>IF($A308&lt;&gt;"",MAESTRO!$B308,"")</f>
        <v/>
      </c>
      <c r="C308" t="str">
        <f>IF($A308&lt;&gt;"",MAESTRO!$A308,"")</f>
        <v/>
      </c>
      <c r="D308" t="str">
        <f>IF($A308&lt;&gt;"",MAESTRO!$C308,"")</f>
        <v/>
      </c>
      <c r="E308" t="str">
        <f>IF($A308&lt;&gt;"",MAESTRO!$M308,"")</f>
        <v/>
      </c>
      <c r="F308" t="str">
        <f>IF($A308&lt;&gt;"",MAESTRO!$J308,"")</f>
        <v/>
      </c>
      <c r="G308" t="str">
        <f>IF($A308&lt;&gt;"",MAESTRO!$D308,"")</f>
        <v/>
      </c>
      <c r="H308" t="str">
        <f>IF($A308&lt;&gt;"",IF(TRIM(MAESTRO!$G308&amp;" "&amp;MAESTRO!$H308&amp;" "&amp;MAESTRO!$I308)="",MAESTRO!$F308,TRIM(MAESTRO!$G308&amp;" "&amp;MAESTRO!$H308&amp;" "&amp;MAESTRO!$I308)),"")</f>
        <v/>
      </c>
      <c r="I308" t="str">
        <f>IF($A308&lt;&gt;"",MAESTRO!$K308,"")</f>
        <v/>
      </c>
      <c r="J308" t="str">
        <f>IF($A308&lt;&gt;"",308,"")</f>
        <v/>
      </c>
    </row>
    <row r="309" spans="1:10" x14ac:dyDescent="0.2">
      <c r="A309" t="str">
        <f>IF(AND(UPPER(MAESTRO!$M309)="VIP",UPPER(MAESTRO!$J309)="SI",MAESTRO!$F309&lt;&gt;""),MAESTRO!$P309,"")</f>
        <v/>
      </c>
      <c r="B309" t="str">
        <f>IF($A309&lt;&gt;"",MAESTRO!$B309,"")</f>
        <v/>
      </c>
      <c r="C309" t="str">
        <f>IF($A309&lt;&gt;"",MAESTRO!$A309,"")</f>
        <v/>
      </c>
      <c r="D309" t="str">
        <f>IF($A309&lt;&gt;"",MAESTRO!$C309,"")</f>
        <v/>
      </c>
      <c r="E309" t="str">
        <f>IF($A309&lt;&gt;"",MAESTRO!$M309,"")</f>
        <v/>
      </c>
      <c r="F309" t="str">
        <f>IF($A309&lt;&gt;"",MAESTRO!$J309,"")</f>
        <v/>
      </c>
      <c r="G309" t="str">
        <f>IF($A309&lt;&gt;"",MAESTRO!$D309,"")</f>
        <v/>
      </c>
      <c r="H309" t="str">
        <f>IF($A309&lt;&gt;"",IF(TRIM(MAESTRO!$G309&amp;" "&amp;MAESTRO!$H309&amp;" "&amp;MAESTRO!$I309)="",MAESTRO!$F309,TRIM(MAESTRO!$G309&amp;" "&amp;MAESTRO!$H309&amp;" "&amp;MAESTRO!$I309)),"")</f>
        <v/>
      </c>
      <c r="I309" t="str">
        <f>IF($A309&lt;&gt;"",MAESTRO!$K309,"")</f>
        <v/>
      </c>
      <c r="J309" t="str">
        <f>IF($A309&lt;&gt;"",309,"")</f>
        <v/>
      </c>
    </row>
    <row r="310" spans="1:10" x14ac:dyDescent="0.2">
      <c r="A310" t="str">
        <f>IF(AND(UPPER(MAESTRO!$M310)="VIP",UPPER(MAESTRO!$J310)="SI",MAESTRO!$F310&lt;&gt;""),MAESTRO!$P310,"")</f>
        <v/>
      </c>
      <c r="B310" t="str">
        <f>IF($A310&lt;&gt;"",MAESTRO!$B310,"")</f>
        <v/>
      </c>
      <c r="C310" t="str">
        <f>IF($A310&lt;&gt;"",MAESTRO!$A310,"")</f>
        <v/>
      </c>
      <c r="D310" t="str">
        <f>IF($A310&lt;&gt;"",MAESTRO!$C310,"")</f>
        <v/>
      </c>
      <c r="E310" t="str">
        <f>IF($A310&lt;&gt;"",MAESTRO!$M310,"")</f>
        <v/>
      </c>
      <c r="F310" t="str">
        <f>IF($A310&lt;&gt;"",MAESTRO!$J310,"")</f>
        <v/>
      </c>
      <c r="G310" t="str">
        <f>IF($A310&lt;&gt;"",MAESTRO!$D310,"")</f>
        <v/>
      </c>
      <c r="H310" t="str">
        <f>IF($A310&lt;&gt;"",IF(TRIM(MAESTRO!$G310&amp;" "&amp;MAESTRO!$H310&amp;" "&amp;MAESTRO!$I310)="",MAESTRO!$F310,TRIM(MAESTRO!$G310&amp;" "&amp;MAESTRO!$H310&amp;" "&amp;MAESTRO!$I310)),"")</f>
        <v/>
      </c>
      <c r="I310" t="str">
        <f>IF($A310&lt;&gt;"",MAESTRO!$K310,"")</f>
        <v/>
      </c>
      <c r="J310" t="str">
        <f>IF($A310&lt;&gt;"",310,"")</f>
        <v/>
      </c>
    </row>
    <row r="311" spans="1:10" x14ac:dyDescent="0.2">
      <c r="A311" t="str">
        <f>IF(AND(UPPER(MAESTRO!$M311)="VIP",UPPER(MAESTRO!$J311)="SI",MAESTRO!$F311&lt;&gt;""),MAESTRO!$P311,"")</f>
        <v/>
      </c>
      <c r="B311" t="str">
        <f>IF($A311&lt;&gt;"",MAESTRO!$B311,"")</f>
        <v/>
      </c>
      <c r="C311" t="str">
        <f>IF($A311&lt;&gt;"",MAESTRO!$A311,"")</f>
        <v/>
      </c>
      <c r="D311" t="str">
        <f>IF($A311&lt;&gt;"",MAESTRO!$C311,"")</f>
        <v/>
      </c>
      <c r="E311" t="str">
        <f>IF($A311&lt;&gt;"",MAESTRO!$M311,"")</f>
        <v/>
      </c>
      <c r="F311" t="str">
        <f>IF($A311&lt;&gt;"",MAESTRO!$J311,"")</f>
        <v/>
      </c>
      <c r="G311" t="str">
        <f>IF($A311&lt;&gt;"",MAESTRO!$D311,"")</f>
        <v/>
      </c>
      <c r="H311" t="str">
        <f>IF($A311&lt;&gt;"",IF(TRIM(MAESTRO!$G311&amp;" "&amp;MAESTRO!$H311&amp;" "&amp;MAESTRO!$I311)="",MAESTRO!$F311,TRIM(MAESTRO!$G311&amp;" "&amp;MAESTRO!$H311&amp;" "&amp;MAESTRO!$I311)),"")</f>
        <v/>
      </c>
      <c r="I311" t="str">
        <f>IF($A311&lt;&gt;"",MAESTRO!$K311,"")</f>
        <v/>
      </c>
      <c r="J311" t="str">
        <f>IF($A311&lt;&gt;"",311,"")</f>
        <v/>
      </c>
    </row>
    <row r="312" spans="1:10" x14ac:dyDescent="0.2">
      <c r="A312" t="str">
        <f>IF(AND(UPPER(MAESTRO!$M312)="VIP",UPPER(MAESTRO!$J312)="SI",MAESTRO!$F312&lt;&gt;""),MAESTRO!$P312,"")</f>
        <v/>
      </c>
      <c r="B312" t="str">
        <f>IF($A312&lt;&gt;"",MAESTRO!$B312,"")</f>
        <v/>
      </c>
      <c r="C312" t="str">
        <f>IF($A312&lt;&gt;"",MAESTRO!$A312,"")</f>
        <v/>
      </c>
      <c r="D312" t="str">
        <f>IF($A312&lt;&gt;"",MAESTRO!$C312,"")</f>
        <v/>
      </c>
      <c r="E312" t="str">
        <f>IF($A312&lt;&gt;"",MAESTRO!$M312,"")</f>
        <v/>
      </c>
      <c r="F312" t="str">
        <f>IF($A312&lt;&gt;"",MAESTRO!$J312,"")</f>
        <v/>
      </c>
      <c r="G312" t="str">
        <f>IF($A312&lt;&gt;"",MAESTRO!$D312,"")</f>
        <v/>
      </c>
      <c r="H312" t="str">
        <f>IF($A312&lt;&gt;"",IF(TRIM(MAESTRO!$G312&amp;" "&amp;MAESTRO!$H312&amp;" "&amp;MAESTRO!$I312)="",MAESTRO!$F312,TRIM(MAESTRO!$G312&amp;" "&amp;MAESTRO!$H312&amp;" "&amp;MAESTRO!$I312)),"")</f>
        <v/>
      </c>
      <c r="I312" t="str">
        <f>IF($A312&lt;&gt;"",MAESTRO!$K312,"")</f>
        <v/>
      </c>
      <c r="J312" t="str">
        <f>IF($A312&lt;&gt;"",312,"")</f>
        <v/>
      </c>
    </row>
    <row r="313" spans="1:10" x14ac:dyDescent="0.2">
      <c r="A313" t="str">
        <f>IF(AND(UPPER(MAESTRO!$M313)="VIP",UPPER(MAESTRO!$J313)="SI",MAESTRO!$F313&lt;&gt;""),MAESTRO!$P313,"")</f>
        <v/>
      </c>
      <c r="B313" t="str">
        <f>IF($A313&lt;&gt;"",MAESTRO!$B313,"")</f>
        <v/>
      </c>
      <c r="C313" t="str">
        <f>IF($A313&lt;&gt;"",MAESTRO!$A313,"")</f>
        <v/>
      </c>
      <c r="D313" t="str">
        <f>IF($A313&lt;&gt;"",MAESTRO!$C313,"")</f>
        <v/>
      </c>
      <c r="E313" t="str">
        <f>IF($A313&lt;&gt;"",MAESTRO!$M313,"")</f>
        <v/>
      </c>
      <c r="F313" t="str">
        <f>IF($A313&lt;&gt;"",MAESTRO!$J313,"")</f>
        <v/>
      </c>
      <c r="G313" t="str">
        <f>IF($A313&lt;&gt;"",MAESTRO!$D313,"")</f>
        <v/>
      </c>
      <c r="H313" t="str">
        <f>IF($A313&lt;&gt;"",IF(TRIM(MAESTRO!$G313&amp;" "&amp;MAESTRO!$H313&amp;" "&amp;MAESTRO!$I313)="",MAESTRO!$F313,TRIM(MAESTRO!$G313&amp;" "&amp;MAESTRO!$H313&amp;" "&amp;MAESTRO!$I313)),"")</f>
        <v/>
      </c>
      <c r="I313" t="str">
        <f>IF($A313&lt;&gt;"",MAESTRO!$K313,"")</f>
        <v/>
      </c>
      <c r="J313" t="str">
        <f>IF($A313&lt;&gt;"",313,"")</f>
        <v/>
      </c>
    </row>
    <row r="314" spans="1:10" x14ac:dyDescent="0.2">
      <c r="A314" t="str">
        <f>IF(AND(UPPER(MAESTRO!$M314)="VIP",UPPER(MAESTRO!$J314)="SI",MAESTRO!$F314&lt;&gt;""),MAESTRO!$P314,"")</f>
        <v/>
      </c>
      <c r="B314" t="str">
        <f>IF($A314&lt;&gt;"",MAESTRO!$B314,"")</f>
        <v/>
      </c>
      <c r="C314" t="str">
        <f>IF($A314&lt;&gt;"",MAESTRO!$A314,"")</f>
        <v/>
      </c>
      <c r="D314" t="str">
        <f>IF($A314&lt;&gt;"",MAESTRO!$C314,"")</f>
        <v/>
      </c>
      <c r="E314" t="str">
        <f>IF($A314&lt;&gt;"",MAESTRO!$M314,"")</f>
        <v/>
      </c>
      <c r="F314" t="str">
        <f>IF($A314&lt;&gt;"",MAESTRO!$J314,"")</f>
        <v/>
      </c>
      <c r="G314" t="str">
        <f>IF($A314&lt;&gt;"",MAESTRO!$D314,"")</f>
        <v/>
      </c>
      <c r="H314" t="str">
        <f>IF($A314&lt;&gt;"",IF(TRIM(MAESTRO!$G314&amp;" "&amp;MAESTRO!$H314&amp;" "&amp;MAESTRO!$I314)="",MAESTRO!$F314,TRIM(MAESTRO!$G314&amp;" "&amp;MAESTRO!$H314&amp;" "&amp;MAESTRO!$I314)),"")</f>
        <v/>
      </c>
      <c r="I314" t="str">
        <f>IF($A314&lt;&gt;"",MAESTRO!$K314,"")</f>
        <v/>
      </c>
      <c r="J314" t="str">
        <f>IF($A314&lt;&gt;"",314,"")</f>
        <v/>
      </c>
    </row>
    <row r="315" spans="1:10" x14ac:dyDescent="0.2">
      <c r="A315" t="str">
        <f>IF(AND(UPPER(MAESTRO!$M315)="VIP",UPPER(MAESTRO!$J315)="SI",MAESTRO!$F315&lt;&gt;""),MAESTRO!$P315,"")</f>
        <v/>
      </c>
      <c r="B315" t="str">
        <f>IF($A315&lt;&gt;"",MAESTRO!$B315,"")</f>
        <v/>
      </c>
      <c r="C315" t="str">
        <f>IF($A315&lt;&gt;"",MAESTRO!$A315,"")</f>
        <v/>
      </c>
      <c r="D315" t="str">
        <f>IF($A315&lt;&gt;"",MAESTRO!$C315,"")</f>
        <v/>
      </c>
      <c r="E315" t="str">
        <f>IF($A315&lt;&gt;"",MAESTRO!$M315,"")</f>
        <v/>
      </c>
      <c r="F315" t="str">
        <f>IF($A315&lt;&gt;"",MAESTRO!$J315,"")</f>
        <v/>
      </c>
      <c r="G315" t="str">
        <f>IF($A315&lt;&gt;"",MAESTRO!$D315,"")</f>
        <v/>
      </c>
      <c r="H315" t="str">
        <f>IF($A315&lt;&gt;"",IF(TRIM(MAESTRO!$G315&amp;" "&amp;MAESTRO!$H315&amp;" "&amp;MAESTRO!$I315)="",MAESTRO!$F315,TRIM(MAESTRO!$G315&amp;" "&amp;MAESTRO!$H315&amp;" "&amp;MAESTRO!$I315)),"")</f>
        <v/>
      </c>
      <c r="I315" t="str">
        <f>IF($A315&lt;&gt;"",MAESTRO!$K315,"")</f>
        <v/>
      </c>
      <c r="J315" t="str">
        <f>IF($A315&lt;&gt;"",315,"")</f>
        <v/>
      </c>
    </row>
    <row r="316" spans="1:10" x14ac:dyDescent="0.2">
      <c r="A316" t="str">
        <f>IF(AND(UPPER(MAESTRO!$M316)="VIP",UPPER(MAESTRO!$J316)="SI",MAESTRO!$F316&lt;&gt;""),MAESTRO!$P316,"")</f>
        <v/>
      </c>
      <c r="B316" t="str">
        <f>IF($A316&lt;&gt;"",MAESTRO!$B316,"")</f>
        <v/>
      </c>
      <c r="C316" t="str">
        <f>IF($A316&lt;&gt;"",MAESTRO!$A316,"")</f>
        <v/>
      </c>
      <c r="D316" t="str">
        <f>IF($A316&lt;&gt;"",MAESTRO!$C316,"")</f>
        <v/>
      </c>
      <c r="E316" t="str">
        <f>IF($A316&lt;&gt;"",MAESTRO!$M316,"")</f>
        <v/>
      </c>
      <c r="F316" t="str">
        <f>IF($A316&lt;&gt;"",MAESTRO!$J316,"")</f>
        <v/>
      </c>
      <c r="G316" t="str">
        <f>IF($A316&lt;&gt;"",MAESTRO!$D316,"")</f>
        <v/>
      </c>
      <c r="H316" t="str">
        <f>IF($A316&lt;&gt;"",IF(TRIM(MAESTRO!$G316&amp;" "&amp;MAESTRO!$H316&amp;" "&amp;MAESTRO!$I316)="",MAESTRO!$F316,TRIM(MAESTRO!$G316&amp;" "&amp;MAESTRO!$H316&amp;" "&amp;MAESTRO!$I316)),"")</f>
        <v/>
      </c>
      <c r="I316" t="str">
        <f>IF($A316&lt;&gt;"",MAESTRO!$K316,"")</f>
        <v/>
      </c>
      <c r="J316" t="str">
        <f>IF($A316&lt;&gt;"",316,"")</f>
        <v/>
      </c>
    </row>
    <row r="317" spans="1:10" x14ac:dyDescent="0.2">
      <c r="A317" t="str">
        <f>IF(AND(UPPER(MAESTRO!$M317)="VIP",UPPER(MAESTRO!$J317)="SI",MAESTRO!$F317&lt;&gt;""),MAESTRO!$P317,"")</f>
        <v/>
      </c>
      <c r="B317" t="str">
        <f>IF($A317&lt;&gt;"",MAESTRO!$B317,"")</f>
        <v/>
      </c>
      <c r="C317" t="str">
        <f>IF($A317&lt;&gt;"",MAESTRO!$A317,"")</f>
        <v/>
      </c>
      <c r="D317" t="str">
        <f>IF($A317&lt;&gt;"",MAESTRO!$C317,"")</f>
        <v/>
      </c>
      <c r="E317" t="str">
        <f>IF($A317&lt;&gt;"",MAESTRO!$M317,"")</f>
        <v/>
      </c>
      <c r="F317" t="str">
        <f>IF($A317&lt;&gt;"",MAESTRO!$J317,"")</f>
        <v/>
      </c>
      <c r="G317" t="str">
        <f>IF($A317&lt;&gt;"",MAESTRO!$D317,"")</f>
        <v/>
      </c>
      <c r="H317" t="str">
        <f>IF($A317&lt;&gt;"",IF(TRIM(MAESTRO!$G317&amp;" "&amp;MAESTRO!$H317&amp;" "&amp;MAESTRO!$I317)="",MAESTRO!$F317,TRIM(MAESTRO!$G317&amp;" "&amp;MAESTRO!$H317&amp;" "&amp;MAESTRO!$I317)),"")</f>
        <v/>
      </c>
      <c r="I317" t="str">
        <f>IF($A317&lt;&gt;"",MAESTRO!$K317,"")</f>
        <v/>
      </c>
      <c r="J317" t="str">
        <f>IF($A317&lt;&gt;"",317,"")</f>
        <v/>
      </c>
    </row>
    <row r="318" spans="1:10" x14ac:dyDescent="0.2">
      <c r="A318" t="str">
        <f>IF(AND(UPPER(MAESTRO!$M318)="VIP",UPPER(MAESTRO!$J318)="SI",MAESTRO!$F318&lt;&gt;""),MAESTRO!$P318,"")</f>
        <v>A29</v>
      </c>
      <c r="B318">
        <f>IF($A318&lt;&gt;"",MAESTRO!$B318,"")</f>
        <v>317</v>
      </c>
      <c r="C318">
        <f>IF($A318&lt;&gt;"",MAESTRO!$A318,"")</f>
        <v>317</v>
      </c>
      <c r="D318" t="str">
        <f>IF($A318&lt;&gt;"",MAESTRO!$C318,"")</f>
        <v>MILITARES</v>
      </c>
      <c r="E318" t="str">
        <f>IF($A318&lt;&gt;"",MAESTRO!$M318,"")</f>
        <v>VIP</v>
      </c>
      <c r="F318" t="str">
        <f>IF($A318&lt;&gt;"",MAESTRO!$J318,"")</f>
        <v>SI</v>
      </c>
      <c r="G318" t="str">
        <f>IF($A318&lt;&gt;"",MAESTRO!$D318,"")</f>
        <v>Capitán de Navío</v>
      </c>
      <c r="H318" t="str">
        <f>IF($A318&lt;&gt;"",IF(TRIM(MAESTRO!$G318&amp;" "&amp;MAESTRO!$H318&amp;" "&amp;MAESTRO!$I318)="",MAESTRO!$F318,TRIM(MAESTRO!$G318&amp;" "&amp;MAESTRO!$H318&amp;" "&amp;MAESTRO!$I318)),"")</f>
        <v>Alessandro Pulleghini Flores</v>
      </c>
      <c r="I318" t="str">
        <f>IF($A318&lt;&gt;"",MAESTRO!$K318,"")</f>
        <v>Edecán SEPRE</v>
      </c>
      <c r="J318">
        <f>IF($A318&lt;&gt;"",318,"")</f>
        <v>318</v>
      </c>
    </row>
    <row r="319" spans="1:10" x14ac:dyDescent="0.2">
      <c r="A319" t="str">
        <f>IF(AND(UPPER(MAESTRO!$M319)="VIP",UPPER(MAESTRO!$J319)="SI",MAESTRO!$F319&lt;&gt;""),MAESTRO!$P319,"")</f>
        <v>A16</v>
      </c>
      <c r="B319">
        <f>IF($A319&lt;&gt;"",MAESTRO!$B319,"")</f>
        <v>318</v>
      </c>
      <c r="C319">
        <f>IF($A319&lt;&gt;"",MAESTRO!$A319,"")</f>
        <v>318</v>
      </c>
      <c r="D319" t="str">
        <f>IF($A319&lt;&gt;"",MAESTRO!$C319,"")</f>
        <v>MILITARES</v>
      </c>
      <c r="E319" t="str">
        <f>IF($A319&lt;&gt;"",MAESTRO!$M319,"")</f>
        <v>VIP</v>
      </c>
      <c r="F319" t="str">
        <f>IF($A319&lt;&gt;"",MAESTRO!$J319,"")</f>
        <v>SI</v>
      </c>
      <c r="G319" t="str">
        <f>IF($A319&lt;&gt;"",MAESTRO!$D319,"")</f>
        <v>Capitán de Fragata</v>
      </c>
      <c r="H319" t="str">
        <f>IF($A319&lt;&gt;"",IF(TRIM(MAESTRO!$G319&amp;" "&amp;MAESTRO!$H319&amp;" "&amp;MAESTRO!$I319)="",MAESTRO!$F319,TRIM(MAESTRO!$G319&amp;" "&amp;MAESTRO!$H319&amp;" "&amp;MAESTRO!$I319)),"")</f>
        <v>Pablo Berg Aldoney</v>
      </c>
      <c r="I319" t="str">
        <f>IF($A319&lt;&gt;"",MAESTRO!$K319,"")</f>
        <v>AYUDORALM</v>
      </c>
      <c r="J319">
        <f>IF($A319&lt;&gt;"",319,"")</f>
        <v>319</v>
      </c>
    </row>
    <row r="320" spans="1:10" x14ac:dyDescent="0.2">
      <c r="A320" t="str">
        <f>IF(AND(UPPER(MAESTRO!$M320)="VIP",UPPER(MAESTRO!$J320)="SI",MAESTRO!$F320&lt;&gt;""),MAESTRO!$P320,"")</f>
        <v>A30</v>
      </c>
      <c r="B320">
        <f>IF($A320&lt;&gt;"",MAESTRO!$B320,"")</f>
        <v>319</v>
      </c>
      <c r="C320">
        <f>IF($A320&lt;&gt;"",MAESTRO!$A320,"")</f>
        <v>319</v>
      </c>
      <c r="D320" t="str">
        <f>IF($A320&lt;&gt;"",MAESTRO!$C320,"")</f>
        <v>MILITARES</v>
      </c>
      <c r="E320" t="str">
        <f>IF($A320&lt;&gt;"",MAESTRO!$M320,"")</f>
        <v>VIP</v>
      </c>
      <c r="F320" t="str">
        <f>IF($A320&lt;&gt;"",MAESTRO!$J320,"")</f>
        <v>SI</v>
      </c>
      <c r="G320" t="str">
        <f>IF($A320&lt;&gt;"",MAESTRO!$D320,"")</f>
        <v>Capitán de NavÍo IM</v>
      </c>
      <c r="H320" t="str">
        <f>IF($A320&lt;&gt;"",IF(TRIM(MAESTRO!$G320&amp;" "&amp;MAESTRO!$H320&amp;" "&amp;MAESTRO!$I320)="",MAESTRO!$F320,TRIM(MAESTRO!$G320&amp;" "&amp;MAESTRO!$H320&amp;" "&amp;MAESTRO!$I320)),"")</f>
        <v>César Negrete Cristi</v>
      </c>
      <c r="I320" t="str">
        <f>IF($A320&lt;&gt;"",MAESTRO!$K320,"")</f>
        <v>Oficial Enlace Armada de las SSFFAA</v>
      </c>
      <c r="J320">
        <f>IF($A320&lt;&gt;"",320,"")</f>
        <v>320</v>
      </c>
    </row>
    <row r="321" spans="1:10" x14ac:dyDescent="0.2">
      <c r="A321" t="str">
        <f>IF(AND(UPPER(MAESTRO!$M321)="VIP",UPPER(MAESTRO!$J321)="SI",MAESTRO!$F321&lt;&gt;""),MAESTRO!$P321,"")</f>
        <v>A15</v>
      </c>
      <c r="B321">
        <f>IF($A321&lt;&gt;"",MAESTRO!$B321,"")</f>
        <v>320</v>
      </c>
      <c r="C321">
        <f>IF($A321&lt;&gt;"",MAESTRO!$A321,"")</f>
        <v>320</v>
      </c>
      <c r="D321" t="str">
        <f>IF($A321&lt;&gt;"",MAESTRO!$C321,"")</f>
        <v>MILITARES</v>
      </c>
      <c r="E321" t="str">
        <f>IF($A321&lt;&gt;"",MAESTRO!$M321,"")</f>
        <v>VIP</v>
      </c>
      <c r="F321" t="str">
        <f>IF($A321&lt;&gt;"",MAESTRO!$J321,"")</f>
        <v>SI</v>
      </c>
      <c r="G321" t="str">
        <f>IF($A321&lt;&gt;"",MAESTRO!$D321,"")</f>
        <v>Capitán de Navío</v>
      </c>
      <c r="H321" t="str">
        <f>IF($A321&lt;&gt;"",IF(TRIM(MAESTRO!$G321&amp;" "&amp;MAESTRO!$H321&amp;" "&amp;MAESTRO!$I321)="",MAESTRO!$F321,TRIM(MAESTRO!$G321&amp;" "&amp;MAESTRO!$H321&amp;" "&amp;MAESTRO!$I321)),"")</f>
        <v>Christian Marambio Taylor</v>
      </c>
      <c r="I321" t="str">
        <f>IF($A321&lt;&gt;"",MAESTRO!$K321,"")</f>
        <v>Edecan Presidente del Senado</v>
      </c>
      <c r="J321">
        <f>IF($A321&lt;&gt;"",321,"")</f>
        <v>321</v>
      </c>
    </row>
    <row r="322" spans="1:10" x14ac:dyDescent="0.2">
      <c r="A322" t="str">
        <f>IF(AND(UPPER(MAESTRO!$M322)="VIP",UPPER(MAESTRO!$J322)="SI",MAESTRO!$F322&lt;&gt;""),MAESTRO!$P322,"")</f>
        <v>A31</v>
      </c>
      <c r="B322">
        <f>IF($A322&lt;&gt;"",MAESTRO!$B322,"")</f>
        <v>321</v>
      </c>
      <c r="C322">
        <f>IF($A322&lt;&gt;"",MAESTRO!$A322,"")</f>
        <v>321</v>
      </c>
      <c r="D322" t="str">
        <f>IF($A322&lt;&gt;"",MAESTRO!$C322,"")</f>
        <v>MILITARES</v>
      </c>
      <c r="E322" t="str">
        <f>IF($A322&lt;&gt;"",MAESTRO!$M322,"")</f>
        <v>VIP</v>
      </c>
      <c r="F322" t="str">
        <f>IF($A322&lt;&gt;"",MAESTRO!$J322,"")</f>
        <v>SI</v>
      </c>
      <c r="G322" t="str">
        <f>IF($A322&lt;&gt;"",MAESTRO!$D322,"")</f>
        <v>Capitán de Fragata</v>
      </c>
      <c r="H322" t="str">
        <f>IF($A322&lt;&gt;"",IF(TRIM(MAESTRO!$G322&amp;" "&amp;MAESTRO!$H322&amp;" "&amp;MAESTRO!$I322)="",MAESTRO!$F322,TRIM(MAESTRO!$G322&amp;" "&amp;MAESTRO!$H322&amp;" "&amp;MAESTRO!$I322)),"")</f>
        <v>Joaquín Opazo Rojas</v>
      </c>
      <c r="I322" t="str">
        <f>IF($A322&lt;&gt;"",MAESTRO!$K322,"")</f>
        <v>Ayudor MINDEF</v>
      </c>
      <c r="J322">
        <f>IF($A322&lt;&gt;"",322,"")</f>
        <v>322</v>
      </c>
    </row>
    <row r="323" spans="1:10" x14ac:dyDescent="0.2">
      <c r="A323" t="str">
        <f>IF(AND(UPPER(MAESTRO!$M323)="VIP",UPPER(MAESTRO!$J323)="SI",MAESTRO!$F323&lt;&gt;""),MAESTRO!$P323,"")</f>
        <v>A14</v>
      </c>
      <c r="B323">
        <f>IF($A323&lt;&gt;"",MAESTRO!$B323,"")</f>
        <v>322</v>
      </c>
      <c r="C323">
        <f>IF($A323&lt;&gt;"",MAESTRO!$A323,"")</f>
        <v>322</v>
      </c>
      <c r="D323" t="str">
        <f>IF($A323&lt;&gt;"",MAESTRO!$C323,"")</f>
        <v>MILITARES</v>
      </c>
      <c r="E323" t="str">
        <f>IF($A323&lt;&gt;"",MAESTRO!$M323,"")</f>
        <v>VIP</v>
      </c>
      <c r="F323" t="str">
        <f>IF($A323&lt;&gt;"",MAESTRO!$J323,"")</f>
        <v>SI</v>
      </c>
      <c r="G323" t="str">
        <f>IF($A323&lt;&gt;"",MAESTRO!$D323,"")</f>
        <v>Capitán de Fragata</v>
      </c>
      <c r="H323" t="str">
        <f>IF($A323&lt;&gt;"",IF(TRIM(MAESTRO!$G323&amp;" "&amp;MAESTRO!$H323&amp;" "&amp;MAESTRO!$I323)="",MAESTRO!$F323,TRIM(MAESTRO!$G323&amp;" "&amp;MAESTRO!$H323&amp;" "&amp;MAESTRO!$I323)),"")</f>
        <v>Luis González Otero</v>
      </c>
      <c r="I323" t="str">
        <f>IF($A323&lt;&gt;"",MAESTRO!$K323,"")</f>
        <v>Ayudor VA peruano</v>
      </c>
      <c r="J323">
        <f>IF($A323&lt;&gt;"",323,"")</f>
        <v>323</v>
      </c>
    </row>
    <row r="324" spans="1:10" x14ac:dyDescent="0.2">
      <c r="A324" t="str">
        <f>IF(AND(UPPER(MAESTRO!$M324)="VIP",UPPER(MAESTRO!$J324)="SI",MAESTRO!$F324&lt;&gt;""),MAESTRO!$P324,"")</f>
        <v/>
      </c>
      <c r="B324" t="str">
        <f>IF($A324&lt;&gt;"",MAESTRO!$B324,"")</f>
        <v/>
      </c>
      <c r="C324" t="str">
        <f>IF($A324&lt;&gt;"",MAESTRO!$A324,"")</f>
        <v/>
      </c>
      <c r="D324" t="str">
        <f>IF($A324&lt;&gt;"",MAESTRO!$C324,"")</f>
        <v/>
      </c>
      <c r="E324" t="str">
        <f>IF($A324&lt;&gt;"",MAESTRO!$M324,"")</f>
        <v/>
      </c>
      <c r="F324" t="str">
        <f>IF($A324&lt;&gt;"",MAESTRO!$J324,"")</f>
        <v/>
      </c>
      <c r="G324" t="str">
        <f>IF($A324&lt;&gt;"",MAESTRO!$D324,"")</f>
        <v/>
      </c>
      <c r="H324" t="str">
        <f>IF($A324&lt;&gt;"",IF(TRIM(MAESTRO!$G324&amp;" "&amp;MAESTRO!$H324&amp;" "&amp;MAESTRO!$I324)="",MAESTRO!$F324,TRIM(MAESTRO!$G324&amp;" "&amp;MAESTRO!$H324&amp;" "&amp;MAESTRO!$I324)),"")</f>
        <v/>
      </c>
      <c r="I324" t="str">
        <f>IF($A324&lt;&gt;"",MAESTRO!$K324,"")</f>
        <v/>
      </c>
      <c r="J324" t="str">
        <f>IF($A324&lt;&gt;"",324,"")</f>
        <v/>
      </c>
    </row>
    <row r="325" spans="1:10" x14ac:dyDescent="0.2">
      <c r="A325" t="str">
        <f>IF(AND(UPPER(MAESTRO!$M325)="VIP",UPPER(MAESTRO!$J325)="SI",MAESTRO!$F325&lt;&gt;""),MAESTRO!$P325,"")</f>
        <v/>
      </c>
      <c r="B325" t="str">
        <f>IF($A325&lt;&gt;"",MAESTRO!$B325,"")</f>
        <v/>
      </c>
      <c r="C325" t="str">
        <f>IF($A325&lt;&gt;"",MAESTRO!$A325,"")</f>
        <v/>
      </c>
      <c r="D325" t="str">
        <f>IF($A325&lt;&gt;"",MAESTRO!$C325,"")</f>
        <v/>
      </c>
      <c r="E325" t="str">
        <f>IF($A325&lt;&gt;"",MAESTRO!$M325,"")</f>
        <v/>
      </c>
      <c r="F325" t="str">
        <f>IF($A325&lt;&gt;"",MAESTRO!$J325,"")</f>
        <v/>
      </c>
      <c r="G325" t="str">
        <f>IF($A325&lt;&gt;"",MAESTRO!$D325,"")</f>
        <v/>
      </c>
      <c r="H325" t="str">
        <f>IF($A325&lt;&gt;"",IF(TRIM(MAESTRO!$G325&amp;" "&amp;MAESTRO!$H325&amp;" "&amp;MAESTRO!$I325)="",MAESTRO!$F325,TRIM(MAESTRO!$G325&amp;" "&amp;MAESTRO!$H325&amp;" "&amp;MAESTRO!$I325)),"")</f>
        <v/>
      </c>
      <c r="I325" t="str">
        <f>IF($A325&lt;&gt;"",MAESTRO!$K325,"")</f>
        <v/>
      </c>
      <c r="J325" t="str">
        <f>IF($A325&lt;&gt;"",325,"")</f>
        <v/>
      </c>
    </row>
    <row r="326" spans="1:10" x14ac:dyDescent="0.2">
      <c r="A326" t="str">
        <f>IF(AND(UPPER(MAESTRO!$M326)="VIP",UPPER(MAESTRO!$J326)="SI",MAESTRO!$F326&lt;&gt;""),MAESTRO!$P326,"")</f>
        <v/>
      </c>
      <c r="B326" t="str">
        <f>IF($A326&lt;&gt;"",MAESTRO!$B326,"")</f>
        <v/>
      </c>
      <c r="C326" t="str">
        <f>IF($A326&lt;&gt;"",MAESTRO!$A326,"")</f>
        <v/>
      </c>
      <c r="D326" t="str">
        <f>IF($A326&lt;&gt;"",MAESTRO!$C326,"")</f>
        <v/>
      </c>
      <c r="E326" t="str">
        <f>IF($A326&lt;&gt;"",MAESTRO!$M326,"")</f>
        <v/>
      </c>
      <c r="F326" t="str">
        <f>IF($A326&lt;&gt;"",MAESTRO!$J326,"")</f>
        <v/>
      </c>
      <c r="G326" t="str">
        <f>IF($A326&lt;&gt;"",MAESTRO!$D326,"")</f>
        <v/>
      </c>
      <c r="H326" t="str">
        <f>IF($A326&lt;&gt;"",IF(TRIM(MAESTRO!$G326&amp;" "&amp;MAESTRO!$H326&amp;" "&amp;MAESTRO!$I326)="",MAESTRO!$F326,TRIM(MAESTRO!$G326&amp;" "&amp;MAESTRO!$H326&amp;" "&amp;MAESTRO!$I326)),"")</f>
        <v/>
      </c>
      <c r="I326" t="str">
        <f>IF($A326&lt;&gt;"",MAESTRO!$K326,"")</f>
        <v/>
      </c>
      <c r="J326" t="str">
        <f>IF($A326&lt;&gt;"",326,"")</f>
        <v/>
      </c>
    </row>
    <row r="327" spans="1:10" x14ac:dyDescent="0.2">
      <c r="A327" t="str">
        <f>IF(AND(UPPER(MAESTRO!$M327)="VIP",UPPER(MAESTRO!$J327)="SI",MAESTRO!$F327&lt;&gt;""),MAESTRO!$P327,"")</f>
        <v/>
      </c>
      <c r="B327" t="str">
        <f>IF($A327&lt;&gt;"",MAESTRO!$B327,"")</f>
        <v/>
      </c>
      <c r="C327" t="str">
        <f>IF($A327&lt;&gt;"",MAESTRO!$A327,"")</f>
        <v/>
      </c>
      <c r="D327" t="str">
        <f>IF($A327&lt;&gt;"",MAESTRO!$C327,"")</f>
        <v/>
      </c>
      <c r="E327" t="str">
        <f>IF($A327&lt;&gt;"",MAESTRO!$M327,"")</f>
        <v/>
      </c>
      <c r="F327" t="str">
        <f>IF($A327&lt;&gt;"",MAESTRO!$J327,"")</f>
        <v/>
      </c>
      <c r="G327" t="str">
        <f>IF($A327&lt;&gt;"",MAESTRO!$D327,"")</f>
        <v/>
      </c>
      <c r="H327" t="str">
        <f>IF($A327&lt;&gt;"",IF(TRIM(MAESTRO!$G327&amp;" "&amp;MAESTRO!$H327&amp;" "&amp;MAESTRO!$I327)="",MAESTRO!$F327,TRIM(MAESTRO!$G327&amp;" "&amp;MAESTRO!$H327&amp;" "&amp;MAESTRO!$I327)),"")</f>
        <v/>
      </c>
      <c r="I327" t="str">
        <f>IF($A327&lt;&gt;"",MAESTRO!$K327,"")</f>
        <v/>
      </c>
      <c r="J327" t="str">
        <f>IF($A327&lt;&gt;"",327,"")</f>
        <v/>
      </c>
    </row>
    <row r="328" spans="1:10" x14ac:dyDescent="0.2">
      <c r="A328" t="str">
        <f>IF(AND(UPPER(MAESTRO!$M328)="VIP",UPPER(MAESTRO!$J328)="SI",MAESTRO!$F328&lt;&gt;""),MAESTRO!$P328,"")</f>
        <v/>
      </c>
      <c r="B328" t="str">
        <f>IF($A328&lt;&gt;"",MAESTRO!$B328,"")</f>
        <v/>
      </c>
      <c r="C328" t="str">
        <f>IF($A328&lt;&gt;"",MAESTRO!$A328,"")</f>
        <v/>
      </c>
      <c r="D328" t="str">
        <f>IF($A328&lt;&gt;"",MAESTRO!$C328,"")</f>
        <v/>
      </c>
      <c r="E328" t="str">
        <f>IF($A328&lt;&gt;"",MAESTRO!$M328,"")</f>
        <v/>
      </c>
      <c r="F328" t="str">
        <f>IF($A328&lt;&gt;"",MAESTRO!$J328,"")</f>
        <v/>
      </c>
      <c r="G328" t="str">
        <f>IF($A328&lt;&gt;"",MAESTRO!$D328,"")</f>
        <v/>
      </c>
      <c r="H328" t="str">
        <f>IF($A328&lt;&gt;"",IF(TRIM(MAESTRO!$G328&amp;" "&amp;MAESTRO!$H328&amp;" "&amp;MAESTRO!$I328)="",MAESTRO!$F328,TRIM(MAESTRO!$G328&amp;" "&amp;MAESTRO!$H328&amp;" "&amp;MAESTRO!$I328)),"")</f>
        <v/>
      </c>
      <c r="I328" t="str">
        <f>IF($A328&lt;&gt;"",MAESTRO!$K328,"")</f>
        <v/>
      </c>
      <c r="J328" t="str">
        <f>IF($A328&lt;&gt;"",328,"")</f>
        <v/>
      </c>
    </row>
    <row r="329" spans="1:10" x14ac:dyDescent="0.2">
      <c r="A329" t="str">
        <f>IF(AND(UPPER(MAESTRO!$M329)="VIP",UPPER(MAESTRO!$J329)="SI",MAESTRO!$F329&lt;&gt;""),MAESTRO!$P329,"")</f>
        <v/>
      </c>
      <c r="B329" t="str">
        <f>IF($A329&lt;&gt;"",MAESTRO!$B329,"")</f>
        <v/>
      </c>
      <c r="C329" t="str">
        <f>IF($A329&lt;&gt;"",MAESTRO!$A329,"")</f>
        <v/>
      </c>
      <c r="D329" t="str">
        <f>IF($A329&lt;&gt;"",MAESTRO!$C329,"")</f>
        <v/>
      </c>
      <c r="E329" t="str">
        <f>IF($A329&lt;&gt;"",MAESTRO!$M329,"")</f>
        <v/>
      </c>
      <c r="F329" t="str">
        <f>IF($A329&lt;&gt;"",MAESTRO!$J329,"")</f>
        <v/>
      </c>
      <c r="G329" t="str">
        <f>IF($A329&lt;&gt;"",MAESTRO!$D329,"")</f>
        <v/>
      </c>
      <c r="H329" t="str">
        <f>IF($A329&lt;&gt;"",IF(TRIM(MAESTRO!$G329&amp;" "&amp;MAESTRO!$H329&amp;" "&amp;MAESTRO!$I329)="",MAESTRO!$F329,TRIM(MAESTRO!$G329&amp;" "&amp;MAESTRO!$H329&amp;" "&amp;MAESTRO!$I329)),"")</f>
        <v/>
      </c>
      <c r="I329" t="str">
        <f>IF($A329&lt;&gt;"",MAESTRO!$K329,"")</f>
        <v/>
      </c>
      <c r="J329" t="str">
        <f>IF($A329&lt;&gt;"",329,"")</f>
        <v/>
      </c>
    </row>
    <row r="330" spans="1:10" x14ac:dyDescent="0.2">
      <c r="A330" t="str">
        <f>IF(AND(UPPER(MAESTRO!$M330)="VIP",UPPER(MAESTRO!$J330)="SI",MAESTRO!$F330&lt;&gt;""),MAESTRO!$P330,"")</f>
        <v/>
      </c>
      <c r="B330" t="str">
        <f>IF($A330&lt;&gt;"",MAESTRO!$B330,"")</f>
        <v/>
      </c>
      <c r="C330" t="str">
        <f>IF($A330&lt;&gt;"",MAESTRO!$A330,"")</f>
        <v/>
      </c>
      <c r="D330" t="str">
        <f>IF($A330&lt;&gt;"",MAESTRO!$C330,"")</f>
        <v/>
      </c>
      <c r="E330" t="str">
        <f>IF($A330&lt;&gt;"",MAESTRO!$M330,"")</f>
        <v/>
      </c>
      <c r="F330" t="str">
        <f>IF($A330&lt;&gt;"",MAESTRO!$J330,"")</f>
        <v/>
      </c>
      <c r="G330" t="str">
        <f>IF($A330&lt;&gt;"",MAESTRO!$D330,"")</f>
        <v/>
      </c>
      <c r="H330" t="str">
        <f>IF($A330&lt;&gt;"",IF(TRIM(MAESTRO!$G330&amp;" "&amp;MAESTRO!$H330&amp;" "&amp;MAESTRO!$I330)="",MAESTRO!$F330,TRIM(MAESTRO!$G330&amp;" "&amp;MAESTRO!$H330&amp;" "&amp;MAESTRO!$I330)),"")</f>
        <v/>
      </c>
      <c r="I330" t="str">
        <f>IF($A330&lt;&gt;"",MAESTRO!$K330,"")</f>
        <v/>
      </c>
      <c r="J330" t="str">
        <f>IF($A330&lt;&gt;"",330,"")</f>
        <v/>
      </c>
    </row>
    <row r="331" spans="1:10" x14ac:dyDescent="0.2">
      <c r="A331" t="str">
        <f>IF(AND(UPPER(MAESTRO!$M331)="VIP",UPPER(MAESTRO!$J331)="SI",MAESTRO!$F331&lt;&gt;""),MAESTRO!$P331,"")</f>
        <v/>
      </c>
      <c r="B331" t="str">
        <f>IF($A331&lt;&gt;"",MAESTRO!$B331,"")</f>
        <v/>
      </c>
      <c r="C331" t="str">
        <f>IF($A331&lt;&gt;"",MAESTRO!$A331,"")</f>
        <v/>
      </c>
      <c r="D331" t="str">
        <f>IF($A331&lt;&gt;"",MAESTRO!$C331,"")</f>
        <v/>
      </c>
      <c r="E331" t="str">
        <f>IF($A331&lt;&gt;"",MAESTRO!$M331,"")</f>
        <v/>
      </c>
      <c r="F331" t="str">
        <f>IF($A331&lt;&gt;"",MAESTRO!$J331,"")</f>
        <v/>
      </c>
      <c r="G331" t="str">
        <f>IF($A331&lt;&gt;"",MAESTRO!$D331,"")</f>
        <v/>
      </c>
      <c r="H331" t="str">
        <f>IF($A331&lt;&gt;"",IF(TRIM(MAESTRO!$G331&amp;" "&amp;MAESTRO!$H331&amp;" "&amp;MAESTRO!$I331)="",MAESTRO!$F331,TRIM(MAESTRO!$G331&amp;" "&amp;MAESTRO!$H331&amp;" "&amp;MAESTRO!$I331)),"")</f>
        <v/>
      </c>
      <c r="I331" t="str">
        <f>IF($A331&lt;&gt;"",MAESTRO!$K331,"")</f>
        <v/>
      </c>
      <c r="J331" t="str">
        <f>IF($A331&lt;&gt;"",331,"")</f>
        <v/>
      </c>
    </row>
    <row r="332" spans="1:10" x14ac:dyDescent="0.2">
      <c r="A332" t="str">
        <f>IF(AND(UPPER(MAESTRO!$M332)="VIP",UPPER(MAESTRO!$J332)="SI",MAESTRO!$F332&lt;&gt;""),MAESTRO!$P332,"")</f>
        <v/>
      </c>
      <c r="B332" t="str">
        <f>IF($A332&lt;&gt;"",MAESTRO!$B332,"")</f>
        <v/>
      </c>
      <c r="C332" t="str">
        <f>IF($A332&lt;&gt;"",MAESTRO!$A332,"")</f>
        <v/>
      </c>
      <c r="D332" t="str">
        <f>IF($A332&lt;&gt;"",MAESTRO!$C332,"")</f>
        <v/>
      </c>
      <c r="E332" t="str">
        <f>IF($A332&lt;&gt;"",MAESTRO!$M332,"")</f>
        <v/>
      </c>
      <c r="F332" t="str">
        <f>IF($A332&lt;&gt;"",MAESTRO!$J332,"")</f>
        <v/>
      </c>
      <c r="G332" t="str">
        <f>IF($A332&lt;&gt;"",MAESTRO!$D332,"")</f>
        <v/>
      </c>
      <c r="H332" t="str">
        <f>IF($A332&lt;&gt;"",IF(TRIM(MAESTRO!$G332&amp;" "&amp;MAESTRO!$H332&amp;" "&amp;MAESTRO!$I332)="",MAESTRO!$F332,TRIM(MAESTRO!$G332&amp;" "&amp;MAESTRO!$H332&amp;" "&amp;MAESTRO!$I332)),"")</f>
        <v/>
      </c>
      <c r="I332" t="str">
        <f>IF($A332&lt;&gt;"",MAESTRO!$K332,"")</f>
        <v/>
      </c>
      <c r="J332" t="str">
        <f>IF($A332&lt;&gt;"",332,"")</f>
        <v/>
      </c>
    </row>
    <row r="333" spans="1:10" x14ac:dyDescent="0.2">
      <c r="A333" t="str">
        <f>IF(AND(UPPER(MAESTRO!$M333)="VIP",UPPER(MAESTRO!$J333)="SI",MAESTRO!$F333&lt;&gt;""),MAESTRO!$P333,"")</f>
        <v/>
      </c>
      <c r="B333" t="str">
        <f>IF($A333&lt;&gt;"",MAESTRO!$B333,"")</f>
        <v/>
      </c>
      <c r="C333" t="str">
        <f>IF($A333&lt;&gt;"",MAESTRO!$A333,"")</f>
        <v/>
      </c>
      <c r="D333" t="str">
        <f>IF($A333&lt;&gt;"",MAESTRO!$C333,"")</f>
        <v/>
      </c>
      <c r="E333" t="str">
        <f>IF($A333&lt;&gt;"",MAESTRO!$M333,"")</f>
        <v/>
      </c>
      <c r="F333" t="str">
        <f>IF($A333&lt;&gt;"",MAESTRO!$J333,"")</f>
        <v/>
      </c>
      <c r="G333" t="str">
        <f>IF($A333&lt;&gt;"",MAESTRO!$D333,"")</f>
        <v/>
      </c>
      <c r="H333" t="str">
        <f>IF($A333&lt;&gt;"",IF(TRIM(MAESTRO!$G333&amp;" "&amp;MAESTRO!$H333&amp;" "&amp;MAESTRO!$I333)="",MAESTRO!$F333,TRIM(MAESTRO!$G333&amp;" "&amp;MAESTRO!$H333&amp;" "&amp;MAESTRO!$I333)),"")</f>
        <v/>
      </c>
      <c r="I333" t="str">
        <f>IF($A333&lt;&gt;"",MAESTRO!$K333,"")</f>
        <v/>
      </c>
      <c r="J333" t="str">
        <f>IF($A333&lt;&gt;"",333,"")</f>
        <v/>
      </c>
    </row>
    <row r="334" spans="1:10" x14ac:dyDescent="0.2">
      <c r="A334" t="str">
        <f>IF(AND(UPPER(MAESTRO!$M334)="VIP",UPPER(MAESTRO!$J334)="SI",MAESTRO!$F334&lt;&gt;""),MAESTRO!$P334,"")</f>
        <v/>
      </c>
      <c r="B334" t="str">
        <f>IF($A334&lt;&gt;"",MAESTRO!$B334,"")</f>
        <v/>
      </c>
      <c r="C334" t="str">
        <f>IF($A334&lt;&gt;"",MAESTRO!$A334,"")</f>
        <v/>
      </c>
      <c r="D334" t="str">
        <f>IF($A334&lt;&gt;"",MAESTRO!$C334,"")</f>
        <v/>
      </c>
      <c r="E334" t="str">
        <f>IF($A334&lt;&gt;"",MAESTRO!$M334,"")</f>
        <v/>
      </c>
      <c r="F334" t="str">
        <f>IF($A334&lt;&gt;"",MAESTRO!$J334,"")</f>
        <v/>
      </c>
      <c r="G334" t="str">
        <f>IF($A334&lt;&gt;"",MAESTRO!$D334,"")</f>
        <v/>
      </c>
      <c r="H334" t="str">
        <f>IF($A334&lt;&gt;"",IF(TRIM(MAESTRO!$G334&amp;" "&amp;MAESTRO!$H334&amp;" "&amp;MAESTRO!$I334)="",MAESTRO!$F334,TRIM(MAESTRO!$G334&amp;" "&amp;MAESTRO!$H334&amp;" "&amp;MAESTRO!$I334)),"")</f>
        <v/>
      </c>
      <c r="I334" t="str">
        <f>IF($A334&lt;&gt;"",MAESTRO!$K334,"")</f>
        <v/>
      </c>
      <c r="J334" t="str">
        <f>IF($A334&lt;&gt;"",334,"")</f>
        <v/>
      </c>
    </row>
    <row r="335" spans="1:10" x14ac:dyDescent="0.2">
      <c r="A335" t="str">
        <f>IF(AND(UPPER(MAESTRO!$M335)="VIP",UPPER(MAESTRO!$J335)="SI",MAESTRO!$F335&lt;&gt;""),MAESTRO!$P335,"")</f>
        <v/>
      </c>
      <c r="B335" t="str">
        <f>IF($A335&lt;&gt;"",MAESTRO!$B335,"")</f>
        <v/>
      </c>
      <c r="C335" t="str">
        <f>IF($A335&lt;&gt;"",MAESTRO!$A335,"")</f>
        <v/>
      </c>
      <c r="D335" t="str">
        <f>IF($A335&lt;&gt;"",MAESTRO!$C335,"")</f>
        <v/>
      </c>
      <c r="E335" t="str">
        <f>IF($A335&lt;&gt;"",MAESTRO!$M335,"")</f>
        <v/>
      </c>
      <c r="F335" t="str">
        <f>IF($A335&lt;&gt;"",MAESTRO!$J335,"")</f>
        <v/>
      </c>
      <c r="G335" t="str">
        <f>IF($A335&lt;&gt;"",MAESTRO!$D335,"")</f>
        <v/>
      </c>
      <c r="H335" t="str">
        <f>IF($A335&lt;&gt;"",IF(TRIM(MAESTRO!$G335&amp;" "&amp;MAESTRO!$H335&amp;" "&amp;MAESTRO!$I335)="",MAESTRO!$F335,TRIM(MAESTRO!$G335&amp;" "&amp;MAESTRO!$H335&amp;" "&amp;MAESTRO!$I335)),"")</f>
        <v/>
      </c>
      <c r="I335" t="str">
        <f>IF($A335&lt;&gt;"",MAESTRO!$K335,"")</f>
        <v/>
      </c>
      <c r="J335" t="str">
        <f>IF($A335&lt;&gt;"",335,"")</f>
        <v/>
      </c>
    </row>
    <row r="336" spans="1:10" x14ac:dyDescent="0.2">
      <c r="A336" t="str">
        <f>IF(AND(UPPER(MAESTRO!$M336)="VIP",UPPER(MAESTRO!$J336)="SI",MAESTRO!$F336&lt;&gt;""),MAESTRO!$P336,"")</f>
        <v/>
      </c>
      <c r="B336" t="str">
        <f>IF($A336&lt;&gt;"",MAESTRO!$B336,"")</f>
        <v/>
      </c>
      <c r="C336" t="str">
        <f>IF($A336&lt;&gt;"",MAESTRO!$A336,"")</f>
        <v/>
      </c>
      <c r="D336" t="str">
        <f>IF($A336&lt;&gt;"",MAESTRO!$C336,"")</f>
        <v/>
      </c>
      <c r="E336" t="str">
        <f>IF($A336&lt;&gt;"",MAESTRO!$M336,"")</f>
        <v/>
      </c>
      <c r="F336" t="str">
        <f>IF($A336&lt;&gt;"",MAESTRO!$J336,"")</f>
        <v/>
      </c>
      <c r="G336" t="str">
        <f>IF($A336&lt;&gt;"",MAESTRO!$D336,"")</f>
        <v/>
      </c>
      <c r="H336" t="str">
        <f>IF($A336&lt;&gt;"",IF(TRIM(MAESTRO!$G336&amp;" "&amp;MAESTRO!$H336&amp;" "&amp;MAESTRO!$I336)="",MAESTRO!$F336,TRIM(MAESTRO!$G336&amp;" "&amp;MAESTRO!$H336&amp;" "&amp;MAESTRO!$I336)),"")</f>
        <v/>
      </c>
      <c r="I336" t="str">
        <f>IF($A336&lt;&gt;"",MAESTRO!$K336,"")</f>
        <v/>
      </c>
      <c r="J336" t="str">
        <f>IF($A336&lt;&gt;"",336,"")</f>
        <v/>
      </c>
    </row>
    <row r="337" spans="1:10" x14ac:dyDescent="0.2">
      <c r="A337" t="str">
        <f>IF(AND(UPPER(MAESTRO!$M337)="VIP",UPPER(MAESTRO!$J337)="SI",MAESTRO!$F337&lt;&gt;""),MAESTRO!$P337,"")</f>
        <v/>
      </c>
      <c r="B337" t="str">
        <f>IF($A337&lt;&gt;"",MAESTRO!$B337,"")</f>
        <v/>
      </c>
      <c r="C337" t="str">
        <f>IF($A337&lt;&gt;"",MAESTRO!$A337,"")</f>
        <v/>
      </c>
      <c r="D337" t="str">
        <f>IF($A337&lt;&gt;"",MAESTRO!$C337,"")</f>
        <v/>
      </c>
      <c r="E337" t="str">
        <f>IF($A337&lt;&gt;"",MAESTRO!$M337,"")</f>
        <v/>
      </c>
      <c r="F337" t="str">
        <f>IF($A337&lt;&gt;"",MAESTRO!$J337,"")</f>
        <v/>
      </c>
      <c r="G337" t="str">
        <f>IF($A337&lt;&gt;"",MAESTRO!$D337,"")</f>
        <v/>
      </c>
      <c r="H337" t="str">
        <f>IF($A337&lt;&gt;"",IF(TRIM(MAESTRO!$G337&amp;" "&amp;MAESTRO!$H337&amp;" "&amp;MAESTRO!$I337)="",MAESTRO!$F337,TRIM(MAESTRO!$G337&amp;" "&amp;MAESTRO!$H337&amp;" "&amp;MAESTRO!$I337)),"")</f>
        <v/>
      </c>
      <c r="I337" t="str">
        <f>IF($A337&lt;&gt;"",MAESTRO!$K337,"")</f>
        <v/>
      </c>
      <c r="J337" t="str">
        <f>IF($A337&lt;&gt;"",337,"")</f>
        <v/>
      </c>
    </row>
    <row r="338" spans="1:10" x14ac:dyDescent="0.2">
      <c r="A338" t="str">
        <f>IF(AND(UPPER(MAESTRO!$M338)="VIP",UPPER(MAESTRO!$J338)="SI",MAESTRO!$F338&lt;&gt;""),MAESTRO!$P338,"")</f>
        <v/>
      </c>
      <c r="B338" t="str">
        <f>IF($A338&lt;&gt;"",MAESTRO!$B338,"")</f>
        <v/>
      </c>
      <c r="C338" t="str">
        <f>IF($A338&lt;&gt;"",MAESTRO!$A338,"")</f>
        <v/>
      </c>
      <c r="D338" t="str">
        <f>IF($A338&lt;&gt;"",MAESTRO!$C338,"")</f>
        <v/>
      </c>
      <c r="E338" t="str">
        <f>IF($A338&lt;&gt;"",MAESTRO!$M338,"")</f>
        <v/>
      </c>
      <c r="F338" t="str">
        <f>IF($A338&lt;&gt;"",MAESTRO!$J338,"")</f>
        <v/>
      </c>
      <c r="G338" t="str">
        <f>IF($A338&lt;&gt;"",MAESTRO!$D338,"")</f>
        <v/>
      </c>
      <c r="H338" t="str">
        <f>IF($A338&lt;&gt;"",IF(TRIM(MAESTRO!$G338&amp;" "&amp;MAESTRO!$H338&amp;" "&amp;MAESTRO!$I338)="",MAESTRO!$F338,TRIM(MAESTRO!$G338&amp;" "&amp;MAESTRO!$H338&amp;" "&amp;MAESTRO!$I338)),"")</f>
        <v/>
      </c>
      <c r="I338" t="str">
        <f>IF($A338&lt;&gt;"",MAESTRO!$K338,"")</f>
        <v/>
      </c>
      <c r="J338" t="str">
        <f>IF($A338&lt;&gt;"",338,"")</f>
        <v/>
      </c>
    </row>
    <row r="339" spans="1:10" x14ac:dyDescent="0.2">
      <c r="A339" t="str">
        <f>IF(AND(UPPER(MAESTRO!$M339)="VIP",UPPER(MAESTRO!$J339)="SI",MAESTRO!$F339&lt;&gt;""),MAESTRO!$P339,"")</f>
        <v/>
      </c>
      <c r="B339" t="str">
        <f>IF($A339&lt;&gt;"",MAESTRO!$B339,"")</f>
        <v/>
      </c>
      <c r="C339" t="str">
        <f>IF($A339&lt;&gt;"",MAESTRO!$A339,"")</f>
        <v/>
      </c>
      <c r="D339" t="str">
        <f>IF($A339&lt;&gt;"",MAESTRO!$C339,"")</f>
        <v/>
      </c>
      <c r="E339" t="str">
        <f>IF($A339&lt;&gt;"",MAESTRO!$M339,"")</f>
        <v/>
      </c>
      <c r="F339" t="str">
        <f>IF($A339&lt;&gt;"",MAESTRO!$J339,"")</f>
        <v/>
      </c>
      <c r="G339" t="str">
        <f>IF($A339&lt;&gt;"",MAESTRO!$D339,"")</f>
        <v/>
      </c>
      <c r="H339" t="str">
        <f>IF($A339&lt;&gt;"",IF(TRIM(MAESTRO!$G339&amp;" "&amp;MAESTRO!$H339&amp;" "&amp;MAESTRO!$I339)="",MAESTRO!$F339,TRIM(MAESTRO!$G339&amp;" "&amp;MAESTRO!$H339&amp;" "&amp;MAESTRO!$I339)),"")</f>
        <v/>
      </c>
      <c r="I339" t="str">
        <f>IF($A339&lt;&gt;"",MAESTRO!$K339,"")</f>
        <v/>
      </c>
      <c r="J339" t="str">
        <f>IF($A339&lt;&gt;"",339,"")</f>
        <v/>
      </c>
    </row>
    <row r="340" spans="1:10" x14ac:dyDescent="0.2">
      <c r="A340" t="str">
        <f>IF(AND(UPPER(MAESTRO!$M340)="VIP",UPPER(MAESTRO!$J340)="SI",MAESTRO!$F340&lt;&gt;""),MAESTRO!$P340,"")</f>
        <v/>
      </c>
      <c r="B340" t="str">
        <f>IF($A340&lt;&gt;"",MAESTRO!$B340,"")</f>
        <v/>
      </c>
      <c r="C340" t="str">
        <f>IF($A340&lt;&gt;"",MAESTRO!$A340,"")</f>
        <v/>
      </c>
      <c r="D340" t="str">
        <f>IF($A340&lt;&gt;"",MAESTRO!$C340,"")</f>
        <v/>
      </c>
      <c r="E340" t="str">
        <f>IF($A340&lt;&gt;"",MAESTRO!$M340,"")</f>
        <v/>
      </c>
      <c r="F340" t="str">
        <f>IF($A340&lt;&gt;"",MAESTRO!$J340,"")</f>
        <v/>
      </c>
      <c r="G340" t="str">
        <f>IF($A340&lt;&gt;"",MAESTRO!$D340,"")</f>
        <v/>
      </c>
      <c r="H340" t="str">
        <f>IF($A340&lt;&gt;"",IF(TRIM(MAESTRO!$G340&amp;" "&amp;MAESTRO!$H340&amp;" "&amp;MAESTRO!$I340)="",MAESTRO!$F340,TRIM(MAESTRO!$G340&amp;" "&amp;MAESTRO!$H340&amp;" "&amp;MAESTRO!$I340)),"")</f>
        <v/>
      </c>
      <c r="I340" t="str">
        <f>IF($A340&lt;&gt;"",MAESTRO!$K340,"")</f>
        <v/>
      </c>
      <c r="J340" t="str">
        <f>IF($A340&lt;&gt;"",340,"")</f>
        <v/>
      </c>
    </row>
    <row r="341" spans="1:10" x14ac:dyDescent="0.2">
      <c r="A341" t="str">
        <f>IF(AND(UPPER(MAESTRO!$M341)="VIP",UPPER(MAESTRO!$J341)="SI",MAESTRO!$F341&lt;&gt;""),MAESTRO!$P341,"")</f>
        <v/>
      </c>
      <c r="B341" t="str">
        <f>IF($A341&lt;&gt;"",MAESTRO!$B341,"")</f>
        <v/>
      </c>
      <c r="C341" t="str">
        <f>IF($A341&lt;&gt;"",MAESTRO!$A341,"")</f>
        <v/>
      </c>
      <c r="D341" t="str">
        <f>IF($A341&lt;&gt;"",MAESTRO!$C341,"")</f>
        <v/>
      </c>
      <c r="E341" t="str">
        <f>IF($A341&lt;&gt;"",MAESTRO!$M341,"")</f>
        <v/>
      </c>
      <c r="F341" t="str">
        <f>IF($A341&lt;&gt;"",MAESTRO!$J341,"")</f>
        <v/>
      </c>
      <c r="G341" t="str">
        <f>IF($A341&lt;&gt;"",MAESTRO!$D341,"")</f>
        <v/>
      </c>
      <c r="H341" t="str">
        <f>IF($A341&lt;&gt;"",IF(TRIM(MAESTRO!$G341&amp;" "&amp;MAESTRO!$H341&amp;" "&amp;MAESTRO!$I341)="",MAESTRO!$F341,TRIM(MAESTRO!$G341&amp;" "&amp;MAESTRO!$H341&amp;" "&amp;MAESTRO!$I341)),"")</f>
        <v/>
      </c>
      <c r="I341" t="str">
        <f>IF($A341&lt;&gt;"",MAESTRO!$K341,"")</f>
        <v/>
      </c>
      <c r="J341" t="str">
        <f>IF($A341&lt;&gt;"",341,"")</f>
        <v/>
      </c>
    </row>
    <row r="342" spans="1:10" x14ac:dyDescent="0.2">
      <c r="A342" t="str">
        <f>IF(AND(UPPER(MAESTRO!$M342)="VIP",UPPER(MAESTRO!$J342)="SI",MAESTRO!$F342&lt;&gt;""),MAESTRO!$P342,"")</f>
        <v/>
      </c>
      <c r="B342" t="str">
        <f>IF($A342&lt;&gt;"",MAESTRO!$B342,"")</f>
        <v/>
      </c>
      <c r="C342" t="str">
        <f>IF($A342&lt;&gt;"",MAESTRO!$A342,"")</f>
        <v/>
      </c>
      <c r="D342" t="str">
        <f>IF($A342&lt;&gt;"",MAESTRO!$C342,"")</f>
        <v/>
      </c>
      <c r="E342" t="str">
        <f>IF($A342&lt;&gt;"",MAESTRO!$M342,"")</f>
        <v/>
      </c>
      <c r="F342" t="str">
        <f>IF($A342&lt;&gt;"",MAESTRO!$J342,"")</f>
        <v/>
      </c>
      <c r="G342" t="str">
        <f>IF($A342&lt;&gt;"",MAESTRO!$D342,"")</f>
        <v/>
      </c>
      <c r="H342" t="str">
        <f>IF($A342&lt;&gt;"",IF(TRIM(MAESTRO!$G342&amp;" "&amp;MAESTRO!$H342&amp;" "&amp;MAESTRO!$I342)="",MAESTRO!$F342,TRIM(MAESTRO!$G342&amp;" "&amp;MAESTRO!$H342&amp;" "&amp;MAESTRO!$I342)),"")</f>
        <v/>
      </c>
      <c r="I342" t="str">
        <f>IF($A342&lt;&gt;"",MAESTRO!$K342,"")</f>
        <v/>
      </c>
      <c r="J342" t="str">
        <f>IF($A342&lt;&gt;"",342,"")</f>
        <v/>
      </c>
    </row>
    <row r="343" spans="1:10" x14ac:dyDescent="0.2">
      <c r="A343" t="str">
        <f>IF(AND(UPPER(MAESTRO!$M343)="VIP",UPPER(MAESTRO!$J343)="SI",MAESTRO!$F343&lt;&gt;""),MAESTRO!$P343,"")</f>
        <v/>
      </c>
      <c r="B343" t="str">
        <f>IF($A343&lt;&gt;"",MAESTRO!$B343,"")</f>
        <v/>
      </c>
      <c r="C343" t="str">
        <f>IF($A343&lt;&gt;"",MAESTRO!$A343,"")</f>
        <v/>
      </c>
      <c r="D343" t="str">
        <f>IF($A343&lt;&gt;"",MAESTRO!$C343,"")</f>
        <v/>
      </c>
      <c r="E343" t="str">
        <f>IF($A343&lt;&gt;"",MAESTRO!$M343,"")</f>
        <v/>
      </c>
      <c r="F343" t="str">
        <f>IF($A343&lt;&gt;"",MAESTRO!$J343,"")</f>
        <v/>
      </c>
      <c r="G343" t="str">
        <f>IF($A343&lt;&gt;"",MAESTRO!$D343,"")</f>
        <v/>
      </c>
      <c r="H343" t="str">
        <f>IF($A343&lt;&gt;"",IF(TRIM(MAESTRO!$G343&amp;" "&amp;MAESTRO!$H343&amp;" "&amp;MAESTRO!$I343)="",MAESTRO!$F343,TRIM(MAESTRO!$G343&amp;" "&amp;MAESTRO!$H343&amp;" "&amp;MAESTRO!$I343)),"")</f>
        <v/>
      </c>
      <c r="I343" t="str">
        <f>IF($A343&lt;&gt;"",MAESTRO!$K343,"")</f>
        <v/>
      </c>
      <c r="J343" t="str">
        <f>IF($A343&lt;&gt;"",343,"")</f>
        <v/>
      </c>
    </row>
    <row r="344" spans="1:10" x14ac:dyDescent="0.2">
      <c r="A344" t="str">
        <f>IF(AND(UPPER(MAESTRO!$M344)="VIP",UPPER(MAESTRO!$J344)="SI",MAESTRO!$F344&lt;&gt;""),MAESTRO!$P344,"")</f>
        <v/>
      </c>
      <c r="B344" t="str">
        <f>IF($A344&lt;&gt;"",MAESTRO!$B344,"")</f>
        <v/>
      </c>
      <c r="C344" t="str">
        <f>IF($A344&lt;&gt;"",MAESTRO!$A344,"")</f>
        <v/>
      </c>
      <c r="D344" t="str">
        <f>IF($A344&lt;&gt;"",MAESTRO!$C344,"")</f>
        <v/>
      </c>
      <c r="E344" t="str">
        <f>IF($A344&lt;&gt;"",MAESTRO!$M344,"")</f>
        <v/>
      </c>
      <c r="F344" t="str">
        <f>IF($A344&lt;&gt;"",MAESTRO!$J344,"")</f>
        <v/>
      </c>
      <c r="G344" t="str">
        <f>IF($A344&lt;&gt;"",MAESTRO!$D344,"")</f>
        <v/>
      </c>
      <c r="H344" t="str">
        <f>IF($A344&lt;&gt;"",IF(TRIM(MAESTRO!$G344&amp;" "&amp;MAESTRO!$H344&amp;" "&amp;MAESTRO!$I344)="",MAESTRO!$F344,TRIM(MAESTRO!$G344&amp;" "&amp;MAESTRO!$H344&amp;" "&amp;MAESTRO!$I344)),"")</f>
        <v/>
      </c>
      <c r="I344" t="str">
        <f>IF($A344&lt;&gt;"",MAESTRO!$K344,"")</f>
        <v/>
      </c>
      <c r="J344" t="str">
        <f>IF($A344&lt;&gt;"",344,"")</f>
        <v/>
      </c>
    </row>
    <row r="345" spans="1:10" x14ac:dyDescent="0.2">
      <c r="A345" t="str">
        <f>IF(AND(UPPER(MAESTRO!$M345)="VIP",UPPER(MAESTRO!$J345)="SI",MAESTRO!$F345&lt;&gt;""),MAESTRO!$P345,"")</f>
        <v/>
      </c>
      <c r="B345" t="str">
        <f>IF($A345&lt;&gt;"",MAESTRO!$B345,"")</f>
        <v/>
      </c>
      <c r="C345" t="str">
        <f>IF($A345&lt;&gt;"",MAESTRO!$A345,"")</f>
        <v/>
      </c>
      <c r="D345" t="str">
        <f>IF($A345&lt;&gt;"",MAESTRO!$C345,"")</f>
        <v/>
      </c>
      <c r="E345" t="str">
        <f>IF($A345&lt;&gt;"",MAESTRO!$M345,"")</f>
        <v/>
      </c>
      <c r="F345" t="str">
        <f>IF($A345&lt;&gt;"",MAESTRO!$J345,"")</f>
        <v/>
      </c>
      <c r="G345" t="str">
        <f>IF($A345&lt;&gt;"",MAESTRO!$D345,"")</f>
        <v/>
      </c>
      <c r="H345" t="str">
        <f>IF($A345&lt;&gt;"",IF(TRIM(MAESTRO!$G345&amp;" "&amp;MAESTRO!$H345&amp;" "&amp;MAESTRO!$I345)="",MAESTRO!$F345,TRIM(MAESTRO!$G345&amp;" "&amp;MAESTRO!$H345&amp;" "&amp;MAESTRO!$I345)),"")</f>
        <v/>
      </c>
      <c r="I345" t="str">
        <f>IF($A345&lt;&gt;"",MAESTRO!$K345,"")</f>
        <v/>
      </c>
      <c r="J345" t="str">
        <f>IF($A345&lt;&gt;"",345,"")</f>
        <v/>
      </c>
    </row>
    <row r="346" spans="1:10" x14ac:dyDescent="0.2">
      <c r="A346" t="str">
        <f>IF(AND(UPPER(MAESTRO!$M346)="VIP",UPPER(MAESTRO!$J346)="SI",MAESTRO!$F346&lt;&gt;""),MAESTRO!$P346,"")</f>
        <v/>
      </c>
      <c r="B346" t="str">
        <f>IF($A346&lt;&gt;"",MAESTRO!$B346,"")</f>
        <v/>
      </c>
      <c r="C346" t="str">
        <f>IF($A346&lt;&gt;"",MAESTRO!$A346,"")</f>
        <v/>
      </c>
      <c r="D346" t="str">
        <f>IF($A346&lt;&gt;"",MAESTRO!$C346,"")</f>
        <v/>
      </c>
      <c r="E346" t="str">
        <f>IF($A346&lt;&gt;"",MAESTRO!$M346,"")</f>
        <v/>
      </c>
      <c r="F346" t="str">
        <f>IF($A346&lt;&gt;"",MAESTRO!$J346,"")</f>
        <v/>
      </c>
      <c r="G346" t="str">
        <f>IF($A346&lt;&gt;"",MAESTRO!$D346,"")</f>
        <v/>
      </c>
      <c r="H346" t="str">
        <f>IF($A346&lt;&gt;"",IF(TRIM(MAESTRO!$G346&amp;" "&amp;MAESTRO!$H346&amp;" "&amp;MAESTRO!$I346)="",MAESTRO!$F346,TRIM(MAESTRO!$G346&amp;" "&amp;MAESTRO!$H346&amp;" "&amp;MAESTRO!$I346)),"")</f>
        <v/>
      </c>
      <c r="I346" t="str">
        <f>IF($A346&lt;&gt;"",MAESTRO!$K346,"")</f>
        <v/>
      </c>
      <c r="J346" t="str">
        <f>IF($A346&lt;&gt;"",346,"")</f>
        <v/>
      </c>
    </row>
    <row r="347" spans="1:10" x14ac:dyDescent="0.2">
      <c r="A347" t="str">
        <f>IF(AND(UPPER(MAESTRO!$M347)="VIP",UPPER(MAESTRO!$J347)="SI",MAESTRO!$F347&lt;&gt;""),MAESTRO!$P347,"")</f>
        <v/>
      </c>
      <c r="B347" t="str">
        <f>IF($A347&lt;&gt;"",MAESTRO!$B347,"")</f>
        <v/>
      </c>
      <c r="C347" t="str">
        <f>IF($A347&lt;&gt;"",MAESTRO!$A347,"")</f>
        <v/>
      </c>
      <c r="D347" t="str">
        <f>IF($A347&lt;&gt;"",MAESTRO!$C347,"")</f>
        <v/>
      </c>
      <c r="E347" t="str">
        <f>IF($A347&lt;&gt;"",MAESTRO!$M347,"")</f>
        <v/>
      </c>
      <c r="F347" t="str">
        <f>IF($A347&lt;&gt;"",MAESTRO!$J347,"")</f>
        <v/>
      </c>
      <c r="G347" t="str">
        <f>IF($A347&lt;&gt;"",MAESTRO!$D347,"")</f>
        <v/>
      </c>
      <c r="H347" t="str">
        <f>IF($A347&lt;&gt;"",IF(TRIM(MAESTRO!$G347&amp;" "&amp;MAESTRO!$H347&amp;" "&amp;MAESTRO!$I347)="",MAESTRO!$F347,TRIM(MAESTRO!$G347&amp;" "&amp;MAESTRO!$H347&amp;" "&amp;MAESTRO!$I347)),"")</f>
        <v/>
      </c>
      <c r="I347" t="str">
        <f>IF($A347&lt;&gt;"",MAESTRO!$K347,"")</f>
        <v/>
      </c>
      <c r="J347" t="str">
        <f>IF($A347&lt;&gt;"",347,"")</f>
        <v/>
      </c>
    </row>
    <row r="348" spans="1:10" x14ac:dyDescent="0.2">
      <c r="A348" t="str">
        <f>IF(AND(UPPER(MAESTRO!$M348)="VIP",UPPER(MAESTRO!$J348)="SI",MAESTRO!$F348&lt;&gt;""),MAESTRO!$P348,"")</f>
        <v/>
      </c>
      <c r="B348" t="str">
        <f>IF($A348&lt;&gt;"",MAESTRO!$B348,"")</f>
        <v/>
      </c>
      <c r="C348" t="str">
        <f>IF($A348&lt;&gt;"",MAESTRO!$A348,"")</f>
        <v/>
      </c>
      <c r="D348" t="str">
        <f>IF($A348&lt;&gt;"",MAESTRO!$C348,"")</f>
        <v/>
      </c>
      <c r="E348" t="str">
        <f>IF($A348&lt;&gt;"",MAESTRO!$M348,"")</f>
        <v/>
      </c>
      <c r="F348" t="str">
        <f>IF($A348&lt;&gt;"",MAESTRO!$J348,"")</f>
        <v/>
      </c>
      <c r="G348" t="str">
        <f>IF($A348&lt;&gt;"",MAESTRO!$D348,"")</f>
        <v/>
      </c>
      <c r="H348" t="str">
        <f>IF($A348&lt;&gt;"",IF(TRIM(MAESTRO!$G348&amp;" "&amp;MAESTRO!$H348&amp;" "&amp;MAESTRO!$I348)="",MAESTRO!$F348,TRIM(MAESTRO!$G348&amp;" "&amp;MAESTRO!$H348&amp;" "&amp;MAESTRO!$I348)),"")</f>
        <v/>
      </c>
      <c r="I348" t="str">
        <f>IF($A348&lt;&gt;"",MAESTRO!$K348,"")</f>
        <v/>
      </c>
      <c r="J348" t="str">
        <f>IF($A348&lt;&gt;"",348,"")</f>
        <v/>
      </c>
    </row>
    <row r="349" spans="1:10" x14ac:dyDescent="0.2">
      <c r="A349" t="str">
        <f>IF(AND(UPPER(MAESTRO!$M349)="VIP",UPPER(MAESTRO!$J349)="SI",MAESTRO!$F349&lt;&gt;""),MAESTRO!$P349,"")</f>
        <v/>
      </c>
      <c r="B349" t="str">
        <f>IF($A349&lt;&gt;"",MAESTRO!$B349,"")</f>
        <v/>
      </c>
      <c r="C349" t="str">
        <f>IF($A349&lt;&gt;"",MAESTRO!$A349,"")</f>
        <v/>
      </c>
      <c r="D349" t="str">
        <f>IF($A349&lt;&gt;"",MAESTRO!$C349,"")</f>
        <v/>
      </c>
      <c r="E349" t="str">
        <f>IF($A349&lt;&gt;"",MAESTRO!$M349,"")</f>
        <v/>
      </c>
      <c r="F349" t="str">
        <f>IF($A349&lt;&gt;"",MAESTRO!$J349,"")</f>
        <v/>
      </c>
      <c r="G349" t="str">
        <f>IF($A349&lt;&gt;"",MAESTRO!$D349,"")</f>
        <v/>
      </c>
      <c r="H349" t="str">
        <f>IF($A349&lt;&gt;"",IF(TRIM(MAESTRO!$G349&amp;" "&amp;MAESTRO!$H349&amp;" "&amp;MAESTRO!$I349)="",MAESTRO!$F349,TRIM(MAESTRO!$G349&amp;" "&amp;MAESTRO!$H349&amp;" "&amp;MAESTRO!$I349)),"")</f>
        <v/>
      </c>
      <c r="I349" t="str">
        <f>IF($A349&lt;&gt;"",MAESTRO!$K349,"")</f>
        <v/>
      </c>
      <c r="J349" t="str">
        <f>IF($A349&lt;&gt;"",349,"")</f>
        <v/>
      </c>
    </row>
    <row r="350" spans="1:10" x14ac:dyDescent="0.2">
      <c r="A350" t="str">
        <f>IF(AND(UPPER(MAESTRO!$M350)="VIP",UPPER(MAESTRO!$J350)="SI",MAESTRO!$F350&lt;&gt;""),MAESTRO!$P350,"")</f>
        <v/>
      </c>
      <c r="B350" t="str">
        <f>IF($A350&lt;&gt;"",MAESTRO!$B350,"")</f>
        <v/>
      </c>
      <c r="C350" t="str">
        <f>IF($A350&lt;&gt;"",MAESTRO!$A350,"")</f>
        <v/>
      </c>
      <c r="D350" t="str">
        <f>IF($A350&lt;&gt;"",MAESTRO!$C350,"")</f>
        <v/>
      </c>
      <c r="E350" t="str">
        <f>IF($A350&lt;&gt;"",MAESTRO!$M350,"")</f>
        <v/>
      </c>
      <c r="F350" t="str">
        <f>IF($A350&lt;&gt;"",MAESTRO!$J350,"")</f>
        <v/>
      </c>
      <c r="G350" t="str">
        <f>IF($A350&lt;&gt;"",MAESTRO!$D350,"")</f>
        <v/>
      </c>
      <c r="H350" t="str">
        <f>IF($A350&lt;&gt;"",IF(TRIM(MAESTRO!$G350&amp;" "&amp;MAESTRO!$H350&amp;" "&amp;MAESTRO!$I350)="",MAESTRO!$F350,TRIM(MAESTRO!$G350&amp;" "&amp;MAESTRO!$H350&amp;" "&amp;MAESTRO!$I350)),"")</f>
        <v/>
      </c>
      <c r="I350" t="str">
        <f>IF($A350&lt;&gt;"",MAESTRO!$K350,"")</f>
        <v/>
      </c>
      <c r="J350" t="str">
        <f>IF($A350&lt;&gt;"",350,"")</f>
        <v/>
      </c>
    </row>
    <row r="351" spans="1:10" x14ac:dyDescent="0.2">
      <c r="A351" t="str">
        <f>IF(AND(UPPER(MAESTRO!$M351)="VIP",UPPER(MAESTRO!$J351)="SI",MAESTRO!$F351&lt;&gt;""),MAESTRO!$P351,"")</f>
        <v/>
      </c>
      <c r="B351" t="str">
        <f>IF($A351&lt;&gt;"",MAESTRO!$B351,"")</f>
        <v/>
      </c>
      <c r="C351" t="str">
        <f>IF($A351&lt;&gt;"",MAESTRO!$A351,"")</f>
        <v/>
      </c>
      <c r="D351" t="str">
        <f>IF($A351&lt;&gt;"",MAESTRO!$C351,"")</f>
        <v/>
      </c>
      <c r="E351" t="str">
        <f>IF($A351&lt;&gt;"",MAESTRO!$M351,"")</f>
        <v/>
      </c>
      <c r="F351" t="str">
        <f>IF($A351&lt;&gt;"",MAESTRO!$J351,"")</f>
        <v/>
      </c>
      <c r="G351" t="str">
        <f>IF($A351&lt;&gt;"",MAESTRO!$D351,"")</f>
        <v/>
      </c>
      <c r="H351" t="str">
        <f>IF($A351&lt;&gt;"",IF(TRIM(MAESTRO!$G351&amp;" "&amp;MAESTRO!$H351&amp;" "&amp;MAESTRO!$I351)="",MAESTRO!$F351,TRIM(MAESTRO!$G351&amp;" "&amp;MAESTRO!$H351&amp;" "&amp;MAESTRO!$I351)),"")</f>
        <v/>
      </c>
      <c r="I351" t="str">
        <f>IF($A351&lt;&gt;"",MAESTRO!$K351,"")</f>
        <v/>
      </c>
      <c r="J351" t="str">
        <f>IF($A351&lt;&gt;"",351,"")</f>
        <v/>
      </c>
    </row>
    <row r="352" spans="1:10" x14ac:dyDescent="0.2">
      <c r="A352" t="str">
        <f>IF(AND(UPPER(MAESTRO!$M352)="VIP",UPPER(MAESTRO!$J352)="SI",MAESTRO!$F352&lt;&gt;""),MAESTRO!$P352,"")</f>
        <v/>
      </c>
      <c r="B352" t="str">
        <f>IF($A352&lt;&gt;"",MAESTRO!$B352,"")</f>
        <v/>
      </c>
      <c r="C352" t="str">
        <f>IF($A352&lt;&gt;"",MAESTRO!$A352,"")</f>
        <v/>
      </c>
      <c r="D352" t="str">
        <f>IF($A352&lt;&gt;"",MAESTRO!$C352,"")</f>
        <v/>
      </c>
      <c r="E352" t="str">
        <f>IF($A352&lt;&gt;"",MAESTRO!$M352,"")</f>
        <v/>
      </c>
      <c r="F352" t="str">
        <f>IF($A352&lt;&gt;"",MAESTRO!$J352,"")</f>
        <v/>
      </c>
      <c r="G352" t="str">
        <f>IF($A352&lt;&gt;"",MAESTRO!$D352,"")</f>
        <v/>
      </c>
      <c r="H352" t="str">
        <f>IF($A352&lt;&gt;"",IF(TRIM(MAESTRO!$G352&amp;" "&amp;MAESTRO!$H352&amp;" "&amp;MAESTRO!$I352)="",MAESTRO!$F352,TRIM(MAESTRO!$G352&amp;" "&amp;MAESTRO!$H352&amp;" "&amp;MAESTRO!$I352)),"")</f>
        <v/>
      </c>
      <c r="I352" t="str">
        <f>IF($A352&lt;&gt;"",MAESTRO!$K352,"")</f>
        <v/>
      </c>
      <c r="J352" t="str">
        <f>IF($A352&lt;&gt;"",352,"")</f>
        <v/>
      </c>
    </row>
    <row r="353" spans="1:10" x14ac:dyDescent="0.2">
      <c r="A353" t="str">
        <f>IF(AND(UPPER(MAESTRO!$M353)="VIP",UPPER(MAESTRO!$J353)="SI",MAESTRO!$F353&lt;&gt;""),MAESTRO!$P353,"")</f>
        <v/>
      </c>
      <c r="B353" t="str">
        <f>IF($A353&lt;&gt;"",MAESTRO!$B353,"")</f>
        <v/>
      </c>
      <c r="C353" t="str">
        <f>IF($A353&lt;&gt;"",MAESTRO!$A353,"")</f>
        <v/>
      </c>
      <c r="D353" t="str">
        <f>IF($A353&lt;&gt;"",MAESTRO!$C353,"")</f>
        <v/>
      </c>
      <c r="E353" t="str">
        <f>IF($A353&lt;&gt;"",MAESTRO!$M353,"")</f>
        <v/>
      </c>
      <c r="F353" t="str">
        <f>IF($A353&lt;&gt;"",MAESTRO!$J353,"")</f>
        <v/>
      </c>
      <c r="G353" t="str">
        <f>IF($A353&lt;&gt;"",MAESTRO!$D353,"")</f>
        <v/>
      </c>
      <c r="H353" t="str">
        <f>IF($A353&lt;&gt;"",IF(TRIM(MAESTRO!$G353&amp;" "&amp;MAESTRO!$H353&amp;" "&amp;MAESTRO!$I353)="",MAESTRO!$F353,TRIM(MAESTRO!$G353&amp;" "&amp;MAESTRO!$H353&amp;" "&amp;MAESTRO!$I353)),"")</f>
        <v/>
      </c>
      <c r="I353" t="str">
        <f>IF($A353&lt;&gt;"",MAESTRO!$K353,"")</f>
        <v/>
      </c>
      <c r="J353" t="str">
        <f>IF($A353&lt;&gt;"",353,"")</f>
        <v/>
      </c>
    </row>
    <row r="354" spans="1:10" x14ac:dyDescent="0.2">
      <c r="A354" t="str">
        <f>IF(AND(UPPER(MAESTRO!$M354)="VIP",UPPER(MAESTRO!$J354)="SI",MAESTRO!$F354&lt;&gt;""),MAESTRO!$P354,"")</f>
        <v/>
      </c>
      <c r="B354" t="str">
        <f>IF($A354&lt;&gt;"",MAESTRO!$B354,"")</f>
        <v/>
      </c>
      <c r="C354" t="str">
        <f>IF($A354&lt;&gt;"",MAESTRO!$A354,"")</f>
        <v/>
      </c>
      <c r="D354" t="str">
        <f>IF($A354&lt;&gt;"",MAESTRO!$C354,"")</f>
        <v/>
      </c>
      <c r="E354" t="str">
        <f>IF($A354&lt;&gt;"",MAESTRO!$M354,"")</f>
        <v/>
      </c>
      <c r="F354" t="str">
        <f>IF($A354&lt;&gt;"",MAESTRO!$J354,"")</f>
        <v/>
      </c>
      <c r="G354" t="str">
        <f>IF($A354&lt;&gt;"",MAESTRO!$D354,"")</f>
        <v/>
      </c>
      <c r="H354" t="str">
        <f>IF($A354&lt;&gt;"",IF(TRIM(MAESTRO!$G354&amp;" "&amp;MAESTRO!$H354&amp;" "&amp;MAESTRO!$I354)="",MAESTRO!$F354,TRIM(MAESTRO!$G354&amp;" "&amp;MAESTRO!$H354&amp;" "&amp;MAESTRO!$I354)),"")</f>
        <v/>
      </c>
      <c r="I354" t="str">
        <f>IF($A354&lt;&gt;"",MAESTRO!$K354,"")</f>
        <v/>
      </c>
      <c r="J354" t="str">
        <f>IF($A354&lt;&gt;"",354,"")</f>
        <v/>
      </c>
    </row>
    <row r="355" spans="1:10" x14ac:dyDescent="0.2">
      <c r="A355" t="str">
        <f>IF(AND(UPPER(MAESTRO!$M355)="VIP",UPPER(MAESTRO!$J355)="SI",MAESTRO!$F355&lt;&gt;""),MAESTRO!$P355,"")</f>
        <v/>
      </c>
      <c r="B355" t="str">
        <f>IF($A355&lt;&gt;"",MAESTRO!$B355,"")</f>
        <v/>
      </c>
      <c r="C355" t="str">
        <f>IF($A355&lt;&gt;"",MAESTRO!$A355,"")</f>
        <v/>
      </c>
      <c r="D355" t="str">
        <f>IF($A355&lt;&gt;"",MAESTRO!$C355,"")</f>
        <v/>
      </c>
      <c r="E355" t="str">
        <f>IF($A355&lt;&gt;"",MAESTRO!$M355,"")</f>
        <v/>
      </c>
      <c r="F355" t="str">
        <f>IF($A355&lt;&gt;"",MAESTRO!$J355,"")</f>
        <v/>
      </c>
      <c r="G355" t="str">
        <f>IF($A355&lt;&gt;"",MAESTRO!$D355,"")</f>
        <v/>
      </c>
      <c r="H355" t="str">
        <f>IF($A355&lt;&gt;"",IF(TRIM(MAESTRO!$G355&amp;" "&amp;MAESTRO!$H355&amp;" "&amp;MAESTRO!$I355)="",MAESTRO!$F355,TRIM(MAESTRO!$G355&amp;" "&amp;MAESTRO!$H355&amp;" "&amp;MAESTRO!$I355)),"")</f>
        <v/>
      </c>
      <c r="I355" t="str">
        <f>IF($A355&lt;&gt;"",MAESTRO!$K355,"")</f>
        <v/>
      </c>
      <c r="J355" t="str">
        <f>IF($A355&lt;&gt;"",355,"")</f>
        <v/>
      </c>
    </row>
    <row r="356" spans="1:10" x14ac:dyDescent="0.2">
      <c r="A356" t="str">
        <f>IF(AND(UPPER(MAESTRO!$M356)="VIP",UPPER(MAESTRO!$J356)="SI",MAESTRO!$F356&lt;&gt;""),MAESTRO!$P356,"")</f>
        <v/>
      </c>
      <c r="B356" t="str">
        <f>IF($A356&lt;&gt;"",MAESTRO!$B356,"")</f>
        <v/>
      </c>
      <c r="C356" t="str">
        <f>IF($A356&lt;&gt;"",MAESTRO!$A356,"")</f>
        <v/>
      </c>
      <c r="D356" t="str">
        <f>IF($A356&lt;&gt;"",MAESTRO!$C356,"")</f>
        <v/>
      </c>
      <c r="E356" t="str">
        <f>IF($A356&lt;&gt;"",MAESTRO!$M356,"")</f>
        <v/>
      </c>
      <c r="F356" t="str">
        <f>IF($A356&lt;&gt;"",MAESTRO!$J356,"")</f>
        <v/>
      </c>
      <c r="G356" t="str">
        <f>IF($A356&lt;&gt;"",MAESTRO!$D356,"")</f>
        <v/>
      </c>
      <c r="H356" t="str">
        <f>IF($A356&lt;&gt;"",IF(TRIM(MAESTRO!$G356&amp;" "&amp;MAESTRO!$H356&amp;" "&amp;MAESTRO!$I356)="",MAESTRO!$F356,TRIM(MAESTRO!$G356&amp;" "&amp;MAESTRO!$H356&amp;" "&amp;MAESTRO!$I356)),"")</f>
        <v/>
      </c>
      <c r="I356" t="str">
        <f>IF($A356&lt;&gt;"",MAESTRO!$K356,"")</f>
        <v/>
      </c>
      <c r="J356" t="str">
        <f>IF($A356&lt;&gt;"",356,"")</f>
        <v/>
      </c>
    </row>
    <row r="357" spans="1:10" x14ac:dyDescent="0.2">
      <c r="A357" t="str">
        <f>IF(AND(UPPER(MAESTRO!$M357)="VIP",UPPER(MAESTRO!$J357)="SI",MAESTRO!$F357&lt;&gt;""),MAESTRO!$P357,"")</f>
        <v/>
      </c>
      <c r="B357" t="str">
        <f>IF($A357&lt;&gt;"",MAESTRO!$B357,"")</f>
        <v/>
      </c>
      <c r="C357" t="str">
        <f>IF($A357&lt;&gt;"",MAESTRO!$A357,"")</f>
        <v/>
      </c>
      <c r="D357" t="str">
        <f>IF($A357&lt;&gt;"",MAESTRO!$C357,"")</f>
        <v/>
      </c>
      <c r="E357" t="str">
        <f>IF($A357&lt;&gt;"",MAESTRO!$M357,"")</f>
        <v/>
      </c>
      <c r="F357" t="str">
        <f>IF($A357&lt;&gt;"",MAESTRO!$J357,"")</f>
        <v/>
      </c>
      <c r="G357" t="str">
        <f>IF($A357&lt;&gt;"",MAESTRO!$D357,"")</f>
        <v/>
      </c>
      <c r="H357" t="str">
        <f>IF($A357&lt;&gt;"",IF(TRIM(MAESTRO!$G357&amp;" "&amp;MAESTRO!$H357&amp;" "&amp;MAESTRO!$I357)="",MAESTRO!$F357,TRIM(MAESTRO!$G357&amp;" "&amp;MAESTRO!$H357&amp;" "&amp;MAESTRO!$I357)),"")</f>
        <v/>
      </c>
      <c r="I357" t="str">
        <f>IF($A357&lt;&gt;"",MAESTRO!$K357,"")</f>
        <v/>
      </c>
      <c r="J357" t="str">
        <f>IF($A357&lt;&gt;"",357,"")</f>
        <v/>
      </c>
    </row>
    <row r="358" spans="1:10" x14ac:dyDescent="0.2">
      <c r="A358" t="str">
        <f>IF(AND(UPPER(MAESTRO!$M358)="VIP",UPPER(MAESTRO!$J358)="SI",MAESTRO!$F358&lt;&gt;""),MAESTRO!$P358,"")</f>
        <v/>
      </c>
      <c r="B358" t="str">
        <f>IF($A358&lt;&gt;"",MAESTRO!$B358,"")</f>
        <v/>
      </c>
      <c r="C358" t="str">
        <f>IF($A358&lt;&gt;"",MAESTRO!$A358,"")</f>
        <v/>
      </c>
      <c r="D358" t="str">
        <f>IF($A358&lt;&gt;"",MAESTRO!$C358,"")</f>
        <v/>
      </c>
      <c r="E358" t="str">
        <f>IF($A358&lt;&gt;"",MAESTRO!$M358,"")</f>
        <v/>
      </c>
      <c r="F358" t="str">
        <f>IF($A358&lt;&gt;"",MAESTRO!$J358,"")</f>
        <v/>
      </c>
      <c r="G358" t="str">
        <f>IF($A358&lt;&gt;"",MAESTRO!$D358,"")</f>
        <v/>
      </c>
      <c r="H358" t="str">
        <f>IF($A358&lt;&gt;"",IF(TRIM(MAESTRO!$G358&amp;" "&amp;MAESTRO!$H358&amp;" "&amp;MAESTRO!$I358)="",MAESTRO!$F358,TRIM(MAESTRO!$G358&amp;" "&amp;MAESTRO!$H358&amp;" "&amp;MAESTRO!$I358)),"")</f>
        <v/>
      </c>
      <c r="I358" t="str">
        <f>IF($A358&lt;&gt;"",MAESTRO!$K358,"")</f>
        <v/>
      </c>
      <c r="J358" t="str">
        <f>IF($A358&lt;&gt;"",358,"")</f>
        <v/>
      </c>
    </row>
    <row r="359" spans="1:10" x14ac:dyDescent="0.2">
      <c r="A359" t="str">
        <f>IF(AND(UPPER(MAESTRO!$M359)="VIP",UPPER(MAESTRO!$J359)="SI",MAESTRO!$F359&lt;&gt;""),MAESTRO!$P359,"")</f>
        <v/>
      </c>
      <c r="B359" t="str">
        <f>IF($A359&lt;&gt;"",MAESTRO!$B359,"")</f>
        <v/>
      </c>
      <c r="C359" t="str">
        <f>IF($A359&lt;&gt;"",MAESTRO!$A359,"")</f>
        <v/>
      </c>
      <c r="D359" t="str">
        <f>IF($A359&lt;&gt;"",MAESTRO!$C359,"")</f>
        <v/>
      </c>
      <c r="E359" t="str">
        <f>IF($A359&lt;&gt;"",MAESTRO!$M359,"")</f>
        <v/>
      </c>
      <c r="F359" t="str">
        <f>IF($A359&lt;&gt;"",MAESTRO!$J359,"")</f>
        <v/>
      </c>
      <c r="G359" t="str">
        <f>IF($A359&lt;&gt;"",MAESTRO!$D359,"")</f>
        <v/>
      </c>
      <c r="H359" t="str">
        <f>IF($A359&lt;&gt;"",IF(TRIM(MAESTRO!$G359&amp;" "&amp;MAESTRO!$H359&amp;" "&amp;MAESTRO!$I359)="",MAESTRO!$F359,TRIM(MAESTRO!$G359&amp;" "&amp;MAESTRO!$H359&amp;" "&amp;MAESTRO!$I359)),"")</f>
        <v/>
      </c>
      <c r="I359" t="str">
        <f>IF($A359&lt;&gt;"",MAESTRO!$K359,"")</f>
        <v/>
      </c>
      <c r="J359" t="str">
        <f>IF($A359&lt;&gt;"",359,"")</f>
        <v/>
      </c>
    </row>
    <row r="360" spans="1:10" x14ac:dyDescent="0.2">
      <c r="A360" t="str">
        <f>IF(AND(UPPER(MAESTRO!$M360)="VIP",UPPER(MAESTRO!$J360)="SI",MAESTRO!$F360&lt;&gt;""),MAESTRO!$P360,"")</f>
        <v/>
      </c>
      <c r="B360" t="str">
        <f>IF($A360&lt;&gt;"",MAESTRO!$B360,"")</f>
        <v/>
      </c>
      <c r="C360" t="str">
        <f>IF($A360&lt;&gt;"",MAESTRO!$A360,"")</f>
        <v/>
      </c>
      <c r="D360" t="str">
        <f>IF($A360&lt;&gt;"",MAESTRO!$C360,"")</f>
        <v/>
      </c>
      <c r="E360" t="str">
        <f>IF($A360&lt;&gt;"",MAESTRO!$M360,"")</f>
        <v/>
      </c>
      <c r="F360" t="str">
        <f>IF($A360&lt;&gt;"",MAESTRO!$J360,"")</f>
        <v/>
      </c>
      <c r="G360" t="str">
        <f>IF($A360&lt;&gt;"",MAESTRO!$D360,"")</f>
        <v/>
      </c>
      <c r="H360" t="str">
        <f>IF($A360&lt;&gt;"",IF(TRIM(MAESTRO!$G360&amp;" "&amp;MAESTRO!$H360&amp;" "&amp;MAESTRO!$I360)="",MAESTRO!$F360,TRIM(MAESTRO!$G360&amp;" "&amp;MAESTRO!$H360&amp;" "&amp;MAESTRO!$I360)),"")</f>
        <v/>
      </c>
      <c r="I360" t="str">
        <f>IF($A360&lt;&gt;"",MAESTRO!$K360,"")</f>
        <v/>
      </c>
      <c r="J360" t="str">
        <f>IF($A360&lt;&gt;"",360,"")</f>
        <v/>
      </c>
    </row>
    <row r="361" spans="1:10" x14ac:dyDescent="0.2">
      <c r="A361" t="str">
        <f>IF(AND(UPPER(MAESTRO!$M361)="VIP",UPPER(MAESTRO!$J361)="SI",MAESTRO!$F361&lt;&gt;""),MAESTRO!$P361,"")</f>
        <v/>
      </c>
      <c r="B361" t="str">
        <f>IF($A361&lt;&gt;"",MAESTRO!$B361,"")</f>
        <v/>
      </c>
      <c r="C361" t="str">
        <f>IF($A361&lt;&gt;"",MAESTRO!$A361,"")</f>
        <v/>
      </c>
      <c r="D361" t="str">
        <f>IF($A361&lt;&gt;"",MAESTRO!$C361,"")</f>
        <v/>
      </c>
      <c r="E361" t="str">
        <f>IF($A361&lt;&gt;"",MAESTRO!$M361,"")</f>
        <v/>
      </c>
      <c r="F361" t="str">
        <f>IF($A361&lt;&gt;"",MAESTRO!$J361,"")</f>
        <v/>
      </c>
      <c r="G361" t="str">
        <f>IF($A361&lt;&gt;"",MAESTRO!$D361,"")</f>
        <v/>
      </c>
      <c r="H361" t="str">
        <f>IF($A361&lt;&gt;"",IF(TRIM(MAESTRO!$G361&amp;" "&amp;MAESTRO!$H361&amp;" "&amp;MAESTRO!$I361)="",MAESTRO!$F361,TRIM(MAESTRO!$G361&amp;" "&amp;MAESTRO!$H361&amp;" "&amp;MAESTRO!$I361)),"")</f>
        <v/>
      </c>
      <c r="I361" t="str">
        <f>IF($A361&lt;&gt;"",MAESTRO!$K361,"")</f>
        <v/>
      </c>
      <c r="J361" t="str">
        <f>IF($A361&lt;&gt;"",361,"")</f>
        <v/>
      </c>
    </row>
    <row r="362" spans="1:10" x14ac:dyDescent="0.2">
      <c r="A362" t="str">
        <f>IF(AND(UPPER(MAESTRO!$M362)="VIP",UPPER(MAESTRO!$J362)="SI",MAESTRO!$F362&lt;&gt;""),MAESTRO!$P362,"")</f>
        <v/>
      </c>
      <c r="B362" t="str">
        <f>IF($A362&lt;&gt;"",MAESTRO!$B362,"")</f>
        <v/>
      </c>
      <c r="C362" t="str">
        <f>IF($A362&lt;&gt;"",MAESTRO!$A362,"")</f>
        <v/>
      </c>
      <c r="D362" t="str">
        <f>IF($A362&lt;&gt;"",MAESTRO!$C362,"")</f>
        <v/>
      </c>
      <c r="E362" t="str">
        <f>IF($A362&lt;&gt;"",MAESTRO!$M362,"")</f>
        <v/>
      </c>
      <c r="F362" t="str">
        <f>IF($A362&lt;&gt;"",MAESTRO!$J362,"")</f>
        <v/>
      </c>
      <c r="G362" t="str">
        <f>IF($A362&lt;&gt;"",MAESTRO!$D362,"")</f>
        <v/>
      </c>
      <c r="H362" t="str">
        <f>IF($A362&lt;&gt;"",IF(TRIM(MAESTRO!$G362&amp;" "&amp;MAESTRO!$H362&amp;" "&amp;MAESTRO!$I362)="",MAESTRO!$F362,TRIM(MAESTRO!$G362&amp;" "&amp;MAESTRO!$H362&amp;" "&amp;MAESTRO!$I362)),"")</f>
        <v/>
      </c>
      <c r="I362" t="str">
        <f>IF($A362&lt;&gt;"",MAESTRO!$K362,"")</f>
        <v/>
      </c>
      <c r="J362" t="str">
        <f>IF($A362&lt;&gt;"",362,"")</f>
        <v/>
      </c>
    </row>
    <row r="363" spans="1:10" x14ac:dyDescent="0.2">
      <c r="A363" t="str">
        <f>IF(AND(UPPER(MAESTRO!$M363)="VIP",UPPER(MAESTRO!$J363)="SI",MAESTRO!$F363&lt;&gt;""),MAESTRO!$P363,"")</f>
        <v/>
      </c>
      <c r="B363" t="str">
        <f>IF($A363&lt;&gt;"",MAESTRO!$B363,"")</f>
        <v/>
      </c>
      <c r="C363" t="str">
        <f>IF($A363&lt;&gt;"",MAESTRO!$A363,"")</f>
        <v/>
      </c>
      <c r="D363" t="str">
        <f>IF($A363&lt;&gt;"",MAESTRO!$C363,"")</f>
        <v/>
      </c>
      <c r="E363" t="str">
        <f>IF($A363&lt;&gt;"",MAESTRO!$M363,"")</f>
        <v/>
      </c>
      <c r="F363" t="str">
        <f>IF($A363&lt;&gt;"",MAESTRO!$J363,"")</f>
        <v/>
      </c>
      <c r="G363" t="str">
        <f>IF($A363&lt;&gt;"",MAESTRO!$D363,"")</f>
        <v/>
      </c>
      <c r="H363" t="str">
        <f>IF($A363&lt;&gt;"",IF(TRIM(MAESTRO!$G363&amp;" "&amp;MAESTRO!$H363&amp;" "&amp;MAESTRO!$I363)="",MAESTRO!$F363,TRIM(MAESTRO!$G363&amp;" "&amp;MAESTRO!$H363&amp;" "&amp;MAESTRO!$I363)),"")</f>
        <v/>
      </c>
      <c r="I363" t="str">
        <f>IF($A363&lt;&gt;"",MAESTRO!$K363,"")</f>
        <v/>
      </c>
      <c r="J363" t="str">
        <f>IF($A363&lt;&gt;"",363,"")</f>
        <v/>
      </c>
    </row>
    <row r="364" spans="1:10" x14ac:dyDescent="0.2">
      <c r="A364" t="str">
        <f>IF(AND(UPPER(MAESTRO!$M364)="VIP",UPPER(MAESTRO!$J364)="SI",MAESTRO!$F364&lt;&gt;""),MAESTRO!$P364,"")</f>
        <v/>
      </c>
      <c r="B364" t="str">
        <f>IF($A364&lt;&gt;"",MAESTRO!$B364,"")</f>
        <v/>
      </c>
      <c r="C364" t="str">
        <f>IF($A364&lt;&gt;"",MAESTRO!$A364,"")</f>
        <v/>
      </c>
      <c r="D364" t="str">
        <f>IF($A364&lt;&gt;"",MAESTRO!$C364,"")</f>
        <v/>
      </c>
      <c r="E364" t="str">
        <f>IF($A364&lt;&gt;"",MAESTRO!$M364,"")</f>
        <v/>
      </c>
      <c r="F364" t="str">
        <f>IF($A364&lt;&gt;"",MAESTRO!$J364,"")</f>
        <v/>
      </c>
      <c r="G364" t="str">
        <f>IF($A364&lt;&gt;"",MAESTRO!$D364,"")</f>
        <v/>
      </c>
      <c r="H364" t="str">
        <f>IF($A364&lt;&gt;"",IF(TRIM(MAESTRO!$G364&amp;" "&amp;MAESTRO!$H364&amp;" "&amp;MAESTRO!$I364)="",MAESTRO!$F364,TRIM(MAESTRO!$G364&amp;" "&amp;MAESTRO!$H364&amp;" "&amp;MAESTRO!$I364)),"")</f>
        <v/>
      </c>
      <c r="I364" t="str">
        <f>IF($A364&lt;&gt;"",MAESTRO!$K364,"")</f>
        <v/>
      </c>
      <c r="J364" t="str">
        <f>IF($A364&lt;&gt;"",364,"")</f>
        <v/>
      </c>
    </row>
    <row r="365" spans="1:10" x14ac:dyDescent="0.2">
      <c r="A365" t="str">
        <f>IF(AND(UPPER(MAESTRO!$M365)="VIP",UPPER(MAESTRO!$J365)="SI",MAESTRO!$F365&lt;&gt;""),MAESTRO!$P365,"")</f>
        <v/>
      </c>
      <c r="B365" t="str">
        <f>IF($A365&lt;&gt;"",MAESTRO!$B365,"")</f>
        <v/>
      </c>
      <c r="C365" t="str">
        <f>IF($A365&lt;&gt;"",MAESTRO!$A365,"")</f>
        <v/>
      </c>
      <c r="D365" t="str">
        <f>IF($A365&lt;&gt;"",MAESTRO!$C365,"")</f>
        <v/>
      </c>
      <c r="E365" t="str">
        <f>IF($A365&lt;&gt;"",MAESTRO!$M365,"")</f>
        <v/>
      </c>
      <c r="F365" t="str">
        <f>IF($A365&lt;&gt;"",MAESTRO!$J365,"")</f>
        <v/>
      </c>
      <c r="G365" t="str">
        <f>IF($A365&lt;&gt;"",MAESTRO!$D365,"")</f>
        <v/>
      </c>
      <c r="H365" t="str">
        <f>IF($A365&lt;&gt;"",IF(TRIM(MAESTRO!$G365&amp;" "&amp;MAESTRO!$H365&amp;" "&amp;MAESTRO!$I365)="",MAESTRO!$F365,TRIM(MAESTRO!$G365&amp;" "&amp;MAESTRO!$H365&amp;" "&amp;MAESTRO!$I365)),"")</f>
        <v/>
      </c>
      <c r="I365" t="str">
        <f>IF($A365&lt;&gt;"",MAESTRO!$K365,"")</f>
        <v/>
      </c>
      <c r="J365" t="str">
        <f>IF($A365&lt;&gt;"",365,"")</f>
        <v/>
      </c>
    </row>
    <row r="366" spans="1:10" x14ac:dyDescent="0.2">
      <c r="A366" t="str">
        <f>IF(AND(UPPER(MAESTRO!$M366)="VIP",UPPER(MAESTRO!$J366)="SI",MAESTRO!$F366&lt;&gt;""),MAESTRO!$P366,"")</f>
        <v/>
      </c>
      <c r="B366" t="str">
        <f>IF($A366&lt;&gt;"",MAESTRO!$B366,"")</f>
        <v/>
      </c>
      <c r="C366" t="str">
        <f>IF($A366&lt;&gt;"",MAESTRO!$A366,"")</f>
        <v/>
      </c>
      <c r="D366" t="str">
        <f>IF($A366&lt;&gt;"",MAESTRO!$C366,"")</f>
        <v/>
      </c>
      <c r="E366" t="str">
        <f>IF($A366&lt;&gt;"",MAESTRO!$M366,"")</f>
        <v/>
      </c>
      <c r="F366" t="str">
        <f>IF($A366&lt;&gt;"",MAESTRO!$J366,"")</f>
        <v/>
      </c>
      <c r="G366" t="str">
        <f>IF($A366&lt;&gt;"",MAESTRO!$D366,"")</f>
        <v/>
      </c>
      <c r="H366" t="str">
        <f>IF($A366&lt;&gt;"",IF(TRIM(MAESTRO!$G366&amp;" "&amp;MAESTRO!$H366&amp;" "&amp;MAESTRO!$I366)="",MAESTRO!$F366,TRIM(MAESTRO!$G366&amp;" "&amp;MAESTRO!$H366&amp;" "&amp;MAESTRO!$I366)),"")</f>
        <v/>
      </c>
      <c r="I366" t="str">
        <f>IF($A366&lt;&gt;"",MAESTRO!$K366,"")</f>
        <v/>
      </c>
      <c r="J366" t="str">
        <f>IF($A366&lt;&gt;"",366,"")</f>
        <v/>
      </c>
    </row>
    <row r="367" spans="1:10" x14ac:dyDescent="0.2">
      <c r="A367" t="str">
        <f>IF(AND(UPPER(MAESTRO!$M367)="VIP",UPPER(MAESTRO!$J367)="SI",MAESTRO!$F367&lt;&gt;""),MAESTRO!$P367,"")</f>
        <v/>
      </c>
      <c r="B367" t="str">
        <f>IF($A367&lt;&gt;"",MAESTRO!$B367,"")</f>
        <v/>
      </c>
      <c r="C367" t="str">
        <f>IF($A367&lt;&gt;"",MAESTRO!$A367,"")</f>
        <v/>
      </c>
      <c r="D367" t="str">
        <f>IF($A367&lt;&gt;"",MAESTRO!$C367,"")</f>
        <v/>
      </c>
      <c r="E367" t="str">
        <f>IF($A367&lt;&gt;"",MAESTRO!$M367,"")</f>
        <v/>
      </c>
      <c r="F367" t="str">
        <f>IF($A367&lt;&gt;"",MAESTRO!$J367,"")</f>
        <v/>
      </c>
      <c r="G367" t="str">
        <f>IF($A367&lt;&gt;"",MAESTRO!$D367,"")</f>
        <v/>
      </c>
      <c r="H367" t="str">
        <f>IF($A367&lt;&gt;"",IF(TRIM(MAESTRO!$G367&amp;" "&amp;MAESTRO!$H367&amp;" "&amp;MAESTRO!$I367)="",MAESTRO!$F367,TRIM(MAESTRO!$G367&amp;" "&amp;MAESTRO!$H367&amp;" "&amp;MAESTRO!$I367)),"")</f>
        <v/>
      </c>
      <c r="I367" t="str">
        <f>IF($A367&lt;&gt;"",MAESTRO!$K367,"")</f>
        <v/>
      </c>
      <c r="J367" t="str">
        <f>IF($A367&lt;&gt;"",367,"")</f>
        <v/>
      </c>
    </row>
    <row r="368" spans="1:10" x14ac:dyDescent="0.2">
      <c r="A368" t="str">
        <f>IF(AND(UPPER(MAESTRO!$M368)="VIP",UPPER(MAESTRO!$J368)="SI",MAESTRO!$F368&lt;&gt;""),MAESTRO!$P368,"")</f>
        <v/>
      </c>
      <c r="B368" t="str">
        <f>IF($A368&lt;&gt;"",MAESTRO!$B368,"")</f>
        <v/>
      </c>
      <c r="C368" t="str">
        <f>IF($A368&lt;&gt;"",MAESTRO!$A368,"")</f>
        <v/>
      </c>
      <c r="D368" t="str">
        <f>IF($A368&lt;&gt;"",MAESTRO!$C368,"")</f>
        <v/>
      </c>
      <c r="E368" t="str">
        <f>IF($A368&lt;&gt;"",MAESTRO!$M368,"")</f>
        <v/>
      </c>
      <c r="F368" t="str">
        <f>IF($A368&lt;&gt;"",MAESTRO!$J368,"")</f>
        <v/>
      </c>
      <c r="G368" t="str">
        <f>IF($A368&lt;&gt;"",MAESTRO!$D368,"")</f>
        <v/>
      </c>
      <c r="H368" t="str">
        <f>IF($A368&lt;&gt;"",IF(TRIM(MAESTRO!$G368&amp;" "&amp;MAESTRO!$H368&amp;" "&amp;MAESTRO!$I368)="",MAESTRO!$F368,TRIM(MAESTRO!$G368&amp;" "&amp;MAESTRO!$H368&amp;" "&amp;MAESTRO!$I368)),"")</f>
        <v/>
      </c>
      <c r="I368" t="str">
        <f>IF($A368&lt;&gt;"",MAESTRO!$K368,"")</f>
        <v/>
      </c>
      <c r="J368" t="str">
        <f>IF($A368&lt;&gt;"",368,"")</f>
        <v/>
      </c>
    </row>
    <row r="369" spans="1:10" x14ac:dyDescent="0.2">
      <c r="A369" t="str">
        <f>IF(AND(UPPER(MAESTRO!$M369)="VIP",UPPER(MAESTRO!$J369)="SI",MAESTRO!$F369&lt;&gt;""),MAESTRO!$P369,"")</f>
        <v/>
      </c>
      <c r="B369" t="str">
        <f>IF($A369&lt;&gt;"",MAESTRO!$B369,"")</f>
        <v/>
      </c>
      <c r="C369" t="str">
        <f>IF($A369&lt;&gt;"",MAESTRO!$A369,"")</f>
        <v/>
      </c>
      <c r="D369" t="str">
        <f>IF($A369&lt;&gt;"",MAESTRO!$C369,"")</f>
        <v/>
      </c>
      <c r="E369" t="str">
        <f>IF($A369&lt;&gt;"",MAESTRO!$M369,"")</f>
        <v/>
      </c>
      <c r="F369" t="str">
        <f>IF($A369&lt;&gt;"",MAESTRO!$J369,"")</f>
        <v/>
      </c>
      <c r="G369" t="str">
        <f>IF($A369&lt;&gt;"",MAESTRO!$D369,"")</f>
        <v/>
      </c>
      <c r="H369" t="str">
        <f>IF($A369&lt;&gt;"",IF(TRIM(MAESTRO!$G369&amp;" "&amp;MAESTRO!$H369&amp;" "&amp;MAESTRO!$I369)="",MAESTRO!$F369,TRIM(MAESTRO!$G369&amp;" "&amp;MAESTRO!$H369&amp;" "&amp;MAESTRO!$I369)),"")</f>
        <v/>
      </c>
      <c r="I369" t="str">
        <f>IF($A369&lt;&gt;"",MAESTRO!$K369,"")</f>
        <v/>
      </c>
      <c r="J369" t="str">
        <f>IF($A369&lt;&gt;"",369,"")</f>
        <v/>
      </c>
    </row>
    <row r="370" spans="1:10" x14ac:dyDescent="0.2">
      <c r="A370" t="str">
        <f>IF(AND(UPPER(MAESTRO!$M370)="VIP",UPPER(MAESTRO!$J370)="SI",MAESTRO!$F370&lt;&gt;""),MAESTRO!$P370,"")</f>
        <v/>
      </c>
      <c r="B370" t="str">
        <f>IF($A370&lt;&gt;"",MAESTRO!$B370,"")</f>
        <v/>
      </c>
      <c r="C370" t="str">
        <f>IF($A370&lt;&gt;"",MAESTRO!$A370,"")</f>
        <v/>
      </c>
      <c r="D370" t="str">
        <f>IF($A370&lt;&gt;"",MAESTRO!$C370,"")</f>
        <v/>
      </c>
      <c r="E370" t="str">
        <f>IF($A370&lt;&gt;"",MAESTRO!$M370,"")</f>
        <v/>
      </c>
      <c r="F370" t="str">
        <f>IF($A370&lt;&gt;"",MAESTRO!$J370,"")</f>
        <v/>
      </c>
      <c r="G370" t="str">
        <f>IF($A370&lt;&gt;"",MAESTRO!$D370,"")</f>
        <v/>
      </c>
      <c r="H370" t="str">
        <f>IF($A370&lt;&gt;"",IF(TRIM(MAESTRO!$G370&amp;" "&amp;MAESTRO!$H370&amp;" "&amp;MAESTRO!$I370)="",MAESTRO!$F370,TRIM(MAESTRO!$G370&amp;" "&amp;MAESTRO!$H370&amp;" "&amp;MAESTRO!$I370)),"")</f>
        <v/>
      </c>
      <c r="I370" t="str">
        <f>IF($A370&lt;&gt;"",MAESTRO!$K370,"")</f>
        <v/>
      </c>
      <c r="J370" t="str">
        <f>IF($A370&lt;&gt;"",370,"")</f>
        <v/>
      </c>
    </row>
    <row r="371" spans="1:10" x14ac:dyDescent="0.2">
      <c r="A371" t="str">
        <f>IF(AND(UPPER(MAESTRO!$M371)="VIP",UPPER(MAESTRO!$J371)="SI",MAESTRO!$F371&lt;&gt;""),MAESTRO!$P371,"")</f>
        <v/>
      </c>
      <c r="B371" t="str">
        <f>IF($A371&lt;&gt;"",MAESTRO!$B371,"")</f>
        <v/>
      </c>
      <c r="C371" t="str">
        <f>IF($A371&lt;&gt;"",MAESTRO!$A371,"")</f>
        <v/>
      </c>
      <c r="D371" t="str">
        <f>IF($A371&lt;&gt;"",MAESTRO!$C371,"")</f>
        <v/>
      </c>
      <c r="E371" t="str">
        <f>IF($A371&lt;&gt;"",MAESTRO!$M371,"")</f>
        <v/>
      </c>
      <c r="F371" t="str">
        <f>IF($A371&lt;&gt;"",MAESTRO!$J371,"")</f>
        <v/>
      </c>
      <c r="G371" t="str">
        <f>IF($A371&lt;&gt;"",MAESTRO!$D371,"")</f>
        <v/>
      </c>
      <c r="H371" t="str">
        <f>IF($A371&lt;&gt;"",IF(TRIM(MAESTRO!$G371&amp;" "&amp;MAESTRO!$H371&amp;" "&amp;MAESTRO!$I371)="",MAESTRO!$F371,TRIM(MAESTRO!$G371&amp;" "&amp;MAESTRO!$H371&amp;" "&amp;MAESTRO!$I371)),"")</f>
        <v/>
      </c>
      <c r="I371" t="str">
        <f>IF($A371&lt;&gt;"",MAESTRO!$K371,"")</f>
        <v/>
      </c>
      <c r="J371" t="str">
        <f>IF($A371&lt;&gt;"",371,"")</f>
        <v/>
      </c>
    </row>
    <row r="372" spans="1:10" x14ac:dyDescent="0.2">
      <c r="A372" t="str">
        <f>IF(AND(UPPER(MAESTRO!$M372)="VIP",UPPER(MAESTRO!$J372)="SI",MAESTRO!$F372&lt;&gt;""),MAESTRO!$P372,"")</f>
        <v/>
      </c>
      <c r="B372" t="str">
        <f>IF($A372&lt;&gt;"",MAESTRO!$B372,"")</f>
        <v/>
      </c>
      <c r="C372" t="str">
        <f>IF($A372&lt;&gt;"",MAESTRO!$A372,"")</f>
        <v/>
      </c>
      <c r="D372" t="str">
        <f>IF($A372&lt;&gt;"",MAESTRO!$C372,"")</f>
        <v/>
      </c>
      <c r="E372" t="str">
        <f>IF($A372&lt;&gt;"",MAESTRO!$M372,"")</f>
        <v/>
      </c>
      <c r="F372" t="str">
        <f>IF($A372&lt;&gt;"",MAESTRO!$J372,"")</f>
        <v/>
      </c>
      <c r="G372" t="str">
        <f>IF($A372&lt;&gt;"",MAESTRO!$D372,"")</f>
        <v/>
      </c>
      <c r="H372" t="str">
        <f>IF($A372&lt;&gt;"",IF(TRIM(MAESTRO!$G372&amp;" "&amp;MAESTRO!$H372&amp;" "&amp;MAESTRO!$I372)="",MAESTRO!$F372,TRIM(MAESTRO!$G372&amp;" "&amp;MAESTRO!$H372&amp;" "&amp;MAESTRO!$I372)),"")</f>
        <v/>
      </c>
      <c r="I372" t="str">
        <f>IF($A372&lt;&gt;"",MAESTRO!$K372,"")</f>
        <v/>
      </c>
      <c r="J372" t="str">
        <f>IF($A372&lt;&gt;"",372,"")</f>
        <v/>
      </c>
    </row>
    <row r="373" spans="1:10" x14ac:dyDescent="0.2">
      <c r="A373" t="str">
        <f>IF(AND(UPPER(MAESTRO!$M373)="VIP",UPPER(MAESTRO!$J373)="SI",MAESTRO!$F373&lt;&gt;""),MAESTRO!$P373,"")</f>
        <v/>
      </c>
      <c r="B373" t="str">
        <f>IF($A373&lt;&gt;"",MAESTRO!$B373,"")</f>
        <v/>
      </c>
      <c r="C373" t="str">
        <f>IF($A373&lt;&gt;"",MAESTRO!$A373,"")</f>
        <v/>
      </c>
      <c r="D373" t="str">
        <f>IF($A373&lt;&gt;"",MAESTRO!$C373,"")</f>
        <v/>
      </c>
      <c r="E373" t="str">
        <f>IF($A373&lt;&gt;"",MAESTRO!$M373,"")</f>
        <v/>
      </c>
      <c r="F373" t="str">
        <f>IF($A373&lt;&gt;"",MAESTRO!$J373,"")</f>
        <v/>
      </c>
      <c r="G373" t="str">
        <f>IF($A373&lt;&gt;"",MAESTRO!$D373,"")</f>
        <v/>
      </c>
      <c r="H373" t="str">
        <f>IF($A373&lt;&gt;"",IF(TRIM(MAESTRO!$G373&amp;" "&amp;MAESTRO!$H373&amp;" "&amp;MAESTRO!$I373)="",MAESTRO!$F373,TRIM(MAESTRO!$G373&amp;" "&amp;MAESTRO!$H373&amp;" "&amp;MAESTRO!$I373)),"")</f>
        <v/>
      </c>
      <c r="I373" t="str">
        <f>IF($A373&lt;&gt;"",MAESTRO!$K373,"")</f>
        <v/>
      </c>
      <c r="J373" t="str">
        <f>IF($A373&lt;&gt;"",373,"")</f>
        <v/>
      </c>
    </row>
    <row r="374" spans="1:10" x14ac:dyDescent="0.2">
      <c r="A374" t="str">
        <f>IF(AND(UPPER(MAESTRO!$M374)="VIP",UPPER(MAESTRO!$J374)="SI",MAESTRO!$F374&lt;&gt;""),MAESTRO!$P374,"")</f>
        <v/>
      </c>
      <c r="B374" t="str">
        <f>IF($A374&lt;&gt;"",MAESTRO!$B374,"")</f>
        <v/>
      </c>
      <c r="C374" t="str">
        <f>IF($A374&lt;&gt;"",MAESTRO!$A374,"")</f>
        <v/>
      </c>
      <c r="D374" t="str">
        <f>IF($A374&lt;&gt;"",MAESTRO!$C374,"")</f>
        <v/>
      </c>
      <c r="E374" t="str">
        <f>IF($A374&lt;&gt;"",MAESTRO!$M374,"")</f>
        <v/>
      </c>
      <c r="F374" t="str">
        <f>IF($A374&lt;&gt;"",MAESTRO!$J374,"")</f>
        <v/>
      </c>
      <c r="G374" t="str">
        <f>IF($A374&lt;&gt;"",MAESTRO!$D374,"")</f>
        <v/>
      </c>
      <c r="H374" t="str">
        <f>IF($A374&lt;&gt;"",IF(TRIM(MAESTRO!$G374&amp;" "&amp;MAESTRO!$H374&amp;" "&amp;MAESTRO!$I374)="",MAESTRO!$F374,TRIM(MAESTRO!$G374&amp;" "&amp;MAESTRO!$H374&amp;" "&amp;MAESTRO!$I374)),"")</f>
        <v/>
      </c>
      <c r="I374" t="str">
        <f>IF($A374&lt;&gt;"",MAESTRO!$K374,"")</f>
        <v/>
      </c>
      <c r="J374" t="str">
        <f>IF($A374&lt;&gt;"",374,"")</f>
        <v/>
      </c>
    </row>
    <row r="375" spans="1:10" x14ac:dyDescent="0.2">
      <c r="A375" t="str">
        <f>IF(AND(UPPER(MAESTRO!$M375)="VIP",UPPER(MAESTRO!$J375)="SI",MAESTRO!$F375&lt;&gt;""),MAESTRO!$P375,"")</f>
        <v/>
      </c>
      <c r="B375" t="str">
        <f>IF($A375&lt;&gt;"",MAESTRO!$B375,"")</f>
        <v/>
      </c>
      <c r="C375" t="str">
        <f>IF($A375&lt;&gt;"",MAESTRO!$A375,"")</f>
        <v/>
      </c>
      <c r="D375" t="str">
        <f>IF($A375&lt;&gt;"",MAESTRO!$C375,"")</f>
        <v/>
      </c>
      <c r="E375" t="str">
        <f>IF($A375&lt;&gt;"",MAESTRO!$M375,"")</f>
        <v/>
      </c>
      <c r="F375" t="str">
        <f>IF($A375&lt;&gt;"",MAESTRO!$J375,"")</f>
        <v/>
      </c>
      <c r="G375" t="str">
        <f>IF($A375&lt;&gt;"",MAESTRO!$D375,"")</f>
        <v/>
      </c>
      <c r="H375" t="str">
        <f>IF($A375&lt;&gt;"",IF(TRIM(MAESTRO!$G375&amp;" "&amp;MAESTRO!$H375&amp;" "&amp;MAESTRO!$I375)="",MAESTRO!$F375,TRIM(MAESTRO!$G375&amp;" "&amp;MAESTRO!$H375&amp;" "&amp;MAESTRO!$I375)),"")</f>
        <v/>
      </c>
      <c r="I375" t="str">
        <f>IF($A375&lt;&gt;"",MAESTRO!$K375,"")</f>
        <v/>
      </c>
      <c r="J375" t="str">
        <f>IF($A375&lt;&gt;"",375,"")</f>
        <v/>
      </c>
    </row>
    <row r="376" spans="1:10" x14ac:dyDescent="0.2">
      <c r="A376" t="str">
        <f>IF(AND(UPPER(MAESTRO!$M376)="VIP",UPPER(MAESTRO!$J376)="SI",MAESTRO!$F376&lt;&gt;""),MAESTRO!$P376,"")</f>
        <v/>
      </c>
      <c r="B376" t="str">
        <f>IF($A376&lt;&gt;"",MAESTRO!$B376,"")</f>
        <v/>
      </c>
      <c r="C376" t="str">
        <f>IF($A376&lt;&gt;"",MAESTRO!$A376,"")</f>
        <v/>
      </c>
      <c r="D376" t="str">
        <f>IF($A376&lt;&gt;"",MAESTRO!$C376,"")</f>
        <v/>
      </c>
      <c r="E376" t="str">
        <f>IF($A376&lt;&gt;"",MAESTRO!$M376,"")</f>
        <v/>
      </c>
      <c r="F376" t="str">
        <f>IF($A376&lt;&gt;"",MAESTRO!$J376,"")</f>
        <v/>
      </c>
      <c r="G376" t="str">
        <f>IF($A376&lt;&gt;"",MAESTRO!$D376,"")</f>
        <v/>
      </c>
      <c r="H376" t="str">
        <f>IF($A376&lt;&gt;"",IF(TRIM(MAESTRO!$G376&amp;" "&amp;MAESTRO!$H376&amp;" "&amp;MAESTRO!$I376)="",MAESTRO!$F376,TRIM(MAESTRO!$G376&amp;" "&amp;MAESTRO!$H376&amp;" "&amp;MAESTRO!$I376)),"")</f>
        <v/>
      </c>
      <c r="I376" t="str">
        <f>IF($A376&lt;&gt;"",MAESTRO!$K376,"")</f>
        <v/>
      </c>
      <c r="J376" t="str">
        <f>IF($A376&lt;&gt;"",376,"")</f>
        <v/>
      </c>
    </row>
    <row r="377" spans="1:10" x14ac:dyDescent="0.2">
      <c r="A377" t="str">
        <f>IF(AND(UPPER(MAESTRO!$M377)="VIP",UPPER(MAESTRO!$J377)="SI",MAESTRO!$F377&lt;&gt;""),MAESTRO!$P377,"")</f>
        <v/>
      </c>
      <c r="B377" t="str">
        <f>IF($A377&lt;&gt;"",MAESTRO!$B377,"")</f>
        <v/>
      </c>
      <c r="C377" t="str">
        <f>IF($A377&lt;&gt;"",MAESTRO!$A377,"")</f>
        <v/>
      </c>
      <c r="D377" t="str">
        <f>IF($A377&lt;&gt;"",MAESTRO!$C377,"")</f>
        <v/>
      </c>
      <c r="E377" t="str">
        <f>IF($A377&lt;&gt;"",MAESTRO!$M377,"")</f>
        <v/>
      </c>
      <c r="F377" t="str">
        <f>IF($A377&lt;&gt;"",MAESTRO!$J377,"")</f>
        <v/>
      </c>
      <c r="G377" t="str">
        <f>IF($A377&lt;&gt;"",MAESTRO!$D377,"")</f>
        <v/>
      </c>
      <c r="H377" t="str">
        <f>IF($A377&lt;&gt;"",IF(TRIM(MAESTRO!$G377&amp;" "&amp;MAESTRO!$H377&amp;" "&amp;MAESTRO!$I377)="",MAESTRO!$F377,TRIM(MAESTRO!$G377&amp;" "&amp;MAESTRO!$H377&amp;" "&amp;MAESTRO!$I377)),"")</f>
        <v/>
      </c>
      <c r="I377" t="str">
        <f>IF($A377&lt;&gt;"",MAESTRO!$K377,"")</f>
        <v/>
      </c>
      <c r="J377" t="str">
        <f>IF($A377&lt;&gt;"",377,"")</f>
        <v/>
      </c>
    </row>
    <row r="378" spans="1:10" x14ac:dyDescent="0.2">
      <c r="A378" t="str">
        <f>IF(AND(UPPER(MAESTRO!$M378)="VIP",UPPER(MAESTRO!$J378)="SI",MAESTRO!$F378&lt;&gt;""),MAESTRO!$P378,"")</f>
        <v/>
      </c>
      <c r="B378" t="str">
        <f>IF($A378&lt;&gt;"",MAESTRO!$B378,"")</f>
        <v/>
      </c>
      <c r="C378" t="str">
        <f>IF($A378&lt;&gt;"",MAESTRO!$A378,"")</f>
        <v/>
      </c>
      <c r="D378" t="str">
        <f>IF($A378&lt;&gt;"",MAESTRO!$C378,"")</f>
        <v/>
      </c>
      <c r="E378" t="str">
        <f>IF($A378&lt;&gt;"",MAESTRO!$M378,"")</f>
        <v/>
      </c>
      <c r="F378" t="str">
        <f>IF($A378&lt;&gt;"",MAESTRO!$J378,"")</f>
        <v/>
      </c>
      <c r="G378" t="str">
        <f>IF($A378&lt;&gt;"",MAESTRO!$D378,"")</f>
        <v/>
      </c>
      <c r="H378" t="str">
        <f>IF($A378&lt;&gt;"",IF(TRIM(MAESTRO!$G378&amp;" "&amp;MAESTRO!$H378&amp;" "&amp;MAESTRO!$I378)="",MAESTRO!$F378,TRIM(MAESTRO!$G378&amp;" "&amp;MAESTRO!$H378&amp;" "&amp;MAESTRO!$I378)),"")</f>
        <v/>
      </c>
      <c r="I378" t="str">
        <f>IF($A378&lt;&gt;"",MAESTRO!$K378,"")</f>
        <v/>
      </c>
      <c r="J378" t="str">
        <f>IF($A378&lt;&gt;"",378,"")</f>
        <v/>
      </c>
    </row>
    <row r="379" spans="1:10" x14ac:dyDescent="0.2">
      <c r="A379" t="str">
        <f>IF(AND(UPPER(MAESTRO!$M379)="VIP",UPPER(MAESTRO!$J379)="SI",MAESTRO!$F379&lt;&gt;""),MAESTRO!$P379,"")</f>
        <v/>
      </c>
      <c r="B379" t="str">
        <f>IF($A379&lt;&gt;"",MAESTRO!$B379,"")</f>
        <v/>
      </c>
      <c r="C379" t="str">
        <f>IF($A379&lt;&gt;"",MAESTRO!$A379,"")</f>
        <v/>
      </c>
      <c r="D379" t="str">
        <f>IF($A379&lt;&gt;"",MAESTRO!$C379,"")</f>
        <v/>
      </c>
      <c r="E379" t="str">
        <f>IF($A379&lt;&gt;"",MAESTRO!$M379,"")</f>
        <v/>
      </c>
      <c r="F379" t="str">
        <f>IF($A379&lt;&gt;"",MAESTRO!$J379,"")</f>
        <v/>
      </c>
      <c r="G379" t="str">
        <f>IF($A379&lt;&gt;"",MAESTRO!$D379,"")</f>
        <v/>
      </c>
      <c r="H379" t="str">
        <f>IF($A379&lt;&gt;"",IF(TRIM(MAESTRO!$G379&amp;" "&amp;MAESTRO!$H379&amp;" "&amp;MAESTRO!$I379)="",MAESTRO!$F379,TRIM(MAESTRO!$G379&amp;" "&amp;MAESTRO!$H379&amp;" "&amp;MAESTRO!$I379)),"")</f>
        <v/>
      </c>
      <c r="I379" t="str">
        <f>IF($A379&lt;&gt;"",MAESTRO!$K379,"")</f>
        <v/>
      </c>
      <c r="J379" t="str">
        <f>IF($A379&lt;&gt;"",379,"")</f>
        <v/>
      </c>
    </row>
    <row r="380" spans="1:10" x14ac:dyDescent="0.2">
      <c r="A380" t="str">
        <f>IF(AND(UPPER(MAESTRO!$M380)="VIP",UPPER(MAESTRO!$J380)="SI",MAESTRO!$F380&lt;&gt;""),MAESTRO!$P380,"")</f>
        <v/>
      </c>
      <c r="B380" t="str">
        <f>IF($A380&lt;&gt;"",MAESTRO!$B380,"")</f>
        <v/>
      </c>
      <c r="C380" t="str">
        <f>IF($A380&lt;&gt;"",MAESTRO!$A380,"")</f>
        <v/>
      </c>
      <c r="D380" t="str">
        <f>IF($A380&lt;&gt;"",MAESTRO!$C380,"")</f>
        <v/>
      </c>
      <c r="E380" t="str">
        <f>IF($A380&lt;&gt;"",MAESTRO!$M380,"")</f>
        <v/>
      </c>
      <c r="F380" t="str">
        <f>IF($A380&lt;&gt;"",MAESTRO!$J380,"")</f>
        <v/>
      </c>
      <c r="G380" t="str">
        <f>IF($A380&lt;&gt;"",MAESTRO!$D380,"")</f>
        <v/>
      </c>
      <c r="H380" t="str">
        <f>IF($A380&lt;&gt;"",IF(TRIM(MAESTRO!$G380&amp;" "&amp;MAESTRO!$H380&amp;" "&amp;MAESTRO!$I380)="",MAESTRO!$F380,TRIM(MAESTRO!$G380&amp;" "&amp;MAESTRO!$H380&amp;" "&amp;MAESTRO!$I380)),"")</f>
        <v/>
      </c>
      <c r="I380" t="str">
        <f>IF($A380&lt;&gt;"",MAESTRO!$K380,"")</f>
        <v/>
      </c>
      <c r="J380" t="str">
        <f>IF($A380&lt;&gt;"",380,"")</f>
        <v/>
      </c>
    </row>
    <row r="381" spans="1:10" x14ac:dyDescent="0.2">
      <c r="A381" t="str">
        <f>IF(AND(UPPER(MAESTRO!$M381)="VIP",UPPER(MAESTRO!$J381)="SI",MAESTRO!$F381&lt;&gt;""),MAESTRO!$P381,"")</f>
        <v/>
      </c>
      <c r="B381" t="str">
        <f>IF($A381&lt;&gt;"",MAESTRO!$B381,"")</f>
        <v/>
      </c>
      <c r="C381" t="str">
        <f>IF($A381&lt;&gt;"",MAESTRO!$A381,"")</f>
        <v/>
      </c>
      <c r="D381" t="str">
        <f>IF($A381&lt;&gt;"",MAESTRO!$C381,"")</f>
        <v/>
      </c>
      <c r="E381" t="str">
        <f>IF($A381&lt;&gt;"",MAESTRO!$M381,"")</f>
        <v/>
      </c>
      <c r="F381" t="str">
        <f>IF($A381&lt;&gt;"",MAESTRO!$J381,"")</f>
        <v/>
      </c>
      <c r="G381" t="str">
        <f>IF($A381&lt;&gt;"",MAESTRO!$D381,"")</f>
        <v/>
      </c>
      <c r="H381" t="str">
        <f>IF($A381&lt;&gt;"",IF(TRIM(MAESTRO!$G381&amp;" "&amp;MAESTRO!$H381&amp;" "&amp;MAESTRO!$I381)="",MAESTRO!$F381,TRIM(MAESTRO!$G381&amp;" "&amp;MAESTRO!$H381&amp;" "&amp;MAESTRO!$I381)),"")</f>
        <v/>
      </c>
      <c r="I381" t="str">
        <f>IF($A381&lt;&gt;"",MAESTRO!$K381,"")</f>
        <v/>
      </c>
      <c r="J381" t="str">
        <f>IF($A381&lt;&gt;"",381,"")</f>
        <v/>
      </c>
    </row>
    <row r="382" spans="1:10" x14ac:dyDescent="0.2">
      <c r="A382" t="str">
        <f>IF(AND(UPPER(MAESTRO!$M382)="VIP",UPPER(MAESTRO!$J382)="SI",MAESTRO!$F382&lt;&gt;""),MAESTRO!$P382,"")</f>
        <v/>
      </c>
      <c r="B382" t="str">
        <f>IF($A382&lt;&gt;"",MAESTRO!$B382,"")</f>
        <v/>
      </c>
      <c r="C382" t="str">
        <f>IF($A382&lt;&gt;"",MAESTRO!$A382,"")</f>
        <v/>
      </c>
      <c r="D382" t="str">
        <f>IF($A382&lt;&gt;"",MAESTRO!$C382,"")</f>
        <v/>
      </c>
      <c r="E382" t="str">
        <f>IF($A382&lt;&gt;"",MAESTRO!$M382,"")</f>
        <v/>
      </c>
      <c r="F382" t="str">
        <f>IF($A382&lt;&gt;"",MAESTRO!$J382,"")</f>
        <v/>
      </c>
      <c r="G382" t="str">
        <f>IF($A382&lt;&gt;"",MAESTRO!$D382,"")</f>
        <v/>
      </c>
      <c r="H382" t="str">
        <f>IF($A382&lt;&gt;"",IF(TRIM(MAESTRO!$G382&amp;" "&amp;MAESTRO!$H382&amp;" "&amp;MAESTRO!$I382)="",MAESTRO!$F382,TRIM(MAESTRO!$G382&amp;" "&amp;MAESTRO!$H382&amp;" "&amp;MAESTRO!$I382)),"")</f>
        <v/>
      </c>
      <c r="I382" t="str">
        <f>IF($A382&lt;&gt;"",MAESTRO!$K382,"")</f>
        <v/>
      </c>
      <c r="J382" t="str">
        <f>IF($A382&lt;&gt;"",382,"")</f>
        <v/>
      </c>
    </row>
    <row r="383" spans="1:10" x14ac:dyDescent="0.2">
      <c r="A383" t="str">
        <f>IF(AND(UPPER(MAESTRO!$M383)="VIP",UPPER(MAESTRO!$J383)="SI",MAESTRO!$F383&lt;&gt;""),MAESTRO!$P383,"")</f>
        <v/>
      </c>
      <c r="B383" t="str">
        <f>IF($A383&lt;&gt;"",MAESTRO!$B383,"")</f>
        <v/>
      </c>
      <c r="C383" t="str">
        <f>IF($A383&lt;&gt;"",MAESTRO!$A383,"")</f>
        <v/>
      </c>
      <c r="D383" t="str">
        <f>IF($A383&lt;&gt;"",MAESTRO!$C383,"")</f>
        <v/>
      </c>
      <c r="E383" t="str">
        <f>IF($A383&lt;&gt;"",MAESTRO!$M383,"")</f>
        <v/>
      </c>
      <c r="F383" t="str">
        <f>IF($A383&lt;&gt;"",MAESTRO!$J383,"")</f>
        <v/>
      </c>
      <c r="G383" t="str">
        <f>IF($A383&lt;&gt;"",MAESTRO!$D383,"")</f>
        <v/>
      </c>
      <c r="H383" t="str">
        <f>IF($A383&lt;&gt;"",IF(TRIM(MAESTRO!$G383&amp;" "&amp;MAESTRO!$H383&amp;" "&amp;MAESTRO!$I383)="",MAESTRO!$F383,TRIM(MAESTRO!$G383&amp;" "&amp;MAESTRO!$H383&amp;" "&amp;MAESTRO!$I383)),"")</f>
        <v/>
      </c>
      <c r="I383" t="str">
        <f>IF($A383&lt;&gt;"",MAESTRO!$K383,"")</f>
        <v/>
      </c>
      <c r="J383" t="str">
        <f>IF($A383&lt;&gt;"",383,"")</f>
        <v/>
      </c>
    </row>
    <row r="384" spans="1:10" x14ac:dyDescent="0.2">
      <c r="A384" t="str">
        <f>IF(AND(UPPER(MAESTRO!$M384)="VIP",UPPER(MAESTRO!$J384)="SI",MAESTRO!$F384&lt;&gt;""),MAESTRO!$P384,"")</f>
        <v/>
      </c>
      <c r="B384" t="str">
        <f>IF($A384&lt;&gt;"",MAESTRO!$B384,"")</f>
        <v/>
      </c>
      <c r="C384" t="str">
        <f>IF($A384&lt;&gt;"",MAESTRO!$A384,"")</f>
        <v/>
      </c>
      <c r="D384" t="str">
        <f>IF($A384&lt;&gt;"",MAESTRO!$C384,"")</f>
        <v/>
      </c>
      <c r="E384" t="str">
        <f>IF($A384&lt;&gt;"",MAESTRO!$M384,"")</f>
        <v/>
      </c>
      <c r="F384" t="str">
        <f>IF($A384&lt;&gt;"",MAESTRO!$J384,"")</f>
        <v/>
      </c>
      <c r="G384" t="str">
        <f>IF($A384&lt;&gt;"",MAESTRO!$D384,"")</f>
        <v/>
      </c>
      <c r="H384" t="str">
        <f>IF($A384&lt;&gt;"",IF(TRIM(MAESTRO!$G384&amp;" "&amp;MAESTRO!$H384&amp;" "&amp;MAESTRO!$I384)="",MAESTRO!$F384,TRIM(MAESTRO!$G384&amp;" "&amp;MAESTRO!$H384&amp;" "&amp;MAESTRO!$I384)),"")</f>
        <v/>
      </c>
      <c r="I384" t="str">
        <f>IF($A384&lt;&gt;"",MAESTRO!$K384,"")</f>
        <v/>
      </c>
      <c r="J384" t="str">
        <f>IF($A384&lt;&gt;"",384,"")</f>
        <v/>
      </c>
    </row>
    <row r="385" spans="1:10" x14ac:dyDescent="0.2">
      <c r="A385" t="str">
        <f>IF(AND(UPPER(MAESTRO!$M385)="VIP",UPPER(MAESTRO!$J385)="SI",MAESTRO!$F385&lt;&gt;""),MAESTRO!$P385,"")</f>
        <v/>
      </c>
      <c r="B385" t="str">
        <f>IF($A385&lt;&gt;"",MAESTRO!$B385,"")</f>
        <v/>
      </c>
      <c r="C385" t="str">
        <f>IF($A385&lt;&gt;"",MAESTRO!$A385,"")</f>
        <v/>
      </c>
      <c r="D385" t="str">
        <f>IF($A385&lt;&gt;"",MAESTRO!$C385,"")</f>
        <v/>
      </c>
      <c r="E385" t="str">
        <f>IF($A385&lt;&gt;"",MAESTRO!$M385,"")</f>
        <v/>
      </c>
      <c r="F385" t="str">
        <f>IF($A385&lt;&gt;"",MAESTRO!$J385,"")</f>
        <v/>
      </c>
      <c r="G385" t="str">
        <f>IF($A385&lt;&gt;"",MAESTRO!$D385,"")</f>
        <v/>
      </c>
      <c r="H385" t="str">
        <f>IF($A385&lt;&gt;"",IF(TRIM(MAESTRO!$G385&amp;" "&amp;MAESTRO!$H385&amp;" "&amp;MAESTRO!$I385)="",MAESTRO!$F385,TRIM(MAESTRO!$G385&amp;" "&amp;MAESTRO!$H385&amp;" "&amp;MAESTRO!$I385)),"")</f>
        <v/>
      </c>
      <c r="I385" t="str">
        <f>IF($A385&lt;&gt;"",MAESTRO!$K385,"")</f>
        <v/>
      </c>
      <c r="J385" t="str">
        <f>IF($A385&lt;&gt;"",385,"")</f>
        <v/>
      </c>
    </row>
    <row r="386" spans="1:10" x14ac:dyDescent="0.2">
      <c r="A386" t="str">
        <f>IF(AND(UPPER(MAESTRO!$M386)="VIP",UPPER(MAESTRO!$J386)="SI",MAESTRO!$F386&lt;&gt;""),MAESTRO!$P386,"")</f>
        <v/>
      </c>
      <c r="B386" t="str">
        <f>IF($A386&lt;&gt;"",MAESTRO!$B386,"")</f>
        <v/>
      </c>
      <c r="C386" t="str">
        <f>IF($A386&lt;&gt;"",MAESTRO!$A386,"")</f>
        <v/>
      </c>
      <c r="D386" t="str">
        <f>IF($A386&lt;&gt;"",MAESTRO!$C386,"")</f>
        <v/>
      </c>
      <c r="E386" t="str">
        <f>IF($A386&lt;&gt;"",MAESTRO!$M386,"")</f>
        <v/>
      </c>
      <c r="F386" t="str">
        <f>IF($A386&lt;&gt;"",MAESTRO!$J386,"")</f>
        <v/>
      </c>
      <c r="G386" t="str">
        <f>IF($A386&lt;&gt;"",MAESTRO!$D386,"")</f>
        <v/>
      </c>
      <c r="H386" t="str">
        <f>IF($A386&lt;&gt;"",IF(TRIM(MAESTRO!$G386&amp;" "&amp;MAESTRO!$H386&amp;" "&amp;MAESTRO!$I386)="",MAESTRO!$F386,TRIM(MAESTRO!$G386&amp;" "&amp;MAESTRO!$H386&amp;" "&amp;MAESTRO!$I386)),"")</f>
        <v/>
      </c>
      <c r="I386" t="str">
        <f>IF($A386&lt;&gt;"",MAESTRO!$K386,"")</f>
        <v/>
      </c>
      <c r="J386" t="str">
        <f>IF($A386&lt;&gt;"",386,"")</f>
        <v/>
      </c>
    </row>
    <row r="387" spans="1:10" x14ac:dyDescent="0.2">
      <c r="A387" t="str">
        <f>IF(AND(UPPER(MAESTRO!$M387)="VIP",UPPER(MAESTRO!$J387)="SI",MAESTRO!$F387&lt;&gt;""),MAESTRO!$P387,"")</f>
        <v/>
      </c>
      <c r="B387" t="str">
        <f>IF($A387&lt;&gt;"",MAESTRO!$B387,"")</f>
        <v/>
      </c>
      <c r="C387" t="str">
        <f>IF($A387&lt;&gt;"",MAESTRO!$A387,"")</f>
        <v/>
      </c>
      <c r="D387" t="str">
        <f>IF($A387&lt;&gt;"",MAESTRO!$C387,"")</f>
        <v/>
      </c>
      <c r="E387" t="str">
        <f>IF($A387&lt;&gt;"",MAESTRO!$M387,"")</f>
        <v/>
      </c>
      <c r="F387" t="str">
        <f>IF($A387&lt;&gt;"",MAESTRO!$J387,"")</f>
        <v/>
      </c>
      <c r="G387" t="str">
        <f>IF($A387&lt;&gt;"",MAESTRO!$D387,"")</f>
        <v/>
      </c>
      <c r="H387" t="str">
        <f>IF($A387&lt;&gt;"",IF(TRIM(MAESTRO!$G387&amp;" "&amp;MAESTRO!$H387&amp;" "&amp;MAESTRO!$I387)="",MAESTRO!$F387,TRIM(MAESTRO!$G387&amp;" "&amp;MAESTRO!$H387&amp;" "&amp;MAESTRO!$I387)),"")</f>
        <v/>
      </c>
      <c r="I387" t="str">
        <f>IF($A387&lt;&gt;"",MAESTRO!$K387,"")</f>
        <v/>
      </c>
      <c r="J387" t="str">
        <f>IF($A387&lt;&gt;"",387,"")</f>
        <v/>
      </c>
    </row>
    <row r="388" spans="1:10" x14ac:dyDescent="0.2">
      <c r="A388" t="str">
        <f>IF(AND(UPPER(MAESTRO!$M388)="VIP",UPPER(MAESTRO!$J388)="SI",MAESTRO!$F388&lt;&gt;""),MAESTRO!$P388,"")</f>
        <v/>
      </c>
      <c r="B388" t="str">
        <f>IF($A388&lt;&gt;"",MAESTRO!$B388,"")</f>
        <v/>
      </c>
      <c r="C388" t="str">
        <f>IF($A388&lt;&gt;"",MAESTRO!$A388,"")</f>
        <v/>
      </c>
      <c r="D388" t="str">
        <f>IF($A388&lt;&gt;"",MAESTRO!$C388,"")</f>
        <v/>
      </c>
      <c r="E388" t="str">
        <f>IF($A388&lt;&gt;"",MAESTRO!$M388,"")</f>
        <v/>
      </c>
      <c r="F388" t="str">
        <f>IF($A388&lt;&gt;"",MAESTRO!$J388,"")</f>
        <v/>
      </c>
      <c r="G388" t="str">
        <f>IF($A388&lt;&gt;"",MAESTRO!$D388,"")</f>
        <v/>
      </c>
      <c r="H388" t="str">
        <f>IF($A388&lt;&gt;"",IF(TRIM(MAESTRO!$G388&amp;" "&amp;MAESTRO!$H388&amp;" "&amp;MAESTRO!$I388)="",MAESTRO!$F388,TRIM(MAESTRO!$G388&amp;" "&amp;MAESTRO!$H388&amp;" "&amp;MAESTRO!$I388)),"")</f>
        <v/>
      </c>
      <c r="I388" t="str">
        <f>IF($A388&lt;&gt;"",MAESTRO!$K388,"")</f>
        <v/>
      </c>
      <c r="J388" t="str">
        <f>IF($A388&lt;&gt;"",388,"")</f>
        <v/>
      </c>
    </row>
    <row r="389" spans="1:10" x14ac:dyDescent="0.2">
      <c r="A389" t="str">
        <f>IF(AND(UPPER(MAESTRO!$M389)="VIP",UPPER(MAESTRO!$J389)="SI",MAESTRO!$F389&lt;&gt;""),MAESTRO!$P389,"")</f>
        <v/>
      </c>
      <c r="B389" t="str">
        <f>IF($A389&lt;&gt;"",MAESTRO!$B389,"")</f>
        <v/>
      </c>
      <c r="C389" t="str">
        <f>IF($A389&lt;&gt;"",MAESTRO!$A389,"")</f>
        <v/>
      </c>
      <c r="D389" t="str">
        <f>IF($A389&lt;&gt;"",MAESTRO!$C389,"")</f>
        <v/>
      </c>
      <c r="E389" t="str">
        <f>IF($A389&lt;&gt;"",MAESTRO!$M389,"")</f>
        <v/>
      </c>
      <c r="F389" t="str">
        <f>IF($A389&lt;&gt;"",MAESTRO!$J389,"")</f>
        <v/>
      </c>
      <c r="G389" t="str">
        <f>IF($A389&lt;&gt;"",MAESTRO!$D389,"")</f>
        <v/>
      </c>
      <c r="H389" t="str">
        <f>IF($A389&lt;&gt;"",IF(TRIM(MAESTRO!$G389&amp;" "&amp;MAESTRO!$H389&amp;" "&amp;MAESTRO!$I389)="",MAESTRO!$F389,TRIM(MAESTRO!$G389&amp;" "&amp;MAESTRO!$H389&amp;" "&amp;MAESTRO!$I389)),"")</f>
        <v/>
      </c>
      <c r="I389" t="str">
        <f>IF($A389&lt;&gt;"",MAESTRO!$K389,"")</f>
        <v/>
      </c>
      <c r="J389" t="str">
        <f>IF($A389&lt;&gt;"",389,"")</f>
        <v/>
      </c>
    </row>
    <row r="390" spans="1:10" x14ac:dyDescent="0.2">
      <c r="A390" t="str">
        <f>IF(AND(UPPER(MAESTRO!$M390)="VIP",UPPER(MAESTRO!$J390)="SI",MAESTRO!$F390&lt;&gt;""),MAESTRO!$P390,"")</f>
        <v/>
      </c>
      <c r="B390" t="str">
        <f>IF($A390&lt;&gt;"",MAESTRO!$B390,"")</f>
        <v/>
      </c>
      <c r="C390" t="str">
        <f>IF($A390&lt;&gt;"",MAESTRO!$A390,"")</f>
        <v/>
      </c>
      <c r="D390" t="str">
        <f>IF($A390&lt;&gt;"",MAESTRO!$C390,"")</f>
        <v/>
      </c>
      <c r="E390" t="str">
        <f>IF($A390&lt;&gt;"",MAESTRO!$M390,"")</f>
        <v/>
      </c>
      <c r="F390" t="str">
        <f>IF($A390&lt;&gt;"",MAESTRO!$J390,"")</f>
        <v/>
      </c>
      <c r="G390" t="str">
        <f>IF($A390&lt;&gt;"",MAESTRO!$D390,"")</f>
        <v/>
      </c>
      <c r="H390" t="str">
        <f>IF($A390&lt;&gt;"",IF(TRIM(MAESTRO!$G390&amp;" "&amp;MAESTRO!$H390&amp;" "&amp;MAESTRO!$I390)="",MAESTRO!$F390,TRIM(MAESTRO!$G390&amp;" "&amp;MAESTRO!$H390&amp;" "&amp;MAESTRO!$I390)),"")</f>
        <v/>
      </c>
      <c r="I390" t="str">
        <f>IF($A390&lt;&gt;"",MAESTRO!$K390,"")</f>
        <v/>
      </c>
      <c r="J390" t="str">
        <f>IF($A390&lt;&gt;"",390,"")</f>
        <v/>
      </c>
    </row>
    <row r="391" spans="1:10" x14ac:dyDescent="0.2">
      <c r="A391" t="str">
        <f>IF(AND(UPPER(MAESTRO!$M391)="VIP",UPPER(MAESTRO!$J391)="SI",MAESTRO!$F391&lt;&gt;""),MAESTRO!$P391,"")</f>
        <v/>
      </c>
      <c r="B391" t="str">
        <f>IF($A391&lt;&gt;"",MAESTRO!$B391,"")</f>
        <v/>
      </c>
      <c r="C391" t="str">
        <f>IF($A391&lt;&gt;"",MAESTRO!$A391,"")</f>
        <v/>
      </c>
      <c r="D391" t="str">
        <f>IF($A391&lt;&gt;"",MAESTRO!$C391,"")</f>
        <v/>
      </c>
      <c r="E391" t="str">
        <f>IF($A391&lt;&gt;"",MAESTRO!$M391,"")</f>
        <v/>
      </c>
      <c r="F391" t="str">
        <f>IF($A391&lt;&gt;"",MAESTRO!$J391,"")</f>
        <v/>
      </c>
      <c r="G391" t="str">
        <f>IF($A391&lt;&gt;"",MAESTRO!$D391,"")</f>
        <v/>
      </c>
      <c r="H391" t="str">
        <f>IF($A391&lt;&gt;"",IF(TRIM(MAESTRO!$G391&amp;" "&amp;MAESTRO!$H391&amp;" "&amp;MAESTRO!$I391)="",MAESTRO!$F391,TRIM(MAESTRO!$G391&amp;" "&amp;MAESTRO!$H391&amp;" "&amp;MAESTRO!$I391)),"")</f>
        <v/>
      </c>
      <c r="I391" t="str">
        <f>IF($A391&lt;&gt;"",MAESTRO!$K391,"")</f>
        <v/>
      </c>
      <c r="J391" t="str">
        <f>IF($A391&lt;&gt;"",391,"")</f>
        <v/>
      </c>
    </row>
    <row r="392" spans="1:10" x14ac:dyDescent="0.2">
      <c r="A392" t="str">
        <f>IF(AND(UPPER(MAESTRO!$M392)="VIP",UPPER(MAESTRO!$J392)="SI",MAESTRO!$F392&lt;&gt;""),MAESTRO!$P392,"")</f>
        <v/>
      </c>
      <c r="B392" t="str">
        <f>IF($A392&lt;&gt;"",MAESTRO!$B392,"")</f>
        <v/>
      </c>
      <c r="C392" t="str">
        <f>IF($A392&lt;&gt;"",MAESTRO!$A392,"")</f>
        <v/>
      </c>
      <c r="D392" t="str">
        <f>IF($A392&lt;&gt;"",MAESTRO!$C392,"")</f>
        <v/>
      </c>
      <c r="E392" t="str">
        <f>IF($A392&lt;&gt;"",MAESTRO!$M392,"")</f>
        <v/>
      </c>
      <c r="F392" t="str">
        <f>IF($A392&lt;&gt;"",MAESTRO!$J392,"")</f>
        <v/>
      </c>
      <c r="G392" t="str">
        <f>IF($A392&lt;&gt;"",MAESTRO!$D392,"")</f>
        <v/>
      </c>
      <c r="H392" t="str">
        <f>IF($A392&lt;&gt;"",IF(TRIM(MAESTRO!$G392&amp;" "&amp;MAESTRO!$H392&amp;" "&amp;MAESTRO!$I392)="",MAESTRO!$F392,TRIM(MAESTRO!$G392&amp;" "&amp;MAESTRO!$H392&amp;" "&amp;MAESTRO!$I392)),"")</f>
        <v/>
      </c>
      <c r="I392" t="str">
        <f>IF($A392&lt;&gt;"",MAESTRO!$K392,"")</f>
        <v/>
      </c>
      <c r="J392" t="str">
        <f>IF($A392&lt;&gt;"",392,"")</f>
        <v/>
      </c>
    </row>
    <row r="393" spans="1:10" x14ac:dyDescent="0.2">
      <c r="A393" t="str">
        <f>IF(AND(UPPER(MAESTRO!$M393)="VIP",UPPER(MAESTRO!$J393)="SI",MAESTRO!$F393&lt;&gt;""),MAESTRO!$P393,"")</f>
        <v/>
      </c>
      <c r="B393" t="str">
        <f>IF($A393&lt;&gt;"",MAESTRO!$B393,"")</f>
        <v/>
      </c>
      <c r="C393" t="str">
        <f>IF($A393&lt;&gt;"",MAESTRO!$A393,"")</f>
        <v/>
      </c>
      <c r="D393" t="str">
        <f>IF($A393&lt;&gt;"",MAESTRO!$C393,"")</f>
        <v/>
      </c>
      <c r="E393" t="str">
        <f>IF($A393&lt;&gt;"",MAESTRO!$M393,"")</f>
        <v/>
      </c>
      <c r="F393" t="str">
        <f>IF($A393&lt;&gt;"",MAESTRO!$J393,"")</f>
        <v/>
      </c>
      <c r="G393" t="str">
        <f>IF($A393&lt;&gt;"",MAESTRO!$D393,"")</f>
        <v/>
      </c>
      <c r="H393" t="str">
        <f>IF($A393&lt;&gt;"",IF(TRIM(MAESTRO!$G393&amp;" "&amp;MAESTRO!$H393&amp;" "&amp;MAESTRO!$I393)="",MAESTRO!$F393,TRIM(MAESTRO!$G393&amp;" "&amp;MAESTRO!$H393&amp;" "&amp;MAESTRO!$I393)),"")</f>
        <v/>
      </c>
      <c r="I393" t="str">
        <f>IF($A393&lt;&gt;"",MAESTRO!$K393,"")</f>
        <v/>
      </c>
      <c r="J393" t="str">
        <f>IF($A393&lt;&gt;"",393,"")</f>
        <v/>
      </c>
    </row>
    <row r="394" spans="1:10" x14ac:dyDescent="0.2">
      <c r="A394" t="str">
        <f>IF(AND(UPPER(MAESTRO!$M394)="VIP",UPPER(MAESTRO!$J394)="SI",MAESTRO!$F394&lt;&gt;""),MAESTRO!$P394,"")</f>
        <v/>
      </c>
      <c r="B394" t="str">
        <f>IF($A394&lt;&gt;"",MAESTRO!$B394,"")</f>
        <v/>
      </c>
      <c r="C394" t="str">
        <f>IF($A394&lt;&gt;"",MAESTRO!$A394,"")</f>
        <v/>
      </c>
      <c r="D394" t="str">
        <f>IF($A394&lt;&gt;"",MAESTRO!$C394,"")</f>
        <v/>
      </c>
      <c r="E394" t="str">
        <f>IF($A394&lt;&gt;"",MAESTRO!$M394,"")</f>
        <v/>
      </c>
      <c r="F394" t="str">
        <f>IF($A394&lt;&gt;"",MAESTRO!$J394,"")</f>
        <v/>
      </c>
      <c r="G394" t="str">
        <f>IF($A394&lt;&gt;"",MAESTRO!$D394,"")</f>
        <v/>
      </c>
      <c r="H394" t="str">
        <f>IF($A394&lt;&gt;"",IF(TRIM(MAESTRO!$G394&amp;" "&amp;MAESTRO!$H394&amp;" "&amp;MAESTRO!$I394)="",MAESTRO!$F394,TRIM(MAESTRO!$G394&amp;" "&amp;MAESTRO!$H394&amp;" "&amp;MAESTRO!$I394)),"")</f>
        <v/>
      </c>
      <c r="I394" t="str">
        <f>IF($A394&lt;&gt;"",MAESTRO!$K394,"")</f>
        <v/>
      </c>
      <c r="J394" t="str">
        <f>IF($A394&lt;&gt;"",394,"")</f>
        <v/>
      </c>
    </row>
    <row r="395" spans="1:10" x14ac:dyDescent="0.2">
      <c r="A395" t="str">
        <f>IF(AND(UPPER(MAESTRO!$M395)="VIP",UPPER(MAESTRO!$J395)="SI",MAESTRO!$F395&lt;&gt;""),MAESTRO!$P395,"")</f>
        <v/>
      </c>
      <c r="B395" t="str">
        <f>IF($A395&lt;&gt;"",MAESTRO!$B395,"")</f>
        <v/>
      </c>
      <c r="C395" t="str">
        <f>IF($A395&lt;&gt;"",MAESTRO!$A395,"")</f>
        <v/>
      </c>
      <c r="D395" t="str">
        <f>IF($A395&lt;&gt;"",MAESTRO!$C395,"")</f>
        <v/>
      </c>
      <c r="E395" t="str">
        <f>IF($A395&lt;&gt;"",MAESTRO!$M395,"")</f>
        <v/>
      </c>
      <c r="F395" t="str">
        <f>IF($A395&lt;&gt;"",MAESTRO!$J395,"")</f>
        <v/>
      </c>
      <c r="G395" t="str">
        <f>IF($A395&lt;&gt;"",MAESTRO!$D395,"")</f>
        <v/>
      </c>
      <c r="H395" t="str">
        <f>IF($A395&lt;&gt;"",IF(TRIM(MAESTRO!$G395&amp;" "&amp;MAESTRO!$H395&amp;" "&amp;MAESTRO!$I395)="",MAESTRO!$F395,TRIM(MAESTRO!$G395&amp;" "&amp;MAESTRO!$H395&amp;" "&amp;MAESTRO!$I395)),"")</f>
        <v/>
      </c>
      <c r="I395" t="str">
        <f>IF($A395&lt;&gt;"",MAESTRO!$K395,"")</f>
        <v/>
      </c>
      <c r="J395" t="str">
        <f>IF($A395&lt;&gt;"",395,"")</f>
        <v/>
      </c>
    </row>
    <row r="396" spans="1:10" x14ac:dyDescent="0.2">
      <c r="A396" t="str">
        <f>IF(AND(UPPER(MAESTRO!$M396)="VIP",UPPER(MAESTRO!$J396)="SI",MAESTRO!$F396&lt;&gt;""),MAESTRO!$P396,"")</f>
        <v/>
      </c>
      <c r="B396" t="str">
        <f>IF($A396&lt;&gt;"",MAESTRO!$B396,"")</f>
        <v/>
      </c>
      <c r="C396" t="str">
        <f>IF($A396&lt;&gt;"",MAESTRO!$A396,"")</f>
        <v/>
      </c>
      <c r="D396" t="str">
        <f>IF($A396&lt;&gt;"",MAESTRO!$C396,"")</f>
        <v/>
      </c>
      <c r="E396" t="str">
        <f>IF($A396&lt;&gt;"",MAESTRO!$M396,"")</f>
        <v/>
      </c>
      <c r="F396" t="str">
        <f>IF($A396&lt;&gt;"",MAESTRO!$J396,"")</f>
        <v/>
      </c>
      <c r="G396" t="str">
        <f>IF($A396&lt;&gt;"",MAESTRO!$D396,"")</f>
        <v/>
      </c>
      <c r="H396" t="str">
        <f>IF($A396&lt;&gt;"",IF(TRIM(MAESTRO!$G396&amp;" "&amp;MAESTRO!$H396&amp;" "&amp;MAESTRO!$I396)="",MAESTRO!$F396,TRIM(MAESTRO!$G396&amp;" "&amp;MAESTRO!$H396&amp;" "&amp;MAESTRO!$I396)),"")</f>
        <v/>
      </c>
      <c r="I396" t="str">
        <f>IF($A396&lt;&gt;"",MAESTRO!$K396,"")</f>
        <v/>
      </c>
      <c r="J396" t="str">
        <f>IF($A396&lt;&gt;"",396,"")</f>
        <v/>
      </c>
    </row>
    <row r="397" spans="1:10" x14ac:dyDescent="0.2">
      <c r="A397" t="str">
        <f>IF(AND(UPPER(MAESTRO!$M397)="VIP",UPPER(MAESTRO!$J397)="SI",MAESTRO!$F397&lt;&gt;""),MAESTRO!$P397,"")</f>
        <v/>
      </c>
      <c r="B397" t="str">
        <f>IF($A397&lt;&gt;"",MAESTRO!$B397,"")</f>
        <v/>
      </c>
      <c r="C397" t="str">
        <f>IF($A397&lt;&gt;"",MAESTRO!$A397,"")</f>
        <v/>
      </c>
      <c r="D397" t="str">
        <f>IF($A397&lt;&gt;"",MAESTRO!$C397,"")</f>
        <v/>
      </c>
      <c r="E397" t="str">
        <f>IF($A397&lt;&gt;"",MAESTRO!$M397,"")</f>
        <v/>
      </c>
      <c r="F397" t="str">
        <f>IF($A397&lt;&gt;"",MAESTRO!$J397,"")</f>
        <v/>
      </c>
      <c r="G397" t="str">
        <f>IF($A397&lt;&gt;"",MAESTRO!$D397,"")</f>
        <v/>
      </c>
      <c r="H397" t="str">
        <f>IF($A397&lt;&gt;"",IF(TRIM(MAESTRO!$G397&amp;" "&amp;MAESTRO!$H397&amp;" "&amp;MAESTRO!$I397)="",MAESTRO!$F397,TRIM(MAESTRO!$G397&amp;" "&amp;MAESTRO!$H397&amp;" "&amp;MAESTRO!$I397)),"")</f>
        <v/>
      </c>
      <c r="I397" t="str">
        <f>IF($A397&lt;&gt;"",MAESTRO!$K397,"")</f>
        <v/>
      </c>
      <c r="J397" t="str">
        <f>IF($A397&lt;&gt;"",397,"")</f>
        <v/>
      </c>
    </row>
    <row r="398" spans="1:10" x14ac:dyDescent="0.2">
      <c r="A398" t="str">
        <f>IF(AND(UPPER(MAESTRO!$M398)="VIP",UPPER(MAESTRO!$J398)="SI",MAESTRO!$F398&lt;&gt;""),MAESTRO!$P398,"")</f>
        <v/>
      </c>
      <c r="B398" t="str">
        <f>IF($A398&lt;&gt;"",MAESTRO!$B398,"")</f>
        <v/>
      </c>
      <c r="C398" t="str">
        <f>IF($A398&lt;&gt;"",MAESTRO!$A398,"")</f>
        <v/>
      </c>
      <c r="D398" t="str">
        <f>IF($A398&lt;&gt;"",MAESTRO!$C398,"")</f>
        <v/>
      </c>
      <c r="E398" t="str">
        <f>IF($A398&lt;&gt;"",MAESTRO!$M398,"")</f>
        <v/>
      </c>
      <c r="F398" t="str">
        <f>IF($A398&lt;&gt;"",MAESTRO!$J398,"")</f>
        <v/>
      </c>
      <c r="G398" t="str">
        <f>IF($A398&lt;&gt;"",MAESTRO!$D398,"")</f>
        <v/>
      </c>
      <c r="H398" t="str">
        <f>IF($A398&lt;&gt;"",IF(TRIM(MAESTRO!$G398&amp;" "&amp;MAESTRO!$H398&amp;" "&amp;MAESTRO!$I398)="",MAESTRO!$F398,TRIM(MAESTRO!$G398&amp;" "&amp;MAESTRO!$H398&amp;" "&amp;MAESTRO!$I398)),"")</f>
        <v/>
      </c>
      <c r="I398" t="str">
        <f>IF($A398&lt;&gt;"",MAESTRO!$K398,"")</f>
        <v/>
      </c>
      <c r="J398" t="str">
        <f>IF($A398&lt;&gt;"",398,"")</f>
        <v/>
      </c>
    </row>
    <row r="399" spans="1:10" x14ac:dyDescent="0.2">
      <c r="A399" t="str">
        <f>IF(AND(UPPER(MAESTRO!$M399)="VIP",UPPER(MAESTRO!$J399)="SI",MAESTRO!$F399&lt;&gt;""),MAESTRO!$P399,"")</f>
        <v/>
      </c>
      <c r="B399" t="str">
        <f>IF($A399&lt;&gt;"",MAESTRO!$B399,"")</f>
        <v/>
      </c>
      <c r="C399" t="str">
        <f>IF($A399&lt;&gt;"",MAESTRO!$A399,"")</f>
        <v/>
      </c>
      <c r="D399" t="str">
        <f>IF($A399&lt;&gt;"",MAESTRO!$C399,"")</f>
        <v/>
      </c>
      <c r="E399" t="str">
        <f>IF($A399&lt;&gt;"",MAESTRO!$M399,"")</f>
        <v/>
      </c>
      <c r="F399" t="str">
        <f>IF($A399&lt;&gt;"",MAESTRO!$J399,"")</f>
        <v/>
      </c>
      <c r="G399" t="str">
        <f>IF($A399&lt;&gt;"",MAESTRO!$D399,"")</f>
        <v/>
      </c>
      <c r="H399" t="str">
        <f>IF($A399&lt;&gt;"",IF(TRIM(MAESTRO!$G399&amp;" "&amp;MAESTRO!$H399&amp;" "&amp;MAESTRO!$I399)="",MAESTRO!$F399,TRIM(MAESTRO!$G399&amp;" "&amp;MAESTRO!$H399&amp;" "&amp;MAESTRO!$I399)),"")</f>
        <v/>
      </c>
      <c r="I399" t="str">
        <f>IF($A399&lt;&gt;"",MAESTRO!$K399,"")</f>
        <v/>
      </c>
      <c r="J399" t="str">
        <f>IF($A399&lt;&gt;"",399,"")</f>
        <v/>
      </c>
    </row>
    <row r="400" spans="1:10" x14ac:dyDescent="0.2">
      <c r="A400" t="str">
        <f>IF(AND(UPPER(MAESTRO!$M400)="VIP",UPPER(MAESTRO!$J400)="SI",MAESTRO!$F400&lt;&gt;""),MAESTRO!$P400,"")</f>
        <v>A32</v>
      </c>
      <c r="B400">
        <f>IF($A400&lt;&gt;"",MAESTRO!$B400,"")</f>
        <v>399</v>
      </c>
      <c r="C400">
        <f>IF($A400&lt;&gt;"",MAESTRO!$A400,"")</f>
        <v>399</v>
      </c>
      <c r="D400" t="str">
        <f>IF($A400&lt;&gt;"",MAESTRO!$C400,"")</f>
        <v xml:space="preserve">INVITADOS ASMAR </v>
      </c>
      <c r="E400" t="str">
        <f>IF($A400&lt;&gt;"",MAESTRO!$M400,"")</f>
        <v>VIP</v>
      </c>
      <c r="F400" t="str">
        <f>IF($A400&lt;&gt;"",MAESTRO!$J400,"")</f>
        <v>SI</v>
      </c>
      <c r="G400" t="str">
        <f>IF($A400&lt;&gt;"",MAESTRO!$D400,"")</f>
        <v>Señora</v>
      </c>
      <c r="H400" t="str">
        <f>IF($A400&lt;&gt;"",IF(TRIM(MAESTRO!$G400&amp;" "&amp;MAESTRO!$H400&amp;" "&amp;MAESTRO!$I400)="",MAESTRO!$F400,TRIM(MAESTRO!$G400&amp;" "&amp;MAESTRO!$H400&amp;" "&amp;MAESTRO!$I400)),"")</f>
        <v>Karen Krakman</v>
      </c>
      <c r="I400" t="str">
        <f>IF($A400&lt;&gt;"",MAESTRO!$K400,"")</f>
        <v>Consul Países Bajos Concepción</v>
      </c>
      <c r="J400">
        <f>IF($A400&lt;&gt;"",400,"")</f>
        <v>400</v>
      </c>
    </row>
    <row r="401" spans="1:10" x14ac:dyDescent="0.2">
      <c r="A401" t="str">
        <f>IF(AND(UPPER(MAESTRO!$M401)="VIP",UPPER(MAESTRO!$J401)="SI",MAESTRO!$F401&lt;&gt;""),MAESTRO!$P401,"")</f>
        <v/>
      </c>
      <c r="B401" t="str">
        <f>IF($A401&lt;&gt;"",MAESTRO!$B401,"")</f>
        <v/>
      </c>
      <c r="C401" t="str">
        <f>IF($A401&lt;&gt;"",MAESTRO!$A401,"")</f>
        <v/>
      </c>
      <c r="D401" t="str">
        <f>IF($A401&lt;&gt;"",MAESTRO!$C401,"")</f>
        <v/>
      </c>
      <c r="E401" t="str">
        <f>IF($A401&lt;&gt;"",MAESTRO!$M401,"")</f>
        <v/>
      </c>
      <c r="F401" t="str">
        <f>IF($A401&lt;&gt;"",MAESTRO!$J401,"")</f>
        <v/>
      </c>
      <c r="G401" t="str">
        <f>IF($A401&lt;&gt;"",MAESTRO!$D401,"")</f>
        <v/>
      </c>
      <c r="H401" t="str">
        <f>IF($A401&lt;&gt;"",IF(TRIM(MAESTRO!$G401&amp;" "&amp;MAESTRO!$H401&amp;" "&amp;MAESTRO!$I401)="",MAESTRO!$F401,TRIM(MAESTRO!$G401&amp;" "&amp;MAESTRO!$H401&amp;" "&amp;MAESTRO!$I401)),"")</f>
        <v/>
      </c>
      <c r="I401" t="str">
        <f>IF($A401&lt;&gt;"",MAESTRO!$K401,"")</f>
        <v/>
      </c>
      <c r="J401" t="str">
        <f>IF($A401&lt;&gt;"",401,"")</f>
        <v/>
      </c>
    </row>
    <row r="402" spans="1:10" x14ac:dyDescent="0.2">
      <c r="A402" t="str">
        <f>IF(AND(UPPER(MAESTRO!$M402)="VIP",UPPER(MAESTRO!$J402)="SI",MAESTRO!$F402&lt;&gt;""),MAESTRO!$P402,"")</f>
        <v>A13</v>
      </c>
      <c r="B402">
        <f>IF($A402&lt;&gt;"",MAESTRO!$B402,"")</f>
        <v>401</v>
      </c>
      <c r="C402">
        <f>IF($A402&lt;&gt;"",MAESTRO!$A402,"")</f>
        <v>401</v>
      </c>
      <c r="D402" t="str">
        <f>IF($A402&lt;&gt;"",MAESTRO!$C402,"")</f>
        <v xml:space="preserve">INVITADOS ASMAR </v>
      </c>
      <c r="E402" t="str">
        <f>IF($A402&lt;&gt;"",MAESTRO!$M402,"")</f>
        <v>VIP</v>
      </c>
      <c r="F402" t="str">
        <f>IF($A402&lt;&gt;"",MAESTRO!$J402,"")</f>
        <v>SI</v>
      </c>
      <c r="G402">
        <f>IF($A402&lt;&gt;"",MAESTRO!$D402,"")</f>
        <v>0</v>
      </c>
      <c r="H402" t="str">
        <f>IF($A402&lt;&gt;"",IF(TRIM(MAESTRO!$G402&amp;" "&amp;MAESTRO!$H402&amp;" "&amp;MAESTRO!$I402)="",MAESTRO!$F402,TRIM(MAESTRO!$G402&amp;" "&amp;MAESTRO!$H402&amp;" "&amp;MAESTRO!$I402)),"")</f>
        <v>Marcelo Fuster Roa</v>
      </c>
      <c r="I402" t="str">
        <f>IF($A402&lt;&gt;"",MAESTRO!$K402,"")</f>
        <v>Gerente General Corporativo ASIMET A.G. - Comité CORFO</v>
      </c>
      <c r="J402">
        <f>IF($A402&lt;&gt;"",402,"")</f>
        <v>402</v>
      </c>
    </row>
    <row r="403" spans="1:10" x14ac:dyDescent="0.2">
      <c r="A403" t="str">
        <f>IF(AND(UPPER(MAESTRO!$M403)="VIP",UPPER(MAESTRO!$J403)="SI",MAESTRO!$F403&lt;&gt;""),MAESTRO!$P403,"")</f>
        <v>A11</v>
      </c>
      <c r="B403">
        <f>IF($A403&lt;&gt;"",MAESTRO!$B403,"")</f>
        <v>402</v>
      </c>
      <c r="C403">
        <f>IF($A403&lt;&gt;"",MAESTRO!$A403,"")</f>
        <v>402</v>
      </c>
      <c r="D403" t="str">
        <f>IF($A403&lt;&gt;"",MAESTRO!$C403,"")</f>
        <v xml:space="preserve">INVITADOS ASMAR </v>
      </c>
      <c r="E403" t="str">
        <f>IF($A403&lt;&gt;"",MAESTRO!$M403,"")</f>
        <v>VIP</v>
      </c>
      <c r="F403" t="str">
        <f>IF($A403&lt;&gt;"",MAESTRO!$J403,"")</f>
        <v>SI</v>
      </c>
      <c r="G403" t="str">
        <f>IF($A403&lt;&gt;"",MAESTRO!$D403,"")</f>
        <v>Presidente</v>
      </c>
      <c r="H403" t="str">
        <f>IF($A403&lt;&gt;"",IF(TRIM(MAESTRO!$G403&amp;" "&amp;MAESTRO!$H403&amp;" "&amp;MAESTRO!$I403)="",MAESTRO!$F403,TRIM(MAESTRO!$G403&amp;" "&amp;MAESTRO!$H403&amp;" "&amp;MAESTRO!$I403)),"")</f>
        <v>Fernando García</v>
      </c>
      <c r="I403" t="str">
        <f>IF($A403&lt;&gt;"",MAESTRO!$K403,"")</f>
        <v>Presidente ASIMET A.G.</v>
      </c>
      <c r="J403">
        <f>IF($A403&lt;&gt;"",403,"")</f>
        <v>403</v>
      </c>
    </row>
    <row r="404" spans="1:10" x14ac:dyDescent="0.2">
      <c r="A404" t="str">
        <f>IF(AND(UPPER(MAESTRO!$M404)="VIP",UPPER(MAESTRO!$J404)="SI",MAESTRO!$F404&lt;&gt;""),MAESTRO!$P404,"")</f>
        <v/>
      </c>
      <c r="B404" t="str">
        <f>IF($A404&lt;&gt;"",MAESTRO!$B404,"")</f>
        <v/>
      </c>
      <c r="C404" t="str">
        <f>IF($A404&lt;&gt;"",MAESTRO!$A404,"")</f>
        <v/>
      </c>
      <c r="D404" t="str">
        <f>IF($A404&lt;&gt;"",MAESTRO!$C404,"")</f>
        <v/>
      </c>
      <c r="E404" t="str">
        <f>IF($A404&lt;&gt;"",MAESTRO!$M404,"")</f>
        <v/>
      </c>
      <c r="F404" t="str">
        <f>IF($A404&lt;&gt;"",MAESTRO!$J404,"")</f>
        <v/>
      </c>
      <c r="G404" t="str">
        <f>IF($A404&lt;&gt;"",MAESTRO!$D404,"")</f>
        <v/>
      </c>
      <c r="H404" t="str">
        <f>IF($A404&lt;&gt;"",IF(TRIM(MAESTRO!$G404&amp;" "&amp;MAESTRO!$H404&amp;" "&amp;MAESTRO!$I404)="",MAESTRO!$F404,TRIM(MAESTRO!$G404&amp;" "&amp;MAESTRO!$H404&amp;" "&amp;MAESTRO!$I404)),"")</f>
        <v/>
      </c>
      <c r="I404" t="str">
        <f>IF($A404&lt;&gt;"",MAESTRO!$K404,"")</f>
        <v/>
      </c>
      <c r="J404" t="str">
        <f>IF($A404&lt;&gt;"",404,"")</f>
        <v/>
      </c>
    </row>
    <row r="405" spans="1:10" x14ac:dyDescent="0.2">
      <c r="A405" t="str">
        <f>IF(AND(UPPER(MAESTRO!$M405)="VIP",UPPER(MAESTRO!$J405)="SI",MAESTRO!$F405&lt;&gt;""),MAESTRO!$P405,"")</f>
        <v/>
      </c>
      <c r="B405" t="str">
        <f>IF($A405&lt;&gt;"",MAESTRO!$B405,"")</f>
        <v/>
      </c>
      <c r="C405" t="str">
        <f>IF($A405&lt;&gt;"",MAESTRO!$A405,"")</f>
        <v/>
      </c>
      <c r="D405" t="str">
        <f>IF($A405&lt;&gt;"",MAESTRO!$C405,"")</f>
        <v/>
      </c>
      <c r="E405" t="str">
        <f>IF($A405&lt;&gt;"",MAESTRO!$M405,"")</f>
        <v/>
      </c>
      <c r="F405" t="str">
        <f>IF($A405&lt;&gt;"",MAESTRO!$J405,"")</f>
        <v/>
      </c>
      <c r="G405" t="str">
        <f>IF($A405&lt;&gt;"",MAESTRO!$D405,"")</f>
        <v/>
      </c>
      <c r="H405" t="str">
        <f>IF($A405&lt;&gt;"",IF(TRIM(MAESTRO!$G405&amp;" "&amp;MAESTRO!$H405&amp;" "&amp;MAESTRO!$I405)="",MAESTRO!$F405,TRIM(MAESTRO!$G405&amp;" "&amp;MAESTRO!$H405&amp;" "&amp;MAESTRO!$I405)),"")</f>
        <v/>
      </c>
      <c r="I405" t="str">
        <f>IF($A405&lt;&gt;"",MAESTRO!$K405,"")</f>
        <v/>
      </c>
      <c r="J405" t="str">
        <f>IF($A405&lt;&gt;"",405,"")</f>
        <v/>
      </c>
    </row>
    <row r="406" spans="1:10" x14ac:dyDescent="0.2">
      <c r="A406" t="str">
        <f>IF(AND(UPPER(MAESTRO!$M406)="VIP",UPPER(MAESTRO!$J406)="SI",MAESTRO!$F406&lt;&gt;""),MAESTRO!$P406,"")</f>
        <v/>
      </c>
      <c r="B406" t="str">
        <f>IF($A406&lt;&gt;"",MAESTRO!$B406,"")</f>
        <v/>
      </c>
      <c r="C406" t="str">
        <f>IF($A406&lt;&gt;"",MAESTRO!$A406,"")</f>
        <v/>
      </c>
      <c r="D406" t="str">
        <f>IF($A406&lt;&gt;"",MAESTRO!$C406,"")</f>
        <v/>
      </c>
      <c r="E406" t="str">
        <f>IF($A406&lt;&gt;"",MAESTRO!$M406,"")</f>
        <v/>
      </c>
      <c r="F406" t="str">
        <f>IF($A406&lt;&gt;"",MAESTRO!$J406,"")</f>
        <v/>
      </c>
      <c r="G406" t="str">
        <f>IF($A406&lt;&gt;"",MAESTRO!$D406,"")</f>
        <v/>
      </c>
      <c r="H406" t="str">
        <f>IF($A406&lt;&gt;"",IF(TRIM(MAESTRO!$G406&amp;" "&amp;MAESTRO!$H406&amp;" "&amp;MAESTRO!$I406)="",MAESTRO!$F406,TRIM(MAESTRO!$G406&amp;" "&amp;MAESTRO!$H406&amp;" "&amp;MAESTRO!$I406)),"")</f>
        <v/>
      </c>
      <c r="I406" t="str">
        <f>IF($A406&lt;&gt;"",MAESTRO!$K406,"")</f>
        <v/>
      </c>
      <c r="J406" t="str">
        <f>IF($A406&lt;&gt;"",406,"")</f>
        <v/>
      </c>
    </row>
    <row r="407" spans="1:10" x14ac:dyDescent="0.2">
      <c r="A407" t="str">
        <f>IF(AND(UPPER(MAESTRO!$M407)="VIP",UPPER(MAESTRO!$J407)="SI",MAESTRO!$F407&lt;&gt;""),MAESTRO!$P407,"")</f>
        <v/>
      </c>
      <c r="B407" t="str">
        <f>IF($A407&lt;&gt;"",MAESTRO!$B407,"")</f>
        <v/>
      </c>
      <c r="C407" t="str">
        <f>IF($A407&lt;&gt;"",MAESTRO!$A407,"")</f>
        <v/>
      </c>
      <c r="D407" t="str">
        <f>IF($A407&lt;&gt;"",MAESTRO!$C407,"")</f>
        <v/>
      </c>
      <c r="E407" t="str">
        <f>IF($A407&lt;&gt;"",MAESTRO!$M407,"")</f>
        <v/>
      </c>
      <c r="F407" t="str">
        <f>IF($A407&lt;&gt;"",MAESTRO!$J407,"")</f>
        <v/>
      </c>
      <c r="G407" t="str">
        <f>IF($A407&lt;&gt;"",MAESTRO!$D407,"")</f>
        <v/>
      </c>
      <c r="H407" t="str">
        <f>IF($A407&lt;&gt;"",IF(TRIM(MAESTRO!$G407&amp;" "&amp;MAESTRO!$H407&amp;" "&amp;MAESTRO!$I407)="",MAESTRO!$F407,TRIM(MAESTRO!$G407&amp;" "&amp;MAESTRO!$H407&amp;" "&amp;MAESTRO!$I407)),"")</f>
        <v/>
      </c>
      <c r="I407" t="str">
        <f>IF($A407&lt;&gt;"",MAESTRO!$K407,"")</f>
        <v/>
      </c>
      <c r="J407" t="str">
        <f>IF($A407&lt;&gt;"",407,"")</f>
        <v/>
      </c>
    </row>
    <row r="408" spans="1:10" x14ac:dyDescent="0.2">
      <c r="A408" t="str">
        <f>IF(AND(UPPER(MAESTRO!$M408)="VIP",UPPER(MAESTRO!$J408)="SI",MAESTRO!$F408&lt;&gt;""),MAESTRO!$P408,"")</f>
        <v/>
      </c>
      <c r="B408" t="str">
        <f>IF($A408&lt;&gt;"",MAESTRO!$B408,"")</f>
        <v/>
      </c>
      <c r="C408" t="str">
        <f>IF($A408&lt;&gt;"",MAESTRO!$A408,"")</f>
        <v/>
      </c>
      <c r="D408" t="str">
        <f>IF($A408&lt;&gt;"",MAESTRO!$C408,"")</f>
        <v/>
      </c>
      <c r="E408" t="str">
        <f>IF($A408&lt;&gt;"",MAESTRO!$M408,"")</f>
        <v/>
      </c>
      <c r="F408" t="str">
        <f>IF($A408&lt;&gt;"",MAESTRO!$J408,"")</f>
        <v/>
      </c>
      <c r="G408" t="str">
        <f>IF($A408&lt;&gt;"",MAESTRO!$D408,"")</f>
        <v/>
      </c>
      <c r="H408" t="str">
        <f>IF($A408&lt;&gt;"",IF(TRIM(MAESTRO!$G408&amp;" "&amp;MAESTRO!$H408&amp;" "&amp;MAESTRO!$I408)="",MAESTRO!$F408,TRIM(MAESTRO!$G408&amp;" "&amp;MAESTRO!$H408&amp;" "&amp;MAESTRO!$I408)),"")</f>
        <v/>
      </c>
      <c r="I408" t="str">
        <f>IF($A408&lt;&gt;"",MAESTRO!$K408,"")</f>
        <v/>
      </c>
      <c r="J408" t="str">
        <f>IF($A408&lt;&gt;"",408,"")</f>
        <v/>
      </c>
    </row>
    <row r="409" spans="1:10" x14ac:dyDescent="0.2">
      <c r="A409" t="str">
        <f>IF(AND(UPPER(MAESTRO!$M409)="VIP",UPPER(MAESTRO!$J409)="SI",MAESTRO!$F409&lt;&gt;""),MAESTRO!$P409,"")</f>
        <v/>
      </c>
      <c r="B409" t="str">
        <f>IF($A409&lt;&gt;"",MAESTRO!$B409,"")</f>
        <v/>
      </c>
      <c r="C409" t="str">
        <f>IF($A409&lt;&gt;"",MAESTRO!$A409,"")</f>
        <v/>
      </c>
      <c r="D409" t="str">
        <f>IF($A409&lt;&gt;"",MAESTRO!$C409,"")</f>
        <v/>
      </c>
      <c r="E409" t="str">
        <f>IF($A409&lt;&gt;"",MAESTRO!$M409,"")</f>
        <v/>
      </c>
      <c r="F409" t="str">
        <f>IF($A409&lt;&gt;"",MAESTRO!$J409,"")</f>
        <v/>
      </c>
      <c r="G409" t="str">
        <f>IF($A409&lt;&gt;"",MAESTRO!$D409,"")</f>
        <v/>
      </c>
      <c r="H409" t="str">
        <f>IF($A409&lt;&gt;"",IF(TRIM(MAESTRO!$G409&amp;" "&amp;MAESTRO!$H409&amp;" "&amp;MAESTRO!$I409)="",MAESTRO!$F409,TRIM(MAESTRO!$G409&amp;" "&amp;MAESTRO!$H409&amp;" "&amp;MAESTRO!$I409)),"")</f>
        <v/>
      </c>
      <c r="I409" t="str">
        <f>IF($A409&lt;&gt;"",MAESTRO!$K409,"")</f>
        <v/>
      </c>
      <c r="J409" t="str">
        <f>IF($A409&lt;&gt;"",409,"")</f>
        <v/>
      </c>
    </row>
    <row r="410" spans="1:10" x14ac:dyDescent="0.2">
      <c r="A410" t="str">
        <f>IF(AND(UPPER(MAESTRO!$M410)="VIP",UPPER(MAESTRO!$J410)="SI",MAESTRO!$F410&lt;&gt;""),MAESTRO!$P410,"")</f>
        <v/>
      </c>
      <c r="B410" t="str">
        <f>IF($A410&lt;&gt;"",MAESTRO!$B410,"")</f>
        <v/>
      </c>
      <c r="C410" t="str">
        <f>IF($A410&lt;&gt;"",MAESTRO!$A410,"")</f>
        <v/>
      </c>
      <c r="D410" t="str">
        <f>IF($A410&lt;&gt;"",MAESTRO!$C410,"")</f>
        <v/>
      </c>
      <c r="E410" t="str">
        <f>IF($A410&lt;&gt;"",MAESTRO!$M410,"")</f>
        <v/>
      </c>
      <c r="F410" t="str">
        <f>IF($A410&lt;&gt;"",MAESTRO!$J410,"")</f>
        <v/>
      </c>
      <c r="G410" t="str">
        <f>IF($A410&lt;&gt;"",MAESTRO!$D410,"")</f>
        <v/>
      </c>
      <c r="H410" t="str">
        <f>IF($A410&lt;&gt;"",IF(TRIM(MAESTRO!$G410&amp;" "&amp;MAESTRO!$H410&amp;" "&amp;MAESTRO!$I410)="",MAESTRO!$F410,TRIM(MAESTRO!$G410&amp;" "&amp;MAESTRO!$H410&amp;" "&amp;MAESTRO!$I410)),"")</f>
        <v/>
      </c>
      <c r="I410" t="str">
        <f>IF($A410&lt;&gt;"",MAESTRO!$K410,"")</f>
        <v/>
      </c>
      <c r="J410" t="str">
        <f>IF($A410&lt;&gt;"",410,"")</f>
        <v/>
      </c>
    </row>
    <row r="411" spans="1:10" x14ac:dyDescent="0.2">
      <c r="A411" t="str">
        <f>IF(AND(UPPER(MAESTRO!$M411)="VIP",UPPER(MAESTRO!$J411)="SI",MAESTRO!$F411&lt;&gt;""),MAESTRO!$P411,"")</f>
        <v/>
      </c>
      <c r="B411" t="str">
        <f>IF($A411&lt;&gt;"",MAESTRO!$B411,"")</f>
        <v/>
      </c>
      <c r="C411" t="str">
        <f>IF($A411&lt;&gt;"",MAESTRO!$A411,"")</f>
        <v/>
      </c>
      <c r="D411" t="str">
        <f>IF($A411&lt;&gt;"",MAESTRO!$C411,"")</f>
        <v/>
      </c>
      <c r="E411" t="str">
        <f>IF($A411&lt;&gt;"",MAESTRO!$M411,"")</f>
        <v/>
      </c>
      <c r="F411" t="str">
        <f>IF($A411&lt;&gt;"",MAESTRO!$J411,"")</f>
        <v/>
      </c>
      <c r="G411" t="str">
        <f>IF($A411&lt;&gt;"",MAESTRO!$D411,"")</f>
        <v/>
      </c>
      <c r="H411" t="str">
        <f>IF($A411&lt;&gt;"",IF(TRIM(MAESTRO!$G411&amp;" "&amp;MAESTRO!$H411&amp;" "&amp;MAESTRO!$I411)="",MAESTRO!$F411,TRIM(MAESTRO!$G411&amp;" "&amp;MAESTRO!$H411&amp;" "&amp;MAESTRO!$I411)),"")</f>
        <v/>
      </c>
      <c r="I411" t="str">
        <f>IF($A411&lt;&gt;"",MAESTRO!$K411,"")</f>
        <v/>
      </c>
      <c r="J411" t="str">
        <f>IF($A411&lt;&gt;"",411,"")</f>
        <v/>
      </c>
    </row>
    <row r="412" spans="1:10" x14ac:dyDescent="0.2">
      <c r="A412" t="str">
        <f>IF(AND(UPPER(MAESTRO!$M412)="VIP",UPPER(MAESTRO!$J412)="SI",MAESTRO!$F412&lt;&gt;""),MAESTRO!$P412,"")</f>
        <v/>
      </c>
      <c r="B412" t="str">
        <f>IF($A412&lt;&gt;"",MAESTRO!$B412,"")</f>
        <v/>
      </c>
      <c r="C412" t="str">
        <f>IF($A412&lt;&gt;"",MAESTRO!$A412,"")</f>
        <v/>
      </c>
      <c r="D412" t="str">
        <f>IF($A412&lt;&gt;"",MAESTRO!$C412,"")</f>
        <v/>
      </c>
      <c r="E412" t="str">
        <f>IF($A412&lt;&gt;"",MAESTRO!$M412,"")</f>
        <v/>
      </c>
      <c r="F412" t="str">
        <f>IF($A412&lt;&gt;"",MAESTRO!$J412,"")</f>
        <v/>
      </c>
      <c r="G412" t="str">
        <f>IF($A412&lt;&gt;"",MAESTRO!$D412,"")</f>
        <v/>
      </c>
      <c r="H412" t="str">
        <f>IF($A412&lt;&gt;"",IF(TRIM(MAESTRO!$G412&amp;" "&amp;MAESTRO!$H412&amp;" "&amp;MAESTRO!$I412)="",MAESTRO!$F412,TRIM(MAESTRO!$G412&amp;" "&amp;MAESTRO!$H412&amp;" "&amp;MAESTRO!$I412)),"")</f>
        <v/>
      </c>
      <c r="I412" t="str">
        <f>IF($A412&lt;&gt;"",MAESTRO!$K412,"")</f>
        <v/>
      </c>
      <c r="J412" t="str">
        <f>IF($A412&lt;&gt;"",412,"")</f>
        <v/>
      </c>
    </row>
    <row r="413" spans="1:10" x14ac:dyDescent="0.2">
      <c r="A413" t="str">
        <f>IF(AND(UPPER(MAESTRO!$M413)="VIP",UPPER(MAESTRO!$J413)="SI",MAESTRO!$F413&lt;&gt;""),MAESTRO!$P413,"")</f>
        <v/>
      </c>
      <c r="B413" t="str">
        <f>IF($A413&lt;&gt;"",MAESTRO!$B413,"")</f>
        <v/>
      </c>
      <c r="C413" t="str">
        <f>IF($A413&lt;&gt;"",MAESTRO!$A413,"")</f>
        <v/>
      </c>
      <c r="D413" t="str">
        <f>IF($A413&lt;&gt;"",MAESTRO!$C413,"")</f>
        <v/>
      </c>
      <c r="E413" t="str">
        <f>IF($A413&lt;&gt;"",MAESTRO!$M413,"")</f>
        <v/>
      </c>
      <c r="F413" t="str">
        <f>IF($A413&lt;&gt;"",MAESTRO!$J413,"")</f>
        <v/>
      </c>
      <c r="G413" t="str">
        <f>IF($A413&lt;&gt;"",MAESTRO!$D413,"")</f>
        <v/>
      </c>
      <c r="H413" t="str">
        <f>IF($A413&lt;&gt;"",IF(TRIM(MAESTRO!$G413&amp;" "&amp;MAESTRO!$H413&amp;" "&amp;MAESTRO!$I413)="",MAESTRO!$F413,TRIM(MAESTRO!$G413&amp;" "&amp;MAESTRO!$H413&amp;" "&amp;MAESTRO!$I413)),"")</f>
        <v/>
      </c>
      <c r="I413" t="str">
        <f>IF($A413&lt;&gt;"",MAESTRO!$K413,"")</f>
        <v/>
      </c>
      <c r="J413" t="str">
        <f>IF($A413&lt;&gt;"",413,"")</f>
        <v/>
      </c>
    </row>
    <row r="414" spans="1:10" x14ac:dyDescent="0.2">
      <c r="A414" t="str">
        <f>IF(AND(UPPER(MAESTRO!$M414)="VIP",UPPER(MAESTRO!$J414)="SI",MAESTRO!$F414&lt;&gt;""),MAESTRO!$P414,"")</f>
        <v/>
      </c>
      <c r="B414" t="str">
        <f>IF($A414&lt;&gt;"",MAESTRO!$B414,"")</f>
        <v/>
      </c>
      <c r="C414" t="str">
        <f>IF($A414&lt;&gt;"",MAESTRO!$A414,"")</f>
        <v/>
      </c>
      <c r="D414" t="str">
        <f>IF($A414&lt;&gt;"",MAESTRO!$C414,"")</f>
        <v/>
      </c>
      <c r="E414" t="str">
        <f>IF($A414&lt;&gt;"",MAESTRO!$M414,"")</f>
        <v/>
      </c>
      <c r="F414" t="str">
        <f>IF($A414&lt;&gt;"",MAESTRO!$J414,"")</f>
        <v/>
      </c>
      <c r="G414" t="str">
        <f>IF($A414&lt;&gt;"",MAESTRO!$D414,"")</f>
        <v/>
      </c>
      <c r="H414" t="str">
        <f>IF($A414&lt;&gt;"",IF(TRIM(MAESTRO!$G414&amp;" "&amp;MAESTRO!$H414&amp;" "&amp;MAESTRO!$I414)="",MAESTRO!$F414,TRIM(MAESTRO!$G414&amp;" "&amp;MAESTRO!$H414&amp;" "&amp;MAESTRO!$I414)),"")</f>
        <v/>
      </c>
      <c r="I414" t="str">
        <f>IF($A414&lt;&gt;"",MAESTRO!$K414,"")</f>
        <v/>
      </c>
      <c r="J414" t="str">
        <f>IF($A414&lt;&gt;"",414,"")</f>
        <v/>
      </c>
    </row>
    <row r="415" spans="1:10" x14ac:dyDescent="0.2">
      <c r="A415" t="str">
        <f>IF(AND(UPPER(MAESTRO!$M415)="VIP",UPPER(MAESTRO!$J415)="SI",MAESTRO!$F415&lt;&gt;""),MAESTRO!$P415,"")</f>
        <v/>
      </c>
      <c r="B415" t="str">
        <f>IF($A415&lt;&gt;"",MAESTRO!$B415,"")</f>
        <v/>
      </c>
      <c r="C415" t="str">
        <f>IF($A415&lt;&gt;"",MAESTRO!$A415,"")</f>
        <v/>
      </c>
      <c r="D415" t="str">
        <f>IF($A415&lt;&gt;"",MAESTRO!$C415,"")</f>
        <v/>
      </c>
      <c r="E415" t="str">
        <f>IF($A415&lt;&gt;"",MAESTRO!$M415,"")</f>
        <v/>
      </c>
      <c r="F415" t="str">
        <f>IF($A415&lt;&gt;"",MAESTRO!$J415,"")</f>
        <v/>
      </c>
      <c r="G415" t="str">
        <f>IF($A415&lt;&gt;"",MAESTRO!$D415,"")</f>
        <v/>
      </c>
      <c r="H415" t="str">
        <f>IF($A415&lt;&gt;"",IF(TRIM(MAESTRO!$G415&amp;" "&amp;MAESTRO!$H415&amp;" "&amp;MAESTRO!$I415)="",MAESTRO!$F415,TRIM(MAESTRO!$G415&amp;" "&amp;MAESTRO!$H415&amp;" "&amp;MAESTRO!$I415)),"")</f>
        <v/>
      </c>
      <c r="I415" t="str">
        <f>IF($A415&lt;&gt;"",MAESTRO!$K415,"")</f>
        <v/>
      </c>
      <c r="J415" t="str">
        <f>IF($A415&lt;&gt;"",415,"")</f>
        <v/>
      </c>
    </row>
    <row r="416" spans="1:10" x14ac:dyDescent="0.2">
      <c r="A416" t="str">
        <f>IF(AND(UPPER(MAESTRO!$M416)="VIP",UPPER(MAESTRO!$J416)="SI",MAESTRO!$F416&lt;&gt;""),MAESTRO!$P416,"")</f>
        <v/>
      </c>
      <c r="B416" t="str">
        <f>IF($A416&lt;&gt;"",MAESTRO!$B416,"")</f>
        <v/>
      </c>
      <c r="C416" t="str">
        <f>IF($A416&lt;&gt;"",MAESTRO!$A416,"")</f>
        <v/>
      </c>
      <c r="D416" t="str">
        <f>IF($A416&lt;&gt;"",MAESTRO!$C416,"")</f>
        <v/>
      </c>
      <c r="E416" t="str">
        <f>IF($A416&lt;&gt;"",MAESTRO!$M416,"")</f>
        <v/>
      </c>
      <c r="F416" t="str">
        <f>IF($A416&lt;&gt;"",MAESTRO!$J416,"")</f>
        <v/>
      </c>
      <c r="G416" t="str">
        <f>IF($A416&lt;&gt;"",MAESTRO!$D416,"")</f>
        <v/>
      </c>
      <c r="H416" t="str">
        <f>IF($A416&lt;&gt;"",IF(TRIM(MAESTRO!$G416&amp;" "&amp;MAESTRO!$H416&amp;" "&amp;MAESTRO!$I416)="",MAESTRO!$F416,TRIM(MAESTRO!$G416&amp;" "&amp;MAESTRO!$H416&amp;" "&amp;MAESTRO!$I416)),"")</f>
        <v/>
      </c>
      <c r="I416" t="str">
        <f>IF($A416&lt;&gt;"",MAESTRO!$K416,"")</f>
        <v/>
      </c>
      <c r="J416" t="str">
        <f>IF($A416&lt;&gt;"",416,"")</f>
        <v/>
      </c>
    </row>
    <row r="417" spans="1:10" x14ac:dyDescent="0.2">
      <c r="A417" t="str">
        <f>IF(AND(UPPER(MAESTRO!$M417)="VIP",UPPER(MAESTRO!$J417)="SI",MAESTRO!$F417&lt;&gt;""),MAESTRO!$P417,"")</f>
        <v/>
      </c>
      <c r="B417" t="str">
        <f>IF($A417&lt;&gt;"",MAESTRO!$B417,"")</f>
        <v/>
      </c>
      <c r="C417" t="str">
        <f>IF($A417&lt;&gt;"",MAESTRO!$A417,"")</f>
        <v/>
      </c>
      <c r="D417" t="str">
        <f>IF($A417&lt;&gt;"",MAESTRO!$C417,"")</f>
        <v/>
      </c>
      <c r="E417" t="str">
        <f>IF($A417&lt;&gt;"",MAESTRO!$M417,"")</f>
        <v/>
      </c>
      <c r="F417" t="str">
        <f>IF($A417&lt;&gt;"",MAESTRO!$J417,"")</f>
        <v/>
      </c>
      <c r="G417" t="str">
        <f>IF($A417&lt;&gt;"",MAESTRO!$D417,"")</f>
        <v/>
      </c>
      <c r="H417" t="str">
        <f>IF($A417&lt;&gt;"",IF(TRIM(MAESTRO!$G417&amp;" "&amp;MAESTRO!$H417&amp;" "&amp;MAESTRO!$I417)="",MAESTRO!$F417,TRIM(MAESTRO!$G417&amp;" "&amp;MAESTRO!$H417&amp;" "&amp;MAESTRO!$I417)),"")</f>
        <v/>
      </c>
      <c r="I417" t="str">
        <f>IF($A417&lt;&gt;"",MAESTRO!$K417,"")</f>
        <v/>
      </c>
      <c r="J417" t="str">
        <f>IF($A417&lt;&gt;"",417,"")</f>
        <v/>
      </c>
    </row>
    <row r="418" spans="1:10" x14ac:dyDescent="0.2">
      <c r="A418" t="str">
        <f>IF(AND(UPPER(MAESTRO!$M418)="VIP",UPPER(MAESTRO!$J418)="SI",MAESTRO!$F418&lt;&gt;""),MAESTRO!$P418,"")</f>
        <v/>
      </c>
      <c r="B418" t="str">
        <f>IF($A418&lt;&gt;"",MAESTRO!$B418,"")</f>
        <v/>
      </c>
      <c r="C418" t="str">
        <f>IF($A418&lt;&gt;"",MAESTRO!$A418,"")</f>
        <v/>
      </c>
      <c r="D418" t="str">
        <f>IF($A418&lt;&gt;"",MAESTRO!$C418,"")</f>
        <v/>
      </c>
      <c r="E418" t="str">
        <f>IF($A418&lt;&gt;"",MAESTRO!$M418,"")</f>
        <v/>
      </c>
      <c r="F418" t="str">
        <f>IF($A418&lt;&gt;"",MAESTRO!$J418,"")</f>
        <v/>
      </c>
      <c r="G418" t="str">
        <f>IF($A418&lt;&gt;"",MAESTRO!$D418,"")</f>
        <v/>
      </c>
      <c r="H418" t="str">
        <f>IF($A418&lt;&gt;"",IF(TRIM(MAESTRO!$G418&amp;" "&amp;MAESTRO!$H418&amp;" "&amp;MAESTRO!$I418)="",MAESTRO!$F418,TRIM(MAESTRO!$G418&amp;" "&amp;MAESTRO!$H418&amp;" "&amp;MAESTRO!$I418)),"")</f>
        <v/>
      </c>
      <c r="I418" t="str">
        <f>IF($A418&lt;&gt;"",MAESTRO!$K418,"")</f>
        <v/>
      </c>
      <c r="J418" t="str">
        <f>IF($A418&lt;&gt;"",418,"")</f>
        <v/>
      </c>
    </row>
    <row r="419" spans="1:10" x14ac:dyDescent="0.2">
      <c r="A419" t="str">
        <f>IF(AND(UPPER(MAESTRO!$M419)="VIP",UPPER(MAESTRO!$J419)="SI",MAESTRO!$F419&lt;&gt;""),MAESTRO!$P419,"")</f>
        <v/>
      </c>
      <c r="B419" t="str">
        <f>IF($A419&lt;&gt;"",MAESTRO!$B419,"")</f>
        <v/>
      </c>
      <c r="C419" t="str">
        <f>IF($A419&lt;&gt;"",MAESTRO!$A419,"")</f>
        <v/>
      </c>
      <c r="D419" t="str">
        <f>IF($A419&lt;&gt;"",MAESTRO!$C419,"")</f>
        <v/>
      </c>
      <c r="E419" t="str">
        <f>IF($A419&lt;&gt;"",MAESTRO!$M419,"")</f>
        <v/>
      </c>
      <c r="F419" t="str">
        <f>IF($A419&lt;&gt;"",MAESTRO!$J419,"")</f>
        <v/>
      </c>
      <c r="G419" t="str">
        <f>IF($A419&lt;&gt;"",MAESTRO!$D419,"")</f>
        <v/>
      </c>
      <c r="H419" t="str">
        <f>IF($A419&lt;&gt;"",IF(TRIM(MAESTRO!$G419&amp;" "&amp;MAESTRO!$H419&amp;" "&amp;MAESTRO!$I419)="",MAESTRO!$F419,TRIM(MAESTRO!$G419&amp;" "&amp;MAESTRO!$H419&amp;" "&amp;MAESTRO!$I419)),"")</f>
        <v/>
      </c>
      <c r="I419" t="str">
        <f>IF($A419&lt;&gt;"",MAESTRO!$K419,"")</f>
        <v/>
      </c>
      <c r="J419" t="str">
        <f>IF($A419&lt;&gt;"",419,"")</f>
        <v/>
      </c>
    </row>
    <row r="420" spans="1:10" x14ac:dyDescent="0.2">
      <c r="A420" t="str">
        <f>IF(AND(UPPER(MAESTRO!$M420)="VIP",UPPER(MAESTRO!$J420)="SI",MAESTRO!$F420&lt;&gt;""),MAESTRO!$P420,"")</f>
        <v/>
      </c>
      <c r="B420" t="str">
        <f>IF($A420&lt;&gt;"",MAESTRO!$B420,"")</f>
        <v/>
      </c>
      <c r="C420" t="str">
        <f>IF($A420&lt;&gt;"",MAESTRO!$A420,"")</f>
        <v/>
      </c>
      <c r="D420" t="str">
        <f>IF($A420&lt;&gt;"",MAESTRO!$C420,"")</f>
        <v/>
      </c>
      <c r="E420" t="str">
        <f>IF($A420&lt;&gt;"",MAESTRO!$M420,"")</f>
        <v/>
      </c>
      <c r="F420" t="str">
        <f>IF($A420&lt;&gt;"",MAESTRO!$J420,"")</f>
        <v/>
      </c>
      <c r="G420" t="str">
        <f>IF($A420&lt;&gt;"",MAESTRO!$D420,"")</f>
        <v/>
      </c>
      <c r="H420" t="str">
        <f>IF($A420&lt;&gt;"",IF(TRIM(MAESTRO!$G420&amp;" "&amp;MAESTRO!$H420&amp;" "&amp;MAESTRO!$I420)="",MAESTRO!$F420,TRIM(MAESTRO!$G420&amp;" "&amp;MAESTRO!$H420&amp;" "&amp;MAESTRO!$I420)),"")</f>
        <v/>
      </c>
      <c r="I420" t="str">
        <f>IF($A420&lt;&gt;"",MAESTRO!$K420,"")</f>
        <v/>
      </c>
      <c r="J420" t="str">
        <f>IF($A420&lt;&gt;"",420,"")</f>
        <v/>
      </c>
    </row>
    <row r="421" spans="1:10" x14ac:dyDescent="0.2">
      <c r="A421" t="str">
        <f>IF(AND(UPPER(MAESTRO!$M421)="VIP",UPPER(MAESTRO!$J421)="SI",MAESTRO!$F421&lt;&gt;""),MAESTRO!$P421,"")</f>
        <v/>
      </c>
      <c r="B421" t="str">
        <f>IF($A421&lt;&gt;"",MAESTRO!$B421,"")</f>
        <v/>
      </c>
      <c r="C421" t="str">
        <f>IF($A421&lt;&gt;"",MAESTRO!$A421,"")</f>
        <v/>
      </c>
      <c r="D421" t="str">
        <f>IF($A421&lt;&gt;"",MAESTRO!$C421,"")</f>
        <v/>
      </c>
      <c r="E421" t="str">
        <f>IF($A421&lt;&gt;"",MAESTRO!$M421,"")</f>
        <v/>
      </c>
      <c r="F421" t="str">
        <f>IF($A421&lt;&gt;"",MAESTRO!$J421,"")</f>
        <v/>
      </c>
      <c r="G421" t="str">
        <f>IF($A421&lt;&gt;"",MAESTRO!$D421,"")</f>
        <v/>
      </c>
      <c r="H421" t="str">
        <f>IF($A421&lt;&gt;"",IF(TRIM(MAESTRO!$G421&amp;" "&amp;MAESTRO!$H421&amp;" "&amp;MAESTRO!$I421)="",MAESTRO!$F421,TRIM(MAESTRO!$G421&amp;" "&amp;MAESTRO!$H421&amp;" "&amp;MAESTRO!$I421)),"")</f>
        <v/>
      </c>
      <c r="I421" t="str">
        <f>IF($A421&lt;&gt;"",MAESTRO!$K421,"")</f>
        <v/>
      </c>
      <c r="J421" t="str">
        <f>IF($A421&lt;&gt;"",421,"")</f>
        <v/>
      </c>
    </row>
    <row r="422" spans="1:10" x14ac:dyDescent="0.2">
      <c r="A422" t="str">
        <f>IF(AND(UPPER(MAESTRO!$M422)="VIP",UPPER(MAESTRO!$J422)="SI",MAESTRO!$F422&lt;&gt;""),MAESTRO!$P422,"")</f>
        <v/>
      </c>
      <c r="B422" t="str">
        <f>IF($A422&lt;&gt;"",MAESTRO!$B422,"")</f>
        <v/>
      </c>
      <c r="C422" t="str">
        <f>IF($A422&lt;&gt;"",MAESTRO!$A422,"")</f>
        <v/>
      </c>
      <c r="D422" t="str">
        <f>IF($A422&lt;&gt;"",MAESTRO!$C422,"")</f>
        <v/>
      </c>
      <c r="E422" t="str">
        <f>IF($A422&lt;&gt;"",MAESTRO!$M422,"")</f>
        <v/>
      </c>
      <c r="F422" t="str">
        <f>IF($A422&lt;&gt;"",MAESTRO!$J422,"")</f>
        <v/>
      </c>
      <c r="G422" t="str">
        <f>IF($A422&lt;&gt;"",MAESTRO!$D422,"")</f>
        <v/>
      </c>
      <c r="H422" t="str">
        <f>IF($A422&lt;&gt;"",IF(TRIM(MAESTRO!$G422&amp;" "&amp;MAESTRO!$H422&amp;" "&amp;MAESTRO!$I422)="",MAESTRO!$F422,TRIM(MAESTRO!$G422&amp;" "&amp;MAESTRO!$H422&amp;" "&amp;MAESTRO!$I422)),"")</f>
        <v/>
      </c>
      <c r="I422" t="str">
        <f>IF($A422&lt;&gt;"",MAESTRO!$K422,"")</f>
        <v/>
      </c>
      <c r="J422" t="str">
        <f>IF($A422&lt;&gt;"",422,"")</f>
        <v/>
      </c>
    </row>
    <row r="423" spans="1:10" x14ac:dyDescent="0.2">
      <c r="A423" t="str">
        <f>IF(AND(UPPER(MAESTRO!$M423)="VIP",UPPER(MAESTRO!$J423)="SI",MAESTRO!$F423&lt;&gt;""),MAESTRO!$P423,"")</f>
        <v/>
      </c>
      <c r="B423" t="str">
        <f>IF($A423&lt;&gt;"",MAESTRO!$B423,"")</f>
        <v/>
      </c>
      <c r="C423" t="str">
        <f>IF($A423&lt;&gt;"",MAESTRO!$A423,"")</f>
        <v/>
      </c>
      <c r="D423" t="str">
        <f>IF($A423&lt;&gt;"",MAESTRO!$C423,"")</f>
        <v/>
      </c>
      <c r="E423" t="str">
        <f>IF($A423&lt;&gt;"",MAESTRO!$M423,"")</f>
        <v/>
      </c>
      <c r="F423" t="str">
        <f>IF($A423&lt;&gt;"",MAESTRO!$J423,"")</f>
        <v/>
      </c>
      <c r="G423" t="str">
        <f>IF($A423&lt;&gt;"",MAESTRO!$D423,"")</f>
        <v/>
      </c>
      <c r="H423" t="str">
        <f>IF($A423&lt;&gt;"",IF(TRIM(MAESTRO!$G423&amp;" "&amp;MAESTRO!$H423&amp;" "&amp;MAESTRO!$I423)="",MAESTRO!$F423,TRIM(MAESTRO!$G423&amp;" "&amp;MAESTRO!$H423&amp;" "&amp;MAESTRO!$I423)),"")</f>
        <v/>
      </c>
      <c r="I423" t="str">
        <f>IF($A423&lt;&gt;"",MAESTRO!$K423,"")</f>
        <v/>
      </c>
      <c r="J423" t="str">
        <f>IF($A423&lt;&gt;"",423,"")</f>
        <v/>
      </c>
    </row>
    <row r="424" spans="1:10" x14ac:dyDescent="0.2">
      <c r="A424" t="str">
        <f>IF(AND(UPPER(MAESTRO!$M424)="VIP",UPPER(MAESTRO!$J424)="SI",MAESTRO!$F424&lt;&gt;""),MAESTRO!$P424,"")</f>
        <v/>
      </c>
      <c r="B424" t="str">
        <f>IF($A424&lt;&gt;"",MAESTRO!$B424,"")</f>
        <v/>
      </c>
      <c r="C424" t="str">
        <f>IF($A424&lt;&gt;"",MAESTRO!$A424,"")</f>
        <v/>
      </c>
      <c r="D424" t="str">
        <f>IF($A424&lt;&gt;"",MAESTRO!$C424,"")</f>
        <v/>
      </c>
      <c r="E424" t="str">
        <f>IF($A424&lt;&gt;"",MAESTRO!$M424,"")</f>
        <v/>
      </c>
      <c r="F424" t="str">
        <f>IF($A424&lt;&gt;"",MAESTRO!$J424,"")</f>
        <v/>
      </c>
      <c r="G424" t="str">
        <f>IF($A424&lt;&gt;"",MAESTRO!$D424,"")</f>
        <v/>
      </c>
      <c r="H424" t="str">
        <f>IF($A424&lt;&gt;"",IF(TRIM(MAESTRO!$G424&amp;" "&amp;MAESTRO!$H424&amp;" "&amp;MAESTRO!$I424)="",MAESTRO!$F424,TRIM(MAESTRO!$G424&amp;" "&amp;MAESTRO!$H424&amp;" "&amp;MAESTRO!$I424)),"")</f>
        <v/>
      </c>
      <c r="I424" t="str">
        <f>IF($A424&lt;&gt;"",MAESTRO!$K424,"")</f>
        <v/>
      </c>
      <c r="J424" t="str">
        <f>IF($A424&lt;&gt;"",424,"")</f>
        <v/>
      </c>
    </row>
    <row r="425" spans="1:10" x14ac:dyDescent="0.2">
      <c r="A425" t="str">
        <f>IF(AND(UPPER(MAESTRO!$M425)="VIP",UPPER(MAESTRO!$J425)="SI",MAESTRO!$F425&lt;&gt;""),MAESTRO!$P425,"")</f>
        <v/>
      </c>
      <c r="B425" t="str">
        <f>IF($A425&lt;&gt;"",MAESTRO!$B425,"")</f>
        <v/>
      </c>
      <c r="C425" t="str">
        <f>IF($A425&lt;&gt;"",MAESTRO!$A425,"")</f>
        <v/>
      </c>
      <c r="D425" t="str">
        <f>IF($A425&lt;&gt;"",MAESTRO!$C425,"")</f>
        <v/>
      </c>
      <c r="E425" t="str">
        <f>IF($A425&lt;&gt;"",MAESTRO!$M425,"")</f>
        <v/>
      </c>
      <c r="F425" t="str">
        <f>IF($A425&lt;&gt;"",MAESTRO!$J425,"")</f>
        <v/>
      </c>
      <c r="G425" t="str">
        <f>IF($A425&lt;&gt;"",MAESTRO!$D425,"")</f>
        <v/>
      </c>
      <c r="H425" t="str">
        <f>IF($A425&lt;&gt;"",IF(TRIM(MAESTRO!$G425&amp;" "&amp;MAESTRO!$H425&amp;" "&amp;MAESTRO!$I425)="",MAESTRO!$F425,TRIM(MAESTRO!$G425&amp;" "&amp;MAESTRO!$H425&amp;" "&amp;MAESTRO!$I425)),"")</f>
        <v/>
      </c>
      <c r="I425" t="str">
        <f>IF($A425&lt;&gt;"",MAESTRO!$K425,"")</f>
        <v/>
      </c>
      <c r="J425" t="str">
        <f>IF($A425&lt;&gt;"",425,"")</f>
        <v/>
      </c>
    </row>
    <row r="426" spans="1:10" x14ac:dyDescent="0.2">
      <c r="A426" t="str">
        <f>IF(AND(UPPER(MAESTRO!$M426)="VIP",UPPER(MAESTRO!$J426)="SI",MAESTRO!$F426&lt;&gt;""),MAESTRO!$P426,"")</f>
        <v/>
      </c>
      <c r="B426" t="str">
        <f>IF($A426&lt;&gt;"",MAESTRO!$B426,"")</f>
        <v/>
      </c>
      <c r="C426" t="str">
        <f>IF($A426&lt;&gt;"",MAESTRO!$A426,"")</f>
        <v/>
      </c>
      <c r="D426" t="str">
        <f>IF($A426&lt;&gt;"",MAESTRO!$C426,"")</f>
        <v/>
      </c>
      <c r="E426" t="str">
        <f>IF($A426&lt;&gt;"",MAESTRO!$M426,"")</f>
        <v/>
      </c>
      <c r="F426" t="str">
        <f>IF($A426&lt;&gt;"",MAESTRO!$J426,"")</f>
        <v/>
      </c>
      <c r="G426" t="str">
        <f>IF($A426&lt;&gt;"",MAESTRO!$D426,"")</f>
        <v/>
      </c>
      <c r="H426" t="str">
        <f>IF($A426&lt;&gt;"",IF(TRIM(MAESTRO!$G426&amp;" "&amp;MAESTRO!$H426&amp;" "&amp;MAESTRO!$I426)="",MAESTRO!$F426,TRIM(MAESTRO!$G426&amp;" "&amp;MAESTRO!$H426&amp;" "&amp;MAESTRO!$I426)),"")</f>
        <v/>
      </c>
      <c r="I426" t="str">
        <f>IF($A426&lt;&gt;"",MAESTRO!$K426,"")</f>
        <v/>
      </c>
      <c r="J426" t="str">
        <f>IF($A426&lt;&gt;"",426,"")</f>
        <v/>
      </c>
    </row>
    <row r="427" spans="1:10" x14ac:dyDescent="0.2">
      <c r="A427" t="str">
        <f>IF(AND(UPPER(MAESTRO!$M427)="VIP",UPPER(MAESTRO!$J427)="SI",MAESTRO!$F427&lt;&gt;""),MAESTRO!$P427,"")</f>
        <v/>
      </c>
      <c r="B427" t="str">
        <f>IF($A427&lt;&gt;"",MAESTRO!$B427,"")</f>
        <v/>
      </c>
      <c r="C427" t="str">
        <f>IF($A427&lt;&gt;"",MAESTRO!$A427,"")</f>
        <v/>
      </c>
      <c r="D427" t="str">
        <f>IF($A427&lt;&gt;"",MAESTRO!$C427,"")</f>
        <v/>
      </c>
      <c r="E427" t="str">
        <f>IF($A427&lt;&gt;"",MAESTRO!$M427,"")</f>
        <v/>
      </c>
      <c r="F427" t="str">
        <f>IF($A427&lt;&gt;"",MAESTRO!$J427,"")</f>
        <v/>
      </c>
      <c r="G427" t="str">
        <f>IF($A427&lt;&gt;"",MAESTRO!$D427,"")</f>
        <v/>
      </c>
      <c r="H427" t="str">
        <f>IF($A427&lt;&gt;"",IF(TRIM(MAESTRO!$G427&amp;" "&amp;MAESTRO!$H427&amp;" "&amp;MAESTRO!$I427)="",MAESTRO!$F427,TRIM(MAESTRO!$G427&amp;" "&amp;MAESTRO!$H427&amp;" "&amp;MAESTRO!$I427)),"")</f>
        <v/>
      </c>
      <c r="I427" t="str">
        <f>IF($A427&lt;&gt;"",MAESTRO!$K427,"")</f>
        <v/>
      </c>
      <c r="J427" t="str">
        <f>IF($A427&lt;&gt;"",427,"")</f>
        <v/>
      </c>
    </row>
    <row r="428" spans="1:10" x14ac:dyDescent="0.2">
      <c r="A428" t="str">
        <f>IF(AND(UPPER(MAESTRO!$M428)="VIP",UPPER(MAESTRO!$J428)="SI",MAESTRO!$F428&lt;&gt;""),MAESTRO!$P428,"")</f>
        <v/>
      </c>
      <c r="B428" t="str">
        <f>IF($A428&lt;&gt;"",MAESTRO!$B428,"")</f>
        <v/>
      </c>
      <c r="C428" t="str">
        <f>IF($A428&lt;&gt;"",MAESTRO!$A428,"")</f>
        <v/>
      </c>
      <c r="D428" t="str">
        <f>IF($A428&lt;&gt;"",MAESTRO!$C428,"")</f>
        <v/>
      </c>
      <c r="E428" t="str">
        <f>IF($A428&lt;&gt;"",MAESTRO!$M428,"")</f>
        <v/>
      </c>
      <c r="F428" t="str">
        <f>IF($A428&lt;&gt;"",MAESTRO!$J428,"")</f>
        <v/>
      </c>
      <c r="G428" t="str">
        <f>IF($A428&lt;&gt;"",MAESTRO!$D428,"")</f>
        <v/>
      </c>
      <c r="H428" t="str">
        <f>IF($A428&lt;&gt;"",IF(TRIM(MAESTRO!$G428&amp;" "&amp;MAESTRO!$H428&amp;" "&amp;MAESTRO!$I428)="",MAESTRO!$F428,TRIM(MAESTRO!$G428&amp;" "&amp;MAESTRO!$H428&amp;" "&amp;MAESTRO!$I428)),"")</f>
        <v/>
      </c>
      <c r="I428" t="str">
        <f>IF($A428&lt;&gt;"",MAESTRO!$K428,"")</f>
        <v/>
      </c>
      <c r="J428" t="str">
        <f>IF($A428&lt;&gt;"",428,"")</f>
        <v/>
      </c>
    </row>
    <row r="429" spans="1:10" x14ac:dyDescent="0.2">
      <c r="A429" t="str">
        <f>IF(AND(UPPER(MAESTRO!$M429)="VIP",UPPER(MAESTRO!$J429)="SI",MAESTRO!$F429&lt;&gt;""),MAESTRO!$P429,"")</f>
        <v/>
      </c>
      <c r="B429" t="str">
        <f>IF($A429&lt;&gt;"",MAESTRO!$B429,"")</f>
        <v/>
      </c>
      <c r="C429" t="str">
        <f>IF($A429&lt;&gt;"",MAESTRO!$A429,"")</f>
        <v/>
      </c>
      <c r="D429" t="str">
        <f>IF($A429&lt;&gt;"",MAESTRO!$C429,"")</f>
        <v/>
      </c>
      <c r="E429" t="str">
        <f>IF($A429&lt;&gt;"",MAESTRO!$M429,"")</f>
        <v/>
      </c>
      <c r="F429" t="str">
        <f>IF($A429&lt;&gt;"",MAESTRO!$J429,"")</f>
        <v/>
      </c>
      <c r="G429" t="str">
        <f>IF($A429&lt;&gt;"",MAESTRO!$D429,"")</f>
        <v/>
      </c>
      <c r="H429" t="str">
        <f>IF($A429&lt;&gt;"",IF(TRIM(MAESTRO!$G429&amp;" "&amp;MAESTRO!$H429&amp;" "&amp;MAESTRO!$I429)="",MAESTRO!$F429,TRIM(MAESTRO!$G429&amp;" "&amp;MAESTRO!$H429&amp;" "&amp;MAESTRO!$I429)),"")</f>
        <v/>
      </c>
      <c r="I429" t="str">
        <f>IF($A429&lt;&gt;"",MAESTRO!$K429,"")</f>
        <v/>
      </c>
      <c r="J429" t="str">
        <f>IF($A429&lt;&gt;"",429,"")</f>
        <v/>
      </c>
    </row>
    <row r="430" spans="1:10" x14ac:dyDescent="0.2">
      <c r="A430" t="str">
        <f>IF(AND(UPPER(MAESTRO!$M430)="VIP",UPPER(MAESTRO!$J430)="SI",MAESTRO!$F430&lt;&gt;""),MAESTRO!$P430,"")</f>
        <v/>
      </c>
      <c r="B430" t="str">
        <f>IF($A430&lt;&gt;"",MAESTRO!$B430,"")</f>
        <v/>
      </c>
      <c r="C430" t="str">
        <f>IF($A430&lt;&gt;"",MAESTRO!$A430,"")</f>
        <v/>
      </c>
      <c r="D430" t="str">
        <f>IF($A430&lt;&gt;"",MAESTRO!$C430,"")</f>
        <v/>
      </c>
      <c r="E430" t="str">
        <f>IF($A430&lt;&gt;"",MAESTRO!$M430,"")</f>
        <v/>
      </c>
      <c r="F430" t="str">
        <f>IF($A430&lt;&gt;"",MAESTRO!$J430,"")</f>
        <v/>
      </c>
      <c r="G430" t="str">
        <f>IF($A430&lt;&gt;"",MAESTRO!$D430,"")</f>
        <v/>
      </c>
      <c r="H430" t="str">
        <f>IF($A430&lt;&gt;"",IF(TRIM(MAESTRO!$G430&amp;" "&amp;MAESTRO!$H430&amp;" "&amp;MAESTRO!$I430)="",MAESTRO!$F430,TRIM(MAESTRO!$G430&amp;" "&amp;MAESTRO!$H430&amp;" "&amp;MAESTRO!$I430)),"")</f>
        <v/>
      </c>
      <c r="I430" t="str">
        <f>IF($A430&lt;&gt;"",MAESTRO!$K430,"")</f>
        <v/>
      </c>
      <c r="J430" t="str">
        <f>IF($A430&lt;&gt;"",430,"")</f>
        <v/>
      </c>
    </row>
    <row r="431" spans="1:10" x14ac:dyDescent="0.2">
      <c r="A431" t="str">
        <f>IF(AND(UPPER(MAESTRO!$M431)="VIP",UPPER(MAESTRO!$J431)="SI",MAESTRO!$F431&lt;&gt;""),MAESTRO!$P431,"")</f>
        <v/>
      </c>
      <c r="B431" t="str">
        <f>IF($A431&lt;&gt;"",MAESTRO!$B431,"")</f>
        <v/>
      </c>
      <c r="C431" t="str">
        <f>IF($A431&lt;&gt;"",MAESTRO!$A431,"")</f>
        <v/>
      </c>
      <c r="D431" t="str">
        <f>IF($A431&lt;&gt;"",MAESTRO!$C431,"")</f>
        <v/>
      </c>
      <c r="E431" t="str">
        <f>IF($A431&lt;&gt;"",MAESTRO!$M431,"")</f>
        <v/>
      </c>
      <c r="F431" t="str">
        <f>IF($A431&lt;&gt;"",MAESTRO!$J431,"")</f>
        <v/>
      </c>
      <c r="G431" t="str">
        <f>IF($A431&lt;&gt;"",MAESTRO!$D431,"")</f>
        <v/>
      </c>
      <c r="H431" t="str">
        <f>IF($A431&lt;&gt;"",IF(TRIM(MAESTRO!$G431&amp;" "&amp;MAESTRO!$H431&amp;" "&amp;MAESTRO!$I431)="",MAESTRO!$F431,TRIM(MAESTRO!$G431&amp;" "&amp;MAESTRO!$H431&amp;" "&amp;MAESTRO!$I431)),"")</f>
        <v/>
      </c>
      <c r="I431" t="str">
        <f>IF($A431&lt;&gt;"",MAESTRO!$K431,"")</f>
        <v/>
      </c>
      <c r="J431" t="str">
        <f>IF($A431&lt;&gt;"",431,"")</f>
        <v/>
      </c>
    </row>
    <row r="432" spans="1:10" x14ac:dyDescent="0.2">
      <c r="A432" t="str">
        <f>IF(AND(UPPER(MAESTRO!$M432)="VIP",UPPER(MAESTRO!$J432)="SI",MAESTRO!$F432&lt;&gt;""),MAESTRO!$P432,"")</f>
        <v/>
      </c>
      <c r="B432" t="str">
        <f>IF($A432&lt;&gt;"",MAESTRO!$B432,"")</f>
        <v/>
      </c>
      <c r="C432" t="str">
        <f>IF($A432&lt;&gt;"",MAESTRO!$A432,"")</f>
        <v/>
      </c>
      <c r="D432" t="str">
        <f>IF($A432&lt;&gt;"",MAESTRO!$C432,"")</f>
        <v/>
      </c>
      <c r="E432" t="str">
        <f>IF($A432&lt;&gt;"",MAESTRO!$M432,"")</f>
        <v/>
      </c>
      <c r="F432" t="str">
        <f>IF($A432&lt;&gt;"",MAESTRO!$J432,"")</f>
        <v/>
      </c>
      <c r="G432" t="str">
        <f>IF($A432&lt;&gt;"",MAESTRO!$D432,"")</f>
        <v/>
      </c>
      <c r="H432" t="str">
        <f>IF($A432&lt;&gt;"",IF(TRIM(MAESTRO!$G432&amp;" "&amp;MAESTRO!$H432&amp;" "&amp;MAESTRO!$I432)="",MAESTRO!$F432,TRIM(MAESTRO!$G432&amp;" "&amp;MAESTRO!$H432&amp;" "&amp;MAESTRO!$I432)),"")</f>
        <v/>
      </c>
      <c r="I432" t="str">
        <f>IF($A432&lt;&gt;"",MAESTRO!$K432,"")</f>
        <v/>
      </c>
      <c r="J432" t="str">
        <f>IF($A432&lt;&gt;"",432,"")</f>
        <v/>
      </c>
    </row>
    <row r="433" spans="1:10" x14ac:dyDescent="0.2">
      <c r="A433" t="str">
        <f>IF(AND(UPPER(MAESTRO!$M433)="VIP",UPPER(MAESTRO!$J433)="SI",MAESTRO!$F433&lt;&gt;""),MAESTRO!$P433,"")</f>
        <v>A10</v>
      </c>
      <c r="B433">
        <f>IF($A433&lt;&gt;"",MAESTRO!$B433,"")</f>
        <v>432</v>
      </c>
      <c r="C433">
        <f>IF($A433&lt;&gt;"",MAESTRO!$A433,"")</f>
        <v>432</v>
      </c>
      <c r="D433" t="str">
        <f>IF($A433&lt;&gt;"",MAESTRO!$C433,"")</f>
        <v xml:space="preserve">INVITADOS ASMAR </v>
      </c>
      <c r="E433" t="str">
        <f>IF($A433&lt;&gt;"",MAESTRO!$M433,"")</f>
        <v>VIP</v>
      </c>
      <c r="F433" t="str">
        <f>IF($A433&lt;&gt;"",MAESTRO!$J433,"")</f>
        <v>SI</v>
      </c>
      <c r="G433" t="str">
        <f>IF($A433&lt;&gt;"",MAESTRO!$D433,"")</f>
        <v>SEGUROS</v>
      </c>
      <c r="H433" t="str">
        <f>IF($A433&lt;&gt;"",IF(TRIM(MAESTRO!$G433&amp;" "&amp;MAESTRO!$H433&amp;" "&amp;MAESTRO!$I433)="",MAESTRO!$F433,TRIM(MAESTRO!$G433&amp;" "&amp;MAESTRO!$H433&amp;" "&amp;MAESTRO!$I433)),"")</f>
        <v>Patricio Martínez Fernández</v>
      </c>
      <c r="I433" t="str">
        <f>IF($A433&lt;&gt;"",MAESTRO!$K433,"")</f>
        <v>Gerente General Mutual de Seguros de Chile</v>
      </c>
      <c r="J433">
        <f>IF($A433&lt;&gt;"",433,"")</f>
        <v>433</v>
      </c>
    </row>
    <row r="434" spans="1:10" x14ac:dyDescent="0.2">
      <c r="A434" t="str">
        <f>IF(AND(UPPER(MAESTRO!$M434)="VIP",UPPER(MAESTRO!$J434)="SI",MAESTRO!$F434&lt;&gt;""),MAESTRO!$P434,"")</f>
        <v/>
      </c>
      <c r="B434" t="str">
        <f>IF($A434&lt;&gt;"",MAESTRO!$B434,"")</f>
        <v/>
      </c>
      <c r="C434" t="str">
        <f>IF($A434&lt;&gt;"",MAESTRO!$A434,"")</f>
        <v/>
      </c>
      <c r="D434" t="str">
        <f>IF($A434&lt;&gt;"",MAESTRO!$C434,"")</f>
        <v/>
      </c>
      <c r="E434" t="str">
        <f>IF($A434&lt;&gt;"",MAESTRO!$M434,"")</f>
        <v/>
      </c>
      <c r="F434" t="str">
        <f>IF($A434&lt;&gt;"",MAESTRO!$J434,"")</f>
        <v/>
      </c>
      <c r="G434" t="str">
        <f>IF($A434&lt;&gt;"",MAESTRO!$D434,"")</f>
        <v/>
      </c>
      <c r="H434" t="str">
        <f>IF($A434&lt;&gt;"",IF(TRIM(MAESTRO!$G434&amp;" "&amp;MAESTRO!$H434&amp;" "&amp;MAESTRO!$I434)="",MAESTRO!$F434,TRIM(MAESTRO!$G434&amp;" "&amp;MAESTRO!$H434&amp;" "&amp;MAESTRO!$I434)),"")</f>
        <v/>
      </c>
      <c r="I434" t="str">
        <f>IF($A434&lt;&gt;"",MAESTRO!$K434,"")</f>
        <v/>
      </c>
      <c r="J434" t="str">
        <f>IF($A434&lt;&gt;"",434,"")</f>
        <v/>
      </c>
    </row>
    <row r="435" spans="1:10" x14ac:dyDescent="0.2">
      <c r="A435" t="str">
        <f>IF(AND(UPPER(MAESTRO!$M435)="VIP",UPPER(MAESTRO!$J435)="SI",MAESTRO!$F435&lt;&gt;""),MAESTRO!$P435,"")</f>
        <v/>
      </c>
      <c r="B435" t="str">
        <f>IF($A435&lt;&gt;"",MAESTRO!$B435,"")</f>
        <v/>
      </c>
      <c r="C435" t="str">
        <f>IF($A435&lt;&gt;"",MAESTRO!$A435,"")</f>
        <v/>
      </c>
      <c r="D435" t="str">
        <f>IF($A435&lt;&gt;"",MAESTRO!$C435,"")</f>
        <v/>
      </c>
      <c r="E435" t="str">
        <f>IF($A435&lt;&gt;"",MAESTRO!$M435,"")</f>
        <v/>
      </c>
      <c r="F435" t="str">
        <f>IF($A435&lt;&gt;"",MAESTRO!$J435,"")</f>
        <v/>
      </c>
      <c r="G435" t="str">
        <f>IF($A435&lt;&gt;"",MAESTRO!$D435,"")</f>
        <v/>
      </c>
      <c r="H435" t="str">
        <f>IF($A435&lt;&gt;"",IF(TRIM(MAESTRO!$G435&amp;" "&amp;MAESTRO!$H435&amp;" "&amp;MAESTRO!$I435)="",MAESTRO!$F435,TRIM(MAESTRO!$G435&amp;" "&amp;MAESTRO!$H435&amp;" "&amp;MAESTRO!$I435)),"")</f>
        <v/>
      </c>
      <c r="I435" t="str">
        <f>IF($A435&lt;&gt;"",MAESTRO!$K435,"")</f>
        <v/>
      </c>
      <c r="J435" t="str">
        <f>IF($A435&lt;&gt;"",435,"")</f>
        <v/>
      </c>
    </row>
    <row r="436" spans="1:10" x14ac:dyDescent="0.2">
      <c r="A436" t="str">
        <f>IF(AND(UPPER(MAESTRO!$M436)="VIP",UPPER(MAESTRO!$J436)="SI",MAESTRO!$F436&lt;&gt;""),MAESTRO!$P436,"")</f>
        <v/>
      </c>
      <c r="B436" t="str">
        <f>IF($A436&lt;&gt;"",MAESTRO!$B436,"")</f>
        <v/>
      </c>
      <c r="C436" t="str">
        <f>IF($A436&lt;&gt;"",MAESTRO!$A436,"")</f>
        <v/>
      </c>
      <c r="D436" t="str">
        <f>IF($A436&lt;&gt;"",MAESTRO!$C436,"")</f>
        <v/>
      </c>
      <c r="E436" t="str">
        <f>IF($A436&lt;&gt;"",MAESTRO!$M436,"")</f>
        <v/>
      </c>
      <c r="F436" t="str">
        <f>IF($A436&lt;&gt;"",MAESTRO!$J436,"")</f>
        <v/>
      </c>
      <c r="G436" t="str">
        <f>IF($A436&lt;&gt;"",MAESTRO!$D436,"")</f>
        <v/>
      </c>
      <c r="H436" t="str">
        <f>IF($A436&lt;&gt;"",IF(TRIM(MAESTRO!$G436&amp;" "&amp;MAESTRO!$H436&amp;" "&amp;MAESTRO!$I436)="",MAESTRO!$F436,TRIM(MAESTRO!$G436&amp;" "&amp;MAESTRO!$H436&amp;" "&amp;MAESTRO!$I436)),"")</f>
        <v/>
      </c>
      <c r="I436" t="str">
        <f>IF($A436&lt;&gt;"",MAESTRO!$K436,"")</f>
        <v/>
      </c>
      <c r="J436" t="str">
        <f>IF($A436&lt;&gt;"",436,"")</f>
        <v/>
      </c>
    </row>
    <row r="437" spans="1:10" x14ac:dyDescent="0.2">
      <c r="A437" t="str">
        <f>IF(AND(UPPER(MAESTRO!$M437)="VIP",UPPER(MAESTRO!$J437)="SI",MAESTRO!$F437&lt;&gt;""),MAESTRO!$P437,"")</f>
        <v/>
      </c>
      <c r="B437" t="str">
        <f>IF($A437&lt;&gt;"",MAESTRO!$B437,"")</f>
        <v/>
      </c>
      <c r="C437" t="str">
        <f>IF($A437&lt;&gt;"",MAESTRO!$A437,"")</f>
        <v/>
      </c>
      <c r="D437" t="str">
        <f>IF($A437&lt;&gt;"",MAESTRO!$C437,"")</f>
        <v/>
      </c>
      <c r="E437" t="str">
        <f>IF($A437&lt;&gt;"",MAESTRO!$M437,"")</f>
        <v/>
      </c>
      <c r="F437" t="str">
        <f>IF($A437&lt;&gt;"",MAESTRO!$J437,"")</f>
        <v/>
      </c>
      <c r="G437" t="str">
        <f>IF($A437&lt;&gt;"",MAESTRO!$D437,"")</f>
        <v/>
      </c>
      <c r="H437" t="str">
        <f>IF($A437&lt;&gt;"",IF(TRIM(MAESTRO!$G437&amp;" "&amp;MAESTRO!$H437&amp;" "&amp;MAESTRO!$I437)="",MAESTRO!$F437,TRIM(MAESTRO!$G437&amp;" "&amp;MAESTRO!$H437&amp;" "&amp;MAESTRO!$I437)),"")</f>
        <v/>
      </c>
      <c r="I437" t="str">
        <f>IF($A437&lt;&gt;"",MAESTRO!$K437,"")</f>
        <v/>
      </c>
      <c r="J437" t="str">
        <f>IF($A437&lt;&gt;"",437,"")</f>
        <v/>
      </c>
    </row>
    <row r="438" spans="1:10" x14ac:dyDescent="0.2">
      <c r="A438" t="str">
        <f>IF(AND(UPPER(MAESTRO!$M438)="VIP",UPPER(MAESTRO!$J438)="SI",MAESTRO!$F438&lt;&gt;""),MAESTRO!$P438,"")</f>
        <v/>
      </c>
      <c r="B438" t="str">
        <f>IF($A438&lt;&gt;"",MAESTRO!$B438,"")</f>
        <v/>
      </c>
      <c r="C438" t="str">
        <f>IF($A438&lt;&gt;"",MAESTRO!$A438,"")</f>
        <v/>
      </c>
      <c r="D438" t="str">
        <f>IF($A438&lt;&gt;"",MAESTRO!$C438,"")</f>
        <v/>
      </c>
      <c r="E438" t="str">
        <f>IF($A438&lt;&gt;"",MAESTRO!$M438,"")</f>
        <v/>
      </c>
      <c r="F438" t="str">
        <f>IF($A438&lt;&gt;"",MAESTRO!$J438,"")</f>
        <v/>
      </c>
      <c r="G438" t="str">
        <f>IF($A438&lt;&gt;"",MAESTRO!$D438,"")</f>
        <v/>
      </c>
      <c r="H438" t="str">
        <f>IF($A438&lt;&gt;"",IF(TRIM(MAESTRO!$G438&amp;" "&amp;MAESTRO!$H438&amp;" "&amp;MAESTRO!$I438)="",MAESTRO!$F438,TRIM(MAESTRO!$G438&amp;" "&amp;MAESTRO!$H438&amp;" "&amp;MAESTRO!$I438)),"")</f>
        <v/>
      </c>
      <c r="I438" t="str">
        <f>IF($A438&lt;&gt;"",MAESTRO!$K438,"")</f>
        <v/>
      </c>
      <c r="J438" t="str">
        <f>IF($A438&lt;&gt;"",438,"")</f>
        <v/>
      </c>
    </row>
    <row r="439" spans="1:10" x14ac:dyDescent="0.2">
      <c r="A439" t="str">
        <f>IF(AND(UPPER(MAESTRO!$M439)="VIP",UPPER(MAESTRO!$J439)="SI",MAESTRO!$F439&lt;&gt;""),MAESTRO!$P439,"")</f>
        <v/>
      </c>
      <c r="B439" t="str">
        <f>IF($A439&lt;&gt;"",MAESTRO!$B439,"")</f>
        <v/>
      </c>
      <c r="C439" t="str">
        <f>IF($A439&lt;&gt;"",MAESTRO!$A439,"")</f>
        <v/>
      </c>
      <c r="D439" t="str">
        <f>IF($A439&lt;&gt;"",MAESTRO!$C439,"")</f>
        <v/>
      </c>
      <c r="E439" t="str">
        <f>IF($A439&lt;&gt;"",MAESTRO!$M439,"")</f>
        <v/>
      </c>
      <c r="F439" t="str">
        <f>IF($A439&lt;&gt;"",MAESTRO!$J439,"")</f>
        <v/>
      </c>
      <c r="G439" t="str">
        <f>IF($A439&lt;&gt;"",MAESTRO!$D439,"")</f>
        <v/>
      </c>
      <c r="H439" t="str">
        <f>IF($A439&lt;&gt;"",IF(TRIM(MAESTRO!$G439&amp;" "&amp;MAESTRO!$H439&amp;" "&amp;MAESTRO!$I439)="",MAESTRO!$F439,TRIM(MAESTRO!$G439&amp;" "&amp;MAESTRO!$H439&amp;" "&amp;MAESTRO!$I439)),"")</f>
        <v/>
      </c>
      <c r="I439" t="str">
        <f>IF($A439&lt;&gt;"",MAESTRO!$K439,"")</f>
        <v/>
      </c>
      <c r="J439" t="str">
        <f>IF($A439&lt;&gt;"",439,"")</f>
        <v/>
      </c>
    </row>
    <row r="440" spans="1:10" x14ac:dyDescent="0.2">
      <c r="A440" t="str">
        <f>IF(AND(UPPER(MAESTRO!$M440)="VIP",UPPER(MAESTRO!$J440)="SI",MAESTRO!$F440&lt;&gt;""),MAESTRO!$P440,"")</f>
        <v/>
      </c>
      <c r="B440" t="str">
        <f>IF($A440&lt;&gt;"",MAESTRO!$B440,"")</f>
        <v/>
      </c>
      <c r="C440" t="str">
        <f>IF($A440&lt;&gt;"",MAESTRO!$A440,"")</f>
        <v/>
      </c>
      <c r="D440" t="str">
        <f>IF($A440&lt;&gt;"",MAESTRO!$C440,"")</f>
        <v/>
      </c>
      <c r="E440" t="str">
        <f>IF($A440&lt;&gt;"",MAESTRO!$M440,"")</f>
        <v/>
      </c>
      <c r="F440" t="str">
        <f>IF($A440&lt;&gt;"",MAESTRO!$J440,"")</f>
        <v/>
      </c>
      <c r="G440" t="str">
        <f>IF($A440&lt;&gt;"",MAESTRO!$D440,"")</f>
        <v/>
      </c>
      <c r="H440" t="str">
        <f>IF($A440&lt;&gt;"",IF(TRIM(MAESTRO!$G440&amp;" "&amp;MAESTRO!$H440&amp;" "&amp;MAESTRO!$I440)="",MAESTRO!$F440,TRIM(MAESTRO!$G440&amp;" "&amp;MAESTRO!$H440&amp;" "&amp;MAESTRO!$I440)),"")</f>
        <v/>
      </c>
      <c r="I440" t="str">
        <f>IF($A440&lt;&gt;"",MAESTRO!$K440,"")</f>
        <v/>
      </c>
      <c r="J440" t="str">
        <f>IF($A440&lt;&gt;"",440,"")</f>
        <v/>
      </c>
    </row>
    <row r="441" spans="1:10" x14ac:dyDescent="0.2">
      <c r="A441" t="str">
        <f>IF(AND(UPPER(MAESTRO!$M441)="VIP",UPPER(MAESTRO!$J441)="SI",MAESTRO!$F441&lt;&gt;""),MAESTRO!$P441,"")</f>
        <v/>
      </c>
      <c r="B441" t="str">
        <f>IF($A441&lt;&gt;"",MAESTRO!$B441,"")</f>
        <v/>
      </c>
      <c r="C441" t="str">
        <f>IF($A441&lt;&gt;"",MAESTRO!$A441,"")</f>
        <v/>
      </c>
      <c r="D441" t="str">
        <f>IF($A441&lt;&gt;"",MAESTRO!$C441,"")</f>
        <v/>
      </c>
      <c r="E441" t="str">
        <f>IF($A441&lt;&gt;"",MAESTRO!$M441,"")</f>
        <v/>
      </c>
      <c r="F441" t="str">
        <f>IF($A441&lt;&gt;"",MAESTRO!$J441,"")</f>
        <v/>
      </c>
      <c r="G441" t="str">
        <f>IF($A441&lt;&gt;"",MAESTRO!$D441,"")</f>
        <v/>
      </c>
      <c r="H441" t="str">
        <f>IF($A441&lt;&gt;"",IF(TRIM(MAESTRO!$G441&amp;" "&amp;MAESTRO!$H441&amp;" "&amp;MAESTRO!$I441)="",MAESTRO!$F441,TRIM(MAESTRO!$G441&amp;" "&amp;MAESTRO!$H441&amp;" "&amp;MAESTRO!$I441)),"")</f>
        <v/>
      </c>
      <c r="I441" t="str">
        <f>IF($A441&lt;&gt;"",MAESTRO!$K441,"")</f>
        <v/>
      </c>
      <c r="J441" t="str">
        <f>IF($A441&lt;&gt;"",441,"")</f>
        <v/>
      </c>
    </row>
    <row r="442" spans="1:10" x14ac:dyDescent="0.2">
      <c r="A442" t="str">
        <f>IF(AND(UPPER(MAESTRO!$M442)="VIP",UPPER(MAESTRO!$J442)="SI",MAESTRO!$F442&lt;&gt;""),MAESTRO!$P442,"")</f>
        <v/>
      </c>
      <c r="B442" t="str">
        <f>IF($A442&lt;&gt;"",MAESTRO!$B442,"")</f>
        <v/>
      </c>
      <c r="C442" t="str">
        <f>IF($A442&lt;&gt;"",MAESTRO!$A442,"")</f>
        <v/>
      </c>
      <c r="D442" t="str">
        <f>IF($A442&lt;&gt;"",MAESTRO!$C442,"")</f>
        <v/>
      </c>
      <c r="E442" t="str">
        <f>IF($A442&lt;&gt;"",MAESTRO!$M442,"")</f>
        <v/>
      </c>
      <c r="F442" t="str">
        <f>IF($A442&lt;&gt;"",MAESTRO!$J442,"")</f>
        <v/>
      </c>
      <c r="G442" t="str">
        <f>IF($A442&lt;&gt;"",MAESTRO!$D442,"")</f>
        <v/>
      </c>
      <c r="H442" t="str">
        <f>IF($A442&lt;&gt;"",IF(TRIM(MAESTRO!$G442&amp;" "&amp;MAESTRO!$H442&amp;" "&amp;MAESTRO!$I442)="",MAESTRO!$F442,TRIM(MAESTRO!$G442&amp;" "&amp;MAESTRO!$H442&amp;" "&amp;MAESTRO!$I442)),"")</f>
        <v/>
      </c>
      <c r="I442" t="str">
        <f>IF($A442&lt;&gt;"",MAESTRO!$K442,"")</f>
        <v/>
      </c>
      <c r="J442" t="str">
        <f>IF($A442&lt;&gt;"",442,"")</f>
        <v/>
      </c>
    </row>
    <row r="443" spans="1:10" x14ac:dyDescent="0.2">
      <c r="A443" t="str">
        <f>IF(AND(UPPER(MAESTRO!$M443)="VIP",UPPER(MAESTRO!$J443)="SI",MAESTRO!$F443&lt;&gt;""),MAESTRO!$P443,"")</f>
        <v/>
      </c>
      <c r="B443" t="str">
        <f>IF($A443&lt;&gt;"",MAESTRO!$B443,"")</f>
        <v/>
      </c>
      <c r="C443" t="str">
        <f>IF($A443&lt;&gt;"",MAESTRO!$A443,"")</f>
        <v/>
      </c>
      <c r="D443" t="str">
        <f>IF($A443&lt;&gt;"",MAESTRO!$C443,"")</f>
        <v/>
      </c>
      <c r="E443" t="str">
        <f>IF($A443&lt;&gt;"",MAESTRO!$M443,"")</f>
        <v/>
      </c>
      <c r="F443" t="str">
        <f>IF($A443&lt;&gt;"",MAESTRO!$J443,"")</f>
        <v/>
      </c>
      <c r="G443" t="str">
        <f>IF($A443&lt;&gt;"",MAESTRO!$D443,"")</f>
        <v/>
      </c>
      <c r="H443" t="str">
        <f>IF($A443&lt;&gt;"",IF(TRIM(MAESTRO!$G443&amp;" "&amp;MAESTRO!$H443&amp;" "&amp;MAESTRO!$I443)="",MAESTRO!$F443,TRIM(MAESTRO!$G443&amp;" "&amp;MAESTRO!$H443&amp;" "&amp;MAESTRO!$I443)),"")</f>
        <v/>
      </c>
      <c r="I443" t="str">
        <f>IF($A443&lt;&gt;"",MAESTRO!$K443,"")</f>
        <v/>
      </c>
      <c r="J443" t="str">
        <f>IF($A443&lt;&gt;"",443,"")</f>
        <v/>
      </c>
    </row>
    <row r="444" spans="1:10" x14ac:dyDescent="0.2">
      <c r="A444" t="str">
        <f>IF(AND(UPPER(MAESTRO!$M444)="VIP",UPPER(MAESTRO!$J444)="SI",MAESTRO!$F444&lt;&gt;""),MAESTRO!$P444,"")</f>
        <v/>
      </c>
      <c r="B444" t="str">
        <f>IF($A444&lt;&gt;"",MAESTRO!$B444,"")</f>
        <v/>
      </c>
      <c r="C444" t="str">
        <f>IF($A444&lt;&gt;"",MAESTRO!$A444,"")</f>
        <v/>
      </c>
      <c r="D444" t="str">
        <f>IF($A444&lt;&gt;"",MAESTRO!$C444,"")</f>
        <v/>
      </c>
      <c r="E444" t="str">
        <f>IF($A444&lt;&gt;"",MAESTRO!$M444,"")</f>
        <v/>
      </c>
      <c r="F444" t="str">
        <f>IF($A444&lt;&gt;"",MAESTRO!$J444,"")</f>
        <v/>
      </c>
      <c r="G444" t="str">
        <f>IF($A444&lt;&gt;"",MAESTRO!$D444,"")</f>
        <v/>
      </c>
      <c r="H444" t="str">
        <f>IF($A444&lt;&gt;"",IF(TRIM(MAESTRO!$G444&amp;" "&amp;MAESTRO!$H444&amp;" "&amp;MAESTRO!$I444)="",MAESTRO!$F444,TRIM(MAESTRO!$G444&amp;" "&amp;MAESTRO!$H444&amp;" "&amp;MAESTRO!$I444)),"")</f>
        <v/>
      </c>
      <c r="I444" t="str">
        <f>IF($A444&lt;&gt;"",MAESTRO!$K444,"")</f>
        <v/>
      </c>
      <c r="J444" t="str">
        <f>IF($A444&lt;&gt;"",444,"")</f>
        <v/>
      </c>
    </row>
    <row r="445" spans="1:10" x14ac:dyDescent="0.2">
      <c r="A445" t="str">
        <f>IF(AND(UPPER(MAESTRO!$M445)="VIP",UPPER(MAESTRO!$J445)="SI",MAESTRO!$F445&lt;&gt;""),MAESTRO!$P445,"")</f>
        <v/>
      </c>
      <c r="B445" t="str">
        <f>IF($A445&lt;&gt;"",MAESTRO!$B445,"")</f>
        <v/>
      </c>
      <c r="C445" t="str">
        <f>IF($A445&lt;&gt;"",MAESTRO!$A445,"")</f>
        <v/>
      </c>
      <c r="D445" t="str">
        <f>IF($A445&lt;&gt;"",MAESTRO!$C445,"")</f>
        <v/>
      </c>
      <c r="E445" t="str">
        <f>IF($A445&lt;&gt;"",MAESTRO!$M445,"")</f>
        <v/>
      </c>
      <c r="F445" t="str">
        <f>IF($A445&lt;&gt;"",MAESTRO!$J445,"")</f>
        <v/>
      </c>
      <c r="G445" t="str">
        <f>IF($A445&lt;&gt;"",MAESTRO!$D445,"")</f>
        <v/>
      </c>
      <c r="H445" t="str">
        <f>IF($A445&lt;&gt;"",IF(TRIM(MAESTRO!$G445&amp;" "&amp;MAESTRO!$H445&amp;" "&amp;MAESTRO!$I445)="",MAESTRO!$F445,TRIM(MAESTRO!$G445&amp;" "&amp;MAESTRO!$H445&amp;" "&amp;MAESTRO!$I445)),"")</f>
        <v/>
      </c>
      <c r="I445" t="str">
        <f>IF($A445&lt;&gt;"",MAESTRO!$K445,"")</f>
        <v/>
      </c>
      <c r="J445" t="str">
        <f>IF($A445&lt;&gt;"",445,"")</f>
        <v/>
      </c>
    </row>
    <row r="446" spans="1:10" x14ac:dyDescent="0.2">
      <c r="A446" t="str">
        <f>IF(AND(UPPER(MAESTRO!$M446)="VIP",UPPER(MAESTRO!$J446)="SI",MAESTRO!$F446&lt;&gt;""),MAESTRO!$P446,"")</f>
        <v/>
      </c>
      <c r="B446" t="str">
        <f>IF($A446&lt;&gt;"",MAESTRO!$B446,"")</f>
        <v/>
      </c>
      <c r="C446" t="str">
        <f>IF($A446&lt;&gt;"",MAESTRO!$A446,"")</f>
        <v/>
      </c>
      <c r="D446" t="str">
        <f>IF($A446&lt;&gt;"",MAESTRO!$C446,"")</f>
        <v/>
      </c>
      <c r="E446" t="str">
        <f>IF($A446&lt;&gt;"",MAESTRO!$M446,"")</f>
        <v/>
      </c>
      <c r="F446" t="str">
        <f>IF($A446&lt;&gt;"",MAESTRO!$J446,"")</f>
        <v/>
      </c>
      <c r="G446" t="str">
        <f>IF($A446&lt;&gt;"",MAESTRO!$D446,"")</f>
        <v/>
      </c>
      <c r="H446" t="str">
        <f>IF($A446&lt;&gt;"",IF(TRIM(MAESTRO!$G446&amp;" "&amp;MAESTRO!$H446&amp;" "&amp;MAESTRO!$I446)="",MAESTRO!$F446,TRIM(MAESTRO!$G446&amp;" "&amp;MAESTRO!$H446&amp;" "&amp;MAESTRO!$I446)),"")</f>
        <v/>
      </c>
      <c r="I446" t="str">
        <f>IF($A446&lt;&gt;"",MAESTRO!$K446,"")</f>
        <v/>
      </c>
      <c r="J446" t="str">
        <f>IF($A446&lt;&gt;"",446,"")</f>
        <v/>
      </c>
    </row>
    <row r="447" spans="1:10" x14ac:dyDescent="0.2">
      <c r="A447" t="str">
        <f>IF(AND(UPPER(MAESTRO!$M447)="VIP",UPPER(MAESTRO!$J447)="SI",MAESTRO!$F447&lt;&gt;""),MAESTRO!$P447,"")</f>
        <v/>
      </c>
      <c r="B447" t="str">
        <f>IF($A447&lt;&gt;"",MAESTRO!$B447,"")</f>
        <v/>
      </c>
      <c r="C447" t="str">
        <f>IF($A447&lt;&gt;"",MAESTRO!$A447,"")</f>
        <v/>
      </c>
      <c r="D447" t="str">
        <f>IF($A447&lt;&gt;"",MAESTRO!$C447,"")</f>
        <v/>
      </c>
      <c r="E447" t="str">
        <f>IF($A447&lt;&gt;"",MAESTRO!$M447,"")</f>
        <v/>
      </c>
      <c r="F447" t="str">
        <f>IF($A447&lt;&gt;"",MAESTRO!$J447,"")</f>
        <v/>
      </c>
      <c r="G447" t="str">
        <f>IF($A447&lt;&gt;"",MAESTRO!$D447,"")</f>
        <v/>
      </c>
      <c r="H447" t="str">
        <f>IF($A447&lt;&gt;"",IF(TRIM(MAESTRO!$G447&amp;" "&amp;MAESTRO!$H447&amp;" "&amp;MAESTRO!$I447)="",MAESTRO!$F447,TRIM(MAESTRO!$G447&amp;" "&amp;MAESTRO!$H447&amp;" "&amp;MAESTRO!$I447)),"")</f>
        <v/>
      </c>
      <c r="I447" t="str">
        <f>IF($A447&lt;&gt;"",MAESTRO!$K447,"")</f>
        <v/>
      </c>
      <c r="J447" t="str">
        <f>IF($A447&lt;&gt;"",447,"")</f>
        <v/>
      </c>
    </row>
    <row r="448" spans="1:10" x14ac:dyDescent="0.2">
      <c r="A448" t="str">
        <f>IF(AND(UPPER(MAESTRO!$M448)="VIP",UPPER(MAESTRO!$J448)="SI",MAESTRO!$F448&lt;&gt;""),MAESTRO!$P448,"")</f>
        <v/>
      </c>
      <c r="B448" t="str">
        <f>IF($A448&lt;&gt;"",MAESTRO!$B448,"")</f>
        <v/>
      </c>
      <c r="C448" t="str">
        <f>IF($A448&lt;&gt;"",MAESTRO!$A448,"")</f>
        <v/>
      </c>
      <c r="D448" t="str">
        <f>IF($A448&lt;&gt;"",MAESTRO!$C448,"")</f>
        <v/>
      </c>
      <c r="E448" t="str">
        <f>IF($A448&lt;&gt;"",MAESTRO!$M448,"")</f>
        <v/>
      </c>
      <c r="F448" t="str">
        <f>IF($A448&lt;&gt;"",MAESTRO!$J448,"")</f>
        <v/>
      </c>
      <c r="G448" t="str">
        <f>IF($A448&lt;&gt;"",MAESTRO!$D448,"")</f>
        <v/>
      </c>
      <c r="H448" t="str">
        <f>IF($A448&lt;&gt;"",IF(TRIM(MAESTRO!$G448&amp;" "&amp;MAESTRO!$H448&amp;" "&amp;MAESTRO!$I448)="",MAESTRO!$F448,TRIM(MAESTRO!$G448&amp;" "&amp;MAESTRO!$H448&amp;" "&amp;MAESTRO!$I448)),"")</f>
        <v/>
      </c>
      <c r="I448" t="str">
        <f>IF($A448&lt;&gt;"",MAESTRO!$K448,"")</f>
        <v/>
      </c>
      <c r="J448" t="str">
        <f>IF($A448&lt;&gt;"",448,"")</f>
        <v/>
      </c>
    </row>
    <row r="449" spans="1:10" x14ac:dyDescent="0.2">
      <c r="A449" t="str">
        <f>IF(AND(UPPER(MAESTRO!$M449)="VIP",UPPER(MAESTRO!$J449)="SI",MAESTRO!$F449&lt;&gt;""),MAESTRO!$P449,"")</f>
        <v/>
      </c>
      <c r="B449" t="str">
        <f>IF($A449&lt;&gt;"",MAESTRO!$B449,"")</f>
        <v/>
      </c>
      <c r="C449" t="str">
        <f>IF($A449&lt;&gt;"",MAESTRO!$A449,"")</f>
        <v/>
      </c>
      <c r="D449" t="str">
        <f>IF($A449&lt;&gt;"",MAESTRO!$C449,"")</f>
        <v/>
      </c>
      <c r="E449" t="str">
        <f>IF($A449&lt;&gt;"",MAESTRO!$M449,"")</f>
        <v/>
      </c>
      <c r="F449" t="str">
        <f>IF($A449&lt;&gt;"",MAESTRO!$J449,"")</f>
        <v/>
      </c>
      <c r="G449" t="str">
        <f>IF($A449&lt;&gt;"",MAESTRO!$D449,"")</f>
        <v/>
      </c>
      <c r="H449" t="str">
        <f>IF($A449&lt;&gt;"",IF(TRIM(MAESTRO!$G449&amp;" "&amp;MAESTRO!$H449&amp;" "&amp;MAESTRO!$I449)="",MAESTRO!$F449,TRIM(MAESTRO!$G449&amp;" "&amp;MAESTRO!$H449&amp;" "&amp;MAESTRO!$I449)),"")</f>
        <v/>
      </c>
      <c r="I449" t="str">
        <f>IF($A449&lt;&gt;"",MAESTRO!$K449,"")</f>
        <v/>
      </c>
      <c r="J449" t="str">
        <f>IF($A449&lt;&gt;"",449,"")</f>
        <v/>
      </c>
    </row>
    <row r="450" spans="1:10" x14ac:dyDescent="0.2">
      <c r="A450" t="str">
        <f>IF(AND(UPPER(MAESTRO!$M450)="VIP",UPPER(MAESTRO!$J450)="SI",MAESTRO!$F450&lt;&gt;""),MAESTRO!$P450,"")</f>
        <v>A6</v>
      </c>
      <c r="B450">
        <f>IF($A450&lt;&gt;"",MAESTRO!$B450,"")</f>
        <v>449</v>
      </c>
      <c r="C450">
        <f>IF($A450&lt;&gt;"",MAESTRO!$A450,"")</f>
        <v>449</v>
      </c>
      <c r="D450" t="str">
        <f>IF($A450&lt;&gt;"",MAESTRO!$C450,"")</f>
        <v xml:space="preserve">INVITADOS ASMAR </v>
      </c>
      <c r="E450" t="str">
        <f>IF($A450&lt;&gt;"",MAESTRO!$M450,"")</f>
        <v>VIP</v>
      </c>
      <c r="F450" t="str">
        <f>IF($A450&lt;&gt;"",MAESTRO!$J450,"")</f>
        <v>SI</v>
      </c>
      <c r="G450" t="str">
        <f>IF($A450&lt;&gt;"",MAESTRO!$D450,"")</f>
        <v>Señora</v>
      </c>
      <c r="H450" t="str">
        <f>IF($A450&lt;&gt;"",IF(TRIM(MAESTRO!$G450&amp;" "&amp;MAESTRO!$H450&amp;" "&amp;MAESTRO!$I450)="",MAESTRO!$F450,TRIM(MAESTRO!$G450&amp;" "&amp;MAESTRO!$H450&amp;" "&amp;MAESTRO!$I450)),"")</f>
        <v>Milka Gavilán Ortiz</v>
      </c>
      <c r="I450" t="str">
        <f>IF($A450&lt;&gt;"",MAESTRO!$K450,"")</f>
        <v>Comité CORFO - Presidenta Sindicato ASMAR</v>
      </c>
      <c r="J450">
        <f>IF($A450&lt;&gt;"",450,"")</f>
        <v>450</v>
      </c>
    </row>
    <row r="451" spans="1:10" x14ac:dyDescent="0.2">
      <c r="A451" t="str">
        <f>IF(AND(UPPER(MAESTRO!$M451)="VIP",UPPER(MAESTRO!$J451)="SI",MAESTRO!$F451&lt;&gt;""),MAESTRO!$P451,"")</f>
        <v/>
      </c>
      <c r="B451" t="str">
        <f>IF($A451&lt;&gt;"",MAESTRO!$B451,"")</f>
        <v/>
      </c>
      <c r="C451" t="str">
        <f>IF($A451&lt;&gt;"",MAESTRO!$A451,"")</f>
        <v/>
      </c>
      <c r="D451" t="str">
        <f>IF($A451&lt;&gt;"",MAESTRO!$C451,"")</f>
        <v/>
      </c>
      <c r="E451" t="str">
        <f>IF($A451&lt;&gt;"",MAESTRO!$M451,"")</f>
        <v/>
      </c>
      <c r="F451" t="str">
        <f>IF($A451&lt;&gt;"",MAESTRO!$J451,"")</f>
        <v/>
      </c>
      <c r="G451" t="str">
        <f>IF($A451&lt;&gt;"",MAESTRO!$D451,"")</f>
        <v/>
      </c>
      <c r="H451" t="str">
        <f>IF($A451&lt;&gt;"",IF(TRIM(MAESTRO!$G451&amp;" "&amp;MAESTRO!$H451&amp;" "&amp;MAESTRO!$I451)="",MAESTRO!$F451,TRIM(MAESTRO!$G451&amp;" "&amp;MAESTRO!$H451&amp;" "&amp;MAESTRO!$I451)),"")</f>
        <v/>
      </c>
      <c r="I451" t="str">
        <f>IF($A451&lt;&gt;"",MAESTRO!$K451,"")</f>
        <v/>
      </c>
      <c r="J451" t="str">
        <f>IF($A451&lt;&gt;"",451,"")</f>
        <v/>
      </c>
    </row>
    <row r="452" spans="1:10" x14ac:dyDescent="0.2">
      <c r="A452" t="str">
        <f>IF(AND(UPPER(MAESTRO!$M452)="VIP",UPPER(MAESTRO!$J452)="SI",MAESTRO!$F452&lt;&gt;""),MAESTRO!$P452,"")</f>
        <v/>
      </c>
      <c r="B452" t="str">
        <f>IF($A452&lt;&gt;"",MAESTRO!$B452,"")</f>
        <v/>
      </c>
      <c r="C452" t="str">
        <f>IF($A452&lt;&gt;"",MAESTRO!$A452,"")</f>
        <v/>
      </c>
      <c r="D452" t="str">
        <f>IF($A452&lt;&gt;"",MAESTRO!$C452,"")</f>
        <v/>
      </c>
      <c r="E452" t="str">
        <f>IF($A452&lt;&gt;"",MAESTRO!$M452,"")</f>
        <v/>
      </c>
      <c r="F452" t="str">
        <f>IF($A452&lt;&gt;"",MAESTRO!$J452,"")</f>
        <v/>
      </c>
      <c r="G452" t="str">
        <f>IF($A452&lt;&gt;"",MAESTRO!$D452,"")</f>
        <v/>
      </c>
      <c r="H452" t="str">
        <f>IF($A452&lt;&gt;"",IF(TRIM(MAESTRO!$G452&amp;" "&amp;MAESTRO!$H452&amp;" "&amp;MAESTRO!$I452)="",MAESTRO!$F452,TRIM(MAESTRO!$G452&amp;" "&amp;MAESTRO!$H452&amp;" "&amp;MAESTRO!$I452)),"")</f>
        <v/>
      </c>
      <c r="I452" t="str">
        <f>IF($A452&lt;&gt;"",MAESTRO!$K452,"")</f>
        <v/>
      </c>
      <c r="J452" t="str">
        <f>IF($A452&lt;&gt;"",452,"")</f>
        <v/>
      </c>
    </row>
    <row r="453" spans="1:10" x14ac:dyDescent="0.2">
      <c r="A453" t="str">
        <f>IF(AND(UPPER(MAESTRO!$M453)="VIP",UPPER(MAESTRO!$J453)="SI",MAESTRO!$F453&lt;&gt;""),MAESTRO!$P453,"")</f>
        <v/>
      </c>
      <c r="B453" t="str">
        <f>IF($A453&lt;&gt;"",MAESTRO!$B453,"")</f>
        <v/>
      </c>
      <c r="C453" t="str">
        <f>IF($A453&lt;&gt;"",MAESTRO!$A453,"")</f>
        <v/>
      </c>
      <c r="D453" t="str">
        <f>IF($A453&lt;&gt;"",MAESTRO!$C453,"")</f>
        <v/>
      </c>
      <c r="E453" t="str">
        <f>IF($A453&lt;&gt;"",MAESTRO!$M453,"")</f>
        <v/>
      </c>
      <c r="F453" t="str">
        <f>IF($A453&lt;&gt;"",MAESTRO!$J453,"")</f>
        <v/>
      </c>
      <c r="G453" t="str">
        <f>IF($A453&lt;&gt;"",MAESTRO!$D453,"")</f>
        <v/>
      </c>
      <c r="H453" t="str">
        <f>IF($A453&lt;&gt;"",IF(TRIM(MAESTRO!$G453&amp;" "&amp;MAESTRO!$H453&amp;" "&amp;MAESTRO!$I453)="",MAESTRO!$F453,TRIM(MAESTRO!$G453&amp;" "&amp;MAESTRO!$H453&amp;" "&amp;MAESTRO!$I453)),"")</f>
        <v/>
      </c>
      <c r="I453" t="str">
        <f>IF($A453&lt;&gt;"",MAESTRO!$K453,"")</f>
        <v/>
      </c>
      <c r="J453" t="str">
        <f>IF($A453&lt;&gt;"",453,"")</f>
        <v/>
      </c>
    </row>
    <row r="454" spans="1:10" x14ac:dyDescent="0.2">
      <c r="A454" t="str">
        <f>IF(AND(UPPER(MAESTRO!$M454)="VIP",UPPER(MAESTRO!$J454)="SI",MAESTRO!$F454&lt;&gt;""),MAESTRO!$P454,"")</f>
        <v/>
      </c>
      <c r="B454" t="str">
        <f>IF($A454&lt;&gt;"",MAESTRO!$B454,"")</f>
        <v/>
      </c>
      <c r="C454" t="str">
        <f>IF($A454&lt;&gt;"",MAESTRO!$A454,"")</f>
        <v/>
      </c>
      <c r="D454" t="str">
        <f>IF($A454&lt;&gt;"",MAESTRO!$C454,"")</f>
        <v/>
      </c>
      <c r="E454" t="str">
        <f>IF($A454&lt;&gt;"",MAESTRO!$M454,"")</f>
        <v/>
      </c>
      <c r="F454" t="str">
        <f>IF($A454&lt;&gt;"",MAESTRO!$J454,"")</f>
        <v/>
      </c>
      <c r="G454" t="str">
        <f>IF($A454&lt;&gt;"",MAESTRO!$D454,"")</f>
        <v/>
      </c>
      <c r="H454" t="str">
        <f>IF($A454&lt;&gt;"",IF(TRIM(MAESTRO!$G454&amp;" "&amp;MAESTRO!$H454&amp;" "&amp;MAESTRO!$I454)="",MAESTRO!$F454,TRIM(MAESTRO!$G454&amp;" "&amp;MAESTRO!$H454&amp;" "&amp;MAESTRO!$I454)),"")</f>
        <v/>
      </c>
      <c r="I454" t="str">
        <f>IF($A454&lt;&gt;"",MAESTRO!$K454,"")</f>
        <v/>
      </c>
      <c r="J454" t="str">
        <f>IF($A454&lt;&gt;"",454,"")</f>
        <v/>
      </c>
    </row>
    <row r="455" spans="1:10" x14ac:dyDescent="0.2">
      <c r="A455" t="str">
        <f>IF(AND(UPPER(MAESTRO!$M455)="VIP",UPPER(MAESTRO!$J455)="SI",MAESTRO!$F455&lt;&gt;""),MAESTRO!$P455,"")</f>
        <v/>
      </c>
      <c r="B455" t="str">
        <f>IF($A455&lt;&gt;"",MAESTRO!$B455,"")</f>
        <v/>
      </c>
      <c r="C455" t="str">
        <f>IF($A455&lt;&gt;"",MAESTRO!$A455,"")</f>
        <v/>
      </c>
      <c r="D455" t="str">
        <f>IF($A455&lt;&gt;"",MAESTRO!$C455,"")</f>
        <v/>
      </c>
      <c r="E455" t="str">
        <f>IF($A455&lt;&gt;"",MAESTRO!$M455,"")</f>
        <v/>
      </c>
      <c r="F455" t="str">
        <f>IF($A455&lt;&gt;"",MAESTRO!$J455,"")</f>
        <v/>
      </c>
      <c r="G455" t="str">
        <f>IF($A455&lt;&gt;"",MAESTRO!$D455,"")</f>
        <v/>
      </c>
      <c r="H455" t="str">
        <f>IF($A455&lt;&gt;"",IF(TRIM(MAESTRO!$G455&amp;" "&amp;MAESTRO!$H455&amp;" "&amp;MAESTRO!$I455)="",MAESTRO!$F455,TRIM(MAESTRO!$G455&amp;" "&amp;MAESTRO!$H455&amp;" "&amp;MAESTRO!$I455)),"")</f>
        <v/>
      </c>
      <c r="I455" t="str">
        <f>IF($A455&lt;&gt;"",MAESTRO!$K455,"")</f>
        <v/>
      </c>
      <c r="J455" t="str">
        <f>IF($A455&lt;&gt;"",455,"")</f>
        <v/>
      </c>
    </row>
    <row r="456" spans="1:10" x14ac:dyDescent="0.2">
      <c r="A456" t="str">
        <f>IF(AND(UPPER(MAESTRO!$M456)="VIP",UPPER(MAESTRO!$J456)="SI",MAESTRO!$F456&lt;&gt;""),MAESTRO!$P456,"")</f>
        <v/>
      </c>
      <c r="B456" t="str">
        <f>IF($A456&lt;&gt;"",MAESTRO!$B456,"")</f>
        <v/>
      </c>
      <c r="C456" t="str">
        <f>IF($A456&lt;&gt;"",MAESTRO!$A456,"")</f>
        <v/>
      </c>
      <c r="D456" t="str">
        <f>IF($A456&lt;&gt;"",MAESTRO!$C456,"")</f>
        <v/>
      </c>
      <c r="E456" t="str">
        <f>IF($A456&lt;&gt;"",MAESTRO!$M456,"")</f>
        <v/>
      </c>
      <c r="F456" t="str">
        <f>IF($A456&lt;&gt;"",MAESTRO!$J456,"")</f>
        <v/>
      </c>
      <c r="G456" t="str">
        <f>IF($A456&lt;&gt;"",MAESTRO!$D456,"")</f>
        <v/>
      </c>
      <c r="H456" t="str">
        <f>IF($A456&lt;&gt;"",IF(TRIM(MAESTRO!$G456&amp;" "&amp;MAESTRO!$H456&amp;" "&amp;MAESTRO!$I456)="",MAESTRO!$F456,TRIM(MAESTRO!$G456&amp;" "&amp;MAESTRO!$H456&amp;" "&amp;MAESTRO!$I456)),"")</f>
        <v/>
      </c>
      <c r="I456" t="str">
        <f>IF($A456&lt;&gt;"",MAESTRO!$K456,"")</f>
        <v/>
      </c>
      <c r="J456" t="str">
        <f>IF($A456&lt;&gt;"",456,"")</f>
        <v/>
      </c>
    </row>
    <row r="457" spans="1:10" x14ac:dyDescent="0.2">
      <c r="A457" t="str">
        <f>IF(AND(UPPER(MAESTRO!$M457)="VIP",UPPER(MAESTRO!$J457)="SI",MAESTRO!$F457&lt;&gt;""),MAESTRO!$P457,"")</f>
        <v/>
      </c>
      <c r="B457" t="str">
        <f>IF($A457&lt;&gt;"",MAESTRO!$B457,"")</f>
        <v/>
      </c>
      <c r="C457" t="str">
        <f>IF($A457&lt;&gt;"",MAESTRO!$A457,"")</f>
        <v/>
      </c>
      <c r="D457" t="str">
        <f>IF($A457&lt;&gt;"",MAESTRO!$C457,"")</f>
        <v/>
      </c>
      <c r="E457" t="str">
        <f>IF($A457&lt;&gt;"",MAESTRO!$M457,"")</f>
        <v/>
      </c>
      <c r="F457" t="str">
        <f>IF($A457&lt;&gt;"",MAESTRO!$J457,"")</f>
        <v/>
      </c>
      <c r="G457" t="str">
        <f>IF($A457&lt;&gt;"",MAESTRO!$D457,"")</f>
        <v/>
      </c>
      <c r="H457" t="str">
        <f>IF($A457&lt;&gt;"",IF(TRIM(MAESTRO!$G457&amp;" "&amp;MAESTRO!$H457&amp;" "&amp;MAESTRO!$I457)="",MAESTRO!$F457,TRIM(MAESTRO!$G457&amp;" "&amp;MAESTRO!$H457&amp;" "&amp;MAESTRO!$I457)),"")</f>
        <v/>
      </c>
      <c r="I457" t="str">
        <f>IF($A457&lt;&gt;"",MAESTRO!$K457,"")</f>
        <v/>
      </c>
      <c r="J457" t="str">
        <f>IF($A457&lt;&gt;"",457,"")</f>
        <v/>
      </c>
    </row>
    <row r="458" spans="1:10" x14ac:dyDescent="0.2">
      <c r="A458" t="str">
        <f>IF(AND(UPPER(MAESTRO!$M458)="VIP",UPPER(MAESTRO!$J458)="SI",MAESTRO!$F458&lt;&gt;""),MAESTRO!$P458,"")</f>
        <v/>
      </c>
      <c r="B458" t="str">
        <f>IF($A458&lt;&gt;"",MAESTRO!$B458,"")</f>
        <v/>
      </c>
      <c r="C458" t="str">
        <f>IF($A458&lt;&gt;"",MAESTRO!$A458,"")</f>
        <v/>
      </c>
      <c r="D458" t="str">
        <f>IF($A458&lt;&gt;"",MAESTRO!$C458,"")</f>
        <v/>
      </c>
      <c r="E458" t="str">
        <f>IF($A458&lt;&gt;"",MAESTRO!$M458,"")</f>
        <v/>
      </c>
      <c r="F458" t="str">
        <f>IF($A458&lt;&gt;"",MAESTRO!$J458,"")</f>
        <v/>
      </c>
      <c r="G458" t="str">
        <f>IF($A458&lt;&gt;"",MAESTRO!$D458,"")</f>
        <v/>
      </c>
      <c r="H458" t="str">
        <f>IF($A458&lt;&gt;"",IF(TRIM(MAESTRO!$G458&amp;" "&amp;MAESTRO!$H458&amp;" "&amp;MAESTRO!$I458)="",MAESTRO!$F458,TRIM(MAESTRO!$G458&amp;" "&amp;MAESTRO!$H458&amp;" "&amp;MAESTRO!$I458)),"")</f>
        <v/>
      </c>
      <c r="I458" t="str">
        <f>IF($A458&lt;&gt;"",MAESTRO!$K458,"")</f>
        <v/>
      </c>
      <c r="J458" t="str">
        <f>IF($A458&lt;&gt;"",458,"")</f>
        <v/>
      </c>
    </row>
    <row r="459" spans="1:10" x14ac:dyDescent="0.2">
      <c r="A459" t="str">
        <f>IF(AND(UPPER(MAESTRO!$M459)="VIP",UPPER(MAESTRO!$J459)="SI",MAESTRO!$F459&lt;&gt;""),MAESTRO!$P459,"")</f>
        <v/>
      </c>
      <c r="B459" t="str">
        <f>IF($A459&lt;&gt;"",MAESTRO!$B459,"")</f>
        <v/>
      </c>
      <c r="C459" t="str">
        <f>IF($A459&lt;&gt;"",MAESTRO!$A459,"")</f>
        <v/>
      </c>
      <c r="D459" t="str">
        <f>IF($A459&lt;&gt;"",MAESTRO!$C459,"")</f>
        <v/>
      </c>
      <c r="E459" t="str">
        <f>IF($A459&lt;&gt;"",MAESTRO!$M459,"")</f>
        <v/>
      </c>
      <c r="F459" t="str">
        <f>IF($A459&lt;&gt;"",MAESTRO!$J459,"")</f>
        <v/>
      </c>
      <c r="G459" t="str">
        <f>IF($A459&lt;&gt;"",MAESTRO!$D459,"")</f>
        <v/>
      </c>
      <c r="H459" t="str">
        <f>IF($A459&lt;&gt;"",IF(TRIM(MAESTRO!$G459&amp;" "&amp;MAESTRO!$H459&amp;" "&amp;MAESTRO!$I459)="",MAESTRO!$F459,TRIM(MAESTRO!$G459&amp;" "&amp;MAESTRO!$H459&amp;" "&amp;MAESTRO!$I459)),"")</f>
        <v/>
      </c>
      <c r="I459" t="str">
        <f>IF($A459&lt;&gt;"",MAESTRO!$K459,"")</f>
        <v/>
      </c>
      <c r="J459" t="str">
        <f>IF($A459&lt;&gt;"",459,"")</f>
        <v/>
      </c>
    </row>
    <row r="460" spans="1:10" x14ac:dyDescent="0.2">
      <c r="A460" t="str">
        <f>IF(AND(UPPER(MAESTRO!$M460)="VIP",UPPER(MAESTRO!$J460)="SI",MAESTRO!$F460&lt;&gt;""),MAESTRO!$P460,"")</f>
        <v/>
      </c>
      <c r="B460" t="str">
        <f>IF($A460&lt;&gt;"",MAESTRO!$B460,"")</f>
        <v/>
      </c>
      <c r="C460" t="str">
        <f>IF($A460&lt;&gt;"",MAESTRO!$A460,"")</f>
        <v/>
      </c>
      <c r="D460" t="str">
        <f>IF($A460&lt;&gt;"",MAESTRO!$C460,"")</f>
        <v/>
      </c>
      <c r="E460" t="str">
        <f>IF($A460&lt;&gt;"",MAESTRO!$M460,"")</f>
        <v/>
      </c>
      <c r="F460" t="str">
        <f>IF($A460&lt;&gt;"",MAESTRO!$J460,"")</f>
        <v/>
      </c>
      <c r="G460" t="str">
        <f>IF($A460&lt;&gt;"",MAESTRO!$D460,"")</f>
        <v/>
      </c>
      <c r="H460" t="str">
        <f>IF($A460&lt;&gt;"",IF(TRIM(MAESTRO!$G460&amp;" "&amp;MAESTRO!$H460&amp;" "&amp;MAESTRO!$I460)="",MAESTRO!$F460,TRIM(MAESTRO!$G460&amp;" "&amp;MAESTRO!$H460&amp;" "&amp;MAESTRO!$I460)),"")</f>
        <v/>
      </c>
      <c r="I460" t="str">
        <f>IF($A460&lt;&gt;"",MAESTRO!$K460,"")</f>
        <v/>
      </c>
      <c r="J460" t="str">
        <f>IF($A460&lt;&gt;"",460,"")</f>
        <v/>
      </c>
    </row>
    <row r="461" spans="1:10" x14ac:dyDescent="0.2">
      <c r="A461" t="str">
        <f>IF(AND(UPPER(MAESTRO!$M461)="VIP",UPPER(MAESTRO!$J461)="SI",MAESTRO!$F461&lt;&gt;""),MAESTRO!$P461,"")</f>
        <v>A40</v>
      </c>
      <c r="B461">
        <f>IF($A461&lt;&gt;"",MAESTRO!$B461,"")</f>
        <v>460</v>
      </c>
      <c r="C461">
        <f>IF($A461&lt;&gt;"",MAESTRO!$A461,"")</f>
        <v>460</v>
      </c>
      <c r="D461" t="str">
        <f>IF($A461&lt;&gt;"",MAESTRO!$C461,"")</f>
        <v xml:space="preserve">INVITADOS ASMAR </v>
      </c>
      <c r="E461" t="str">
        <f>IF($A461&lt;&gt;"",MAESTRO!$M461,"")</f>
        <v>VIP</v>
      </c>
      <c r="F461" t="str">
        <f>IF($A461&lt;&gt;"",MAESTRO!$J461,"")</f>
        <v>SI</v>
      </c>
      <c r="G461">
        <f>IF($A461&lt;&gt;"",MAESTRO!$D461,"")</f>
        <v>0</v>
      </c>
      <c r="H461" t="str">
        <f>IF($A461&lt;&gt;"",IF(TRIM(MAESTRO!$G461&amp;" "&amp;MAESTRO!$H461&amp;" "&amp;MAESTRO!$I461)="",MAESTRO!$F461,TRIM(MAESTRO!$G461&amp;" "&amp;MAESTRO!$H461&amp;" "&amp;MAESTRO!$I461)),"")</f>
        <v>Rodrigo Silva</v>
      </c>
      <c r="I461" t="str">
        <f>IF($A461&lt;&gt;"",MAESTRO!$K461,"")</f>
        <v>Gerente General COOPEUCH</v>
      </c>
      <c r="J461">
        <f>IF($A461&lt;&gt;"",461,"")</f>
        <v>461</v>
      </c>
    </row>
    <row r="462" spans="1:10" x14ac:dyDescent="0.2">
      <c r="A462" t="str">
        <f>IF(AND(UPPER(MAESTRO!$M462)="VIP",UPPER(MAESTRO!$J462)="SI",MAESTRO!$F462&lt;&gt;""),MAESTRO!$P462,"")</f>
        <v/>
      </c>
      <c r="B462" t="str">
        <f>IF($A462&lt;&gt;"",MAESTRO!$B462,"")</f>
        <v/>
      </c>
      <c r="C462" t="str">
        <f>IF($A462&lt;&gt;"",MAESTRO!$A462,"")</f>
        <v/>
      </c>
      <c r="D462" t="str">
        <f>IF($A462&lt;&gt;"",MAESTRO!$C462,"")</f>
        <v/>
      </c>
      <c r="E462" t="str">
        <f>IF($A462&lt;&gt;"",MAESTRO!$M462,"")</f>
        <v/>
      </c>
      <c r="F462" t="str">
        <f>IF($A462&lt;&gt;"",MAESTRO!$J462,"")</f>
        <v/>
      </c>
      <c r="G462" t="str">
        <f>IF($A462&lt;&gt;"",MAESTRO!$D462,"")</f>
        <v/>
      </c>
      <c r="H462" t="str">
        <f>IF($A462&lt;&gt;"",IF(TRIM(MAESTRO!$G462&amp;" "&amp;MAESTRO!$H462&amp;" "&amp;MAESTRO!$I462)="",MAESTRO!$F462,TRIM(MAESTRO!$G462&amp;" "&amp;MAESTRO!$H462&amp;" "&amp;MAESTRO!$I462)),"")</f>
        <v/>
      </c>
      <c r="I462" t="str">
        <f>IF($A462&lt;&gt;"",MAESTRO!$K462,"")</f>
        <v/>
      </c>
      <c r="J462" t="str">
        <f>IF($A462&lt;&gt;"",462,"")</f>
        <v/>
      </c>
    </row>
    <row r="463" spans="1:10" x14ac:dyDescent="0.2">
      <c r="A463" t="str">
        <f>IF(AND(UPPER(MAESTRO!$M463)="VIP",UPPER(MAESTRO!$J463)="SI",MAESTRO!$F463&lt;&gt;""),MAESTRO!$P463,"")</f>
        <v/>
      </c>
      <c r="B463" t="str">
        <f>IF($A463&lt;&gt;"",MAESTRO!$B463,"")</f>
        <v/>
      </c>
      <c r="C463" t="str">
        <f>IF($A463&lt;&gt;"",MAESTRO!$A463,"")</f>
        <v/>
      </c>
      <c r="D463" t="str">
        <f>IF($A463&lt;&gt;"",MAESTRO!$C463,"")</f>
        <v/>
      </c>
      <c r="E463" t="str">
        <f>IF($A463&lt;&gt;"",MAESTRO!$M463,"")</f>
        <v/>
      </c>
      <c r="F463" t="str">
        <f>IF($A463&lt;&gt;"",MAESTRO!$J463,"")</f>
        <v/>
      </c>
      <c r="G463" t="str">
        <f>IF($A463&lt;&gt;"",MAESTRO!$D463,"")</f>
        <v/>
      </c>
      <c r="H463" t="str">
        <f>IF($A463&lt;&gt;"",IF(TRIM(MAESTRO!$G463&amp;" "&amp;MAESTRO!$H463&amp;" "&amp;MAESTRO!$I463)="",MAESTRO!$F463,TRIM(MAESTRO!$G463&amp;" "&amp;MAESTRO!$H463&amp;" "&amp;MAESTRO!$I463)),"")</f>
        <v/>
      </c>
      <c r="I463" t="str">
        <f>IF($A463&lt;&gt;"",MAESTRO!$K463,"")</f>
        <v/>
      </c>
      <c r="J463" t="str">
        <f>IF($A463&lt;&gt;"",463,"")</f>
        <v/>
      </c>
    </row>
    <row r="464" spans="1:10" x14ac:dyDescent="0.2">
      <c r="A464" t="str">
        <f>IF(AND(UPPER(MAESTRO!$M464)="VIP",UPPER(MAESTRO!$J464)="SI",MAESTRO!$F464&lt;&gt;""),MAESTRO!$P464,"")</f>
        <v/>
      </c>
      <c r="B464" t="str">
        <f>IF($A464&lt;&gt;"",MAESTRO!$B464,"")</f>
        <v/>
      </c>
      <c r="C464" t="str">
        <f>IF($A464&lt;&gt;"",MAESTRO!$A464,"")</f>
        <v/>
      </c>
      <c r="D464" t="str">
        <f>IF($A464&lt;&gt;"",MAESTRO!$C464,"")</f>
        <v/>
      </c>
      <c r="E464" t="str">
        <f>IF($A464&lt;&gt;"",MAESTRO!$M464,"")</f>
        <v/>
      </c>
      <c r="F464" t="str">
        <f>IF($A464&lt;&gt;"",MAESTRO!$J464,"")</f>
        <v/>
      </c>
      <c r="G464" t="str">
        <f>IF($A464&lt;&gt;"",MAESTRO!$D464,"")</f>
        <v/>
      </c>
      <c r="H464" t="str">
        <f>IF($A464&lt;&gt;"",IF(TRIM(MAESTRO!$G464&amp;" "&amp;MAESTRO!$H464&amp;" "&amp;MAESTRO!$I464)="",MAESTRO!$F464,TRIM(MAESTRO!$G464&amp;" "&amp;MAESTRO!$H464&amp;" "&amp;MAESTRO!$I464)),"")</f>
        <v/>
      </c>
      <c r="I464" t="str">
        <f>IF($A464&lt;&gt;"",MAESTRO!$K464,"")</f>
        <v/>
      </c>
      <c r="J464" t="str">
        <f>IF($A464&lt;&gt;"",464,"")</f>
        <v/>
      </c>
    </row>
    <row r="465" spans="1:10" x14ac:dyDescent="0.2">
      <c r="A465" t="str">
        <f>IF(AND(UPPER(MAESTRO!$M465)="VIP",UPPER(MAESTRO!$J465)="SI",MAESTRO!$F465&lt;&gt;""),MAESTRO!$P465,"")</f>
        <v/>
      </c>
      <c r="B465" t="str">
        <f>IF($A465&lt;&gt;"",MAESTRO!$B465,"")</f>
        <v/>
      </c>
      <c r="C465" t="str">
        <f>IF($A465&lt;&gt;"",MAESTRO!$A465,"")</f>
        <v/>
      </c>
      <c r="D465" t="str">
        <f>IF($A465&lt;&gt;"",MAESTRO!$C465,"")</f>
        <v/>
      </c>
      <c r="E465" t="str">
        <f>IF($A465&lt;&gt;"",MAESTRO!$M465,"")</f>
        <v/>
      </c>
      <c r="F465" t="str">
        <f>IF($A465&lt;&gt;"",MAESTRO!$J465,"")</f>
        <v/>
      </c>
      <c r="G465" t="str">
        <f>IF($A465&lt;&gt;"",MAESTRO!$D465,"")</f>
        <v/>
      </c>
      <c r="H465" t="str">
        <f>IF($A465&lt;&gt;"",IF(TRIM(MAESTRO!$G465&amp;" "&amp;MAESTRO!$H465&amp;" "&amp;MAESTRO!$I465)="",MAESTRO!$F465,TRIM(MAESTRO!$G465&amp;" "&amp;MAESTRO!$H465&amp;" "&amp;MAESTRO!$I465)),"")</f>
        <v/>
      </c>
      <c r="I465" t="str">
        <f>IF($A465&lt;&gt;"",MAESTRO!$K465,"")</f>
        <v/>
      </c>
      <c r="J465" t="str">
        <f>IF($A465&lt;&gt;"",465,"")</f>
        <v/>
      </c>
    </row>
    <row r="466" spans="1:10" x14ac:dyDescent="0.2">
      <c r="A466" t="str">
        <f>IF(AND(UPPER(MAESTRO!$M466)="VIP",UPPER(MAESTRO!$J466)="SI",MAESTRO!$F466&lt;&gt;""),MAESTRO!$P466,"")</f>
        <v/>
      </c>
      <c r="B466" t="str">
        <f>IF($A466&lt;&gt;"",MAESTRO!$B466,"")</f>
        <v/>
      </c>
      <c r="C466" t="str">
        <f>IF($A466&lt;&gt;"",MAESTRO!$A466,"")</f>
        <v/>
      </c>
      <c r="D466" t="str">
        <f>IF($A466&lt;&gt;"",MAESTRO!$C466,"")</f>
        <v/>
      </c>
      <c r="E466" t="str">
        <f>IF($A466&lt;&gt;"",MAESTRO!$M466,"")</f>
        <v/>
      </c>
      <c r="F466" t="str">
        <f>IF($A466&lt;&gt;"",MAESTRO!$J466,"")</f>
        <v/>
      </c>
      <c r="G466" t="str">
        <f>IF($A466&lt;&gt;"",MAESTRO!$D466,"")</f>
        <v/>
      </c>
      <c r="H466" t="str">
        <f>IF($A466&lt;&gt;"",IF(TRIM(MAESTRO!$G466&amp;" "&amp;MAESTRO!$H466&amp;" "&amp;MAESTRO!$I466)="",MAESTRO!$F466,TRIM(MAESTRO!$G466&amp;" "&amp;MAESTRO!$H466&amp;" "&amp;MAESTRO!$I466)),"")</f>
        <v/>
      </c>
      <c r="I466" t="str">
        <f>IF($A466&lt;&gt;"",MAESTRO!$K466,"")</f>
        <v/>
      </c>
      <c r="J466" t="str">
        <f>IF($A466&lt;&gt;"",466,"")</f>
        <v/>
      </c>
    </row>
    <row r="467" spans="1:10" x14ac:dyDescent="0.2">
      <c r="A467" t="str">
        <f>IF(AND(UPPER(MAESTRO!$M467)="VIP",UPPER(MAESTRO!$J467)="SI",MAESTRO!$F467&lt;&gt;""),MAESTRO!$P467,"")</f>
        <v/>
      </c>
      <c r="B467" t="str">
        <f>IF($A467&lt;&gt;"",MAESTRO!$B467,"")</f>
        <v/>
      </c>
      <c r="C467" t="str">
        <f>IF($A467&lt;&gt;"",MAESTRO!$A467,"")</f>
        <v/>
      </c>
      <c r="D467" t="str">
        <f>IF($A467&lt;&gt;"",MAESTRO!$C467,"")</f>
        <v/>
      </c>
      <c r="E467" t="str">
        <f>IF($A467&lt;&gt;"",MAESTRO!$M467,"")</f>
        <v/>
      </c>
      <c r="F467" t="str">
        <f>IF($A467&lt;&gt;"",MAESTRO!$J467,"")</f>
        <v/>
      </c>
      <c r="G467" t="str">
        <f>IF($A467&lt;&gt;"",MAESTRO!$D467,"")</f>
        <v/>
      </c>
      <c r="H467" t="str">
        <f>IF($A467&lt;&gt;"",IF(TRIM(MAESTRO!$G467&amp;" "&amp;MAESTRO!$H467&amp;" "&amp;MAESTRO!$I467)="",MAESTRO!$F467,TRIM(MAESTRO!$G467&amp;" "&amp;MAESTRO!$H467&amp;" "&amp;MAESTRO!$I467)),"")</f>
        <v/>
      </c>
      <c r="I467" t="str">
        <f>IF($A467&lt;&gt;"",MAESTRO!$K467,"")</f>
        <v/>
      </c>
      <c r="J467" t="str">
        <f>IF($A467&lt;&gt;"",467,"")</f>
        <v/>
      </c>
    </row>
    <row r="468" spans="1:10" x14ac:dyDescent="0.2">
      <c r="A468" t="str">
        <f>IF(AND(UPPER(MAESTRO!$M468)="VIP",UPPER(MAESTRO!$J468)="SI",MAESTRO!$F468&lt;&gt;""),MAESTRO!$P468,"")</f>
        <v/>
      </c>
      <c r="B468" t="str">
        <f>IF($A468&lt;&gt;"",MAESTRO!$B468,"")</f>
        <v/>
      </c>
      <c r="C468" t="str">
        <f>IF($A468&lt;&gt;"",MAESTRO!$A468,"")</f>
        <v/>
      </c>
      <c r="D468" t="str">
        <f>IF($A468&lt;&gt;"",MAESTRO!$C468,"")</f>
        <v/>
      </c>
      <c r="E468" t="str">
        <f>IF($A468&lt;&gt;"",MAESTRO!$M468,"")</f>
        <v/>
      </c>
      <c r="F468" t="str">
        <f>IF($A468&lt;&gt;"",MAESTRO!$J468,"")</f>
        <v/>
      </c>
      <c r="G468" t="str">
        <f>IF($A468&lt;&gt;"",MAESTRO!$D468,"")</f>
        <v/>
      </c>
      <c r="H468" t="str">
        <f>IF($A468&lt;&gt;"",IF(TRIM(MAESTRO!$G468&amp;" "&amp;MAESTRO!$H468&amp;" "&amp;MAESTRO!$I468)="",MAESTRO!$F468,TRIM(MAESTRO!$G468&amp;" "&amp;MAESTRO!$H468&amp;" "&amp;MAESTRO!$I468)),"")</f>
        <v/>
      </c>
      <c r="I468" t="str">
        <f>IF($A468&lt;&gt;"",MAESTRO!$K468,"")</f>
        <v/>
      </c>
      <c r="J468" t="str">
        <f>IF($A468&lt;&gt;"",468,"")</f>
        <v/>
      </c>
    </row>
    <row r="469" spans="1:10" x14ac:dyDescent="0.2">
      <c r="A469" t="str">
        <f>IF(AND(UPPER(MAESTRO!$M469)="VIP",UPPER(MAESTRO!$J469)="SI",MAESTRO!$F469&lt;&gt;""),MAESTRO!$P469,"")</f>
        <v/>
      </c>
      <c r="B469" t="str">
        <f>IF($A469&lt;&gt;"",MAESTRO!$B469,"")</f>
        <v/>
      </c>
      <c r="C469" t="str">
        <f>IF($A469&lt;&gt;"",MAESTRO!$A469,"")</f>
        <v/>
      </c>
      <c r="D469" t="str">
        <f>IF($A469&lt;&gt;"",MAESTRO!$C469,"")</f>
        <v/>
      </c>
      <c r="E469" t="str">
        <f>IF($A469&lt;&gt;"",MAESTRO!$M469,"")</f>
        <v/>
      </c>
      <c r="F469" t="str">
        <f>IF($A469&lt;&gt;"",MAESTRO!$J469,"")</f>
        <v/>
      </c>
      <c r="G469" t="str">
        <f>IF($A469&lt;&gt;"",MAESTRO!$D469,"")</f>
        <v/>
      </c>
      <c r="H469" t="str">
        <f>IF($A469&lt;&gt;"",IF(TRIM(MAESTRO!$G469&amp;" "&amp;MAESTRO!$H469&amp;" "&amp;MAESTRO!$I469)="",MAESTRO!$F469,TRIM(MAESTRO!$G469&amp;" "&amp;MAESTRO!$H469&amp;" "&amp;MAESTRO!$I469)),"")</f>
        <v/>
      </c>
      <c r="I469" t="str">
        <f>IF($A469&lt;&gt;"",MAESTRO!$K469,"")</f>
        <v/>
      </c>
      <c r="J469" t="str">
        <f>IF($A469&lt;&gt;"",469,"")</f>
        <v/>
      </c>
    </row>
    <row r="470" spans="1:10" x14ac:dyDescent="0.2">
      <c r="A470" t="str">
        <f>IF(AND(UPPER(MAESTRO!$M470)="VIP",UPPER(MAESTRO!$J470)="SI",MAESTRO!$F470&lt;&gt;""),MAESTRO!$P470,"")</f>
        <v/>
      </c>
      <c r="B470" t="str">
        <f>IF($A470&lt;&gt;"",MAESTRO!$B470,"")</f>
        <v/>
      </c>
      <c r="C470" t="str">
        <f>IF($A470&lt;&gt;"",MAESTRO!$A470,"")</f>
        <v/>
      </c>
      <c r="D470" t="str">
        <f>IF($A470&lt;&gt;"",MAESTRO!$C470,"")</f>
        <v/>
      </c>
      <c r="E470" t="str">
        <f>IF($A470&lt;&gt;"",MAESTRO!$M470,"")</f>
        <v/>
      </c>
      <c r="F470" t="str">
        <f>IF($A470&lt;&gt;"",MAESTRO!$J470,"")</f>
        <v/>
      </c>
      <c r="G470" t="str">
        <f>IF($A470&lt;&gt;"",MAESTRO!$D470,"")</f>
        <v/>
      </c>
      <c r="H470" t="str">
        <f>IF($A470&lt;&gt;"",IF(TRIM(MAESTRO!$G470&amp;" "&amp;MAESTRO!$H470&amp;" "&amp;MAESTRO!$I470)="",MAESTRO!$F470,TRIM(MAESTRO!$G470&amp;" "&amp;MAESTRO!$H470&amp;" "&amp;MAESTRO!$I470)),"")</f>
        <v/>
      </c>
      <c r="I470" t="str">
        <f>IF($A470&lt;&gt;"",MAESTRO!$K470,"")</f>
        <v/>
      </c>
      <c r="J470" t="str">
        <f>IF($A470&lt;&gt;"",470,"")</f>
        <v/>
      </c>
    </row>
    <row r="471" spans="1:10" x14ac:dyDescent="0.2">
      <c r="A471" t="str">
        <f>IF(AND(UPPER(MAESTRO!$M471)="VIP",UPPER(MAESTRO!$J471)="SI",MAESTRO!$F471&lt;&gt;""),MAESTRO!$P471,"")</f>
        <v/>
      </c>
      <c r="B471" t="str">
        <f>IF($A471&lt;&gt;"",MAESTRO!$B471,"")</f>
        <v/>
      </c>
      <c r="C471" t="str">
        <f>IF($A471&lt;&gt;"",MAESTRO!$A471,"")</f>
        <v/>
      </c>
      <c r="D471" t="str">
        <f>IF($A471&lt;&gt;"",MAESTRO!$C471,"")</f>
        <v/>
      </c>
      <c r="E471" t="str">
        <f>IF($A471&lt;&gt;"",MAESTRO!$M471,"")</f>
        <v/>
      </c>
      <c r="F471" t="str">
        <f>IF($A471&lt;&gt;"",MAESTRO!$J471,"")</f>
        <v/>
      </c>
      <c r="G471" t="str">
        <f>IF($A471&lt;&gt;"",MAESTRO!$D471,"")</f>
        <v/>
      </c>
      <c r="H471" t="str">
        <f>IF($A471&lt;&gt;"",IF(TRIM(MAESTRO!$G471&amp;" "&amp;MAESTRO!$H471&amp;" "&amp;MAESTRO!$I471)="",MAESTRO!$F471,TRIM(MAESTRO!$G471&amp;" "&amp;MAESTRO!$H471&amp;" "&amp;MAESTRO!$I471)),"")</f>
        <v/>
      </c>
      <c r="I471" t="str">
        <f>IF($A471&lt;&gt;"",MAESTRO!$K471,"")</f>
        <v/>
      </c>
      <c r="J471" t="str">
        <f>IF($A471&lt;&gt;"",471,"")</f>
        <v/>
      </c>
    </row>
    <row r="472" spans="1:10" x14ac:dyDescent="0.2">
      <c r="A472" t="str">
        <f>IF(AND(UPPER(MAESTRO!$M472)="VIP",UPPER(MAESTRO!$J472)="SI",MAESTRO!$F472&lt;&gt;""),MAESTRO!$P472,"")</f>
        <v/>
      </c>
      <c r="B472" t="str">
        <f>IF($A472&lt;&gt;"",MAESTRO!$B472,"")</f>
        <v/>
      </c>
      <c r="C472" t="str">
        <f>IF($A472&lt;&gt;"",MAESTRO!$A472,"")</f>
        <v/>
      </c>
      <c r="D472" t="str">
        <f>IF($A472&lt;&gt;"",MAESTRO!$C472,"")</f>
        <v/>
      </c>
      <c r="E472" t="str">
        <f>IF($A472&lt;&gt;"",MAESTRO!$M472,"")</f>
        <v/>
      </c>
      <c r="F472" t="str">
        <f>IF($A472&lt;&gt;"",MAESTRO!$J472,"")</f>
        <v/>
      </c>
      <c r="G472" t="str">
        <f>IF($A472&lt;&gt;"",MAESTRO!$D472,"")</f>
        <v/>
      </c>
      <c r="H472" t="str">
        <f>IF($A472&lt;&gt;"",IF(TRIM(MAESTRO!$G472&amp;" "&amp;MAESTRO!$H472&amp;" "&amp;MAESTRO!$I472)="",MAESTRO!$F472,TRIM(MAESTRO!$G472&amp;" "&amp;MAESTRO!$H472&amp;" "&amp;MAESTRO!$I472)),"")</f>
        <v/>
      </c>
      <c r="I472" t="str">
        <f>IF($A472&lt;&gt;"",MAESTRO!$K472,"")</f>
        <v/>
      </c>
      <c r="J472" t="str">
        <f>IF($A472&lt;&gt;"",472,"")</f>
        <v/>
      </c>
    </row>
    <row r="473" spans="1:10" x14ac:dyDescent="0.2">
      <c r="A473" t="str">
        <f>IF(AND(UPPER(MAESTRO!$M473)="VIP",UPPER(MAESTRO!$J473)="SI",MAESTRO!$F473&lt;&gt;""),MAESTRO!$P473,"")</f>
        <v>A43</v>
      </c>
      <c r="B473">
        <f>IF($A473&lt;&gt;"",MAESTRO!$B473,"")</f>
        <v>472</v>
      </c>
      <c r="C473">
        <f>IF($A473&lt;&gt;"",MAESTRO!$A473,"")</f>
        <v>472</v>
      </c>
      <c r="D473" t="str">
        <f>IF($A473&lt;&gt;"",MAESTRO!$C473,"")</f>
        <v xml:space="preserve">INVITADOS ASMAR </v>
      </c>
      <c r="E473" t="str">
        <f>IF($A473&lt;&gt;"",MAESTRO!$M473,"")</f>
        <v>VIP</v>
      </c>
      <c r="F473" t="str">
        <f>IF($A473&lt;&gt;"",MAESTRO!$J473,"")</f>
        <v>SI</v>
      </c>
      <c r="G473" t="str">
        <f>IF($A473&lt;&gt;"",MAESTRO!$D473,"")</f>
        <v>Señor</v>
      </c>
      <c r="H473" t="str">
        <f>IF($A473&lt;&gt;"",IF(TRIM(MAESTRO!$G473&amp;" "&amp;MAESTRO!$H473&amp;" "&amp;MAESTRO!$I473)="",MAESTRO!$F473,TRIM(MAESTRO!$G473&amp;" "&amp;MAESTRO!$H473&amp;" "&amp;MAESTRO!$I473)),"")</f>
        <v>Carlos Cardoen Cornejo</v>
      </c>
      <c r="I473" t="str">
        <f>IF($A473&lt;&gt;"",MAESTRO!$K473,"")</f>
        <v>Invitado Especial Director ASMAR</v>
      </c>
      <c r="J473">
        <f>IF($A473&lt;&gt;"",473,"")</f>
        <v>473</v>
      </c>
    </row>
    <row r="474" spans="1:10" x14ac:dyDescent="0.2">
      <c r="A474" t="str">
        <f>IF(AND(UPPER(MAESTRO!$M474)="VIP",UPPER(MAESTRO!$J474)="SI",MAESTRO!$F474&lt;&gt;""),MAESTRO!$P474,"")</f>
        <v>A2</v>
      </c>
      <c r="B474">
        <f>IF($A474&lt;&gt;"",MAESTRO!$B474,"")</f>
        <v>473</v>
      </c>
      <c r="C474">
        <f>IF($A474&lt;&gt;"",MAESTRO!$A474,"")</f>
        <v>473</v>
      </c>
      <c r="D474" t="str">
        <f>IF($A474&lt;&gt;"",MAESTRO!$C474,"")</f>
        <v xml:space="preserve">INVITADOS ASMAR </v>
      </c>
      <c r="E474" t="str">
        <f>IF($A474&lt;&gt;"",MAESTRO!$M474,"")</f>
        <v>VIP</v>
      </c>
      <c r="F474" t="str">
        <f>IF($A474&lt;&gt;"",MAESTRO!$J474,"")</f>
        <v>SI</v>
      </c>
      <c r="G474" t="str">
        <f>IF($A474&lt;&gt;"",MAESTRO!$D474,"")</f>
        <v>Señor</v>
      </c>
      <c r="H474" t="str">
        <f>IF($A474&lt;&gt;"",IF(TRIM(MAESTRO!$G474&amp;" "&amp;MAESTRO!$H474&amp;" "&amp;MAESTRO!$I474)="",MAESTRO!$F474,TRIM(MAESTRO!$G474&amp;" "&amp;MAESTRO!$H474&amp;" "&amp;MAESTRO!$I474)),"")</f>
        <v>Rodrigo Cardoen Aylwin</v>
      </c>
      <c r="I474" t="str">
        <f>IF($A474&lt;&gt;"",MAESTRO!$K474,"")</f>
        <v>Invitado Especial Director ASMAR</v>
      </c>
      <c r="J474">
        <f>IF($A474&lt;&gt;"",474,"")</f>
        <v>474</v>
      </c>
    </row>
    <row r="475" spans="1:10" x14ac:dyDescent="0.2">
      <c r="A475" t="str">
        <f>IF(AND(UPPER(MAESTRO!$M475)="VIP",UPPER(MAESTRO!$J475)="SI",MAESTRO!$F475&lt;&gt;""),MAESTRO!$P475,"")</f>
        <v/>
      </c>
      <c r="B475" t="str">
        <f>IF($A475&lt;&gt;"",MAESTRO!$B475,"")</f>
        <v/>
      </c>
      <c r="C475" t="str">
        <f>IF($A475&lt;&gt;"",MAESTRO!$A475,"")</f>
        <v/>
      </c>
      <c r="D475" t="str">
        <f>IF($A475&lt;&gt;"",MAESTRO!$C475,"")</f>
        <v/>
      </c>
      <c r="E475" t="str">
        <f>IF($A475&lt;&gt;"",MAESTRO!$M475,"")</f>
        <v/>
      </c>
      <c r="F475" t="str">
        <f>IF($A475&lt;&gt;"",MAESTRO!$J475,"")</f>
        <v/>
      </c>
      <c r="G475" t="str">
        <f>IF($A475&lt;&gt;"",MAESTRO!$D475,"")</f>
        <v/>
      </c>
      <c r="H475" t="str">
        <f>IF($A475&lt;&gt;"",IF(TRIM(MAESTRO!$G475&amp;" "&amp;MAESTRO!$H475&amp;" "&amp;MAESTRO!$I475)="",MAESTRO!$F475,TRIM(MAESTRO!$G475&amp;" "&amp;MAESTRO!$H475&amp;" "&amp;MAESTRO!$I475)),"")</f>
        <v/>
      </c>
      <c r="I475" t="str">
        <f>IF($A475&lt;&gt;"",MAESTRO!$K475,"")</f>
        <v/>
      </c>
      <c r="J475" t="str">
        <f>IF($A475&lt;&gt;"",475,"")</f>
        <v/>
      </c>
    </row>
    <row r="476" spans="1:10" x14ac:dyDescent="0.2">
      <c r="A476" t="str">
        <f>IF(AND(UPPER(MAESTRO!$M476)="VIP",UPPER(MAESTRO!$J476)="SI",MAESTRO!$F476&lt;&gt;""),MAESTRO!$P476,"")</f>
        <v/>
      </c>
      <c r="B476" t="str">
        <f>IF($A476&lt;&gt;"",MAESTRO!$B476,"")</f>
        <v/>
      </c>
      <c r="C476" t="str">
        <f>IF($A476&lt;&gt;"",MAESTRO!$A476,"")</f>
        <v/>
      </c>
      <c r="D476" t="str">
        <f>IF($A476&lt;&gt;"",MAESTRO!$C476,"")</f>
        <v/>
      </c>
      <c r="E476" t="str">
        <f>IF($A476&lt;&gt;"",MAESTRO!$M476,"")</f>
        <v/>
      </c>
      <c r="F476" t="str">
        <f>IF($A476&lt;&gt;"",MAESTRO!$J476,"")</f>
        <v/>
      </c>
      <c r="G476" t="str">
        <f>IF($A476&lt;&gt;"",MAESTRO!$D476,"")</f>
        <v/>
      </c>
      <c r="H476" t="str">
        <f>IF($A476&lt;&gt;"",IF(TRIM(MAESTRO!$G476&amp;" "&amp;MAESTRO!$H476&amp;" "&amp;MAESTRO!$I476)="",MAESTRO!$F476,TRIM(MAESTRO!$G476&amp;" "&amp;MAESTRO!$H476&amp;" "&amp;MAESTRO!$I476)),"")</f>
        <v/>
      </c>
      <c r="I476" t="str">
        <f>IF($A476&lt;&gt;"",MAESTRO!$K476,"")</f>
        <v/>
      </c>
      <c r="J476" t="str">
        <f>IF($A476&lt;&gt;"",476,"")</f>
        <v/>
      </c>
    </row>
    <row r="477" spans="1:10" x14ac:dyDescent="0.2">
      <c r="A477" t="str">
        <f>IF(AND(UPPER(MAESTRO!$M477)="VIP",UPPER(MAESTRO!$J477)="SI",MAESTRO!$F477&lt;&gt;""),MAESTRO!$P477,"")</f>
        <v/>
      </c>
      <c r="B477" t="str">
        <f>IF($A477&lt;&gt;"",MAESTRO!$B477,"")</f>
        <v/>
      </c>
      <c r="C477" t="str">
        <f>IF($A477&lt;&gt;"",MAESTRO!$A477,"")</f>
        <v/>
      </c>
      <c r="D477" t="str">
        <f>IF($A477&lt;&gt;"",MAESTRO!$C477,"")</f>
        <v/>
      </c>
      <c r="E477" t="str">
        <f>IF($A477&lt;&gt;"",MAESTRO!$M477,"")</f>
        <v/>
      </c>
      <c r="F477" t="str">
        <f>IF($A477&lt;&gt;"",MAESTRO!$J477,"")</f>
        <v/>
      </c>
      <c r="G477" t="str">
        <f>IF($A477&lt;&gt;"",MAESTRO!$D477,"")</f>
        <v/>
      </c>
      <c r="H477" t="str">
        <f>IF($A477&lt;&gt;"",IF(TRIM(MAESTRO!$G477&amp;" "&amp;MAESTRO!$H477&amp;" "&amp;MAESTRO!$I477)="",MAESTRO!$F477,TRIM(MAESTRO!$G477&amp;" "&amp;MAESTRO!$H477&amp;" "&amp;MAESTRO!$I477)),"")</f>
        <v/>
      </c>
      <c r="I477" t="str">
        <f>IF($A477&lt;&gt;"",MAESTRO!$K477,"")</f>
        <v/>
      </c>
      <c r="J477" t="str">
        <f>IF($A477&lt;&gt;"",477,"")</f>
        <v/>
      </c>
    </row>
    <row r="478" spans="1:10" x14ac:dyDescent="0.2">
      <c r="A478" t="str">
        <f>IF(AND(UPPER(MAESTRO!$M478)="VIP",UPPER(MAESTRO!$J478)="SI",MAESTRO!$F478&lt;&gt;""),MAESTRO!$P478,"")</f>
        <v/>
      </c>
      <c r="B478" t="str">
        <f>IF($A478&lt;&gt;"",MAESTRO!$B478,"")</f>
        <v/>
      </c>
      <c r="C478" t="str">
        <f>IF($A478&lt;&gt;"",MAESTRO!$A478,"")</f>
        <v/>
      </c>
      <c r="D478" t="str">
        <f>IF($A478&lt;&gt;"",MAESTRO!$C478,"")</f>
        <v/>
      </c>
      <c r="E478" t="str">
        <f>IF($A478&lt;&gt;"",MAESTRO!$M478,"")</f>
        <v/>
      </c>
      <c r="F478" t="str">
        <f>IF($A478&lt;&gt;"",MAESTRO!$J478,"")</f>
        <v/>
      </c>
      <c r="G478" t="str">
        <f>IF($A478&lt;&gt;"",MAESTRO!$D478,"")</f>
        <v/>
      </c>
      <c r="H478" t="str">
        <f>IF($A478&lt;&gt;"",IF(TRIM(MAESTRO!$G478&amp;" "&amp;MAESTRO!$H478&amp;" "&amp;MAESTRO!$I478)="",MAESTRO!$F478,TRIM(MAESTRO!$G478&amp;" "&amp;MAESTRO!$H478&amp;" "&amp;MAESTRO!$I478)),"")</f>
        <v/>
      </c>
      <c r="I478" t="str">
        <f>IF($A478&lt;&gt;"",MAESTRO!$K478,"")</f>
        <v/>
      </c>
      <c r="J478" t="str">
        <f>IF($A478&lt;&gt;"",478,"")</f>
        <v/>
      </c>
    </row>
    <row r="479" spans="1:10" x14ac:dyDescent="0.2">
      <c r="A479" t="str">
        <f>IF(AND(UPPER(MAESTRO!$M479)="VIP",UPPER(MAESTRO!$J479)="SI",MAESTRO!$F479&lt;&gt;""),MAESTRO!$P479,"")</f>
        <v/>
      </c>
      <c r="B479" t="str">
        <f>IF($A479&lt;&gt;"",MAESTRO!$B479,"")</f>
        <v/>
      </c>
      <c r="C479" t="str">
        <f>IF($A479&lt;&gt;"",MAESTRO!$A479,"")</f>
        <v/>
      </c>
      <c r="D479" t="str">
        <f>IF($A479&lt;&gt;"",MAESTRO!$C479,"")</f>
        <v/>
      </c>
      <c r="E479" t="str">
        <f>IF($A479&lt;&gt;"",MAESTRO!$M479,"")</f>
        <v/>
      </c>
      <c r="F479" t="str">
        <f>IF($A479&lt;&gt;"",MAESTRO!$J479,"")</f>
        <v/>
      </c>
      <c r="G479" t="str">
        <f>IF($A479&lt;&gt;"",MAESTRO!$D479,"")</f>
        <v/>
      </c>
      <c r="H479" t="str">
        <f>IF($A479&lt;&gt;"",IF(TRIM(MAESTRO!$G479&amp;" "&amp;MAESTRO!$H479&amp;" "&amp;MAESTRO!$I479)="",MAESTRO!$F479,TRIM(MAESTRO!$G479&amp;" "&amp;MAESTRO!$H479&amp;" "&amp;MAESTRO!$I479)),"")</f>
        <v/>
      </c>
      <c r="I479" t="str">
        <f>IF($A479&lt;&gt;"",MAESTRO!$K479,"")</f>
        <v/>
      </c>
      <c r="J479" t="str">
        <f>IF($A479&lt;&gt;"",479,"")</f>
        <v/>
      </c>
    </row>
    <row r="480" spans="1:10" x14ac:dyDescent="0.2">
      <c r="A480" t="str">
        <f>IF(AND(UPPER(MAESTRO!$M480)="VIP",UPPER(MAESTRO!$J480)="SI",MAESTRO!$F480&lt;&gt;""),MAESTRO!$P480,"")</f>
        <v/>
      </c>
      <c r="B480" t="str">
        <f>IF($A480&lt;&gt;"",MAESTRO!$B480,"")</f>
        <v/>
      </c>
      <c r="C480" t="str">
        <f>IF($A480&lt;&gt;"",MAESTRO!$A480,"")</f>
        <v/>
      </c>
      <c r="D480" t="str">
        <f>IF($A480&lt;&gt;"",MAESTRO!$C480,"")</f>
        <v/>
      </c>
      <c r="E480" t="str">
        <f>IF($A480&lt;&gt;"",MAESTRO!$M480,"")</f>
        <v/>
      </c>
      <c r="F480" t="str">
        <f>IF($A480&lt;&gt;"",MAESTRO!$J480,"")</f>
        <v/>
      </c>
      <c r="G480" t="str">
        <f>IF($A480&lt;&gt;"",MAESTRO!$D480,"")</f>
        <v/>
      </c>
      <c r="H480" t="str">
        <f>IF($A480&lt;&gt;"",IF(TRIM(MAESTRO!$G480&amp;" "&amp;MAESTRO!$H480&amp;" "&amp;MAESTRO!$I480)="",MAESTRO!$F480,TRIM(MAESTRO!$G480&amp;" "&amp;MAESTRO!$H480&amp;" "&amp;MAESTRO!$I480)),"")</f>
        <v/>
      </c>
      <c r="I480" t="str">
        <f>IF($A480&lt;&gt;"",MAESTRO!$K480,"")</f>
        <v/>
      </c>
      <c r="J480" t="str">
        <f>IF($A480&lt;&gt;"",480,"")</f>
        <v/>
      </c>
    </row>
    <row r="481" spans="1:10" x14ac:dyDescent="0.2">
      <c r="A481" t="str">
        <f>IF(AND(UPPER(MAESTRO!$M481)="VIP",UPPER(MAESTRO!$J481)="SI",MAESTRO!$F481&lt;&gt;""),MAESTRO!$P481,"")</f>
        <v/>
      </c>
      <c r="B481" t="str">
        <f>IF($A481&lt;&gt;"",MAESTRO!$B481,"")</f>
        <v/>
      </c>
      <c r="C481" t="str">
        <f>IF($A481&lt;&gt;"",MAESTRO!$A481,"")</f>
        <v/>
      </c>
      <c r="D481" t="str">
        <f>IF($A481&lt;&gt;"",MAESTRO!$C481,"")</f>
        <v/>
      </c>
      <c r="E481" t="str">
        <f>IF($A481&lt;&gt;"",MAESTRO!$M481,"")</f>
        <v/>
      </c>
      <c r="F481" t="str">
        <f>IF($A481&lt;&gt;"",MAESTRO!$J481,"")</f>
        <v/>
      </c>
      <c r="G481" t="str">
        <f>IF($A481&lt;&gt;"",MAESTRO!$D481,"")</f>
        <v/>
      </c>
      <c r="H481" t="str">
        <f>IF($A481&lt;&gt;"",IF(TRIM(MAESTRO!$G481&amp;" "&amp;MAESTRO!$H481&amp;" "&amp;MAESTRO!$I481)="",MAESTRO!$F481,TRIM(MAESTRO!$G481&amp;" "&amp;MAESTRO!$H481&amp;" "&amp;MAESTRO!$I481)),"")</f>
        <v/>
      </c>
      <c r="I481" t="str">
        <f>IF($A481&lt;&gt;"",MAESTRO!$K481,"")</f>
        <v/>
      </c>
      <c r="J481" t="str">
        <f>IF($A481&lt;&gt;"",481,"")</f>
        <v/>
      </c>
    </row>
    <row r="482" spans="1:10" x14ac:dyDescent="0.2">
      <c r="A482" t="str">
        <f>IF(AND(UPPER(MAESTRO!$M482)="VIP",UPPER(MAESTRO!$J482)="SI",MAESTRO!$F482&lt;&gt;""),MAESTRO!$P482,"")</f>
        <v/>
      </c>
      <c r="B482" t="str">
        <f>IF($A482&lt;&gt;"",MAESTRO!$B482,"")</f>
        <v/>
      </c>
      <c r="C482" t="str">
        <f>IF($A482&lt;&gt;"",MAESTRO!$A482,"")</f>
        <v/>
      </c>
      <c r="D482" t="str">
        <f>IF($A482&lt;&gt;"",MAESTRO!$C482,"")</f>
        <v/>
      </c>
      <c r="E482" t="str">
        <f>IF($A482&lt;&gt;"",MAESTRO!$M482,"")</f>
        <v/>
      </c>
      <c r="F482" t="str">
        <f>IF($A482&lt;&gt;"",MAESTRO!$J482,"")</f>
        <v/>
      </c>
      <c r="G482" t="str">
        <f>IF($A482&lt;&gt;"",MAESTRO!$D482,"")</f>
        <v/>
      </c>
      <c r="H482" t="str">
        <f>IF($A482&lt;&gt;"",IF(TRIM(MAESTRO!$G482&amp;" "&amp;MAESTRO!$H482&amp;" "&amp;MAESTRO!$I482)="",MAESTRO!$F482,TRIM(MAESTRO!$G482&amp;" "&amp;MAESTRO!$H482&amp;" "&amp;MAESTRO!$I482)),"")</f>
        <v/>
      </c>
      <c r="I482" t="str">
        <f>IF($A482&lt;&gt;"",MAESTRO!$K482,"")</f>
        <v/>
      </c>
      <c r="J482" t="str">
        <f>IF($A482&lt;&gt;"",482,"")</f>
        <v/>
      </c>
    </row>
    <row r="483" spans="1:10" x14ac:dyDescent="0.2">
      <c r="A483" t="str">
        <f>IF(AND(UPPER(MAESTRO!$M483)="VIP",UPPER(MAESTRO!$J483)="SI",MAESTRO!$F483&lt;&gt;""),MAESTRO!$P483,"")</f>
        <v/>
      </c>
      <c r="B483" t="str">
        <f>IF($A483&lt;&gt;"",MAESTRO!$B483,"")</f>
        <v/>
      </c>
      <c r="C483" t="str">
        <f>IF($A483&lt;&gt;"",MAESTRO!$A483,"")</f>
        <v/>
      </c>
      <c r="D483" t="str">
        <f>IF($A483&lt;&gt;"",MAESTRO!$C483,"")</f>
        <v/>
      </c>
      <c r="E483" t="str">
        <f>IF($A483&lt;&gt;"",MAESTRO!$M483,"")</f>
        <v/>
      </c>
      <c r="F483" t="str">
        <f>IF($A483&lt;&gt;"",MAESTRO!$J483,"")</f>
        <v/>
      </c>
      <c r="G483" t="str">
        <f>IF($A483&lt;&gt;"",MAESTRO!$D483,"")</f>
        <v/>
      </c>
      <c r="H483" t="str">
        <f>IF($A483&lt;&gt;"",IF(TRIM(MAESTRO!$G483&amp;" "&amp;MAESTRO!$H483&amp;" "&amp;MAESTRO!$I483)="",MAESTRO!$F483,TRIM(MAESTRO!$G483&amp;" "&amp;MAESTRO!$H483&amp;" "&amp;MAESTRO!$I483)),"")</f>
        <v/>
      </c>
      <c r="I483" t="str">
        <f>IF($A483&lt;&gt;"",MAESTRO!$K483,"")</f>
        <v/>
      </c>
      <c r="J483" t="str">
        <f>IF($A483&lt;&gt;"",483,"")</f>
        <v/>
      </c>
    </row>
    <row r="484" spans="1:10" x14ac:dyDescent="0.2">
      <c r="A484" t="str">
        <f>IF(AND(UPPER(MAESTRO!$M484)="VIP",UPPER(MAESTRO!$J484)="SI",MAESTRO!$F484&lt;&gt;""),MAESTRO!$P484,"")</f>
        <v/>
      </c>
      <c r="B484" t="str">
        <f>IF($A484&lt;&gt;"",MAESTRO!$B484,"")</f>
        <v/>
      </c>
      <c r="C484" t="str">
        <f>IF($A484&lt;&gt;"",MAESTRO!$A484,"")</f>
        <v/>
      </c>
      <c r="D484" t="str">
        <f>IF($A484&lt;&gt;"",MAESTRO!$C484,"")</f>
        <v/>
      </c>
      <c r="E484" t="str">
        <f>IF($A484&lt;&gt;"",MAESTRO!$M484,"")</f>
        <v/>
      </c>
      <c r="F484" t="str">
        <f>IF($A484&lt;&gt;"",MAESTRO!$J484,"")</f>
        <v/>
      </c>
      <c r="G484" t="str">
        <f>IF($A484&lt;&gt;"",MAESTRO!$D484,"")</f>
        <v/>
      </c>
      <c r="H484" t="str">
        <f>IF($A484&lt;&gt;"",IF(TRIM(MAESTRO!$G484&amp;" "&amp;MAESTRO!$H484&amp;" "&amp;MAESTRO!$I484)="",MAESTRO!$F484,TRIM(MAESTRO!$G484&amp;" "&amp;MAESTRO!$H484&amp;" "&amp;MAESTRO!$I484)),"")</f>
        <v/>
      </c>
      <c r="I484" t="str">
        <f>IF($A484&lt;&gt;"",MAESTRO!$K484,"")</f>
        <v/>
      </c>
      <c r="J484" t="str">
        <f>IF($A484&lt;&gt;"",484,"")</f>
        <v/>
      </c>
    </row>
    <row r="485" spans="1:10" x14ac:dyDescent="0.2">
      <c r="A485" t="str">
        <f>IF(AND(UPPER(MAESTRO!$M485)="VIP",UPPER(MAESTRO!$J485)="SI",MAESTRO!$F485&lt;&gt;""),MAESTRO!$P485,"")</f>
        <v/>
      </c>
      <c r="B485" t="str">
        <f>IF($A485&lt;&gt;"",MAESTRO!$B485,"")</f>
        <v/>
      </c>
      <c r="C485" t="str">
        <f>IF($A485&lt;&gt;"",MAESTRO!$A485,"")</f>
        <v/>
      </c>
      <c r="D485" t="str">
        <f>IF($A485&lt;&gt;"",MAESTRO!$C485,"")</f>
        <v/>
      </c>
      <c r="E485" t="str">
        <f>IF($A485&lt;&gt;"",MAESTRO!$M485,"")</f>
        <v/>
      </c>
      <c r="F485" t="str">
        <f>IF($A485&lt;&gt;"",MAESTRO!$J485,"")</f>
        <v/>
      </c>
      <c r="G485" t="str">
        <f>IF($A485&lt;&gt;"",MAESTRO!$D485,"")</f>
        <v/>
      </c>
      <c r="H485" t="str">
        <f>IF($A485&lt;&gt;"",IF(TRIM(MAESTRO!$G485&amp;" "&amp;MAESTRO!$H485&amp;" "&amp;MAESTRO!$I485)="",MAESTRO!$F485,TRIM(MAESTRO!$G485&amp;" "&amp;MAESTRO!$H485&amp;" "&amp;MAESTRO!$I485)),"")</f>
        <v/>
      </c>
      <c r="I485" t="str">
        <f>IF($A485&lt;&gt;"",MAESTRO!$K485,"")</f>
        <v/>
      </c>
      <c r="J485" t="str">
        <f>IF($A485&lt;&gt;"",485,"")</f>
        <v/>
      </c>
    </row>
    <row r="486" spans="1:10" x14ac:dyDescent="0.2">
      <c r="A486" t="str">
        <f>IF(AND(UPPER(MAESTRO!$M486)="VIP",UPPER(MAESTRO!$J486)="SI",MAESTRO!$F486&lt;&gt;""),MAESTRO!$P486,"")</f>
        <v/>
      </c>
      <c r="B486" t="str">
        <f>IF($A486&lt;&gt;"",MAESTRO!$B486,"")</f>
        <v/>
      </c>
      <c r="C486" t="str">
        <f>IF($A486&lt;&gt;"",MAESTRO!$A486,"")</f>
        <v/>
      </c>
      <c r="D486" t="str">
        <f>IF($A486&lt;&gt;"",MAESTRO!$C486,"")</f>
        <v/>
      </c>
      <c r="E486" t="str">
        <f>IF($A486&lt;&gt;"",MAESTRO!$M486,"")</f>
        <v/>
      </c>
      <c r="F486" t="str">
        <f>IF($A486&lt;&gt;"",MAESTRO!$J486,"")</f>
        <v/>
      </c>
      <c r="G486" t="str">
        <f>IF($A486&lt;&gt;"",MAESTRO!$D486,"")</f>
        <v/>
      </c>
      <c r="H486" t="str">
        <f>IF($A486&lt;&gt;"",IF(TRIM(MAESTRO!$G486&amp;" "&amp;MAESTRO!$H486&amp;" "&amp;MAESTRO!$I486)="",MAESTRO!$F486,TRIM(MAESTRO!$G486&amp;" "&amp;MAESTRO!$H486&amp;" "&amp;MAESTRO!$I486)),"")</f>
        <v/>
      </c>
      <c r="I486" t="str">
        <f>IF($A486&lt;&gt;"",MAESTRO!$K486,"")</f>
        <v/>
      </c>
      <c r="J486" t="str">
        <f>IF($A486&lt;&gt;"",486,"")</f>
        <v/>
      </c>
    </row>
    <row r="487" spans="1:10" x14ac:dyDescent="0.2">
      <c r="A487" t="str">
        <f>IF(AND(UPPER(MAESTRO!$M487)="VIP",UPPER(MAESTRO!$J487)="SI",MAESTRO!$F487&lt;&gt;""),MAESTRO!$P487,"")</f>
        <v/>
      </c>
      <c r="B487" t="str">
        <f>IF($A487&lt;&gt;"",MAESTRO!$B487,"")</f>
        <v/>
      </c>
      <c r="C487" t="str">
        <f>IF($A487&lt;&gt;"",MAESTRO!$A487,"")</f>
        <v/>
      </c>
      <c r="D487" t="str">
        <f>IF($A487&lt;&gt;"",MAESTRO!$C487,"")</f>
        <v/>
      </c>
      <c r="E487" t="str">
        <f>IF($A487&lt;&gt;"",MAESTRO!$M487,"")</f>
        <v/>
      </c>
      <c r="F487" t="str">
        <f>IF($A487&lt;&gt;"",MAESTRO!$J487,"")</f>
        <v/>
      </c>
      <c r="G487" t="str">
        <f>IF($A487&lt;&gt;"",MAESTRO!$D487,"")</f>
        <v/>
      </c>
      <c r="H487" t="str">
        <f>IF($A487&lt;&gt;"",IF(TRIM(MAESTRO!$G487&amp;" "&amp;MAESTRO!$H487&amp;" "&amp;MAESTRO!$I487)="",MAESTRO!$F487,TRIM(MAESTRO!$G487&amp;" "&amp;MAESTRO!$H487&amp;" "&amp;MAESTRO!$I487)),"")</f>
        <v/>
      </c>
      <c r="I487" t="str">
        <f>IF($A487&lt;&gt;"",MAESTRO!$K487,"")</f>
        <v/>
      </c>
      <c r="J487" t="str">
        <f>IF($A487&lt;&gt;"",487,"")</f>
        <v/>
      </c>
    </row>
    <row r="488" spans="1:10" x14ac:dyDescent="0.2">
      <c r="A488" t="str">
        <f>IF(AND(UPPER(MAESTRO!$M488)="VIP",UPPER(MAESTRO!$J488)="SI",MAESTRO!$F488&lt;&gt;""),MAESTRO!$P488,"")</f>
        <v>A1</v>
      </c>
      <c r="B488">
        <f>IF($A488&lt;&gt;"",MAESTRO!$B488,"")</f>
        <v>487</v>
      </c>
      <c r="C488">
        <f>IF($A488&lt;&gt;"",MAESTRO!$A488,"")</f>
        <v>487</v>
      </c>
      <c r="D488" t="str">
        <f>IF($A488&lt;&gt;"",MAESTRO!$C488,"")</f>
        <v xml:space="preserve">INVITADOS ASMAR </v>
      </c>
      <c r="E488" t="str">
        <f>IF($A488&lt;&gt;"",MAESTRO!$M488,"")</f>
        <v>VIP</v>
      </c>
      <c r="F488" t="str">
        <f>IF($A488&lt;&gt;"",MAESTRO!$J488,"")</f>
        <v>SI</v>
      </c>
      <c r="G488">
        <f>IF($A488&lt;&gt;"",MAESTRO!$D488,"")</f>
        <v>0</v>
      </c>
      <c r="H488" t="str">
        <f>IF($A488&lt;&gt;"",IF(TRIM(MAESTRO!$G488&amp;" "&amp;MAESTRO!$H488&amp;" "&amp;MAESTRO!$I488)="",MAESTRO!$F488,TRIM(MAESTRO!$G488&amp;" "&amp;MAESTRO!$H488&amp;" "&amp;MAESTRO!$I488)),"")</f>
        <v>Cristian Vergara</v>
      </c>
      <c r="I488" t="str">
        <f>IF($A488&lt;&gt;"",MAESTRO!$K488,"")</f>
        <v>Gerente General ESSBIO</v>
      </c>
      <c r="J488">
        <f>IF($A488&lt;&gt;"",488,"")</f>
        <v>488</v>
      </c>
    </row>
    <row r="489" spans="1:10" x14ac:dyDescent="0.2">
      <c r="A489" t="str">
        <f>IF(AND(UPPER(MAESTRO!$M489)="VIP",UPPER(MAESTRO!$J489)="SI",MAESTRO!$F489&lt;&gt;""),MAESTRO!$P489,"")</f>
        <v/>
      </c>
      <c r="B489" t="str">
        <f>IF($A489&lt;&gt;"",MAESTRO!$B489,"")</f>
        <v/>
      </c>
      <c r="C489" t="str">
        <f>IF($A489&lt;&gt;"",MAESTRO!$A489,"")</f>
        <v/>
      </c>
      <c r="D489" t="str">
        <f>IF($A489&lt;&gt;"",MAESTRO!$C489,"")</f>
        <v/>
      </c>
      <c r="E489" t="str">
        <f>IF($A489&lt;&gt;"",MAESTRO!$M489,"")</f>
        <v/>
      </c>
      <c r="F489" t="str">
        <f>IF($A489&lt;&gt;"",MAESTRO!$J489,"")</f>
        <v/>
      </c>
      <c r="G489" t="str">
        <f>IF($A489&lt;&gt;"",MAESTRO!$D489,"")</f>
        <v/>
      </c>
      <c r="H489" t="str">
        <f>IF($A489&lt;&gt;"",IF(TRIM(MAESTRO!$G489&amp;" "&amp;MAESTRO!$H489&amp;" "&amp;MAESTRO!$I489)="",MAESTRO!$F489,TRIM(MAESTRO!$G489&amp;" "&amp;MAESTRO!$H489&amp;" "&amp;MAESTRO!$I489)),"")</f>
        <v/>
      </c>
      <c r="I489" t="str">
        <f>IF($A489&lt;&gt;"",MAESTRO!$K489,"")</f>
        <v/>
      </c>
      <c r="J489" t="str">
        <f>IF($A489&lt;&gt;"",489,"")</f>
        <v/>
      </c>
    </row>
    <row r="490" spans="1:10" x14ac:dyDescent="0.2">
      <c r="A490" t="str">
        <f>IF(AND(UPPER(MAESTRO!$M490)="VIP",UPPER(MAESTRO!$J490)="SI",MAESTRO!$F490&lt;&gt;""),MAESTRO!$P490,"")</f>
        <v>PENDIENTE POR ASIGNAR</v>
      </c>
      <c r="B490">
        <f>IF($A490&lt;&gt;"",MAESTRO!$B490,"")</f>
        <v>489</v>
      </c>
      <c r="C490">
        <f>IF($A490&lt;&gt;"",MAESTRO!$A490,"")</f>
        <v>489</v>
      </c>
      <c r="D490" t="str">
        <f>IF($A490&lt;&gt;"",MAESTRO!$C490,"")</f>
        <v xml:space="preserve">INVITADOS ASMAR </v>
      </c>
      <c r="E490" t="str">
        <f>IF($A490&lt;&gt;"",MAESTRO!$M490,"")</f>
        <v>VIP</v>
      </c>
      <c r="F490" t="str">
        <f>IF($A490&lt;&gt;"",MAESTRO!$J490,"")</f>
        <v>SI</v>
      </c>
      <c r="G490">
        <f>IF($A490&lt;&gt;"",MAESTRO!$D490,"")</f>
        <v>0</v>
      </c>
      <c r="H490" t="str">
        <f>IF($A490&lt;&gt;"",IF(TRIM(MAESTRO!$G490&amp;" "&amp;MAESTRO!$H490&amp;" "&amp;MAESTRO!$I490)="",MAESTRO!$F490,TRIM(MAESTRO!$G490&amp;" "&amp;MAESTRO!$H490&amp;" "&amp;MAESTRO!$I490)),"")</f>
        <v>David Fernández</v>
      </c>
      <c r="I490" t="str">
        <f>IF($A490&lt;&gt;"",MAESTRO!$K490,"")</f>
        <v>Gerente General CIDERE</v>
      </c>
      <c r="J490">
        <f>IF($A490&lt;&gt;"",490,"")</f>
        <v>490</v>
      </c>
    </row>
    <row r="491" spans="1:10" x14ac:dyDescent="0.2">
      <c r="A491" t="str">
        <f>IF(AND(UPPER(MAESTRO!$M491)="VIP",UPPER(MAESTRO!$J491)="SI",MAESTRO!$F491&lt;&gt;""),MAESTRO!$P491,"")</f>
        <v>B22</v>
      </c>
      <c r="B491">
        <f>IF($A491&lt;&gt;"",MAESTRO!$B491,"")</f>
        <v>490</v>
      </c>
      <c r="C491">
        <f>IF($A491&lt;&gt;"",MAESTRO!$A491,"")</f>
        <v>490</v>
      </c>
      <c r="D491" t="str">
        <f>IF($A491&lt;&gt;"",MAESTRO!$C491,"")</f>
        <v xml:space="preserve">INVITADOS ASMAR </v>
      </c>
      <c r="E491" t="str">
        <f>IF($A491&lt;&gt;"",MAESTRO!$M491,"")</f>
        <v>VIP</v>
      </c>
      <c r="F491" t="str">
        <f>IF($A491&lt;&gt;"",MAESTRO!$J491,"")</f>
        <v>SI</v>
      </c>
      <c r="G491" t="str">
        <f>IF($A491&lt;&gt;"",MAESTRO!$D491,"")</f>
        <v>Señor</v>
      </c>
      <c r="H491" t="str">
        <f>IF($A491&lt;&gt;"",IF(TRIM(MAESTRO!$G491&amp;" "&amp;MAESTRO!$H491&amp;" "&amp;MAESTRO!$I491)="",MAESTRO!$F491,TRIM(MAESTRO!$G491&amp;" "&amp;MAESTRO!$H491&amp;" "&amp;MAESTRO!$I491)),"")</f>
        <v>Nelson Donoso</v>
      </c>
      <c r="I491" t="str">
        <f>IF($A491&lt;&gt;"",MAESTRO!$K491,"")</f>
        <v>Presidente IRADE</v>
      </c>
      <c r="J491">
        <f>IF($A491&lt;&gt;"",491,"")</f>
        <v>491</v>
      </c>
    </row>
    <row r="492" spans="1:10" x14ac:dyDescent="0.2">
      <c r="A492" t="str">
        <f>IF(AND(UPPER(MAESTRO!$M492)="VIP",UPPER(MAESTRO!$J492)="SI",MAESTRO!$F492&lt;&gt;""),MAESTRO!$P492,"")</f>
        <v>B25</v>
      </c>
      <c r="B492">
        <f>IF($A492&lt;&gt;"",MAESTRO!$B492,"")</f>
        <v>491</v>
      </c>
      <c r="C492">
        <f>IF($A492&lt;&gt;"",MAESTRO!$A492,"")</f>
        <v>491</v>
      </c>
      <c r="D492" t="str">
        <f>IF($A492&lt;&gt;"",MAESTRO!$C492,"")</f>
        <v xml:space="preserve">INVITADOS ASMAR </v>
      </c>
      <c r="E492" t="str">
        <f>IF($A492&lt;&gt;"",MAESTRO!$M492,"")</f>
        <v>VIP</v>
      </c>
      <c r="F492" t="str">
        <f>IF($A492&lt;&gt;"",MAESTRO!$J492,"")</f>
        <v>SI</v>
      </c>
      <c r="G492" t="str">
        <f>IF($A492&lt;&gt;"",MAESTRO!$D492,"")</f>
        <v>Señora</v>
      </c>
      <c r="H492" t="str">
        <f>IF($A492&lt;&gt;"",IF(TRIM(MAESTRO!$G492&amp;" "&amp;MAESTRO!$H492&amp;" "&amp;MAESTRO!$I492)="",MAESTRO!$F492,TRIM(MAESTRO!$G492&amp;" "&amp;MAESTRO!$H492&amp;" "&amp;MAESTRO!$I492)),"")</f>
        <v>Bernardita Roa Astete</v>
      </c>
      <c r="I492" t="str">
        <f>IF($A492&lt;&gt;"",MAESTRO!$K492,"")</f>
        <v>Gerente General IRADE</v>
      </c>
      <c r="J492">
        <f>IF($A492&lt;&gt;"",492,"")</f>
        <v>492</v>
      </c>
    </row>
    <row r="493" spans="1:10" x14ac:dyDescent="0.2">
      <c r="A493" t="str">
        <f>IF(AND(UPPER(MAESTRO!$M493)="VIP",UPPER(MAESTRO!$J493)="SI",MAESTRO!$F493&lt;&gt;""),MAESTRO!$P493,"")</f>
        <v/>
      </c>
      <c r="B493" t="str">
        <f>IF($A493&lt;&gt;"",MAESTRO!$B493,"")</f>
        <v/>
      </c>
      <c r="C493" t="str">
        <f>IF($A493&lt;&gt;"",MAESTRO!$A493,"")</f>
        <v/>
      </c>
      <c r="D493" t="str">
        <f>IF($A493&lt;&gt;"",MAESTRO!$C493,"")</f>
        <v/>
      </c>
      <c r="E493" t="str">
        <f>IF($A493&lt;&gt;"",MAESTRO!$M493,"")</f>
        <v/>
      </c>
      <c r="F493" t="str">
        <f>IF($A493&lt;&gt;"",MAESTRO!$J493,"")</f>
        <v/>
      </c>
      <c r="G493" t="str">
        <f>IF($A493&lt;&gt;"",MAESTRO!$D493,"")</f>
        <v/>
      </c>
      <c r="H493" t="str">
        <f>IF($A493&lt;&gt;"",IF(TRIM(MAESTRO!$G493&amp;" "&amp;MAESTRO!$H493&amp;" "&amp;MAESTRO!$I493)="",MAESTRO!$F493,TRIM(MAESTRO!$G493&amp;" "&amp;MAESTRO!$H493&amp;" "&amp;MAESTRO!$I493)),"")</f>
        <v/>
      </c>
      <c r="I493" t="str">
        <f>IF($A493&lt;&gt;"",MAESTRO!$K493,"")</f>
        <v/>
      </c>
      <c r="J493" t="str">
        <f>IF($A493&lt;&gt;"",493,"")</f>
        <v/>
      </c>
    </row>
    <row r="494" spans="1:10" x14ac:dyDescent="0.2">
      <c r="A494" t="str">
        <f>IF(AND(UPPER(MAESTRO!$M494)="VIP",UPPER(MAESTRO!$J494)="SI",MAESTRO!$F494&lt;&gt;""),MAESTRO!$P494,"")</f>
        <v/>
      </c>
      <c r="B494" t="str">
        <f>IF($A494&lt;&gt;"",MAESTRO!$B494,"")</f>
        <v/>
      </c>
      <c r="C494" t="str">
        <f>IF($A494&lt;&gt;"",MAESTRO!$A494,"")</f>
        <v/>
      </c>
      <c r="D494" t="str">
        <f>IF($A494&lt;&gt;"",MAESTRO!$C494,"")</f>
        <v/>
      </c>
      <c r="E494" t="str">
        <f>IF($A494&lt;&gt;"",MAESTRO!$M494,"")</f>
        <v/>
      </c>
      <c r="F494" t="str">
        <f>IF($A494&lt;&gt;"",MAESTRO!$J494,"")</f>
        <v/>
      </c>
      <c r="G494" t="str">
        <f>IF($A494&lt;&gt;"",MAESTRO!$D494,"")</f>
        <v/>
      </c>
      <c r="H494" t="str">
        <f>IF($A494&lt;&gt;"",IF(TRIM(MAESTRO!$G494&amp;" "&amp;MAESTRO!$H494&amp;" "&amp;MAESTRO!$I494)="",MAESTRO!$F494,TRIM(MAESTRO!$G494&amp;" "&amp;MAESTRO!$H494&amp;" "&amp;MAESTRO!$I494)),"")</f>
        <v/>
      </c>
      <c r="I494" t="str">
        <f>IF($A494&lt;&gt;"",MAESTRO!$K494,"")</f>
        <v/>
      </c>
      <c r="J494" t="str">
        <f>IF($A494&lt;&gt;"",494,"")</f>
        <v/>
      </c>
    </row>
    <row r="495" spans="1:10" x14ac:dyDescent="0.2">
      <c r="A495" t="str">
        <f>IF(AND(UPPER(MAESTRO!$M495)="VIP",UPPER(MAESTRO!$J495)="SI",MAESTRO!$F495&lt;&gt;""),MAESTRO!$P495,"")</f>
        <v/>
      </c>
      <c r="B495" t="str">
        <f>IF($A495&lt;&gt;"",MAESTRO!$B495,"")</f>
        <v/>
      </c>
      <c r="C495" t="str">
        <f>IF($A495&lt;&gt;"",MAESTRO!$A495,"")</f>
        <v/>
      </c>
      <c r="D495" t="str">
        <f>IF($A495&lt;&gt;"",MAESTRO!$C495,"")</f>
        <v/>
      </c>
      <c r="E495" t="str">
        <f>IF($A495&lt;&gt;"",MAESTRO!$M495,"")</f>
        <v/>
      </c>
      <c r="F495" t="str">
        <f>IF($A495&lt;&gt;"",MAESTRO!$J495,"")</f>
        <v/>
      </c>
      <c r="G495" t="str">
        <f>IF($A495&lt;&gt;"",MAESTRO!$D495,"")</f>
        <v/>
      </c>
      <c r="H495" t="str">
        <f>IF($A495&lt;&gt;"",IF(TRIM(MAESTRO!$G495&amp;" "&amp;MAESTRO!$H495&amp;" "&amp;MAESTRO!$I495)="",MAESTRO!$F495,TRIM(MAESTRO!$G495&amp;" "&amp;MAESTRO!$H495&amp;" "&amp;MAESTRO!$I495)),"")</f>
        <v/>
      </c>
      <c r="I495" t="str">
        <f>IF($A495&lt;&gt;"",MAESTRO!$K495,"")</f>
        <v/>
      </c>
      <c r="J495" t="str">
        <f>IF($A495&lt;&gt;"",495,"")</f>
        <v/>
      </c>
    </row>
    <row r="496" spans="1:10" x14ac:dyDescent="0.2">
      <c r="A496" t="str">
        <f>IF(AND(UPPER(MAESTRO!$M496)="VIP",UPPER(MAESTRO!$J496)="SI",MAESTRO!$F496&lt;&gt;""),MAESTRO!$P496,"")</f>
        <v/>
      </c>
      <c r="B496" t="str">
        <f>IF($A496&lt;&gt;"",MAESTRO!$B496,"")</f>
        <v/>
      </c>
      <c r="C496" t="str">
        <f>IF($A496&lt;&gt;"",MAESTRO!$A496,"")</f>
        <v/>
      </c>
      <c r="D496" t="str">
        <f>IF($A496&lt;&gt;"",MAESTRO!$C496,"")</f>
        <v/>
      </c>
      <c r="E496" t="str">
        <f>IF($A496&lt;&gt;"",MAESTRO!$M496,"")</f>
        <v/>
      </c>
      <c r="F496" t="str">
        <f>IF($A496&lt;&gt;"",MAESTRO!$J496,"")</f>
        <v/>
      </c>
      <c r="G496" t="str">
        <f>IF($A496&lt;&gt;"",MAESTRO!$D496,"")</f>
        <v/>
      </c>
      <c r="H496" t="str">
        <f>IF($A496&lt;&gt;"",IF(TRIM(MAESTRO!$G496&amp;" "&amp;MAESTRO!$H496&amp;" "&amp;MAESTRO!$I496)="",MAESTRO!$F496,TRIM(MAESTRO!$G496&amp;" "&amp;MAESTRO!$H496&amp;" "&amp;MAESTRO!$I496)),"")</f>
        <v/>
      </c>
      <c r="I496" t="str">
        <f>IF($A496&lt;&gt;"",MAESTRO!$K496,"")</f>
        <v/>
      </c>
      <c r="J496" t="str">
        <f>IF($A496&lt;&gt;"",496,"")</f>
        <v/>
      </c>
    </row>
    <row r="497" spans="1:10" x14ac:dyDescent="0.2">
      <c r="A497" t="e">
        <f>IF(AND(UPPER(MAESTRO!#REF!)="VIP",UPPER(MAESTRO!#REF!)="SI",MAESTRO!#REF!&lt;&gt;""),MAESTRO!#REF!,"")</f>
        <v>#REF!</v>
      </c>
      <c r="B497" t="e">
        <f>IF($A497&lt;&gt;"",MAESTRO!#REF!,"")</f>
        <v>#REF!</v>
      </c>
      <c r="C497" t="e">
        <f>IF($A497&lt;&gt;"",MAESTRO!#REF!,"")</f>
        <v>#REF!</v>
      </c>
      <c r="D497" t="e">
        <f>IF($A497&lt;&gt;"",MAESTRO!#REF!,"")</f>
        <v>#REF!</v>
      </c>
      <c r="E497" t="e">
        <f>IF($A497&lt;&gt;"",MAESTRO!#REF!,"")</f>
        <v>#REF!</v>
      </c>
      <c r="F497" t="e">
        <f>IF($A497&lt;&gt;"",MAESTRO!#REF!,"")</f>
        <v>#REF!</v>
      </c>
      <c r="G497" t="e">
        <f>IF($A497&lt;&gt;"",MAESTRO!#REF!,"")</f>
        <v>#REF!</v>
      </c>
      <c r="H497" t="e">
        <f>IF($A497&lt;&gt;"",IF(TRIM(MAESTRO!#REF!&amp;" "&amp;MAESTRO!#REF!&amp;" "&amp;MAESTRO!#REF!)="",MAESTRO!#REF!,TRIM(MAESTRO!#REF!&amp;" "&amp;MAESTRO!#REF!&amp;" "&amp;MAESTRO!#REF!)),"")</f>
        <v>#REF!</v>
      </c>
      <c r="I497" t="e">
        <f>IF($A497&lt;&gt;"",MAESTRO!#REF!,"")</f>
        <v>#REF!</v>
      </c>
      <c r="J497" t="e">
        <f>IF($A497&lt;&gt;"",497,"")</f>
        <v>#REF!</v>
      </c>
    </row>
    <row r="498" spans="1:10" x14ac:dyDescent="0.2">
      <c r="A498" t="str">
        <f>IF(AND(UPPER(MAESTRO!$M497)="VIP",UPPER(MAESTRO!$J497)="SI",MAESTRO!$F497&lt;&gt;""),MAESTRO!$P497,"")</f>
        <v/>
      </c>
      <c r="B498" t="str">
        <f>IF($A498&lt;&gt;"",MAESTRO!$B497,"")</f>
        <v/>
      </c>
      <c r="C498" t="str">
        <f>IF($A498&lt;&gt;"",MAESTRO!$A497,"")</f>
        <v/>
      </c>
      <c r="D498" t="str">
        <f>IF($A498&lt;&gt;"",MAESTRO!$C497,"")</f>
        <v/>
      </c>
      <c r="E498" t="str">
        <f>IF($A498&lt;&gt;"",MAESTRO!$M497,"")</f>
        <v/>
      </c>
      <c r="F498" t="str">
        <f>IF($A498&lt;&gt;"",MAESTRO!$J497,"")</f>
        <v/>
      </c>
      <c r="G498" t="str">
        <f>IF($A498&lt;&gt;"",MAESTRO!$D497,"")</f>
        <v/>
      </c>
      <c r="H498" t="str">
        <f>IF($A498&lt;&gt;"",IF(TRIM(MAESTRO!$G497&amp;" "&amp;MAESTRO!$H497&amp;" "&amp;MAESTRO!$I497)="",MAESTRO!$F497,TRIM(MAESTRO!$G497&amp;" "&amp;MAESTRO!$H497&amp;" "&amp;MAESTRO!$I497)),"")</f>
        <v/>
      </c>
      <c r="I498" t="str">
        <f>IF($A498&lt;&gt;"",MAESTRO!$K497,"")</f>
        <v/>
      </c>
      <c r="J498" t="str">
        <f>IF($A498&lt;&gt;"",498,"")</f>
        <v/>
      </c>
    </row>
    <row r="499" spans="1:10" x14ac:dyDescent="0.2">
      <c r="A499" t="str">
        <f>IF(AND(UPPER(MAESTRO!$M498)="VIP",UPPER(MAESTRO!$J498)="SI",MAESTRO!$F498&lt;&gt;""),MAESTRO!$P498,"")</f>
        <v/>
      </c>
      <c r="B499" t="str">
        <f>IF($A499&lt;&gt;"",MAESTRO!$B498,"")</f>
        <v/>
      </c>
      <c r="C499" t="str">
        <f>IF($A499&lt;&gt;"",MAESTRO!$A498,"")</f>
        <v/>
      </c>
      <c r="D499" t="str">
        <f>IF($A499&lt;&gt;"",MAESTRO!$C498,"")</f>
        <v/>
      </c>
      <c r="E499" t="str">
        <f>IF($A499&lt;&gt;"",MAESTRO!$M498,"")</f>
        <v/>
      </c>
      <c r="F499" t="str">
        <f>IF($A499&lt;&gt;"",MAESTRO!$J498,"")</f>
        <v/>
      </c>
      <c r="G499" t="str">
        <f>IF($A499&lt;&gt;"",MAESTRO!$D498,"")</f>
        <v/>
      </c>
      <c r="H499" t="str">
        <f>IF($A499&lt;&gt;"",IF(TRIM(MAESTRO!$G498&amp;" "&amp;MAESTRO!$H498&amp;" "&amp;MAESTRO!$I498)="",MAESTRO!$F498,TRIM(MAESTRO!$G498&amp;" "&amp;MAESTRO!$H498&amp;" "&amp;MAESTRO!$I498)),"")</f>
        <v/>
      </c>
      <c r="I499" t="str">
        <f>IF($A499&lt;&gt;"",MAESTRO!$K498,"")</f>
        <v/>
      </c>
      <c r="J499" t="str">
        <f>IF($A499&lt;&gt;"",499,"")</f>
        <v/>
      </c>
    </row>
    <row r="500" spans="1:10" x14ac:dyDescent="0.2">
      <c r="A500" t="str">
        <f>IF(AND(UPPER(MAESTRO!$M499)="VIP",UPPER(MAESTRO!$J499)="SI",MAESTRO!$F499&lt;&gt;""),MAESTRO!$P499,"")</f>
        <v/>
      </c>
      <c r="B500" t="str">
        <f>IF($A500&lt;&gt;"",MAESTRO!$B499,"")</f>
        <v/>
      </c>
      <c r="C500" t="str">
        <f>IF($A500&lt;&gt;"",MAESTRO!$A499,"")</f>
        <v/>
      </c>
      <c r="D500" t="str">
        <f>IF($A500&lt;&gt;"",MAESTRO!$C499,"")</f>
        <v/>
      </c>
      <c r="E500" t="str">
        <f>IF($A500&lt;&gt;"",MAESTRO!$M499,"")</f>
        <v/>
      </c>
      <c r="F500" t="str">
        <f>IF($A500&lt;&gt;"",MAESTRO!$J499,"")</f>
        <v/>
      </c>
      <c r="G500" t="str">
        <f>IF($A500&lt;&gt;"",MAESTRO!$D499,"")</f>
        <v/>
      </c>
      <c r="H500" t="str">
        <f>IF($A500&lt;&gt;"",IF(TRIM(MAESTRO!$G499&amp;" "&amp;MAESTRO!$H499&amp;" "&amp;MAESTRO!$I499)="",MAESTRO!$F499,TRIM(MAESTRO!$G499&amp;" "&amp;MAESTRO!$H499&amp;" "&amp;MAESTRO!$I499)),"")</f>
        <v/>
      </c>
      <c r="I500" t="str">
        <f>IF($A500&lt;&gt;"",MAESTRO!$K499,"")</f>
        <v/>
      </c>
      <c r="J500" t="str">
        <f>IF($A500&lt;&gt;"",500,"")</f>
        <v/>
      </c>
    </row>
    <row r="501" spans="1:10" x14ac:dyDescent="0.2">
      <c r="A501" t="str">
        <f>IF(AND(UPPER(MAESTRO!$M500)="VIP",UPPER(MAESTRO!$J500)="SI",MAESTRO!$F500&lt;&gt;""),MAESTRO!$P500,"")</f>
        <v/>
      </c>
      <c r="B501" t="str">
        <f>IF($A501&lt;&gt;"",MAESTRO!$B500,"")</f>
        <v/>
      </c>
      <c r="C501" t="str">
        <f>IF($A501&lt;&gt;"",MAESTRO!$A500,"")</f>
        <v/>
      </c>
      <c r="D501" t="str">
        <f>IF($A501&lt;&gt;"",MAESTRO!$C500,"")</f>
        <v/>
      </c>
      <c r="E501" t="str">
        <f>IF($A501&lt;&gt;"",MAESTRO!$M500,"")</f>
        <v/>
      </c>
      <c r="F501" t="str">
        <f>IF($A501&lt;&gt;"",MAESTRO!$J500,"")</f>
        <v/>
      </c>
      <c r="G501" t="str">
        <f>IF($A501&lt;&gt;"",MAESTRO!$D500,"")</f>
        <v/>
      </c>
      <c r="H501" t="str">
        <f>IF($A501&lt;&gt;"",IF(TRIM(MAESTRO!$G500&amp;" "&amp;MAESTRO!$H500&amp;" "&amp;MAESTRO!$I500)="",MAESTRO!$F500,TRIM(MAESTRO!$G500&amp;" "&amp;MAESTRO!$H500&amp;" "&amp;MAESTRO!$I500)),"")</f>
        <v/>
      </c>
      <c r="I501" t="str">
        <f>IF($A501&lt;&gt;"",MAESTRO!$K500,"")</f>
        <v/>
      </c>
      <c r="J501" t="str">
        <f>IF($A501&lt;&gt;"",501,"")</f>
        <v/>
      </c>
    </row>
    <row r="502" spans="1:10" x14ac:dyDescent="0.2">
      <c r="A502" t="str">
        <f>IF(AND(UPPER(MAESTRO!$M501)="VIP",UPPER(MAESTRO!$J501)="SI",MAESTRO!$F501&lt;&gt;""),MAESTRO!$P501,"")</f>
        <v/>
      </c>
      <c r="B502" t="str">
        <f>IF($A502&lt;&gt;"",MAESTRO!$B501,"")</f>
        <v/>
      </c>
      <c r="C502" t="str">
        <f>IF($A502&lt;&gt;"",MAESTRO!$A501,"")</f>
        <v/>
      </c>
      <c r="D502" t="str">
        <f>IF($A502&lt;&gt;"",MAESTRO!$C501,"")</f>
        <v/>
      </c>
      <c r="E502" t="str">
        <f>IF($A502&lt;&gt;"",MAESTRO!$M501,"")</f>
        <v/>
      </c>
      <c r="F502" t="str">
        <f>IF($A502&lt;&gt;"",MAESTRO!$J501,"")</f>
        <v/>
      </c>
      <c r="G502" t="str">
        <f>IF($A502&lt;&gt;"",MAESTRO!$D501,"")</f>
        <v/>
      </c>
      <c r="H502" t="str">
        <f>IF($A502&lt;&gt;"",IF(TRIM(MAESTRO!$G501&amp;" "&amp;MAESTRO!$H501&amp;" "&amp;MAESTRO!$I501)="",MAESTRO!$F501,TRIM(MAESTRO!$G501&amp;" "&amp;MAESTRO!$H501&amp;" "&amp;MAESTRO!$I501)),"")</f>
        <v/>
      </c>
      <c r="I502" t="str">
        <f>IF($A502&lt;&gt;"",MAESTRO!$K501,"")</f>
        <v/>
      </c>
      <c r="J502" t="str">
        <f>IF($A502&lt;&gt;"",502,"")</f>
        <v/>
      </c>
    </row>
    <row r="503" spans="1:10" x14ac:dyDescent="0.2">
      <c r="A503" t="str">
        <f>IF(AND(UPPER(MAESTRO!$M502)="VIP",UPPER(MAESTRO!$J502)="SI",MAESTRO!$F502&lt;&gt;""),MAESTRO!$P502,"")</f>
        <v/>
      </c>
      <c r="B503" t="str">
        <f>IF($A503&lt;&gt;"",MAESTRO!$B502,"")</f>
        <v/>
      </c>
      <c r="C503" t="str">
        <f>IF($A503&lt;&gt;"",MAESTRO!$A502,"")</f>
        <v/>
      </c>
      <c r="D503" t="str">
        <f>IF($A503&lt;&gt;"",MAESTRO!$C502,"")</f>
        <v/>
      </c>
      <c r="E503" t="str">
        <f>IF($A503&lt;&gt;"",MAESTRO!$M502,"")</f>
        <v/>
      </c>
      <c r="F503" t="str">
        <f>IF($A503&lt;&gt;"",MAESTRO!$J502,"")</f>
        <v/>
      </c>
      <c r="G503" t="str">
        <f>IF($A503&lt;&gt;"",MAESTRO!$D502,"")</f>
        <v/>
      </c>
      <c r="H503" t="str">
        <f>IF($A503&lt;&gt;"",IF(TRIM(MAESTRO!$G502&amp;" "&amp;MAESTRO!$H502&amp;" "&amp;MAESTRO!$I502)="",MAESTRO!$F502,TRIM(MAESTRO!$G502&amp;" "&amp;MAESTRO!$H502&amp;" "&amp;MAESTRO!$I502)),"")</f>
        <v/>
      </c>
      <c r="I503" t="str">
        <f>IF($A503&lt;&gt;"",MAESTRO!$K502,"")</f>
        <v/>
      </c>
      <c r="J503" t="str">
        <f>IF($A503&lt;&gt;"",503,"")</f>
        <v/>
      </c>
    </row>
    <row r="504" spans="1:10" x14ac:dyDescent="0.2">
      <c r="A504" t="str">
        <f>IF(AND(UPPER(MAESTRO!$M503)="VIP",UPPER(MAESTRO!$J503)="SI",MAESTRO!$F503&lt;&gt;""),MAESTRO!$P503,"")</f>
        <v/>
      </c>
      <c r="B504" t="str">
        <f>IF($A504&lt;&gt;"",MAESTRO!$B503,"")</f>
        <v/>
      </c>
      <c r="C504" t="str">
        <f>IF($A504&lt;&gt;"",MAESTRO!$A503,"")</f>
        <v/>
      </c>
      <c r="D504" t="str">
        <f>IF($A504&lt;&gt;"",MAESTRO!$C503,"")</f>
        <v/>
      </c>
      <c r="E504" t="str">
        <f>IF($A504&lt;&gt;"",MAESTRO!$M503,"")</f>
        <v/>
      </c>
      <c r="F504" t="str">
        <f>IF($A504&lt;&gt;"",MAESTRO!$J503,"")</f>
        <v/>
      </c>
      <c r="G504" t="str">
        <f>IF($A504&lt;&gt;"",MAESTRO!$D503,"")</f>
        <v/>
      </c>
      <c r="H504" t="str">
        <f>IF($A504&lt;&gt;"",IF(TRIM(MAESTRO!$G503&amp;" "&amp;MAESTRO!$H503&amp;" "&amp;MAESTRO!$I503)="",MAESTRO!$F503,TRIM(MAESTRO!$G503&amp;" "&amp;MAESTRO!$H503&amp;" "&amp;MAESTRO!$I503)),"")</f>
        <v/>
      </c>
      <c r="I504" t="str">
        <f>IF($A504&lt;&gt;"",MAESTRO!$K503,"")</f>
        <v/>
      </c>
      <c r="J504" t="str">
        <f>IF($A504&lt;&gt;"",504,"")</f>
        <v/>
      </c>
    </row>
    <row r="505" spans="1:10" x14ac:dyDescent="0.2">
      <c r="A505" t="str">
        <f>IF(AND(UPPER(MAESTRO!$M504)="VIP",UPPER(MAESTRO!$J504)="SI",MAESTRO!$F504&lt;&gt;""),MAESTRO!$P504,"")</f>
        <v/>
      </c>
      <c r="B505" t="str">
        <f>IF($A505&lt;&gt;"",MAESTRO!$B504,"")</f>
        <v/>
      </c>
      <c r="C505" t="str">
        <f>IF($A505&lt;&gt;"",MAESTRO!$A504,"")</f>
        <v/>
      </c>
      <c r="D505" t="str">
        <f>IF($A505&lt;&gt;"",MAESTRO!$C504,"")</f>
        <v/>
      </c>
      <c r="E505" t="str">
        <f>IF($A505&lt;&gt;"",MAESTRO!$M504,"")</f>
        <v/>
      </c>
      <c r="F505" t="str">
        <f>IF($A505&lt;&gt;"",MAESTRO!$J504,"")</f>
        <v/>
      </c>
      <c r="G505" t="str">
        <f>IF($A505&lt;&gt;"",MAESTRO!$D504,"")</f>
        <v/>
      </c>
      <c r="H505" t="str">
        <f>IF($A505&lt;&gt;"",IF(TRIM(MAESTRO!$G504&amp;" "&amp;MAESTRO!$H504&amp;" "&amp;MAESTRO!$I504)="",MAESTRO!$F504,TRIM(MAESTRO!$G504&amp;" "&amp;MAESTRO!$H504&amp;" "&amp;MAESTRO!$I504)),"")</f>
        <v/>
      </c>
      <c r="I505" t="str">
        <f>IF($A505&lt;&gt;"",MAESTRO!$K504,"")</f>
        <v/>
      </c>
      <c r="J505" t="str">
        <f>IF($A505&lt;&gt;"",505,"")</f>
        <v/>
      </c>
    </row>
    <row r="506" spans="1:10" x14ac:dyDescent="0.2">
      <c r="A506" t="str">
        <f>IF(AND(UPPER(MAESTRO!$M505)="VIP",UPPER(MAESTRO!$J505)="SI",MAESTRO!$F505&lt;&gt;""),MAESTRO!$P505,"")</f>
        <v/>
      </c>
      <c r="B506" t="str">
        <f>IF($A506&lt;&gt;"",MAESTRO!$B505,"")</f>
        <v/>
      </c>
      <c r="C506" t="str">
        <f>IF($A506&lt;&gt;"",MAESTRO!$A505,"")</f>
        <v/>
      </c>
      <c r="D506" t="str">
        <f>IF($A506&lt;&gt;"",MAESTRO!$C505,"")</f>
        <v/>
      </c>
      <c r="E506" t="str">
        <f>IF($A506&lt;&gt;"",MAESTRO!$M505,"")</f>
        <v/>
      </c>
      <c r="F506" t="str">
        <f>IF($A506&lt;&gt;"",MAESTRO!$J505,"")</f>
        <v/>
      </c>
      <c r="G506" t="str">
        <f>IF($A506&lt;&gt;"",MAESTRO!$D505,"")</f>
        <v/>
      </c>
      <c r="H506" t="str">
        <f>IF($A506&lt;&gt;"",IF(TRIM(MAESTRO!$G505&amp;" "&amp;MAESTRO!$H505&amp;" "&amp;MAESTRO!$I505)="",MAESTRO!$F505,TRIM(MAESTRO!$G505&amp;" "&amp;MAESTRO!$H505&amp;" "&amp;MAESTRO!$I505)),"")</f>
        <v/>
      </c>
      <c r="I506" t="str">
        <f>IF($A506&lt;&gt;"",MAESTRO!$K505,"")</f>
        <v/>
      </c>
      <c r="J506" t="str">
        <f>IF($A506&lt;&gt;"",506,"")</f>
        <v/>
      </c>
    </row>
    <row r="507" spans="1:10" x14ac:dyDescent="0.2">
      <c r="A507" t="str">
        <f>IF(AND(UPPER(MAESTRO!$M506)="VIP",UPPER(MAESTRO!$J506)="SI",MAESTRO!$F506&lt;&gt;""),MAESTRO!$P506,"")</f>
        <v/>
      </c>
      <c r="B507" t="str">
        <f>IF($A507&lt;&gt;"",MAESTRO!$B506,"")</f>
        <v/>
      </c>
      <c r="C507" t="str">
        <f>IF($A507&lt;&gt;"",MAESTRO!$A506,"")</f>
        <v/>
      </c>
      <c r="D507" t="str">
        <f>IF($A507&lt;&gt;"",MAESTRO!$C506,"")</f>
        <v/>
      </c>
      <c r="E507" t="str">
        <f>IF($A507&lt;&gt;"",MAESTRO!$M506,"")</f>
        <v/>
      </c>
      <c r="F507" t="str">
        <f>IF($A507&lt;&gt;"",MAESTRO!$J506,"")</f>
        <v/>
      </c>
      <c r="G507" t="str">
        <f>IF($A507&lt;&gt;"",MAESTRO!$D506,"")</f>
        <v/>
      </c>
      <c r="H507" t="str">
        <f>IF($A507&lt;&gt;"",IF(TRIM(MAESTRO!$G506&amp;" "&amp;MAESTRO!$H506&amp;" "&amp;MAESTRO!$I506)="",MAESTRO!$F506,TRIM(MAESTRO!$G506&amp;" "&amp;MAESTRO!$H506&amp;" "&amp;MAESTRO!$I506)),"")</f>
        <v/>
      </c>
      <c r="I507" t="str">
        <f>IF($A507&lt;&gt;"",MAESTRO!$K506,"")</f>
        <v/>
      </c>
      <c r="J507" t="str">
        <f>IF($A507&lt;&gt;"",507,"")</f>
        <v/>
      </c>
    </row>
    <row r="508" spans="1:10" x14ac:dyDescent="0.2">
      <c r="A508" t="str">
        <f>IF(AND(UPPER(MAESTRO!$M507)="VIP",UPPER(MAESTRO!$J507)="SI",MAESTRO!$F507&lt;&gt;""),MAESTRO!$P507,"")</f>
        <v/>
      </c>
      <c r="B508" t="str">
        <f>IF($A508&lt;&gt;"",MAESTRO!$B507,"")</f>
        <v/>
      </c>
      <c r="C508" t="str">
        <f>IF($A508&lt;&gt;"",MAESTRO!$A507,"")</f>
        <v/>
      </c>
      <c r="D508" t="str">
        <f>IF($A508&lt;&gt;"",MAESTRO!$C507,"")</f>
        <v/>
      </c>
      <c r="E508" t="str">
        <f>IF($A508&lt;&gt;"",MAESTRO!$M507,"")</f>
        <v/>
      </c>
      <c r="F508" t="str">
        <f>IF($A508&lt;&gt;"",MAESTRO!$J507,"")</f>
        <v/>
      </c>
      <c r="G508" t="str">
        <f>IF($A508&lt;&gt;"",MAESTRO!$D507,"")</f>
        <v/>
      </c>
      <c r="H508" t="str">
        <f>IF($A508&lt;&gt;"",IF(TRIM(MAESTRO!$G507&amp;" "&amp;MAESTRO!$H507&amp;" "&amp;MAESTRO!$I507)="",MAESTRO!$F507,TRIM(MAESTRO!$G507&amp;" "&amp;MAESTRO!$H507&amp;" "&amp;MAESTRO!$I507)),"")</f>
        <v/>
      </c>
      <c r="I508" t="str">
        <f>IF($A508&lt;&gt;"",MAESTRO!$K507,"")</f>
        <v/>
      </c>
      <c r="J508" t="str">
        <f>IF($A508&lt;&gt;"",508,"")</f>
        <v/>
      </c>
    </row>
    <row r="509" spans="1:10" x14ac:dyDescent="0.2">
      <c r="A509" t="str">
        <f>IF(AND(UPPER(MAESTRO!$M508)="VIP",UPPER(MAESTRO!$J508)="SI",MAESTRO!$F508&lt;&gt;""),MAESTRO!$P508,"")</f>
        <v/>
      </c>
      <c r="B509" t="str">
        <f>IF($A509&lt;&gt;"",MAESTRO!$B508,"")</f>
        <v/>
      </c>
      <c r="C509" t="str">
        <f>IF($A509&lt;&gt;"",MAESTRO!$A508,"")</f>
        <v/>
      </c>
      <c r="D509" t="str">
        <f>IF($A509&lt;&gt;"",MAESTRO!$C508,"")</f>
        <v/>
      </c>
      <c r="E509" t="str">
        <f>IF($A509&lt;&gt;"",MAESTRO!$M508,"")</f>
        <v/>
      </c>
      <c r="F509" t="str">
        <f>IF($A509&lt;&gt;"",MAESTRO!$J508,"")</f>
        <v/>
      </c>
      <c r="G509" t="str">
        <f>IF($A509&lt;&gt;"",MAESTRO!$D508,"")</f>
        <v/>
      </c>
      <c r="H509" t="str">
        <f>IF($A509&lt;&gt;"",IF(TRIM(MAESTRO!$G508&amp;" "&amp;MAESTRO!$H508&amp;" "&amp;MAESTRO!$I508)="",MAESTRO!$F508,TRIM(MAESTRO!$G508&amp;" "&amp;MAESTRO!$H508&amp;" "&amp;MAESTRO!$I508)),"")</f>
        <v/>
      </c>
      <c r="I509" t="str">
        <f>IF($A509&lt;&gt;"",MAESTRO!$K508,"")</f>
        <v/>
      </c>
      <c r="J509" t="str">
        <f>IF($A509&lt;&gt;"",509,"")</f>
        <v/>
      </c>
    </row>
    <row r="510" spans="1:10" x14ac:dyDescent="0.2">
      <c r="A510" t="str">
        <f>IF(AND(UPPER(MAESTRO!$M509)="VIP",UPPER(MAESTRO!$J509)="SI",MAESTRO!$F509&lt;&gt;""),MAESTRO!$P509,"")</f>
        <v>B20</v>
      </c>
      <c r="B510">
        <f>IF($A510&lt;&gt;"",MAESTRO!$B509,"")</f>
        <v>508</v>
      </c>
      <c r="C510">
        <f>IF($A510&lt;&gt;"",MAESTRO!$A509,"")</f>
        <v>508</v>
      </c>
      <c r="D510" t="str">
        <f>IF($A510&lt;&gt;"",MAESTRO!$C509,"")</f>
        <v xml:space="preserve">INVITADOS ASMAR </v>
      </c>
      <c r="E510" t="str">
        <f>IF($A510&lt;&gt;"",MAESTRO!$M509,"")</f>
        <v>VIP</v>
      </c>
      <c r="F510" t="str">
        <f>IF($A510&lt;&gt;"",MAESTRO!$J509,"")</f>
        <v>SI</v>
      </c>
      <c r="G510" t="str">
        <f>IF($A510&lt;&gt;"",MAESTRO!$D509,"")</f>
        <v>Señor</v>
      </c>
      <c r="H510" t="str">
        <f>IF($A510&lt;&gt;"",IF(TRIM(MAESTRO!$G509&amp;" "&amp;MAESTRO!$H509&amp;" "&amp;MAESTRO!$I509)="",MAESTRO!$F509,TRIM(MAESTRO!$G509&amp;" "&amp;MAESTRO!$H509&amp;" "&amp;MAESTRO!$I509)),"")</f>
        <v>Francisco Sotomayor</v>
      </c>
      <c r="I510" t="str">
        <f>IF($A510&lt;&gt;"",MAESTRO!$K509,"")</f>
        <v>CEO GL Events Chile</v>
      </c>
      <c r="J510">
        <f>IF($A510&lt;&gt;"",510,"")</f>
        <v>510</v>
      </c>
    </row>
    <row r="511" spans="1:10" x14ac:dyDescent="0.2">
      <c r="A511" t="str">
        <f>IF(AND(UPPER(MAESTRO!$M510)="VIP",UPPER(MAESTRO!$J510)="SI",MAESTRO!$F510&lt;&gt;""),MAESTRO!$P510,"")</f>
        <v/>
      </c>
      <c r="B511" t="str">
        <f>IF($A511&lt;&gt;"",MAESTRO!$B510,"")</f>
        <v/>
      </c>
      <c r="C511" t="str">
        <f>IF($A511&lt;&gt;"",MAESTRO!$A510,"")</f>
        <v/>
      </c>
      <c r="D511" t="str">
        <f>IF($A511&lt;&gt;"",MAESTRO!$C510,"")</f>
        <v/>
      </c>
      <c r="E511" t="str">
        <f>IF($A511&lt;&gt;"",MAESTRO!$M510,"")</f>
        <v/>
      </c>
      <c r="F511" t="str">
        <f>IF($A511&lt;&gt;"",MAESTRO!$J510,"")</f>
        <v/>
      </c>
      <c r="G511" t="str">
        <f>IF($A511&lt;&gt;"",MAESTRO!$D510,"")</f>
        <v/>
      </c>
      <c r="H511" t="str">
        <f>IF($A511&lt;&gt;"",IF(TRIM(MAESTRO!$G510&amp;" "&amp;MAESTRO!$H510&amp;" "&amp;MAESTRO!$I510)="",MAESTRO!$F510,TRIM(MAESTRO!$G510&amp;" "&amp;MAESTRO!$H510&amp;" "&amp;MAESTRO!$I510)),"")</f>
        <v/>
      </c>
      <c r="I511" t="str">
        <f>IF($A511&lt;&gt;"",MAESTRO!$K510,"")</f>
        <v/>
      </c>
      <c r="J511" t="str">
        <f>IF($A511&lt;&gt;"",511,"")</f>
        <v/>
      </c>
    </row>
    <row r="512" spans="1:10" x14ac:dyDescent="0.2">
      <c r="A512" t="str">
        <f>IF(AND(UPPER(MAESTRO!$M511)="VIP",UPPER(MAESTRO!$J511)="SI",MAESTRO!$F511&lt;&gt;""),MAESTRO!$P511,"")</f>
        <v/>
      </c>
      <c r="B512" t="str">
        <f>IF($A512&lt;&gt;"",MAESTRO!$B511,"")</f>
        <v/>
      </c>
      <c r="C512" t="str">
        <f>IF($A512&lt;&gt;"",MAESTRO!$A511,"")</f>
        <v/>
      </c>
      <c r="D512" t="str">
        <f>IF($A512&lt;&gt;"",MAESTRO!$C511,"")</f>
        <v/>
      </c>
      <c r="E512" t="str">
        <f>IF($A512&lt;&gt;"",MAESTRO!$M511,"")</f>
        <v/>
      </c>
      <c r="F512" t="str">
        <f>IF($A512&lt;&gt;"",MAESTRO!$J511,"")</f>
        <v/>
      </c>
      <c r="G512" t="str">
        <f>IF($A512&lt;&gt;"",MAESTRO!$D511,"")</f>
        <v/>
      </c>
      <c r="H512" t="str">
        <f>IF($A512&lt;&gt;"",IF(TRIM(MAESTRO!$G511&amp;" "&amp;MAESTRO!$H511&amp;" "&amp;MAESTRO!$I511)="",MAESTRO!$F511,TRIM(MAESTRO!$G511&amp;" "&amp;MAESTRO!$H511&amp;" "&amp;MAESTRO!$I511)),"")</f>
        <v/>
      </c>
      <c r="I512" t="str">
        <f>IF($A512&lt;&gt;"",MAESTRO!$K511,"")</f>
        <v/>
      </c>
      <c r="J512" t="str">
        <f>IF($A512&lt;&gt;"",512,"")</f>
        <v/>
      </c>
    </row>
    <row r="513" spans="1:10" x14ac:dyDescent="0.2">
      <c r="A513" t="str">
        <f>IF(AND(UPPER(MAESTRO!$M512)="VIP",UPPER(MAESTRO!$J512)="SI",MAESTRO!$F512&lt;&gt;""),MAESTRO!$P512,"")</f>
        <v/>
      </c>
      <c r="B513" t="str">
        <f>IF($A513&lt;&gt;"",MAESTRO!$B512,"")</f>
        <v/>
      </c>
      <c r="C513" t="str">
        <f>IF($A513&lt;&gt;"",MAESTRO!$A512,"")</f>
        <v/>
      </c>
      <c r="D513" t="str">
        <f>IF($A513&lt;&gt;"",MAESTRO!$C512,"")</f>
        <v/>
      </c>
      <c r="E513" t="str">
        <f>IF($A513&lt;&gt;"",MAESTRO!$M512,"")</f>
        <v/>
      </c>
      <c r="F513" t="str">
        <f>IF($A513&lt;&gt;"",MAESTRO!$J512,"")</f>
        <v/>
      </c>
      <c r="G513" t="str">
        <f>IF($A513&lt;&gt;"",MAESTRO!$D512,"")</f>
        <v/>
      </c>
      <c r="H513" t="str">
        <f>IF($A513&lt;&gt;"",IF(TRIM(MAESTRO!$G512&amp;" "&amp;MAESTRO!$H512&amp;" "&amp;MAESTRO!$I512)="",MAESTRO!$F512,TRIM(MAESTRO!$G512&amp;" "&amp;MAESTRO!$H512&amp;" "&amp;MAESTRO!$I512)),"")</f>
        <v/>
      </c>
      <c r="I513" t="str">
        <f>IF($A513&lt;&gt;"",MAESTRO!$K512,"")</f>
        <v/>
      </c>
      <c r="J513" t="str">
        <f>IF($A513&lt;&gt;"",513,"")</f>
        <v/>
      </c>
    </row>
    <row r="514" spans="1:10" x14ac:dyDescent="0.2">
      <c r="A514" t="str">
        <f>IF(AND(UPPER(MAESTRO!$M513)="VIP",UPPER(MAESTRO!$J513)="SI",MAESTRO!$F513&lt;&gt;""),MAESTRO!$P513,"")</f>
        <v/>
      </c>
      <c r="B514" t="str">
        <f>IF($A514&lt;&gt;"",MAESTRO!$B513,"")</f>
        <v/>
      </c>
      <c r="C514" t="str">
        <f>IF($A514&lt;&gt;"",MAESTRO!$A513,"")</f>
        <v/>
      </c>
      <c r="D514" t="str">
        <f>IF($A514&lt;&gt;"",MAESTRO!$C513,"")</f>
        <v/>
      </c>
      <c r="E514" t="str">
        <f>IF($A514&lt;&gt;"",MAESTRO!$M513,"")</f>
        <v/>
      </c>
      <c r="F514" t="str">
        <f>IF($A514&lt;&gt;"",MAESTRO!$J513,"")</f>
        <v/>
      </c>
      <c r="G514" t="str">
        <f>IF($A514&lt;&gt;"",MAESTRO!$D513,"")</f>
        <v/>
      </c>
      <c r="H514" t="str">
        <f>IF($A514&lt;&gt;"",IF(TRIM(MAESTRO!$G513&amp;" "&amp;MAESTRO!$H513&amp;" "&amp;MAESTRO!$I513)="",MAESTRO!$F513,TRIM(MAESTRO!$G513&amp;" "&amp;MAESTRO!$H513&amp;" "&amp;MAESTRO!$I513)),"")</f>
        <v/>
      </c>
      <c r="I514" t="str">
        <f>IF($A514&lt;&gt;"",MAESTRO!$K513,"")</f>
        <v/>
      </c>
      <c r="J514" t="str">
        <f>IF($A514&lt;&gt;"",514,"")</f>
        <v/>
      </c>
    </row>
    <row r="515" spans="1:10" x14ac:dyDescent="0.2">
      <c r="A515" t="str">
        <f>IF(AND(UPPER(MAESTRO!$M514)="VIP",UPPER(MAESTRO!$J514)="SI",MAESTRO!$F514&lt;&gt;""),MAESTRO!$P514,"")</f>
        <v/>
      </c>
      <c r="B515" t="str">
        <f>IF($A515&lt;&gt;"",MAESTRO!$B514,"")</f>
        <v/>
      </c>
      <c r="C515" t="str">
        <f>IF($A515&lt;&gt;"",MAESTRO!$A514,"")</f>
        <v/>
      </c>
      <c r="D515" t="str">
        <f>IF($A515&lt;&gt;"",MAESTRO!$C514,"")</f>
        <v/>
      </c>
      <c r="E515" t="str">
        <f>IF($A515&lt;&gt;"",MAESTRO!$M514,"")</f>
        <v/>
      </c>
      <c r="F515" t="str">
        <f>IF($A515&lt;&gt;"",MAESTRO!$J514,"")</f>
        <v/>
      </c>
      <c r="G515" t="str">
        <f>IF($A515&lt;&gt;"",MAESTRO!$D514,"")</f>
        <v/>
      </c>
      <c r="H515" t="str">
        <f>IF($A515&lt;&gt;"",IF(TRIM(MAESTRO!$G514&amp;" "&amp;MAESTRO!$H514&amp;" "&amp;MAESTRO!$I514)="",MAESTRO!$F514,TRIM(MAESTRO!$G514&amp;" "&amp;MAESTRO!$H514&amp;" "&amp;MAESTRO!$I514)),"")</f>
        <v/>
      </c>
      <c r="I515" t="str">
        <f>IF($A515&lt;&gt;"",MAESTRO!$K514,"")</f>
        <v/>
      </c>
      <c r="J515" t="str">
        <f>IF($A515&lt;&gt;"",515,"")</f>
        <v/>
      </c>
    </row>
    <row r="516" spans="1:10" x14ac:dyDescent="0.2">
      <c r="A516" t="str">
        <f>IF(AND(UPPER(MAESTRO!$M515)="VIP",UPPER(MAESTRO!$J515)="SI",MAESTRO!$F515&lt;&gt;""),MAESTRO!$P515,"")</f>
        <v/>
      </c>
      <c r="B516" t="str">
        <f>IF($A516&lt;&gt;"",MAESTRO!$B515,"")</f>
        <v/>
      </c>
      <c r="C516" t="str">
        <f>IF($A516&lt;&gt;"",MAESTRO!$A515,"")</f>
        <v/>
      </c>
      <c r="D516" t="str">
        <f>IF($A516&lt;&gt;"",MAESTRO!$C515,"")</f>
        <v/>
      </c>
      <c r="E516" t="str">
        <f>IF($A516&lt;&gt;"",MAESTRO!$M515,"")</f>
        <v/>
      </c>
      <c r="F516" t="str">
        <f>IF($A516&lt;&gt;"",MAESTRO!$J515,"")</f>
        <v/>
      </c>
      <c r="G516" t="str">
        <f>IF($A516&lt;&gt;"",MAESTRO!$D515,"")</f>
        <v/>
      </c>
      <c r="H516" t="str">
        <f>IF($A516&lt;&gt;"",IF(TRIM(MAESTRO!$G515&amp;" "&amp;MAESTRO!$H515&amp;" "&amp;MAESTRO!$I515)="",MAESTRO!$F515,TRIM(MAESTRO!$G515&amp;" "&amp;MAESTRO!$H515&amp;" "&amp;MAESTRO!$I515)),"")</f>
        <v/>
      </c>
      <c r="I516" t="str">
        <f>IF($A516&lt;&gt;"",MAESTRO!$K515,"")</f>
        <v/>
      </c>
      <c r="J516" t="str">
        <f>IF($A516&lt;&gt;"",516,"")</f>
        <v/>
      </c>
    </row>
    <row r="517" spans="1:10" x14ac:dyDescent="0.2">
      <c r="A517" t="str">
        <f>IF(AND(UPPER(MAESTRO!$M516)="VIP",UPPER(MAESTRO!$J516)="SI",MAESTRO!$F516&lt;&gt;""),MAESTRO!$P516,"")</f>
        <v/>
      </c>
      <c r="B517" t="str">
        <f>IF($A517&lt;&gt;"",MAESTRO!$B516,"")</f>
        <v/>
      </c>
      <c r="C517" t="str">
        <f>IF($A517&lt;&gt;"",MAESTRO!$A516,"")</f>
        <v/>
      </c>
      <c r="D517" t="str">
        <f>IF($A517&lt;&gt;"",MAESTRO!$C516,"")</f>
        <v/>
      </c>
      <c r="E517" t="str">
        <f>IF($A517&lt;&gt;"",MAESTRO!$M516,"")</f>
        <v/>
      </c>
      <c r="F517" t="str">
        <f>IF($A517&lt;&gt;"",MAESTRO!$J516,"")</f>
        <v/>
      </c>
      <c r="G517" t="str">
        <f>IF($A517&lt;&gt;"",MAESTRO!$D516,"")</f>
        <v/>
      </c>
      <c r="H517" t="str">
        <f>IF($A517&lt;&gt;"",IF(TRIM(MAESTRO!$G516&amp;" "&amp;MAESTRO!$H516&amp;" "&amp;MAESTRO!$I516)="",MAESTRO!$F516,TRIM(MAESTRO!$G516&amp;" "&amp;MAESTRO!$H516&amp;" "&amp;MAESTRO!$I516)),"")</f>
        <v/>
      </c>
      <c r="I517" t="str">
        <f>IF($A517&lt;&gt;"",MAESTRO!$K516,"")</f>
        <v/>
      </c>
      <c r="J517" t="str">
        <f>IF($A517&lt;&gt;"",517,"")</f>
        <v/>
      </c>
    </row>
    <row r="518" spans="1:10" x14ac:dyDescent="0.2">
      <c r="A518" t="str">
        <f>IF(AND(UPPER(MAESTRO!$M517)="VIP",UPPER(MAESTRO!$J517)="SI",MAESTRO!$F517&lt;&gt;""),MAESTRO!$P517,"")</f>
        <v/>
      </c>
      <c r="B518" t="str">
        <f>IF($A518&lt;&gt;"",MAESTRO!$B517,"")</f>
        <v/>
      </c>
      <c r="C518" t="str">
        <f>IF($A518&lt;&gt;"",MAESTRO!$A517,"")</f>
        <v/>
      </c>
      <c r="D518" t="str">
        <f>IF($A518&lt;&gt;"",MAESTRO!$C517,"")</f>
        <v/>
      </c>
      <c r="E518" t="str">
        <f>IF($A518&lt;&gt;"",MAESTRO!$M517,"")</f>
        <v/>
      </c>
      <c r="F518" t="str">
        <f>IF($A518&lt;&gt;"",MAESTRO!$J517,"")</f>
        <v/>
      </c>
      <c r="G518" t="str">
        <f>IF($A518&lt;&gt;"",MAESTRO!$D517,"")</f>
        <v/>
      </c>
      <c r="H518" t="str">
        <f>IF($A518&lt;&gt;"",IF(TRIM(MAESTRO!$G517&amp;" "&amp;MAESTRO!$H517&amp;" "&amp;MAESTRO!$I517)="",MAESTRO!$F517,TRIM(MAESTRO!$G517&amp;" "&amp;MAESTRO!$H517&amp;" "&amp;MAESTRO!$I517)),"")</f>
        <v/>
      </c>
      <c r="I518" t="str">
        <f>IF($A518&lt;&gt;"",MAESTRO!$K517,"")</f>
        <v/>
      </c>
      <c r="J518" t="str">
        <f>IF($A518&lt;&gt;"",518,"")</f>
        <v/>
      </c>
    </row>
    <row r="519" spans="1:10" x14ac:dyDescent="0.2">
      <c r="A519" t="str">
        <f>IF(AND(UPPER(MAESTRO!$M518)="VIP",UPPER(MAESTRO!$J518)="SI",MAESTRO!$F518&lt;&gt;""),MAESTRO!$P518,"")</f>
        <v/>
      </c>
      <c r="B519" t="str">
        <f>IF($A519&lt;&gt;"",MAESTRO!$B518,"")</f>
        <v/>
      </c>
      <c r="C519" t="str">
        <f>IF($A519&lt;&gt;"",MAESTRO!$A518,"")</f>
        <v/>
      </c>
      <c r="D519" t="str">
        <f>IF($A519&lt;&gt;"",MAESTRO!$C518,"")</f>
        <v/>
      </c>
      <c r="E519" t="str">
        <f>IF($A519&lt;&gt;"",MAESTRO!$M518,"")</f>
        <v/>
      </c>
      <c r="F519" t="str">
        <f>IF($A519&lt;&gt;"",MAESTRO!$J518,"")</f>
        <v/>
      </c>
      <c r="G519" t="str">
        <f>IF($A519&lt;&gt;"",MAESTRO!$D518,"")</f>
        <v/>
      </c>
      <c r="H519" t="str">
        <f>IF($A519&lt;&gt;"",IF(TRIM(MAESTRO!$G518&amp;" "&amp;MAESTRO!$H518&amp;" "&amp;MAESTRO!$I518)="",MAESTRO!$F518,TRIM(MAESTRO!$G518&amp;" "&amp;MAESTRO!$H518&amp;" "&amp;MAESTRO!$I518)),"")</f>
        <v/>
      </c>
      <c r="I519" t="str">
        <f>IF($A519&lt;&gt;"",MAESTRO!$K518,"")</f>
        <v/>
      </c>
      <c r="J519" t="str">
        <f>IF($A519&lt;&gt;"",519,"")</f>
        <v/>
      </c>
    </row>
    <row r="520" spans="1:10" x14ac:dyDescent="0.2">
      <c r="A520" t="str">
        <f>IF(AND(UPPER(MAESTRO!$M519)="VIP",UPPER(MAESTRO!$J519)="SI",MAESTRO!$F519&lt;&gt;""),MAESTRO!$P519,"")</f>
        <v/>
      </c>
      <c r="B520" t="str">
        <f>IF($A520&lt;&gt;"",MAESTRO!$B519,"")</f>
        <v/>
      </c>
      <c r="C520" t="str">
        <f>IF($A520&lt;&gt;"",MAESTRO!$A519,"")</f>
        <v/>
      </c>
      <c r="D520" t="str">
        <f>IF($A520&lt;&gt;"",MAESTRO!$C519,"")</f>
        <v/>
      </c>
      <c r="E520" t="str">
        <f>IF($A520&lt;&gt;"",MAESTRO!$M519,"")</f>
        <v/>
      </c>
      <c r="F520" t="str">
        <f>IF($A520&lt;&gt;"",MAESTRO!$J519,"")</f>
        <v/>
      </c>
      <c r="G520" t="str">
        <f>IF($A520&lt;&gt;"",MAESTRO!$D519,"")</f>
        <v/>
      </c>
      <c r="H520" t="str">
        <f>IF($A520&lt;&gt;"",IF(TRIM(MAESTRO!$G519&amp;" "&amp;MAESTRO!$H519&amp;" "&amp;MAESTRO!$I519)="",MAESTRO!$F519,TRIM(MAESTRO!$G519&amp;" "&amp;MAESTRO!$H519&amp;" "&amp;MAESTRO!$I519)),"")</f>
        <v/>
      </c>
      <c r="I520" t="str">
        <f>IF($A520&lt;&gt;"",MAESTRO!$K519,"")</f>
        <v/>
      </c>
      <c r="J520" t="str">
        <f>IF($A520&lt;&gt;"",520,"")</f>
        <v/>
      </c>
    </row>
    <row r="521" spans="1:10" x14ac:dyDescent="0.2">
      <c r="A521" t="str">
        <f>IF(AND(UPPER(MAESTRO!$M520)="VIP",UPPER(MAESTRO!$J520)="SI",MAESTRO!$F520&lt;&gt;""),MAESTRO!$P520,"")</f>
        <v/>
      </c>
      <c r="B521" t="str">
        <f>IF($A521&lt;&gt;"",MAESTRO!$B520,"")</f>
        <v/>
      </c>
      <c r="C521" t="str">
        <f>IF($A521&lt;&gt;"",MAESTRO!$A520,"")</f>
        <v/>
      </c>
      <c r="D521" t="str">
        <f>IF($A521&lt;&gt;"",MAESTRO!$C520,"")</f>
        <v/>
      </c>
      <c r="E521" t="str">
        <f>IF($A521&lt;&gt;"",MAESTRO!$M520,"")</f>
        <v/>
      </c>
      <c r="F521" t="str">
        <f>IF($A521&lt;&gt;"",MAESTRO!$J520,"")</f>
        <v/>
      </c>
      <c r="G521" t="str">
        <f>IF($A521&lt;&gt;"",MAESTRO!$D520,"")</f>
        <v/>
      </c>
      <c r="H521" t="str">
        <f>IF($A521&lt;&gt;"",IF(TRIM(MAESTRO!$G520&amp;" "&amp;MAESTRO!$H520&amp;" "&amp;MAESTRO!$I520)="",MAESTRO!$F520,TRIM(MAESTRO!$G520&amp;" "&amp;MAESTRO!$H520&amp;" "&amp;MAESTRO!$I520)),"")</f>
        <v/>
      </c>
      <c r="I521" t="str">
        <f>IF($A521&lt;&gt;"",MAESTRO!$K520,"")</f>
        <v/>
      </c>
      <c r="J521" t="str">
        <f>IF($A521&lt;&gt;"",521,"")</f>
        <v/>
      </c>
    </row>
    <row r="522" spans="1:10" x14ac:dyDescent="0.2">
      <c r="A522" t="str">
        <f>IF(AND(UPPER(MAESTRO!$M521)="VIP",UPPER(MAESTRO!$J521)="SI",MAESTRO!$F521&lt;&gt;""),MAESTRO!$P521,"")</f>
        <v/>
      </c>
      <c r="B522" t="str">
        <f>IF($A522&lt;&gt;"",MAESTRO!$B521,"")</f>
        <v/>
      </c>
      <c r="C522" t="str">
        <f>IF($A522&lt;&gt;"",MAESTRO!$A521,"")</f>
        <v/>
      </c>
      <c r="D522" t="str">
        <f>IF($A522&lt;&gt;"",MAESTRO!$C521,"")</f>
        <v/>
      </c>
      <c r="E522" t="str">
        <f>IF($A522&lt;&gt;"",MAESTRO!$M521,"")</f>
        <v/>
      </c>
      <c r="F522" t="str">
        <f>IF($A522&lt;&gt;"",MAESTRO!$J521,"")</f>
        <v/>
      </c>
      <c r="G522" t="str">
        <f>IF($A522&lt;&gt;"",MAESTRO!$D521,"")</f>
        <v/>
      </c>
      <c r="H522" t="str">
        <f>IF($A522&lt;&gt;"",IF(TRIM(MAESTRO!$G521&amp;" "&amp;MAESTRO!$H521&amp;" "&amp;MAESTRO!$I521)="",MAESTRO!$F521,TRIM(MAESTRO!$G521&amp;" "&amp;MAESTRO!$H521&amp;" "&amp;MAESTRO!$I521)),"")</f>
        <v/>
      </c>
      <c r="I522" t="str">
        <f>IF($A522&lt;&gt;"",MAESTRO!$K521,"")</f>
        <v/>
      </c>
      <c r="J522" t="str">
        <f>IF($A522&lt;&gt;"",522,"")</f>
        <v/>
      </c>
    </row>
    <row r="523" spans="1:10" x14ac:dyDescent="0.2">
      <c r="A523" t="str">
        <f>IF(AND(UPPER(MAESTRO!$M522)="VIP",UPPER(MAESTRO!$J522)="SI",MAESTRO!$F522&lt;&gt;""),MAESTRO!$P522,"")</f>
        <v>B26</v>
      </c>
      <c r="B523">
        <f>IF($A523&lt;&gt;"",MAESTRO!$B522,"")</f>
        <v>521</v>
      </c>
      <c r="C523">
        <f>IF($A523&lt;&gt;"",MAESTRO!$A522,"")</f>
        <v>521</v>
      </c>
      <c r="D523" t="str">
        <f>IF($A523&lt;&gt;"",MAESTRO!$C522,"")</f>
        <v>PROVEEDORES</v>
      </c>
      <c r="E523" t="str">
        <f>IF($A523&lt;&gt;"",MAESTRO!$M522,"")</f>
        <v>VIP</v>
      </c>
      <c r="F523" t="str">
        <f>IF($A523&lt;&gt;"",MAESTRO!$J522,"")</f>
        <v>SI</v>
      </c>
      <c r="G523">
        <f>IF($A523&lt;&gt;"",MAESTRO!$D522,"")</f>
        <v>0</v>
      </c>
      <c r="H523" t="str">
        <f>IF($A523&lt;&gt;"",IF(TRIM(MAESTRO!$G522&amp;" "&amp;MAESTRO!$H522&amp;" "&amp;MAESTRO!$I522)="",MAESTRO!$F522,TRIM(MAESTRO!$G522&amp;" "&amp;MAESTRO!$H522&amp;" "&amp;MAESTRO!$I522)),"")</f>
        <v>Fernando Rodríguez</v>
      </c>
      <c r="I523" t="str">
        <f>IF($A523&lt;&gt;"",MAESTRO!$K522,"")</f>
        <v>Gerente General ASENAV</v>
      </c>
      <c r="J523">
        <f>IF($A523&lt;&gt;"",523,"")</f>
        <v>523</v>
      </c>
    </row>
    <row r="524" spans="1:10" x14ac:dyDescent="0.2">
      <c r="A524" t="str">
        <f>IF(AND(UPPER(MAESTRO!$M523)="VIP",UPPER(MAESTRO!$J523)="SI",MAESTRO!$F523&lt;&gt;""),MAESTRO!$P523,"")</f>
        <v/>
      </c>
      <c r="B524" t="str">
        <f>IF($A524&lt;&gt;"",MAESTRO!$B523,"")</f>
        <v/>
      </c>
      <c r="C524" t="str">
        <f>IF($A524&lt;&gt;"",MAESTRO!$A523,"")</f>
        <v/>
      </c>
      <c r="D524" t="str">
        <f>IF($A524&lt;&gt;"",MAESTRO!$C523,"")</f>
        <v/>
      </c>
      <c r="E524" t="str">
        <f>IF($A524&lt;&gt;"",MAESTRO!$M523,"")</f>
        <v/>
      </c>
      <c r="F524" t="str">
        <f>IF($A524&lt;&gt;"",MAESTRO!$J523,"")</f>
        <v/>
      </c>
      <c r="G524" t="str">
        <f>IF($A524&lt;&gt;"",MAESTRO!$D523,"")</f>
        <v/>
      </c>
      <c r="H524" t="str">
        <f>IF($A524&lt;&gt;"",IF(TRIM(MAESTRO!$G523&amp;" "&amp;MAESTRO!$H523&amp;" "&amp;MAESTRO!$I523)="",MAESTRO!$F523,TRIM(MAESTRO!$G523&amp;" "&amp;MAESTRO!$H523&amp;" "&amp;MAESTRO!$I523)),"")</f>
        <v/>
      </c>
      <c r="I524" t="str">
        <f>IF($A524&lt;&gt;"",MAESTRO!$K523,"")</f>
        <v/>
      </c>
      <c r="J524" t="str">
        <f>IF($A524&lt;&gt;"",524,"")</f>
        <v/>
      </c>
    </row>
    <row r="525" spans="1:10" x14ac:dyDescent="0.2">
      <c r="A525" t="str">
        <f>IF(AND(UPPER(MAESTRO!$M524)="VIP",UPPER(MAESTRO!$J524)="SI",MAESTRO!$F524&lt;&gt;""),MAESTRO!$P524,"")</f>
        <v/>
      </c>
      <c r="B525" t="str">
        <f>IF($A525&lt;&gt;"",MAESTRO!$B524,"")</f>
        <v/>
      </c>
      <c r="C525" t="str">
        <f>IF($A525&lt;&gt;"",MAESTRO!$A524,"")</f>
        <v/>
      </c>
      <c r="D525" t="str">
        <f>IF($A525&lt;&gt;"",MAESTRO!$C524,"")</f>
        <v/>
      </c>
      <c r="E525" t="str">
        <f>IF($A525&lt;&gt;"",MAESTRO!$M524,"")</f>
        <v/>
      </c>
      <c r="F525" t="str">
        <f>IF($A525&lt;&gt;"",MAESTRO!$J524,"")</f>
        <v/>
      </c>
      <c r="G525" t="str">
        <f>IF($A525&lt;&gt;"",MAESTRO!$D524,"")</f>
        <v/>
      </c>
      <c r="H525" t="str">
        <f>IF($A525&lt;&gt;"",IF(TRIM(MAESTRO!$G524&amp;" "&amp;MAESTRO!$H524&amp;" "&amp;MAESTRO!$I524)="",MAESTRO!$F524,TRIM(MAESTRO!$G524&amp;" "&amp;MAESTRO!$H524&amp;" "&amp;MAESTRO!$I524)),"")</f>
        <v/>
      </c>
      <c r="I525" t="str">
        <f>IF($A525&lt;&gt;"",MAESTRO!$K524,"")</f>
        <v/>
      </c>
      <c r="J525" t="str">
        <f>IF($A525&lt;&gt;"",525,"")</f>
        <v/>
      </c>
    </row>
    <row r="526" spans="1:10" x14ac:dyDescent="0.2">
      <c r="A526" t="str">
        <f>IF(AND(UPPER(MAESTRO!$M525)="VIP",UPPER(MAESTRO!$J525)="SI",MAESTRO!$F525&lt;&gt;""),MAESTRO!$P525,"")</f>
        <v/>
      </c>
      <c r="B526" t="str">
        <f>IF($A526&lt;&gt;"",MAESTRO!$B525,"")</f>
        <v/>
      </c>
      <c r="C526" t="str">
        <f>IF($A526&lt;&gt;"",MAESTRO!$A525,"")</f>
        <v/>
      </c>
      <c r="D526" t="str">
        <f>IF($A526&lt;&gt;"",MAESTRO!$C525,"")</f>
        <v/>
      </c>
      <c r="E526" t="str">
        <f>IF($A526&lt;&gt;"",MAESTRO!$M525,"")</f>
        <v/>
      </c>
      <c r="F526" t="str">
        <f>IF($A526&lt;&gt;"",MAESTRO!$J525,"")</f>
        <v/>
      </c>
      <c r="G526" t="str">
        <f>IF($A526&lt;&gt;"",MAESTRO!$D525,"")</f>
        <v/>
      </c>
      <c r="H526" t="str">
        <f>IF($A526&lt;&gt;"",IF(TRIM(MAESTRO!$G525&amp;" "&amp;MAESTRO!$H525&amp;" "&amp;MAESTRO!$I525)="",MAESTRO!$F525,TRIM(MAESTRO!$G525&amp;" "&amp;MAESTRO!$H525&amp;" "&amp;MAESTRO!$I525)),"")</f>
        <v/>
      </c>
      <c r="I526" t="str">
        <f>IF($A526&lt;&gt;"",MAESTRO!$K525,"")</f>
        <v/>
      </c>
      <c r="J526" t="str">
        <f>IF($A526&lt;&gt;"",526,"")</f>
        <v/>
      </c>
    </row>
    <row r="527" spans="1:10" x14ac:dyDescent="0.2">
      <c r="A527" t="str">
        <f>IF(AND(UPPER(MAESTRO!$M526)="VIP",UPPER(MAESTRO!$J526)="SI",MAESTRO!$F526&lt;&gt;""),MAESTRO!$P526,"")</f>
        <v>B19</v>
      </c>
      <c r="B527">
        <f>IF($A527&lt;&gt;"",MAESTRO!$B526,"")</f>
        <v>525</v>
      </c>
      <c r="C527">
        <f>IF($A527&lt;&gt;"",MAESTRO!$A526,"")</f>
        <v>525</v>
      </c>
      <c r="D527" t="str">
        <f>IF($A527&lt;&gt;"",MAESTRO!$C526,"")</f>
        <v>PROVEEDORES</v>
      </c>
      <c r="E527" t="str">
        <f>IF($A527&lt;&gt;"",MAESTRO!$M526,"")</f>
        <v>VIP</v>
      </c>
      <c r="F527" t="str">
        <f>IF($A527&lt;&gt;"",MAESTRO!$J526,"")</f>
        <v>SI</v>
      </c>
      <c r="G527" t="str">
        <f>IF($A527&lt;&gt;"",MAESTRO!$D526,"")</f>
        <v>Capitán de Navío (R)</v>
      </c>
      <c r="H527" t="str">
        <f>IF($A527&lt;&gt;"",IF(TRIM(MAESTRO!$G526&amp;" "&amp;MAESTRO!$H526&amp;" "&amp;MAESTRO!$I526)="",MAESTRO!$F526,TRIM(MAESTRO!$G526&amp;" "&amp;MAESTRO!$H526&amp;" "&amp;MAESTRO!$I526)),"")</f>
        <v>Francisco Hederra Pinto</v>
      </c>
      <c r="I527" t="str">
        <f>IF($A527&lt;&gt;"",MAESTRO!$K526,"")</f>
        <v>Gerente General SISDEF</v>
      </c>
      <c r="J527">
        <f>IF($A527&lt;&gt;"",527,"")</f>
        <v>527</v>
      </c>
    </row>
    <row r="528" spans="1:10" x14ac:dyDescent="0.2">
      <c r="A528" t="str">
        <f>IF(AND(UPPER(MAESTRO!$M527)="VIP",UPPER(MAESTRO!$J527)="SI",MAESTRO!$F527&lt;&gt;""),MAESTRO!$P527,"")</f>
        <v/>
      </c>
      <c r="B528" t="str">
        <f>IF($A528&lt;&gt;"",MAESTRO!$B527,"")</f>
        <v/>
      </c>
      <c r="C528" t="str">
        <f>IF($A528&lt;&gt;"",MAESTRO!$A527,"")</f>
        <v/>
      </c>
      <c r="D528" t="str">
        <f>IF($A528&lt;&gt;"",MAESTRO!$C527,"")</f>
        <v/>
      </c>
      <c r="E528" t="str">
        <f>IF($A528&lt;&gt;"",MAESTRO!$M527,"")</f>
        <v/>
      </c>
      <c r="F528" t="str">
        <f>IF($A528&lt;&gt;"",MAESTRO!$J527,"")</f>
        <v/>
      </c>
      <c r="G528" t="str">
        <f>IF($A528&lt;&gt;"",MAESTRO!$D527,"")</f>
        <v/>
      </c>
      <c r="H528" t="str">
        <f>IF($A528&lt;&gt;"",IF(TRIM(MAESTRO!$G527&amp;" "&amp;MAESTRO!$H527&amp;" "&amp;MAESTRO!$I527)="",MAESTRO!$F527,TRIM(MAESTRO!$G527&amp;" "&amp;MAESTRO!$H527&amp;" "&amp;MAESTRO!$I527)),"")</f>
        <v/>
      </c>
      <c r="I528" t="str">
        <f>IF($A528&lt;&gt;"",MAESTRO!$K527,"")</f>
        <v/>
      </c>
      <c r="J528" t="str">
        <f>IF($A528&lt;&gt;"",528,"")</f>
        <v/>
      </c>
    </row>
    <row r="529" spans="1:10" x14ac:dyDescent="0.2">
      <c r="A529" t="str">
        <f>IF(AND(UPPER(MAESTRO!$M528)="VIP",UPPER(MAESTRO!$J528)="SI",MAESTRO!$F528&lt;&gt;""),MAESTRO!$P528,"")</f>
        <v/>
      </c>
      <c r="B529" t="str">
        <f>IF($A529&lt;&gt;"",MAESTRO!$B528,"")</f>
        <v/>
      </c>
      <c r="C529" t="str">
        <f>IF($A529&lt;&gt;"",MAESTRO!$A528,"")</f>
        <v/>
      </c>
      <c r="D529" t="str">
        <f>IF($A529&lt;&gt;"",MAESTRO!$C528,"")</f>
        <v/>
      </c>
      <c r="E529" t="str">
        <f>IF($A529&lt;&gt;"",MAESTRO!$M528,"")</f>
        <v/>
      </c>
      <c r="F529" t="str">
        <f>IF($A529&lt;&gt;"",MAESTRO!$J528,"")</f>
        <v/>
      </c>
      <c r="G529" t="str">
        <f>IF($A529&lt;&gt;"",MAESTRO!$D528,"")</f>
        <v/>
      </c>
      <c r="H529" t="str">
        <f>IF($A529&lt;&gt;"",IF(TRIM(MAESTRO!$G528&amp;" "&amp;MAESTRO!$H528&amp;" "&amp;MAESTRO!$I528)="",MAESTRO!$F528,TRIM(MAESTRO!$G528&amp;" "&amp;MAESTRO!$H528&amp;" "&amp;MAESTRO!$I528)),"")</f>
        <v/>
      </c>
      <c r="I529" t="str">
        <f>IF($A529&lt;&gt;"",MAESTRO!$K528,"")</f>
        <v/>
      </c>
      <c r="J529" t="str">
        <f>IF($A529&lt;&gt;"",529,"")</f>
        <v/>
      </c>
    </row>
    <row r="530" spans="1:10" x14ac:dyDescent="0.2">
      <c r="A530" t="str">
        <f>IF(AND(UPPER(MAESTRO!$M529)="VIP",UPPER(MAESTRO!$J529)="SI",MAESTRO!$F529&lt;&gt;""),MAESTRO!$P529,"")</f>
        <v/>
      </c>
      <c r="B530" t="str">
        <f>IF($A530&lt;&gt;"",MAESTRO!$B529,"")</f>
        <v/>
      </c>
      <c r="C530" t="str">
        <f>IF($A530&lt;&gt;"",MAESTRO!$A529,"")</f>
        <v/>
      </c>
      <c r="D530" t="str">
        <f>IF($A530&lt;&gt;"",MAESTRO!$C529,"")</f>
        <v/>
      </c>
      <c r="E530" t="str">
        <f>IF($A530&lt;&gt;"",MAESTRO!$M529,"")</f>
        <v/>
      </c>
      <c r="F530" t="str">
        <f>IF($A530&lt;&gt;"",MAESTRO!$J529,"")</f>
        <v/>
      </c>
      <c r="G530" t="str">
        <f>IF($A530&lt;&gt;"",MAESTRO!$D529,"")</f>
        <v/>
      </c>
      <c r="H530" t="str">
        <f>IF($A530&lt;&gt;"",IF(TRIM(MAESTRO!$G529&amp;" "&amp;MAESTRO!$H529&amp;" "&amp;MAESTRO!$I529)="",MAESTRO!$F529,TRIM(MAESTRO!$G529&amp;" "&amp;MAESTRO!$H529&amp;" "&amp;MAESTRO!$I529)),"")</f>
        <v/>
      </c>
      <c r="I530" t="str">
        <f>IF($A530&lt;&gt;"",MAESTRO!$K529,"")</f>
        <v/>
      </c>
      <c r="J530" t="str">
        <f>IF($A530&lt;&gt;"",530,"")</f>
        <v/>
      </c>
    </row>
    <row r="531" spans="1:10" x14ac:dyDescent="0.2">
      <c r="A531" t="str">
        <f>IF(AND(UPPER(MAESTRO!$M530)="VIP",UPPER(MAESTRO!$J530)="SI",MAESTRO!$F530&lt;&gt;""),MAESTRO!$P530,"")</f>
        <v/>
      </c>
      <c r="B531" t="str">
        <f>IF($A531&lt;&gt;"",MAESTRO!$B530,"")</f>
        <v/>
      </c>
      <c r="C531" t="str">
        <f>IF($A531&lt;&gt;"",MAESTRO!$A530,"")</f>
        <v/>
      </c>
      <c r="D531" t="str">
        <f>IF($A531&lt;&gt;"",MAESTRO!$C530,"")</f>
        <v/>
      </c>
      <c r="E531" t="str">
        <f>IF($A531&lt;&gt;"",MAESTRO!$M530,"")</f>
        <v/>
      </c>
      <c r="F531" t="str">
        <f>IF($A531&lt;&gt;"",MAESTRO!$J530,"")</f>
        <v/>
      </c>
      <c r="G531" t="str">
        <f>IF($A531&lt;&gt;"",MAESTRO!$D530,"")</f>
        <v/>
      </c>
      <c r="H531" t="str">
        <f>IF($A531&lt;&gt;"",IF(TRIM(MAESTRO!$G530&amp;" "&amp;MAESTRO!$H530&amp;" "&amp;MAESTRO!$I530)="",MAESTRO!$F530,TRIM(MAESTRO!$G530&amp;" "&amp;MAESTRO!$H530&amp;" "&amp;MAESTRO!$I530)),"")</f>
        <v/>
      </c>
      <c r="I531" t="str">
        <f>IF($A531&lt;&gt;"",MAESTRO!$K530,"")</f>
        <v/>
      </c>
      <c r="J531" t="str">
        <f>IF($A531&lt;&gt;"",531,"")</f>
        <v/>
      </c>
    </row>
    <row r="532" spans="1:10" x14ac:dyDescent="0.2">
      <c r="A532" t="str">
        <f>IF(AND(UPPER(MAESTRO!$M531)="VIP",UPPER(MAESTRO!$J531)="SI",MAESTRO!$F531&lt;&gt;""),MAESTRO!$P531,"")</f>
        <v/>
      </c>
      <c r="B532" t="str">
        <f>IF($A532&lt;&gt;"",MAESTRO!$B531,"")</f>
        <v/>
      </c>
      <c r="C532" t="str">
        <f>IF($A532&lt;&gt;"",MAESTRO!$A531,"")</f>
        <v/>
      </c>
      <c r="D532" t="str">
        <f>IF($A532&lt;&gt;"",MAESTRO!$C531,"")</f>
        <v/>
      </c>
      <c r="E532" t="str">
        <f>IF($A532&lt;&gt;"",MAESTRO!$M531,"")</f>
        <v/>
      </c>
      <c r="F532" t="str">
        <f>IF($A532&lt;&gt;"",MAESTRO!$J531,"")</f>
        <v/>
      </c>
      <c r="G532" t="str">
        <f>IF($A532&lt;&gt;"",MAESTRO!$D531,"")</f>
        <v/>
      </c>
      <c r="H532" t="str">
        <f>IF($A532&lt;&gt;"",IF(TRIM(MAESTRO!$G531&amp;" "&amp;MAESTRO!$H531&amp;" "&amp;MAESTRO!$I531)="",MAESTRO!$F531,TRIM(MAESTRO!$G531&amp;" "&amp;MAESTRO!$H531&amp;" "&amp;MAESTRO!$I531)),"")</f>
        <v/>
      </c>
      <c r="I532" t="str">
        <f>IF($A532&lt;&gt;"",MAESTRO!$K531,"")</f>
        <v/>
      </c>
      <c r="J532" t="str">
        <f>IF($A532&lt;&gt;"",532,"")</f>
        <v/>
      </c>
    </row>
    <row r="533" spans="1:10" x14ac:dyDescent="0.2">
      <c r="A533" t="str">
        <f>IF(AND(UPPER(MAESTRO!$M532)="VIP",UPPER(MAESTRO!$J532)="SI",MAESTRO!$F532&lt;&gt;""),MAESTRO!$P532,"")</f>
        <v/>
      </c>
      <c r="B533" t="str">
        <f>IF($A533&lt;&gt;"",MAESTRO!$B532,"")</f>
        <v/>
      </c>
      <c r="C533" t="str">
        <f>IF($A533&lt;&gt;"",MAESTRO!$A532,"")</f>
        <v/>
      </c>
      <c r="D533" t="str">
        <f>IF($A533&lt;&gt;"",MAESTRO!$C532,"")</f>
        <v/>
      </c>
      <c r="E533" t="str">
        <f>IF($A533&lt;&gt;"",MAESTRO!$M532,"")</f>
        <v/>
      </c>
      <c r="F533" t="str">
        <f>IF($A533&lt;&gt;"",MAESTRO!$J532,"")</f>
        <v/>
      </c>
      <c r="G533" t="str">
        <f>IF($A533&lt;&gt;"",MAESTRO!$D532,"")</f>
        <v/>
      </c>
      <c r="H533" t="str">
        <f>IF($A533&lt;&gt;"",IF(TRIM(MAESTRO!$G532&amp;" "&amp;MAESTRO!$H532&amp;" "&amp;MAESTRO!$I532)="",MAESTRO!$F532,TRIM(MAESTRO!$G532&amp;" "&amp;MAESTRO!$H532&amp;" "&amp;MAESTRO!$I532)),"")</f>
        <v/>
      </c>
      <c r="I533" t="str">
        <f>IF($A533&lt;&gt;"",MAESTRO!$K532,"")</f>
        <v/>
      </c>
      <c r="J533" t="str">
        <f>IF($A533&lt;&gt;"",533,"")</f>
        <v/>
      </c>
    </row>
    <row r="534" spans="1:10" x14ac:dyDescent="0.2">
      <c r="A534" t="str">
        <f>IF(AND(UPPER(MAESTRO!$M533)="VIP",UPPER(MAESTRO!$J533)="SI",MAESTRO!$F533&lt;&gt;""),MAESTRO!$P533,"")</f>
        <v/>
      </c>
      <c r="B534" t="str">
        <f>IF($A534&lt;&gt;"",MAESTRO!$B533,"")</f>
        <v/>
      </c>
      <c r="C534" t="str">
        <f>IF($A534&lt;&gt;"",MAESTRO!$A533,"")</f>
        <v/>
      </c>
      <c r="D534" t="str">
        <f>IF($A534&lt;&gt;"",MAESTRO!$C533,"")</f>
        <v/>
      </c>
      <c r="E534" t="str">
        <f>IF($A534&lt;&gt;"",MAESTRO!$M533,"")</f>
        <v/>
      </c>
      <c r="F534" t="str">
        <f>IF($A534&lt;&gt;"",MAESTRO!$J533,"")</f>
        <v/>
      </c>
      <c r="G534" t="str">
        <f>IF($A534&lt;&gt;"",MAESTRO!$D533,"")</f>
        <v/>
      </c>
      <c r="H534" t="str">
        <f>IF($A534&lt;&gt;"",IF(TRIM(MAESTRO!$G533&amp;" "&amp;MAESTRO!$H533&amp;" "&amp;MAESTRO!$I533)="",MAESTRO!$F533,TRIM(MAESTRO!$G533&amp;" "&amp;MAESTRO!$H533&amp;" "&amp;MAESTRO!$I533)),"")</f>
        <v/>
      </c>
      <c r="I534" t="str">
        <f>IF($A534&lt;&gt;"",MAESTRO!$K533,"")</f>
        <v/>
      </c>
      <c r="J534" t="str">
        <f>IF($A534&lt;&gt;"",534,"")</f>
        <v/>
      </c>
    </row>
    <row r="535" spans="1:10" x14ac:dyDescent="0.2">
      <c r="A535" t="str">
        <f>IF(AND(UPPER(MAESTRO!$M534)="VIP",UPPER(MAESTRO!$J534)="SI",MAESTRO!$F534&lt;&gt;""),MAESTRO!$P534,"")</f>
        <v>B27</v>
      </c>
      <c r="B535">
        <f>IF($A535&lt;&gt;"",MAESTRO!$B534,"")</f>
        <v>533</v>
      </c>
      <c r="C535">
        <f>IF($A535&lt;&gt;"",MAESTRO!$A534,"")</f>
        <v>533</v>
      </c>
      <c r="D535" t="str">
        <f>IF($A535&lt;&gt;"",MAESTRO!$C534,"")</f>
        <v>PROVEEDORES</v>
      </c>
      <c r="E535" t="str">
        <f>IF($A535&lt;&gt;"",MAESTRO!$M534,"")</f>
        <v>VIP</v>
      </c>
      <c r="F535" t="str">
        <f>IF($A535&lt;&gt;"",MAESTRO!$J534,"")</f>
        <v>SI</v>
      </c>
      <c r="G535" t="str">
        <f>IF($A535&lt;&gt;"",MAESTRO!$D534,"")</f>
        <v>Señor</v>
      </c>
      <c r="H535" t="str">
        <f>IF($A535&lt;&gt;"",IF(TRIM(MAESTRO!$G534&amp;" "&amp;MAESTRO!$H534&amp;" "&amp;MAESTRO!$I534)="",MAESTRO!$F534,TRIM(MAESTRO!$G534&amp;" "&amp;MAESTRO!$H534&amp;" "&amp;MAESTRO!$I534)),"")</f>
        <v>Jorge Mutschler Castillo</v>
      </c>
      <c r="I535" t="str">
        <f>IF($A535&lt;&gt;"",MAESTRO!$K534,"")</f>
        <v>Gerente General Sociedad Comercial Equipos Industriales S.A. INDUELECTRO</v>
      </c>
      <c r="J535">
        <f>IF($A535&lt;&gt;"",535,"")</f>
        <v>535</v>
      </c>
    </row>
    <row r="536" spans="1:10" x14ac:dyDescent="0.2">
      <c r="A536" t="str">
        <f>IF(AND(UPPER(MAESTRO!$M535)="VIP",UPPER(MAESTRO!$J535)="SI",MAESTRO!$F535&lt;&gt;""),MAESTRO!$P535,"")</f>
        <v>B18</v>
      </c>
      <c r="B536">
        <f>IF($A536&lt;&gt;"",MAESTRO!$B535,"")</f>
        <v>534</v>
      </c>
      <c r="C536">
        <f>IF($A536&lt;&gt;"",MAESTRO!$A535,"")</f>
        <v>534</v>
      </c>
      <c r="D536" t="str">
        <f>IF($A536&lt;&gt;"",MAESTRO!$C535,"")</f>
        <v>PROVEEDORES</v>
      </c>
      <c r="E536" t="str">
        <f>IF($A536&lt;&gt;"",MAESTRO!$M535,"")</f>
        <v>VIP</v>
      </c>
      <c r="F536" t="str">
        <f>IF($A536&lt;&gt;"",MAESTRO!$J535,"")</f>
        <v>SI</v>
      </c>
      <c r="G536">
        <f>IF($A536&lt;&gt;"",MAESTRO!$D535,"")</f>
        <v>0</v>
      </c>
      <c r="H536" t="str">
        <f>IF($A536&lt;&gt;"",IF(TRIM(MAESTRO!$G535&amp;" "&amp;MAESTRO!$H535&amp;" "&amp;MAESTRO!$I535)="",MAESTRO!$F535,TRIM(MAESTRO!$G535&amp;" "&amp;MAESTRO!$H535&amp;" "&amp;MAESTRO!$I535)),"")</f>
        <v>Roberta Mutschler</v>
      </c>
      <c r="I536" t="str">
        <f>IF($A536&lt;&gt;"",MAESTRO!$K535,"")</f>
        <v>Subgerente General Sociedad Comercial Equipos Industriales S.A. INDUELECTRO</v>
      </c>
      <c r="J536">
        <f>IF($A536&lt;&gt;"",536,"")</f>
        <v>536</v>
      </c>
    </row>
    <row r="537" spans="1:10" x14ac:dyDescent="0.2">
      <c r="A537" t="str">
        <f>IF(AND(UPPER(MAESTRO!$M536)="VIP",UPPER(MAESTRO!$J536)="SI",MAESTRO!$F536&lt;&gt;""),MAESTRO!$P536,"")</f>
        <v/>
      </c>
      <c r="B537" t="str">
        <f>IF($A537&lt;&gt;"",MAESTRO!$B536,"")</f>
        <v/>
      </c>
      <c r="C537" t="str">
        <f>IF($A537&lt;&gt;"",MAESTRO!$A536,"")</f>
        <v/>
      </c>
      <c r="D537" t="str">
        <f>IF($A537&lt;&gt;"",MAESTRO!$C536,"")</f>
        <v/>
      </c>
      <c r="E537" t="str">
        <f>IF($A537&lt;&gt;"",MAESTRO!$M536,"")</f>
        <v/>
      </c>
      <c r="F537" t="str">
        <f>IF($A537&lt;&gt;"",MAESTRO!$J536,"")</f>
        <v/>
      </c>
      <c r="G537" t="str">
        <f>IF($A537&lt;&gt;"",MAESTRO!$D536,"")</f>
        <v/>
      </c>
      <c r="H537" t="str">
        <f>IF($A537&lt;&gt;"",IF(TRIM(MAESTRO!$G536&amp;" "&amp;MAESTRO!$H536&amp;" "&amp;MAESTRO!$I536)="",MAESTRO!$F536,TRIM(MAESTRO!$G536&amp;" "&amp;MAESTRO!$H536&amp;" "&amp;MAESTRO!$I536)),"")</f>
        <v/>
      </c>
      <c r="I537" t="str">
        <f>IF($A537&lt;&gt;"",MAESTRO!$K536,"")</f>
        <v/>
      </c>
      <c r="J537" t="str">
        <f>IF($A537&lt;&gt;"",537,"")</f>
        <v/>
      </c>
    </row>
    <row r="538" spans="1:10" x14ac:dyDescent="0.2">
      <c r="A538" t="str">
        <f>IF(AND(UPPER(MAESTRO!$M537)="VIP",UPPER(MAESTRO!$J537)="SI",MAESTRO!$F537&lt;&gt;""),MAESTRO!$P537,"")</f>
        <v>B29</v>
      </c>
      <c r="B538">
        <f>IF($A538&lt;&gt;"",MAESTRO!$B537,"")</f>
        <v>536</v>
      </c>
      <c r="C538">
        <f>IF($A538&lt;&gt;"",MAESTRO!$A537,"")</f>
        <v>536</v>
      </c>
      <c r="D538" t="str">
        <f>IF($A538&lt;&gt;"",MAESTRO!$C537,"")</f>
        <v>PROVEEDORES</v>
      </c>
      <c r="E538" t="str">
        <f>IF($A538&lt;&gt;"",MAESTRO!$M537,"")</f>
        <v>VIP</v>
      </c>
      <c r="F538" t="str">
        <f>IF($A538&lt;&gt;"",MAESTRO!$J537,"")</f>
        <v>SI</v>
      </c>
      <c r="G538">
        <f>IF($A538&lt;&gt;"",MAESTRO!$D537,"")</f>
        <v>0</v>
      </c>
      <c r="H538" t="str">
        <f>IF($A538&lt;&gt;"",IF(TRIM(MAESTRO!$G537&amp;" "&amp;MAESTRO!$H537&amp;" "&amp;MAESTRO!$I537)="",MAESTRO!$F537,TRIM(MAESTRO!$G537&amp;" "&amp;MAESTRO!$H537&amp;" "&amp;MAESTRO!$I537)),"")</f>
        <v>José Luis Fauré Cañas</v>
      </c>
      <c r="I538" t="str">
        <f>IF($A538&lt;&gt;"",MAESTRO!$K537,"")</f>
        <v>Gerente General CODELPA S.A.</v>
      </c>
      <c r="J538">
        <f>IF($A538&lt;&gt;"",538,"")</f>
        <v>538</v>
      </c>
    </row>
    <row r="539" spans="1:10" x14ac:dyDescent="0.2">
      <c r="A539" t="str">
        <f>IF(AND(UPPER(MAESTRO!$M538)="VIP",UPPER(MAESTRO!$J538)="SI",MAESTRO!$F538&lt;&gt;""),MAESTRO!$P538,"")</f>
        <v>B30</v>
      </c>
      <c r="B539">
        <f>IF($A539&lt;&gt;"",MAESTRO!$B538,"")</f>
        <v>537</v>
      </c>
      <c r="C539">
        <f>IF($A539&lt;&gt;"",MAESTRO!$A538,"")</f>
        <v>537</v>
      </c>
      <c r="D539" t="str">
        <f>IF($A539&lt;&gt;"",MAESTRO!$C538,"")</f>
        <v>PROVEEDORES</v>
      </c>
      <c r="E539" t="str">
        <f>IF($A539&lt;&gt;"",MAESTRO!$M538,"")</f>
        <v>VIP</v>
      </c>
      <c r="F539" t="str">
        <f>IF($A539&lt;&gt;"",MAESTRO!$J538,"")</f>
        <v>SI</v>
      </c>
      <c r="G539">
        <f>IF($A539&lt;&gt;"",MAESTRO!$D538,"")</f>
        <v>0</v>
      </c>
      <c r="H539" t="str">
        <f>IF($A539&lt;&gt;"",IF(TRIM(MAESTRO!$G538&amp;" "&amp;MAESTRO!$H538&amp;" "&amp;MAESTRO!$I538)="",MAESTRO!$F538,TRIM(MAESTRO!$G538&amp;" "&amp;MAESTRO!$H538&amp;" "&amp;MAESTRO!$I538)),"")</f>
        <v>Pedro Iturriaga González</v>
      </c>
      <c r="I539" t="str">
        <f>IF($A539&lt;&gt;"",MAESTRO!$K538,"")</f>
        <v>Gerente General PROINGAS S.A.</v>
      </c>
      <c r="J539">
        <f>IF($A539&lt;&gt;"",539,"")</f>
        <v>539</v>
      </c>
    </row>
    <row r="540" spans="1:10" x14ac:dyDescent="0.2">
      <c r="A540" t="str">
        <f>IF(AND(UPPER(MAESTRO!$M539)="VIP",UPPER(MAESTRO!$J539)="SI",MAESTRO!$F539&lt;&gt;""),MAESTRO!$P539,"")</f>
        <v/>
      </c>
      <c r="B540" t="str">
        <f>IF($A540&lt;&gt;"",MAESTRO!$B539,"")</f>
        <v/>
      </c>
      <c r="C540" t="str">
        <f>IF($A540&lt;&gt;"",MAESTRO!$A539,"")</f>
        <v/>
      </c>
      <c r="D540" t="str">
        <f>IF($A540&lt;&gt;"",MAESTRO!$C539,"")</f>
        <v/>
      </c>
      <c r="E540" t="str">
        <f>IF($A540&lt;&gt;"",MAESTRO!$M539,"")</f>
        <v/>
      </c>
      <c r="F540" t="str">
        <f>IF($A540&lt;&gt;"",MAESTRO!$J539,"")</f>
        <v/>
      </c>
      <c r="G540" t="str">
        <f>IF($A540&lt;&gt;"",MAESTRO!$D539,"")</f>
        <v/>
      </c>
      <c r="H540" t="str">
        <f>IF($A540&lt;&gt;"",IF(TRIM(MAESTRO!$G539&amp;" "&amp;MAESTRO!$H539&amp;" "&amp;MAESTRO!$I539)="",MAESTRO!$F539,TRIM(MAESTRO!$G539&amp;" "&amp;MAESTRO!$H539&amp;" "&amp;MAESTRO!$I539)),"")</f>
        <v/>
      </c>
      <c r="I540" t="str">
        <f>IF($A540&lt;&gt;"",MAESTRO!$K539,"")</f>
        <v/>
      </c>
      <c r="J540" t="str">
        <f>IF($A540&lt;&gt;"",540,"")</f>
        <v/>
      </c>
    </row>
    <row r="541" spans="1:10" x14ac:dyDescent="0.2">
      <c r="A541" t="str">
        <f>IF(AND(UPPER(MAESTRO!$M540)="VIP",UPPER(MAESTRO!$J540)="SI",MAESTRO!$F540&lt;&gt;""),MAESTRO!$P540,"")</f>
        <v>B15</v>
      </c>
      <c r="B541">
        <f>IF($A541&lt;&gt;"",MAESTRO!$B540,"")</f>
        <v>539</v>
      </c>
      <c r="C541">
        <f>IF($A541&lt;&gt;"",MAESTRO!$A540,"")</f>
        <v>539</v>
      </c>
      <c r="D541" t="str">
        <f>IF($A541&lt;&gt;"",MAESTRO!$C540,"")</f>
        <v>PROVEEDORES</v>
      </c>
      <c r="E541" t="str">
        <f>IF($A541&lt;&gt;"",MAESTRO!$M540,"")</f>
        <v>VIP</v>
      </c>
      <c r="F541" t="str">
        <f>IF($A541&lt;&gt;"",MAESTRO!$J540,"")</f>
        <v>SI</v>
      </c>
      <c r="G541" t="str">
        <f>IF($A541&lt;&gt;"",MAESTRO!$D540,"")</f>
        <v>Rector</v>
      </c>
      <c r="H541" t="str">
        <f>IF($A541&lt;&gt;"",IF(TRIM(MAESTRO!$G540&amp;" "&amp;MAESTRO!$H540&amp;" "&amp;MAESTRO!$I540)="",MAESTRO!$F540,TRIM(MAESTRO!$G540&amp;" "&amp;MAESTRO!$H540&amp;" "&amp;MAESTRO!$I540)),"")</f>
        <v>Roberto Rodriguez</v>
      </c>
      <c r="I541" t="str">
        <f>IF($A541&lt;&gt;"",MAESTRO!$K540,"")</f>
        <v>Director General IBERCISA DECK Machinery S.A.</v>
      </c>
      <c r="J541">
        <f>IF($A541&lt;&gt;"",541,"")</f>
        <v>541</v>
      </c>
    </row>
    <row r="542" spans="1:10" x14ac:dyDescent="0.2">
      <c r="A542" t="str">
        <f>IF(AND(UPPER(MAESTRO!$M541)="VIP",UPPER(MAESTRO!$J541)="SI",MAESTRO!$F541&lt;&gt;""),MAESTRO!$P541,"")</f>
        <v/>
      </c>
      <c r="B542" t="str">
        <f>IF($A542&lt;&gt;"",MAESTRO!$B541,"")</f>
        <v/>
      </c>
      <c r="C542" t="str">
        <f>IF($A542&lt;&gt;"",MAESTRO!$A541,"")</f>
        <v/>
      </c>
      <c r="D542" t="str">
        <f>IF($A542&lt;&gt;"",MAESTRO!$C541,"")</f>
        <v/>
      </c>
      <c r="E542" t="str">
        <f>IF($A542&lt;&gt;"",MAESTRO!$M541,"")</f>
        <v/>
      </c>
      <c r="F542" t="str">
        <f>IF($A542&lt;&gt;"",MAESTRO!$J541,"")</f>
        <v/>
      </c>
      <c r="G542" t="str">
        <f>IF($A542&lt;&gt;"",MAESTRO!$D541,"")</f>
        <v/>
      </c>
      <c r="H542" t="str">
        <f>IF($A542&lt;&gt;"",IF(TRIM(MAESTRO!$G541&amp;" "&amp;MAESTRO!$H541&amp;" "&amp;MAESTRO!$I541)="",MAESTRO!$F541,TRIM(MAESTRO!$G541&amp;" "&amp;MAESTRO!$H541&amp;" "&amp;MAESTRO!$I541)),"")</f>
        <v/>
      </c>
      <c r="I542" t="str">
        <f>IF($A542&lt;&gt;"",MAESTRO!$K541,"")</f>
        <v/>
      </c>
      <c r="J542" t="str">
        <f>IF($A542&lt;&gt;"",542,"")</f>
        <v/>
      </c>
    </row>
    <row r="543" spans="1:10" x14ac:dyDescent="0.2">
      <c r="A543" t="str">
        <f>IF(AND(UPPER(MAESTRO!$M542)="VIP",UPPER(MAESTRO!$J542)="SI",MAESTRO!$F542&lt;&gt;""),MAESTRO!$P542,"")</f>
        <v>B31</v>
      </c>
      <c r="B543">
        <f>IF($A543&lt;&gt;"",MAESTRO!$B542,"")</f>
        <v>541</v>
      </c>
      <c r="C543">
        <f>IF($A543&lt;&gt;"",MAESTRO!$A542,"")</f>
        <v>541</v>
      </c>
      <c r="D543" t="str">
        <f>IF($A543&lt;&gt;"",MAESTRO!$C542,"")</f>
        <v>PROVEEDORES</v>
      </c>
      <c r="E543" t="str">
        <f>IF($A543&lt;&gt;"",MAESTRO!$M542,"")</f>
        <v>VIP</v>
      </c>
      <c r="F543" t="str">
        <f>IF($A543&lt;&gt;"",MAESTRO!$J542,"")</f>
        <v>SI</v>
      </c>
      <c r="G543" t="str">
        <f>IF($A543&lt;&gt;"",MAESTRO!$D542,"")</f>
        <v>Capitán de Navío (R)</v>
      </c>
      <c r="H543" t="str">
        <f>IF($A543&lt;&gt;"",IF(TRIM(MAESTRO!$G542&amp;" "&amp;MAESTRO!$H542&amp;" "&amp;MAESTRO!$I542)="",MAESTRO!$F542,TRIM(MAESTRO!$G542&amp;" "&amp;MAESTRO!$H542&amp;" "&amp;MAESTRO!$I542)),"")</f>
        <v>Sidney Chellew Daydi</v>
      </c>
      <c r="I543" t="str">
        <f>IF($A543&lt;&gt;"",MAESTRO!$K542,"")</f>
        <v>Gerente General SOCIBER</v>
      </c>
      <c r="J543">
        <f>IF($A543&lt;&gt;"",543,"")</f>
        <v>543</v>
      </c>
    </row>
    <row r="544" spans="1:10" x14ac:dyDescent="0.2">
      <c r="A544" t="str">
        <f>IF(AND(UPPER(MAESTRO!$M543)="VIP",UPPER(MAESTRO!$J543)="SI",MAESTRO!$F543&lt;&gt;""),MAESTRO!$P543,"")</f>
        <v/>
      </c>
      <c r="B544" t="str">
        <f>IF($A544&lt;&gt;"",MAESTRO!$B543,"")</f>
        <v/>
      </c>
      <c r="C544" t="str">
        <f>IF($A544&lt;&gt;"",MAESTRO!$A543,"")</f>
        <v/>
      </c>
      <c r="D544" t="str">
        <f>IF($A544&lt;&gt;"",MAESTRO!$C543,"")</f>
        <v/>
      </c>
      <c r="E544" t="str">
        <f>IF($A544&lt;&gt;"",MAESTRO!$M543,"")</f>
        <v/>
      </c>
      <c r="F544" t="str">
        <f>IF($A544&lt;&gt;"",MAESTRO!$J543,"")</f>
        <v/>
      </c>
      <c r="G544" t="str">
        <f>IF($A544&lt;&gt;"",MAESTRO!$D543,"")</f>
        <v/>
      </c>
      <c r="H544" t="str">
        <f>IF($A544&lt;&gt;"",IF(TRIM(MAESTRO!$G543&amp;" "&amp;MAESTRO!$H543&amp;" "&amp;MAESTRO!$I543)="",MAESTRO!$F543,TRIM(MAESTRO!$G543&amp;" "&amp;MAESTRO!$H543&amp;" "&amp;MAESTRO!$I543)),"")</f>
        <v/>
      </c>
      <c r="I544" t="str">
        <f>IF($A544&lt;&gt;"",MAESTRO!$K543,"")</f>
        <v/>
      </c>
      <c r="J544" t="str">
        <f>IF($A544&lt;&gt;"",544,"")</f>
        <v/>
      </c>
    </row>
    <row r="545" spans="1:10" x14ac:dyDescent="0.2">
      <c r="A545" t="str">
        <f>IF(AND(UPPER(MAESTRO!$M544)="VIP",UPPER(MAESTRO!$J544)="SI",MAESTRO!$F544&lt;&gt;""),MAESTRO!$P544,"")</f>
        <v/>
      </c>
      <c r="B545" t="str">
        <f>IF($A545&lt;&gt;"",MAESTRO!$B544,"")</f>
        <v/>
      </c>
      <c r="C545" t="str">
        <f>IF($A545&lt;&gt;"",MAESTRO!$A544,"")</f>
        <v/>
      </c>
      <c r="D545" t="str">
        <f>IF($A545&lt;&gt;"",MAESTRO!$C544,"")</f>
        <v/>
      </c>
      <c r="E545" t="str">
        <f>IF($A545&lt;&gt;"",MAESTRO!$M544,"")</f>
        <v/>
      </c>
      <c r="F545" t="str">
        <f>IF($A545&lt;&gt;"",MAESTRO!$J544,"")</f>
        <v/>
      </c>
      <c r="G545" t="str">
        <f>IF($A545&lt;&gt;"",MAESTRO!$D544,"")</f>
        <v/>
      </c>
      <c r="H545" t="str">
        <f>IF($A545&lt;&gt;"",IF(TRIM(MAESTRO!$G544&amp;" "&amp;MAESTRO!$H544&amp;" "&amp;MAESTRO!$I544)="",MAESTRO!$F544,TRIM(MAESTRO!$G544&amp;" "&amp;MAESTRO!$H544&amp;" "&amp;MAESTRO!$I544)),"")</f>
        <v/>
      </c>
      <c r="I545" t="str">
        <f>IF($A545&lt;&gt;"",MAESTRO!$K544,"")</f>
        <v/>
      </c>
      <c r="J545" t="str">
        <f>IF($A545&lt;&gt;"",545,"")</f>
        <v/>
      </c>
    </row>
    <row r="546" spans="1:10" x14ac:dyDescent="0.2">
      <c r="A546" t="str">
        <f>IF(AND(UPPER(MAESTRO!$M545)="VIP",UPPER(MAESTRO!$J545)="SI",MAESTRO!$F545&lt;&gt;""),MAESTRO!$P545,"")</f>
        <v>B14</v>
      </c>
      <c r="B546">
        <f>IF($A546&lt;&gt;"",MAESTRO!$B545,"")</f>
        <v>544</v>
      </c>
      <c r="C546">
        <f>IF($A546&lt;&gt;"",MAESTRO!$A545,"")</f>
        <v>544</v>
      </c>
      <c r="D546" t="str">
        <f>IF($A546&lt;&gt;"",MAESTRO!$C545,"")</f>
        <v>PROVEEDORES</v>
      </c>
      <c r="E546" t="str">
        <f>IF($A546&lt;&gt;"",MAESTRO!$M545,"")</f>
        <v>VIP</v>
      </c>
      <c r="F546" t="str">
        <f>IF($A546&lt;&gt;"",MAESTRO!$J545,"")</f>
        <v>SI</v>
      </c>
      <c r="G546">
        <f>IF($A546&lt;&gt;"",MAESTRO!$D545,"")</f>
        <v>0</v>
      </c>
      <c r="H546" t="str">
        <f>IF($A546&lt;&gt;"",IF(TRIM(MAESTRO!$G545&amp;" "&amp;MAESTRO!$H545&amp;" "&amp;MAESTRO!$I545)="",MAESTRO!$F545,TRIM(MAESTRO!$G545&amp;" "&amp;MAESTRO!$H545&amp;" "&amp;MAESTRO!$I545)),"")</f>
        <v>Gise Van Mourik</v>
      </c>
      <c r="I546" t="str">
        <f>IF($A546&lt;&gt;"",MAESTRO!$K545,"")</f>
        <v>Gerente Ventas, Wärtsilä Marine</v>
      </c>
      <c r="J546">
        <f>IF($A546&lt;&gt;"",546,"")</f>
        <v>546</v>
      </c>
    </row>
    <row r="547" spans="1:10" x14ac:dyDescent="0.2">
      <c r="A547" t="str">
        <f>IF(AND(UPPER(MAESTRO!$M546)="VIP",UPPER(MAESTRO!$J546)="SI",MAESTRO!$F546&lt;&gt;""),MAESTRO!$P546,"")</f>
        <v/>
      </c>
      <c r="B547" t="str">
        <f>IF($A547&lt;&gt;"",MAESTRO!$B546,"")</f>
        <v/>
      </c>
      <c r="C547" t="str">
        <f>IF($A547&lt;&gt;"",MAESTRO!$A546,"")</f>
        <v/>
      </c>
      <c r="D547" t="str">
        <f>IF($A547&lt;&gt;"",MAESTRO!$C546,"")</f>
        <v/>
      </c>
      <c r="E547" t="str">
        <f>IF($A547&lt;&gt;"",MAESTRO!$M546,"")</f>
        <v/>
      </c>
      <c r="F547" t="str">
        <f>IF($A547&lt;&gt;"",MAESTRO!$J546,"")</f>
        <v/>
      </c>
      <c r="G547" t="str">
        <f>IF($A547&lt;&gt;"",MAESTRO!$D546,"")</f>
        <v/>
      </c>
      <c r="H547" t="str">
        <f>IF($A547&lt;&gt;"",IF(TRIM(MAESTRO!$G546&amp;" "&amp;MAESTRO!$H546&amp;" "&amp;MAESTRO!$I546)="",MAESTRO!$F546,TRIM(MAESTRO!$G546&amp;" "&amp;MAESTRO!$H546&amp;" "&amp;MAESTRO!$I546)),"")</f>
        <v/>
      </c>
      <c r="I547" t="str">
        <f>IF($A547&lt;&gt;"",MAESTRO!$K546,"")</f>
        <v/>
      </c>
      <c r="J547" t="str">
        <f>IF($A547&lt;&gt;"",547,"")</f>
        <v/>
      </c>
    </row>
    <row r="548" spans="1:10" x14ac:dyDescent="0.2">
      <c r="A548" t="str">
        <f>IF(AND(UPPER(MAESTRO!$M547)="VIP",UPPER(MAESTRO!$J547)="SI",MAESTRO!$F547&lt;&gt;""),MAESTRO!$P547,"")</f>
        <v/>
      </c>
      <c r="B548" t="str">
        <f>IF($A548&lt;&gt;"",MAESTRO!$B547,"")</f>
        <v/>
      </c>
      <c r="C548" t="str">
        <f>IF($A548&lt;&gt;"",MAESTRO!$A547,"")</f>
        <v/>
      </c>
      <c r="D548" t="str">
        <f>IF($A548&lt;&gt;"",MAESTRO!$C547,"")</f>
        <v/>
      </c>
      <c r="E548" t="str">
        <f>IF($A548&lt;&gt;"",MAESTRO!$M547,"")</f>
        <v/>
      </c>
      <c r="F548" t="str">
        <f>IF($A548&lt;&gt;"",MAESTRO!$J547,"")</f>
        <v/>
      </c>
      <c r="G548" t="str">
        <f>IF($A548&lt;&gt;"",MAESTRO!$D547,"")</f>
        <v/>
      </c>
      <c r="H548" t="str">
        <f>IF($A548&lt;&gt;"",IF(TRIM(MAESTRO!$G547&amp;" "&amp;MAESTRO!$H547&amp;" "&amp;MAESTRO!$I547)="",MAESTRO!$F547,TRIM(MAESTRO!$G547&amp;" "&amp;MAESTRO!$H547&amp;" "&amp;MAESTRO!$I547)),"")</f>
        <v/>
      </c>
      <c r="I548" t="str">
        <f>IF($A548&lt;&gt;"",MAESTRO!$K547,"")</f>
        <v/>
      </c>
      <c r="J548" t="str">
        <f>IF($A548&lt;&gt;"",548,"")</f>
        <v/>
      </c>
    </row>
    <row r="549" spans="1:10" x14ac:dyDescent="0.2">
      <c r="A549" t="str">
        <f>IF(AND(UPPER(MAESTRO!$M548)="VIP",UPPER(MAESTRO!$J548)="SI",MAESTRO!$F548&lt;&gt;""),MAESTRO!$P548,"")</f>
        <v/>
      </c>
      <c r="B549" t="str">
        <f>IF($A549&lt;&gt;"",MAESTRO!$B548,"")</f>
        <v/>
      </c>
      <c r="C549" t="str">
        <f>IF($A549&lt;&gt;"",MAESTRO!$A548,"")</f>
        <v/>
      </c>
      <c r="D549" t="str">
        <f>IF($A549&lt;&gt;"",MAESTRO!$C548,"")</f>
        <v/>
      </c>
      <c r="E549" t="str">
        <f>IF($A549&lt;&gt;"",MAESTRO!$M548,"")</f>
        <v/>
      </c>
      <c r="F549" t="str">
        <f>IF($A549&lt;&gt;"",MAESTRO!$J548,"")</f>
        <v/>
      </c>
      <c r="G549" t="str">
        <f>IF($A549&lt;&gt;"",MAESTRO!$D548,"")</f>
        <v/>
      </c>
      <c r="H549" t="str">
        <f>IF($A549&lt;&gt;"",IF(TRIM(MAESTRO!$G548&amp;" "&amp;MAESTRO!$H548&amp;" "&amp;MAESTRO!$I548)="",MAESTRO!$F548,TRIM(MAESTRO!$G548&amp;" "&amp;MAESTRO!$H548&amp;" "&amp;MAESTRO!$I548)),"")</f>
        <v/>
      </c>
      <c r="I549" t="str">
        <f>IF($A549&lt;&gt;"",MAESTRO!$K548,"")</f>
        <v/>
      </c>
      <c r="J549" t="str">
        <f>IF($A549&lt;&gt;"",549,"")</f>
        <v/>
      </c>
    </row>
    <row r="550" spans="1:10" x14ac:dyDescent="0.2">
      <c r="A550" t="str">
        <f>IF(AND(UPPER(MAESTRO!$M549)="VIP",UPPER(MAESTRO!$J549)="SI",MAESTRO!$F549&lt;&gt;""),MAESTRO!$P549,"")</f>
        <v/>
      </c>
      <c r="B550" t="str">
        <f>IF($A550&lt;&gt;"",MAESTRO!$B549,"")</f>
        <v/>
      </c>
      <c r="C550" t="str">
        <f>IF($A550&lt;&gt;"",MAESTRO!$A549,"")</f>
        <v/>
      </c>
      <c r="D550" t="str">
        <f>IF($A550&lt;&gt;"",MAESTRO!$C549,"")</f>
        <v/>
      </c>
      <c r="E550" t="str">
        <f>IF($A550&lt;&gt;"",MAESTRO!$M549,"")</f>
        <v/>
      </c>
      <c r="F550" t="str">
        <f>IF($A550&lt;&gt;"",MAESTRO!$J549,"")</f>
        <v/>
      </c>
      <c r="G550" t="str">
        <f>IF($A550&lt;&gt;"",MAESTRO!$D549,"")</f>
        <v/>
      </c>
      <c r="H550" t="str">
        <f>IF($A550&lt;&gt;"",IF(TRIM(MAESTRO!$G549&amp;" "&amp;MAESTRO!$H549&amp;" "&amp;MAESTRO!$I549)="",MAESTRO!$F549,TRIM(MAESTRO!$G549&amp;" "&amp;MAESTRO!$H549&amp;" "&amp;MAESTRO!$I549)),"")</f>
        <v/>
      </c>
      <c r="I550" t="str">
        <f>IF($A550&lt;&gt;"",MAESTRO!$K549,"")</f>
        <v/>
      </c>
      <c r="J550" t="str">
        <f>IF($A550&lt;&gt;"",550,"")</f>
        <v/>
      </c>
    </row>
    <row r="551" spans="1:10" x14ac:dyDescent="0.2">
      <c r="A551" t="str">
        <f>IF(AND(UPPER(MAESTRO!$M550)="VIP",UPPER(MAESTRO!$J550)="SI",MAESTRO!$F550&lt;&gt;""),MAESTRO!$P550,"")</f>
        <v/>
      </c>
      <c r="B551" t="str">
        <f>IF($A551&lt;&gt;"",MAESTRO!$B550,"")</f>
        <v/>
      </c>
      <c r="C551" t="str">
        <f>IF($A551&lt;&gt;"",MAESTRO!$A550,"")</f>
        <v/>
      </c>
      <c r="D551" t="str">
        <f>IF($A551&lt;&gt;"",MAESTRO!$C550,"")</f>
        <v/>
      </c>
      <c r="E551" t="str">
        <f>IF($A551&lt;&gt;"",MAESTRO!$M550,"")</f>
        <v/>
      </c>
      <c r="F551" t="str">
        <f>IF($A551&lt;&gt;"",MAESTRO!$J550,"")</f>
        <v/>
      </c>
      <c r="G551" t="str">
        <f>IF($A551&lt;&gt;"",MAESTRO!$D550,"")</f>
        <v/>
      </c>
      <c r="H551" t="str">
        <f>IF($A551&lt;&gt;"",IF(TRIM(MAESTRO!$G550&amp;" "&amp;MAESTRO!$H550&amp;" "&amp;MAESTRO!$I550)="",MAESTRO!$F550,TRIM(MAESTRO!$G550&amp;" "&amp;MAESTRO!$H550&amp;" "&amp;MAESTRO!$I550)),"")</f>
        <v/>
      </c>
      <c r="I551" t="str">
        <f>IF($A551&lt;&gt;"",MAESTRO!$K550,"")</f>
        <v/>
      </c>
      <c r="J551" t="str">
        <f>IF($A551&lt;&gt;"",551,"")</f>
        <v/>
      </c>
    </row>
    <row r="552" spans="1:10" x14ac:dyDescent="0.2">
      <c r="A552" t="str">
        <f>IF(AND(UPPER(MAESTRO!$M551)="VIP",UPPER(MAESTRO!$J551)="SI",MAESTRO!$F551&lt;&gt;""),MAESTRO!$P551,"")</f>
        <v/>
      </c>
      <c r="B552" t="str">
        <f>IF($A552&lt;&gt;"",MAESTRO!$B551,"")</f>
        <v/>
      </c>
      <c r="C552" t="str">
        <f>IF($A552&lt;&gt;"",MAESTRO!$A551,"")</f>
        <v/>
      </c>
      <c r="D552" t="str">
        <f>IF($A552&lt;&gt;"",MAESTRO!$C551,"")</f>
        <v/>
      </c>
      <c r="E552" t="str">
        <f>IF($A552&lt;&gt;"",MAESTRO!$M551,"")</f>
        <v/>
      </c>
      <c r="F552" t="str">
        <f>IF($A552&lt;&gt;"",MAESTRO!$J551,"")</f>
        <v/>
      </c>
      <c r="G552" t="str">
        <f>IF($A552&lt;&gt;"",MAESTRO!$D551,"")</f>
        <v/>
      </c>
      <c r="H552" t="str">
        <f>IF($A552&lt;&gt;"",IF(TRIM(MAESTRO!$G551&amp;" "&amp;MAESTRO!$H551&amp;" "&amp;MAESTRO!$I551)="",MAESTRO!$F551,TRIM(MAESTRO!$G551&amp;" "&amp;MAESTRO!$H551&amp;" "&amp;MAESTRO!$I551)),"")</f>
        <v/>
      </c>
      <c r="I552" t="str">
        <f>IF($A552&lt;&gt;"",MAESTRO!$K551,"")</f>
        <v/>
      </c>
      <c r="J552" t="str">
        <f>IF($A552&lt;&gt;"",552,"")</f>
        <v/>
      </c>
    </row>
    <row r="553" spans="1:10" x14ac:dyDescent="0.2">
      <c r="A553" t="str">
        <f>IF(AND(UPPER(MAESTRO!$M552)="VIP",UPPER(MAESTRO!$J552)="SI",MAESTRO!$F552&lt;&gt;""),MAESTRO!$P552,"")</f>
        <v>B32</v>
      </c>
      <c r="B553">
        <f>IF($A553&lt;&gt;"",MAESTRO!$B552,"")</f>
        <v>551</v>
      </c>
      <c r="C553">
        <f>IF($A553&lt;&gt;"",MAESTRO!$A552,"")</f>
        <v>551</v>
      </c>
      <c r="D553" t="str">
        <f>IF($A553&lt;&gt;"",MAESTRO!$C552,"")</f>
        <v>PROVEEDORES</v>
      </c>
      <c r="E553" t="str">
        <f>IF($A553&lt;&gt;"",MAESTRO!$M552,"")</f>
        <v>VIP</v>
      </c>
      <c r="F553" t="str">
        <f>IF($A553&lt;&gt;"",MAESTRO!$J552,"")</f>
        <v>SI</v>
      </c>
      <c r="G553">
        <f>IF($A553&lt;&gt;"",MAESTRO!$D552,"")</f>
        <v>0</v>
      </c>
      <c r="H553" t="str">
        <f>IF($A553&lt;&gt;"",IF(TRIM(MAESTRO!$G552&amp;" "&amp;MAESTRO!$H552&amp;" "&amp;MAESTRO!$I552)="",MAESTRO!$F552,TRIM(MAESTRO!$G552&amp;" "&amp;MAESTRO!$H552&amp;" "&amp;MAESTRO!$I552)),"")</f>
        <v>Carlos González</v>
      </c>
      <c r="I553" t="str">
        <f>IF($A553&lt;&gt;"",MAESTRO!$K552,"")</f>
        <v>CEO  FRIZONIA Regrigeración, climatización .S.L.</v>
      </c>
      <c r="J553">
        <f>IF($A553&lt;&gt;"",553,"")</f>
        <v>553</v>
      </c>
    </row>
    <row r="554" spans="1:10" x14ac:dyDescent="0.2">
      <c r="A554" t="str">
        <f>IF(AND(UPPER(MAESTRO!$M553)="VIP",UPPER(MAESTRO!$J553)="SI",MAESTRO!$F553&lt;&gt;""),MAESTRO!$P553,"")</f>
        <v>B13</v>
      </c>
      <c r="B554">
        <f>IF($A554&lt;&gt;"",MAESTRO!$B553,"")</f>
        <v>552</v>
      </c>
      <c r="C554">
        <f>IF($A554&lt;&gt;"",MAESTRO!$A553,"")</f>
        <v>552</v>
      </c>
      <c r="D554" t="str">
        <f>IF($A554&lt;&gt;"",MAESTRO!$C553,"")</f>
        <v>PROVEEDORES</v>
      </c>
      <c r="E554" t="str">
        <f>IF($A554&lt;&gt;"",MAESTRO!$M553,"")</f>
        <v>VIP</v>
      </c>
      <c r="F554" t="str">
        <f>IF($A554&lt;&gt;"",MAESTRO!$J553,"")</f>
        <v>SI</v>
      </c>
      <c r="G554" t="str">
        <f>IF($A554&lt;&gt;"",MAESTRO!$D553,"")</f>
        <v>Presidente</v>
      </c>
      <c r="H554" t="str">
        <f>IF($A554&lt;&gt;"",IF(TRIM(MAESTRO!$G553&amp;" "&amp;MAESTRO!$H553&amp;" "&amp;MAESTRO!$I553)="",MAESTRO!$F553,TRIM(MAESTRO!$G553&amp;" "&amp;MAESTRO!$H553&amp;" "&amp;MAESTRO!$I553)),"")</f>
        <v>Patricio Fernández Goberna</v>
      </c>
      <c r="I554" t="str">
        <f>IF($A554&lt;&gt;"",MAESTRO!$K553,"")</f>
        <v>Presidente Industrias Ferri S.A.</v>
      </c>
      <c r="J554">
        <f>IF($A554&lt;&gt;"",554,"")</f>
        <v>554</v>
      </c>
    </row>
    <row r="555" spans="1:10" x14ac:dyDescent="0.2">
      <c r="A555" t="str">
        <f>IF(AND(UPPER(MAESTRO!$M554)="VIP",UPPER(MAESTRO!$J554)="SI",MAESTRO!$F554&lt;&gt;""),MAESTRO!$P554,"")</f>
        <v/>
      </c>
      <c r="B555" t="str">
        <f>IF($A555&lt;&gt;"",MAESTRO!$B554,"")</f>
        <v/>
      </c>
      <c r="C555" t="str">
        <f>IF($A555&lt;&gt;"",MAESTRO!$A554,"")</f>
        <v/>
      </c>
      <c r="D555" t="str">
        <f>IF($A555&lt;&gt;"",MAESTRO!$C554,"")</f>
        <v/>
      </c>
      <c r="E555" t="str">
        <f>IF($A555&lt;&gt;"",MAESTRO!$M554,"")</f>
        <v/>
      </c>
      <c r="F555" t="str">
        <f>IF($A555&lt;&gt;"",MAESTRO!$J554,"")</f>
        <v/>
      </c>
      <c r="G555" t="str">
        <f>IF($A555&lt;&gt;"",MAESTRO!$D554,"")</f>
        <v/>
      </c>
      <c r="H555" t="str">
        <f>IF($A555&lt;&gt;"",IF(TRIM(MAESTRO!$G554&amp;" "&amp;MAESTRO!$H554&amp;" "&amp;MAESTRO!$I554)="",MAESTRO!$F554,TRIM(MAESTRO!$G554&amp;" "&amp;MAESTRO!$H554&amp;" "&amp;MAESTRO!$I554)),"")</f>
        <v/>
      </c>
      <c r="I555" t="str">
        <f>IF($A555&lt;&gt;"",MAESTRO!$K554,"")</f>
        <v/>
      </c>
      <c r="J555" t="str">
        <f>IF($A555&lt;&gt;"",555,"")</f>
        <v/>
      </c>
    </row>
    <row r="556" spans="1:10" x14ac:dyDescent="0.2">
      <c r="A556" t="str">
        <f>IF(AND(UPPER(MAESTRO!$M555)="VIP",UPPER(MAESTRO!$J555)="SI",MAESTRO!$F555&lt;&gt;""),MAESTRO!$P555,"")</f>
        <v/>
      </c>
      <c r="B556" t="str">
        <f>IF($A556&lt;&gt;"",MAESTRO!$B555,"")</f>
        <v/>
      </c>
      <c r="C556" t="str">
        <f>IF($A556&lt;&gt;"",MAESTRO!$A555,"")</f>
        <v/>
      </c>
      <c r="D556" t="str">
        <f>IF($A556&lt;&gt;"",MAESTRO!$C555,"")</f>
        <v/>
      </c>
      <c r="E556" t="str">
        <f>IF($A556&lt;&gt;"",MAESTRO!$M555,"")</f>
        <v/>
      </c>
      <c r="F556" t="str">
        <f>IF($A556&lt;&gt;"",MAESTRO!$J555,"")</f>
        <v/>
      </c>
      <c r="G556" t="str">
        <f>IF($A556&lt;&gt;"",MAESTRO!$D555,"")</f>
        <v/>
      </c>
      <c r="H556" t="str">
        <f>IF($A556&lt;&gt;"",IF(TRIM(MAESTRO!$G555&amp;" "&amp;MAESTRO!$H555&amp;" "&amp;MAESTRO!$I555)="",MAESTRO!$F555,TRIM(MAESTRO!$G555&amp;" "&amp;MAESTRO!$H555&amp;" "&amp;MAESTRO!$I555)),"")</f>
        <v/>
      </c>
      <c r="I556" t="str">
        <f>IF($A556&lt;&gt;"",MAESTRO!$K555,"")</f>
        <v/>
      </c>
      <c r="J556" t="str">
        <f>IF($A556&lt;&gt;"",556,"")</f>
        <v/>
      </c>
    </row>
    <row r="557" spans="1:10" x14ac:dyDescent="0.2">
      <c r="A557" t="str">
        <f>IF(AND(UPPER(MAESTRO!$M556)="VIP",UPPER(MAESTRO!$J556)="SI",MAESTRO!$F556&lt;&gt;""),MAESTRO!$P556,"")</f>
        <v/>
      </c>
      <c r="B557" t="str">
        <f>IF($A557&lt;&gt;"",MAESTRO!$B556,"")</f>
        <v/>
      </c>
      <c r="C557" t="str">
        <f>IF($A557&lt;&gt;"",MAESTRO!$A556,"")</f>
        <v/>
      </c>
      <c r="D557" t="str">
        <f>IF($A557&lt;&gt;"",MAESTRO!$C556,"")</f>
        <v/>
      </c>
      <c r="E557" t="str">
        <f>IF($A557&lt;&gt;"",MAESTRO!$M556,"")</f>
        <v/>
      </c>
      <c r="F557" t="str">
        <f>IF($A557&lt;&gt;"",MAESTRO!$J556,"")</f>
        <v/>
      </c>
      <c r="G557" t="str">
        <f>IF($A557&lt;&gt;"",MAESTRO!$D556,"")</f>
        <v/>
      </c>
      <c r="H557" t="str">
        <f>IF($A557&lt;&gt;"",IF(TRIM(MAESTRO!$G556&amp;" "&amp;MAESTRO!$H556&amp;" "&amp;MAESTRO!$I556)="",MAESTRO!$F556,TRIM(MAESTRO!$G556&amp;" "&amp;MAESTRO!$H556&amp;" "&amp;MAESTRO!$I556)),"")</f>
        <v/>
      </c>
      <c r="I557" t="str">
        <f>IF($A557&lt;&gt;"",MAESTRO!$K556,"")</f>
        <v/>
      </c>
      <c r="J557" t="str">
        <f>IF($A557&lt;&gt;"",557,"")</f>
        <v/>
      </c>
    </row>
    <row r="558" spans="1:10" x14ac:dyDescent="0.2">
      <c r="A558" t="str">
        <f>IF(AND(UPPER(MAESTRO!$M557)="VIP",UPPER(MAESTRO!$J557)="SI",MAESTRO!$F557&lt;&gt;""),MAESTRO!$P557,"")</f>
        <v/>
      </c>
      <c r="B558" t="str">
        <f>IF($A558&lt;&gt;"",MAESTRO!$B557,"")</f>
        <v/>
      </c>
      <c r="C558" t="str">
        <f>IF($A558&lt;&gt;"",MAESTRO!$A557,"")</f>
        <v/>
      </c>
      <c r="D558" t="str">
        <f>IF($A558&lt;&gt;"",MAESTRO!$C557,"")</f>
        <v/>
      </c>
      <c r="E558" t="str">
        <f>IF($A558&lt;&gt;"",MAESTRO!$M557,"")</f>
        <v/>
      </c>
      <c r="F558" t="str">
        <f>IF($A558&lt;&gt;"",MAESTRO!$J557,"")</f>
        <v/>
      </c>
      <c r="G558" t="str">
        <f>IF($A558&lt;&gt;"",MAESTRO!$D557,"")</f>
        <v/>
      </c>
      <c r="H558" t="str">
        <f>IF($A558&lt;&gt;"",IF(TRIM(MAESTRO!$G557&amp;" "&amp;MAESTRO!$H557&amp;" "&amp;MAESTRO!$I557)="",MAESTRO!$F557,TRIM(MAESTRO!$G557&amp;" "&amp;MAESTRO!$H557&amp;" "&amp;MAESTRO!$I557)),"")</f>
        <v/>
      </c>
      <c r="I558" t="str">
        <f>IF($A558&lt;&gt;"",MAESTRO!$K557,"")</f>
        <v/>
      </c>
      <c r="J558" t="str">
        <f>IF($A558&lt;&gt;"",558,"")</f>
        <v/>
      </c>
    </row>
    <row r="559" spans="1:10" x14ac:dyDescent="0.2">
      <c r="A559" t="str">
        <f>IF(AND(UPPER(MAESTRO!$M558)="VIP",UPPER(MAESTRO!$J558)="SI",MAESTRO!$F558&lt;&gt;""),MAESTRO!$P558,"")</f>
        <v/>
      </c>
      <c r="B559" t="str">
        <f>IF($A559&lt;&gt;"",MAESTRO!$B558,"")</f>
        <v/>
      </c>
      <c r="C559" t="str">
        <f>IF($A559&lt;&gt;"",MAESTRO!$A558,"")</f>
        <v/>
      </c>
      <c r="D559" t="str">
        <f>IF($A559&lt;&gt;"",MAESTRO!$C558,"")</f>
        <v/>
      </c>
      <c r="E559" t="str">
        <f>IF($A559&lt;&gt;"",MAESTRO!$M558,"")</f>
        <v/>
      </c>
      <c r="F559" t="str">
        <f>IF($A559&lt;&gt;"",MAESTRO!$J558,"")</f>
        <v/>
      </c>
      <c r="G559" t="str">
        <f>IF($A559&lt;&gt;"",MAESTRO!$D558,"")</f>
        <v/>
      </c>
      <c r="H559" t="str">
        <f>IF($A559&lt;&gt;"",IF(TRIM(MAESTRO!$G558&amp;" "&amp;MAESTRO!$H558&amp;" "&amp;MAESTRO!$I558)="",MAESTRO!$F558,TRIM(MAESTRO!$G558&amp;" "&amp;MAESTRO!$H558&amp;" "&amp;MAESTRO!$I558)),"")</f>
        <v/>
      </c>
      <c r="I559" t="str">
        <f>IF($A559&lt;&gt;"",MAESTRO!$K558,"")</f>
        <v/>
      </c>
      <c r="J559" t="str">
        <f>IF($A559&lt;&gt;"",559,"")</f>
        <v/>
      </c>
    </row>
    <row r="560" spans="1:10" x14ac:dyDescent="0.2">
      <c r="A560" t="str">
        <f>IF(AND(UPPER(MAESTRO!$M559)="VIP",UPPER(MAESTRO!$J559)="SI",MAESTRO!$F559&lt;&gt;""),MAESTRO!$P559,"")</f>
        <v>B33</v>
      </c>
      <c r="B560">
        <f>IF($A560&lt;&gt;"",MAESTRO!$B559,"")</f>
        <v>558</v>
      </c>
      <c r="C560">
        <f>IF($A560&lt;&gt;"",MAESTRO!$A559,"")</f>
        <v>558</v>
      </c>
      <c r="D560" t="str">
        <f>IF($A560&lt;&gt;"",MAESTRO!$C559,"")</f>
        <v>PROVEEDORES</v>
      </c>
      <c r="E560" t="str">
        <f>IF($A560&lt;&gt;"",MAESTRO!$M559,"")</f>
        <v>VIP</v>
      </c>
      <c r="F560" t="str">
        <f>IF($A560&lt;&gt;"",MAESTRO!$J559,"")</f>
        <v>SI</v>
      </c>
      <c r="G560">
        <f>IF($A560&lt;&gt;"",MAESTRO!$D559,"")</f>
        <v>0</v>
      </c>
      <c r="H560" t="str">
        <f>IF($A560&lt;&gt;"",IF(TRIM(MAESTRO!$G559&amp;" "&amp;MAESTRO!$H559&amp;" "&amp;MAESTRO!$I559)="",MAESTRO!$F559,TRIM(MAESTRO!$G559&amp;" "&amp;MAESTRO!$H559&amp;" "&amp;MAESTRO!$I559)),"")</f>
        <v>Pablo Guerrero Salgado</v>
      </c>
      <c r="I560" t="str">
        <f>IF($A560&lt;&gt;"",MAESTRO!$K559,"")</f>
        <v>COO GABADI</v>
      </c>
      <c r="J560">
        <f>IF($A560&lt;&gt;"",560,"")</f>
        <v>560</v>
      </c>
    </row>
    <row r="561" spans="1:10" x14ac:dyDescent="0.2">
      <c r="A561" t="str">
        <f>IF(AND(UPPER(MAESTRO!$M560)="VIP",UPPER(MAESTRO!$J560)="SI",MAESTRO!$F560&lt;&gt;""),MAESTRO!$P560,"")</f>
        <v/>
      </c>
      <c r="B561" t="str">
        <f>IF($A561&lt;&gt;"",MAESTRO!$B560,"")</f>
        <v/>
      </c>
      <c r="C561" t="str">
        <f>IF($A561&lt;&gt;"",MAESTRO!$A560,"")</f>
        <v/>
      </c>
      <c r="D561" t="str">
        <f>IF($A561&lt;&gt;"",MAESTRO!$C560,"")</f>
        <v/>
      </c>
      <c r="E561" t="str">
        <f>IF($A561&lt;&gt;"",MAESTRO!$M560,"")</f>
        <v/>
      </c>
      <c r="F561" t="str">
        <f>IF($A561&lt;&gt;"",MAESTRO!$J560,"")</f>
        <v/>
      </c>
      <c r="G561" t="str">
        <f>IF($A561&lt;&gt;"",MAESTRO!$D560,"")</f>
        <v/>
      </c>
      <c r="H561" t="str">
        <f>IF($A561&lt;&gt;"",IF(TRIM(MAESTRO!$G560&amp;" "&amp;MAESTRO!$H560&amp;" "&amp;MAESTRO!$I560)="",MAESTRO!$F560,TRIM(MAESTRO!$G560&amp;" "&amp;MAESTRO!$H560&amp;" "&amp;MAESTRO!$I560)),"")</f>
        <v/>
      </c>
      <c r="I561" t="str">
        <f>IF($A561&lt;&gt;"",MAESTRO!$K560,"")</f>
        <v/>
      </c>
      <c r="J561" t="str">
        <f>IF($A561&lt;&gt;"",561,"")</f>
        <v/>
      </c>
    </row>
    <row r="562" spans="1:10" x14ac:dyDescent="0.2">
      <c r="A562" t="str">
        <f>IF(AND(UPPER(MAESTRO!$M561)="VIP",UPPER(MAESTRO!$J561)="SI",MAESTRO!$F561&lt;&gt;""),MAESTRO!$P561,"")</f>
        <v/>
      </c>
      <c r="B562" t="str">
        <f>IF($A562&lt;&gt;"",MAESTRO!$B561,"")</f>
        <v/>
      </c>
      <c r="C562" t="str">
        <f>IF($A562&lt;&gt;"",MAESTRO!$A561,"")</f>
        <v/>
      </c>
      <c r="D562" t="str">
        <f>IF($A562&lt;&gt;"",MAESTRO!$C561,"")</f>
        <v/>
      </c>
      <c r="E562" t="str">
        <f>IF($A562&lt;&gt;"",MAESTRO!$M561,"")</f>
        <v/>
      </c>
      <c r="F562" t="str">
        <f>IF($A562&lt;&gt;"",MAESTRO!$J561,"")</f>
        <v/>
      </c>
      <c r="G562" t="str">
        <f>IF($A562&lt;&gt;"",MAESTRO!$D561,"")</f>
        <v/>
      </c>
      <c r="H562" t="str">
        <f>IF($A562&lt;&gt;"",IF(TRIM(MAESTRO!$G561&amp;" "&amp;MAESTRO!$H561&amp;" "&amp;MAESTRO!$I561)="",MAESTRO!$F561,TRIM(MAESTRO!$G561&amp;" "&amp;MAESTRO!$H561&amp;" "&amp;MAESTRO!$I561)),"")</f>
        <v/>
      </c>
      <c r="I562" t="str">
        <f>IF($A562&lt;&gt;"",MAESTRO!$K561,"")</f>
        <v/>
      </c>
      <c r="J562" t="str">
        <f>IF($A562&lt;&gt;"",562,"")</f>
        <v/>
      </c>
    </row>
    <row r="563" spans="1:10" x14ac:dyDescent="0.2">
      <c r="A563" t="str">
        <f>IF(AND(UPPER(MAESTRO!$M562)="VIP",UPPER(MAESTRO!$J562)="SI",MAESTRO!$F562&lt;&gt;""),MAESTRO!$P562,"")</f>
        <v/>
      </c>
      <c r="B563" t="str">
        <f>IF($A563&lt;&gt;"",MAESTRO!$B562,"")</f>
        <v/>
      </c>
      <c r="C563" t="str">
        <f>IF($A563&lt;&gt;"",MAESTRO!$A562,"")</f>
        <v/>
      </c>
      <c r="D563" t="str">
        <f>IF($A563&lt;&gt;"",MAESTRO!$C562,"")</f>
        <v/>
      </c>
      <c r="E563" t="str">
        <f>IF($A563&lt;&gt;"",MAESTRO!$M562,"")</f>
        <v/>
      </c>
      <c r="F563" t="str">
        <f>IF($A563&lt;&gt;"",MAESTRO!$J562,"")</f>
        <v/>
      </c>
      <c r="G563" t="str">
        <f>IF($A563&lt;&gt;"",MAESTRO!$D562,"")</f>
        <v/>
      </c>
      <c r="H563" t="str">
        <f>IF($A563&lt;&gt;"",IF(TRIM(MAESTRO!$G562&amp;" "&amp;MAESTRO!$H562&amp;" "&amp;MAESTRO!$I562)="",MAESTRO!$F562,TRIM(MAESTRO!$G562&amp;" "&amp;MAESTRO!$H562&amp;" "&amp;MAESTRO!$I562)),"")</f>
        <v/>
      </c>
      <c r="I563" t="str">
        <f>IF($A563&lt;&gt;"",MAESTRO!$K562,"")</f>
        <v/>
      </c>
      <c r="J563" t="str">
        <f>IF($A563&lt;&gt;"",563,"")</f>
        <v/>
      </c>
    </row>
    <row r="564" spans="1:10" x14ac:dyDescent="0.2">
      <c r="A564" t="str">
        <f>IF(AND(UPPER(MAESTRO!$M563)="VIP",UPPER(MAESTRO!$J563)="SI",MAESTRO!$F563&lt;&gt;""),MAESTRO!$P563,"")</f>
        <v/>
      </c>
      <c r="B564" t="str">
        <f>IF($A564&lt;&gt;"",MAESTRO!$B563,"")</f>
        <v/>
      </c>
      <c r="C564" t="str">
        <f>IF($A564&lt;&gt;"",MAESTRO!$A563,"")</f>
        <v/>
      </c>
      <c r="D564" t="str">
        <f>IF($A564&lt;&gt;"",MAESTRO!$C563,"")</f>
        <v/>
      </c>
      <c r="E564" t="str">
        <f>IF($A564&lt;&gt;"",MAESTRO!$M563,"")</f>
        <v/>
      </c>
      <c r="F564" t="str">
        <f>IF($A564&lt;&gt;"",MAESTRO!$J563,"")</f>
        <v/>
      </c>
      <c r="G564" t="str">
        <f>IF($A564&lt;&gt;"",MAESTRO!$D563,"")</f>
        <v/>
      </c>
      <c r="H564" t="str">
        <f>IF($A564&lt;&gt;"",IF(TRIM(MAESTRO!$G563&amp;" "&amp;MAESTRO!$H563&amp;" "&amp;MAESTRO!$I563)="",MAESTRO!$F563,TRIM(MAESTRO!$G563&amp;" "&amp;MAESTRO!$H563&amp;" "&amp;MAESTRO!$I563)),"")</f>
        <v/>
      </c>
      <c r="I564" t="str">
        <f>IF($A564&lt;&gt;"",MAESTRO!$K563,"")</f>
        <v/>
      </c>
      <c r="J564" t="str">
        <f>IF($A564&lt;&gt;"",564,"")</f>
        <v/>
      </c>
    </row>
    <row r="565" spans="1:10" x14ac:dyDescent="0.2">
      <c r="A565" t="str">
        <f>IF(AND(UPPER(MAESTRO!$M564)="VIP",UPPER(MAESTRO!$J564)="SI",MAESTRO!$F564&lt;&gt;""),MAESTRO!$P564,"")</f>
        <v/>
      </c>
      <c r="B565" t="str">
        <f>IF($A565&lt;&gt;"",MAESTRO!$B564,"")</f>
        <v/>
      </c>
      <c r="C565" t="str">
        <f>IF($A565&lt;&gt;"",MAESTRO!$A564,"")</f>
        <v/>
      </c>
      <c r="D565" t="str">
        <f>IF($A565&lt;&gt;"",MAESTRO!$C564,"")</f>
        <v/>
      </c>
      <c r="E565" t="str">
        <f>IF($A565&lt;&gt;"",MAESTRO!$M564,"")</f>
        <v/>
      </c>
      <c r="F565" t="str">
        <f>IF($A565&lt;&gt;"",MAESTRO!$J564,"")</f>
        <v/>
      </c>
      <c r="G565" t="str">
        <f>IF($A565&lt;&gt;"",MAESTRO!$D564,"")</f>
        <v/>
      </c>
      <c r="H565" t="str">
        <f>IF($A565&lt;&gt;"",IF(TRIM(MAESTRO!$G564&amp;" "&amp;MAESTRO!$H564&amp;" "&amp;MAESTRO!$I564)="",MAESTRO!$F564,TRIM(MAESTRO!$G564&amp;" "&amp;MAESTRO!$H564&amp;" "&amp;MAESTRO!$I564)),"")</f>
        <v/>
      </c>
      <c r="I565" t="str">
        <f>IF($A565&lt;&gt;"",MAESTRO!$K564,"")</f>
        <v/>
      </c>
      <c r="J565" t="str">
        <f>IF($A565&lt;&gt;"",565,"")</f>
        <v/>
      </c>
    </row>
    <row r="566" spans="1:10" x14ac:dyDescent="0.2">
      <c r="A566" t="str">
        <f>IF(AND(UPPER(MAESTRO!$M565)="VIP",UPPER(MAESTRO!$J565)="SI",MAESTRO!$F565&lt;&gt;""),MAESTRO!$P565,"")</f>
        <v/>
      </c>
      <c r="B566" t="str">
        <f>IF($A566&lt;&gt;"",MAESTRO!$B565,"")</f>
        <v/>
      </c>
      <c r="C566" t="str">
        <f>IF($A566&lt;&gt;"",MAESTRO!$A565,"")</f>
        <v/>
      </c>
      <c r="D566" t="str">
        <f>IF($A566&lt;&gt;"",MAESTRO!$C565,"")</f>
        <v/>
      </c>
      <c r="E566" t="str">
        <f>IF($A566&lt;&gt;"",MAESTRO!$M565,"")</f>
        <v/>
      </c>
      <c r="F566" t="str">
        <f>IF($A566&lt;&gt;"",MAESTRO!$J565,"")</f>
        <v/>
      </c>
      <c r="G566" t="str">
        <f>IF($A566&lt;&gt;"",MAESTRO!$D565,"")</f>
        <v/>
      </c>
      <c r="H566" t="str">
        <f>IF($A566&lt;&gt;"",IF(TRIM(MAESTRO!$G565&amp;" "&amp;MAESTRO!$H565&amp;" "&amp;MAESTRO!$I565)="",MAESTRO!$F565,TRIM(MAESTRO!$G565&amp;" "&amp;MAESTRO!$H565&amp;" "&amp;MAESTRO!$I565)),"")</f>
        <v/>
      </c>
      <c r="I566" t="str">
        <f>IF($A566&lt;&gt;"",MAESTRO!$K565,"")</f>
        <v/>
      </c>
      <c r="J566" t="str">
        <f>IF($A566&lt;&gt;"",566,"")</f>
        <v/>
      </c>
    </row>
    <row r="567" spans="1:10" x14ac:dyDescent="0.2">
      <c r="A567" t="str">
        <f>IF(AND(UPPER(MAESTRO!$M566)="VIP",UPPER(MAESTRO!$J566)="SI",MAESTRO!$F566&lt;&gt;""),MAESTRO!$P566,"")</f>
        <v/>
      </c>
      <c r="B567" t="str">
        <f>IF($A567&lt;&gt;"",MAESTRO!$B566,"")</f>
        <v/>
      </c>
      <c r="C567" t="str">
        <f>IF($A567&lt;&gt;"",MAESTRO!$A566,"")</f>
        <v/>
      </c>
      <c r="D567" t="str">
        <f>IF($A567&lt;&gt;"",MAESTRO!$C566,"")</f>
        <v/>
      </c>
      <c r="E567" t="str">
        <f>IF($A567&lt;&gt;"",MAESTRO!$M566,"")</f>
        <v/>
      </c>
      <c r="F567" t="str">
        <f>IF($A567&lt;&gt;"",MAESTRO!$J566,"")</f>
        <v/>
      </c>
      <c r="G567" t="str">
        <f>IF($A567&lt;&gt;"",MAESTRO!$D566,"")</f>
        <v/>
      </c>
      <c r="H567" t="str">
        <f>IF($A567&lt;&gt;"",IF(TRIM(MAESTRO!$G566&amp;" "&amp;MAESTRO!$H566&amp;" "&amp;MAESTRO!$I566)="",MAESTRO!$F566,TRIM(MAESTRO!$G566&amp;" "&amp;MAESTRO!$H566&amp;" "&amp;MAESTRO!$I566)),"")</f>
        <v/>
      </c>
      <c r="I567" t="str">
        <f>IF($A567&lt;&gt;"",MAESTRO!$K566,"")</f>
        <v/>
      </c>
      <c r="J567" t="str">
        <f>IF($A567&lt;&gt;"",567,"")</f>
        <v/>
      </c>
    </row>
    <row r="568" spans="1:10" x14ac:dyDescent="0.2">
      <c r="A568" t="str">
        <f>IF(AND(UPPER(MAESTRO!$M567)="VIP",UPPER(MAESTRO!$J567)="SI",MAESTRO!$F567&lt;&gt;""),MAESTRO!$P567,"")</f>
        <v/>
      </c>
      <c r="B568" t="str">
        <f>IF($A568&lt;&gt;"",MAESTRO!$B567,"")</f>
        <v/>
      </c>
      <c r="C568" t="str">
        <f>IF($A568&lt;&gt;"",MAESTRO!$A567,"")</f>
        <v/>
      </c>
      <c r="D568" t="str">
        <f>IF($A568&lt;&gt;"",MAESTRO!$C567,"")</f>
        <v/>
      </c>
      <c r="E568" t="str">
        <f>IF($A568&lt;&gt;"",MAESTRO!$M567,"")</f>
        <v/>
      </c>
      <c r="F568" t="str">
        <f>IF($A568&lt;&gt;"",MAESTRO!$J567,"")</f>
        <v/>
      </c>
      <c r="G568" t="str">
        <f>IF($A568&lt;&gt;"",MAESTRO!$D567,"")</f>
        <v/>
      </c>
      <c r="H568" t="str">
        <f>IF($A568&lt;&gt;"",IF(TRIM(MAESTRO!$G567&amp;" "&amp;MAESTRO!$H567&amp;" "&amp;MAESTRO!$I567)="",MAESTRO!$F567,TRIM(MAESTRO!$G567&amp;" "&amp;MAESTRO!$H567&amp;" "&amp;MAESTRO!$I567)),"")</f>
        <v/>
      </c>
      <c r="I568" t="str">
        <f>IF($A568&lt;&gt;"",MAESTRO!$K567,"")</f>
        <v/>
      </c>
      <c r="J568" t="str">
        <f>IF($A568&lt;&gt;"",568,"")</f>
        <v/>
      </c>
    </row>
    <row r="569" spans="1:10" x14ac:dyDescent="0.2">
      <c r="A569" t="str">
        <f>IF(AND(UPPER(MAESTRO!$M568)="VIP",UPPER(MAESTRO!$J568)="SI",MAESTRO!$F568&lt;&gt;""),MAESTRO!$P568,"")</f>
        <v/>
      </c>
      <c r="B569" t="str">
        <f>IF($A569&lt;&gt;"",MAESTRO!$B568,"")</f>
        <v/>
      </c>
      <c r="C569" t="str">
        <f>IF($A569&lt;&gt;"",MAESTRO!$A568,"")</f>
        <v/>
      </c>
      <c r="D569" t="str">
        <f>IF($A569&lt;&gt;"",MAESTRO!$C568,"")</f>
        <v/>
      </c>
      <c r="E569" t="str">
        <f>IF($A569&lt;&gt;"",MAESTRO!$M568,"")</f>
        <v/>
      </c>
      <c r="F569" t="str">
        <f>IF($A569&lt;&gt;"",MAESTRO!$J568,"")</f>
        <v/>
      </c>
      <c r="G569" t="str">
        <f>IF($A569&lt;&gt;"",MAESTRO!$D568,"")</f>
        <v/>
      </c>
      <c r="H569" t="str">
        <f>IF($A569&lt;&gt;"",IF(TRIM(MAESTRO!$G568&amp;" "&amp;MAESTRO!$H568&amp;" "&amp;MAESTRO!$I568)="",MAESTRO!$F568,TRIM(MAESTRO!$G568&amp;" "&amp;MAESTRO!$H568&amp;" "&amp;MAESTRO!$I568)),"")</f>
        <v/>
      </c>
      <c r="I569" t="str">
        <f>IF($A569&lt;&gt;"",MAESTRO!$K568,"")</f>
        <v/>
      </c>
      <c r="J569" t="str">
        <f>IF($A569&lt;&gt;"",569,"")</f>
        <v/>
      </c>
    </row>
    <row r="570" spans="1:10" x14ac:dyDescent="0.2">
      <c r="A570" t="str">
        <f>IF(AND(UPPER(MAESTRO!$M569)="VIP",UPPER(MAESTRO!$J569)="SI",MAESTRO!$F569&lt;&gt;""),MAESTRO!$P569,"")</f>
        <v/>
      </c>
      <c r="B570" t="str">
        <f>IF($A570&lt;&gt;"",MAESTRO!$B569,"")</f>
        <v/>
      </c>
      <c r="C570" t="str">
        <f>IF($A570&lt;&gt;"",MAESTRO!$A569,"")</f>
        <v/>
      </c>
      <c r="D570" t="str">
        <f>IF($A570&lt;&gt;"",MAESTRO!$C569,"")</f>
        <v/>
      </c>
      <c r="E570" t="str">
        <f>IF($A570&lt;&gt;"",MAESTRO!$M569,"")</f>
        <v/>
      </c>
      <c r="F570" t="str">
        <f>IF($A570&lt;&gt;"",MAESTRO!$J569,"")</f>
        <v/>
      </c>
      <c r="G570" t="str">
        <f>IF($A570&lt;&gt;"",MAESTRO!$D569,"")</f>
        <v/>
      </c>
      <c r="H570" t="str">
        <f>IF($A570&lt;&gt;"",IF(TRIM(MAESTRO!$G569&amp;" "&amp;MAESTRO!$H569&amp;" "&amp;MAESTRO!$I569)="",MAESTRO!$F569,TRIM(MAESTRO!$G569&amp;" "&amp;MAESTRO!$H569&amp;" "&amp;MAESTRO!$I569)),"")</f>
        <v/>
      </c>
      <c r="I570" t="str">
        <f>IF($A570&lt;&gt;"",MAESTRO!$K569,"")</f>
        <v/>
      </c>
      <c r="J570" t="str">
        <f>IF($A570&lt;&gt;"",570,"")</f>
        <v/>
      </c>
    </row>
    <row r="571" spans="1:10" x14ac:dyDescent="0.2">
      <c r="A571" t="str">
        <f>IF(AND(UPPER(MAESTRO!$M570)="VIP",UPPER(MAESTRO!$J570)="SI",MAESTRO!$F570&lt;&gt;""),MAESTRO!$P570,"")</f>
        <v/>
      </c>
      <c r="B571" t="str">
        <f>IF($A571&lt;&gt;"",MAESTRO!$B570,"")</f>
        <v/>
      </c>
      <c r="C571" t="str">
        <f>IF($A571&lt;&gt;"",MAESTRO!$A570,"")</f>
        <v/>
      </c>
      <c r="D571" t="str">
        <f>IF($A571&lt;&gt;"",MAESTRO!$C570,"")</f>
        <v/>
      </c>
      <c r="E571" t="str">
        <f>IF($A571&lt;&gt;"",MAESTRO!$M570,"")</f>
        <v/>
      </c>
      <c r="F571" t="str">
        <f>IF($A571&lt;&gt;"",MAESTRO!$J570,"")</f>
        <v/>
      </c>
      <c r="G571" t="str">
        <f>IF($A571&lt;&gt;"",MAESTRO!$D570,"")</f>
        <v/>
      </c>
      <c r="H571" t="str">
        <f>IF($A571&lt;&gt;"",IF(TRIM(MAESTRO!$G570&amp;" "&amp;MAESTRO!$H570&amp;" "&amp;MAESTRO!$I570)="",MAESTRO!$F570,TRIM(MAESTRO!$G570&amp;" "&amp;MAESTRO!$H570&amp;" "&amp;MAESTRO!$I570)),"")</f>
        <v/>
      </c>
      <c r="I571" t="str">
        <f>IF($A571&lt;&gt;"",MAESTRO!$K570,"")</f>
        <v/>
      </c>
      <c r="J571" t="str">
        <f>IF($A571&lt;&gt;"",571,"")</f>
        <v/>
      </c>
    </row>
    <row r="572" spans="1:10" x14ac:dyDescent="0.2">
      <c r="A572" t="str">
        <f>IF(AND(UPPER(MAESTRO!$M571)="VIP",UPPER(MAESTRO!$J571)="SI",MAESTRO!$F571&lt;&gt;""),MAESTRO!$P571,"")</f>
        <v/>
      </c>
      <c r="B572" t="str">
        <f>IF($A572&lt;&gt;"",MAESTRO!$B571,"")</f>
        <v/>
      </c>
      <c r="C572" t="str">
        <f>IF($A572&lt;&gt;"",MAESTRO!$A571,"")</f>
        <v/>
      </c>
      <c r="D572" t="str">
        <f>IF($A572&lt;&gt;"",MAESTRO!$C571,"")</f>
        <v/>
      </c>
      <c r="E572" t="str">
        <f>IF($A572&lt;&gt;"",MAESTRO!$M571,"")</f>
        <v/>
      </c>
      <c r="F572" t="str">
        <f>IF($A572&lt;&gt;"",MAESTRO!$J571,"")</f>
        <v/>
      </c>
      <c r="G572" t="str">
        <f>IF($A572&lt;&gt;"",MAESTRO!$D571,"")</f>
        <v/>
      </c>
      <c r="H572" t="str">
        <f>IF($A572&lt;&gt;"",IF(TRIM(MAESTRO!$G571&amp;" "&amp;MAESTRO!$H571&amp;" "&amp;MAESTRO!$I571)="",MAESTRO!$F571,TRIM(MAESTRO!$G571&amp;" "&amp;MAESTRO!$H571&amp;" "&amp;MAESTRO!$I571)),"")</f>
        <v/>
      </c>
      <c r="I572" t="str">
        <f>IF($A572&lt;&gt;"",MAESTRO!$K571,"")</f>
        <v/>
      </c>
      <c r="J572" t="str">
        <f>IF($A572&lt;&gt;"",572,"")</f>
        <v/>
      </c>
    </row>
    <row r="573" spans="1:10" x14ac:dyDescent="0.2">
      <c r="A573" t="str">
        <f>IF(AND(UPPER(MAESTRO!$M572)="VIP",UPPER(MAESTRO!$J572)="SI",MAESTRO!$F572&lt;&gt;""),MAESTRO!$P572,"")</f>
        <v/>
      </c>
      <c r="B573" t="str">
        <f>IF($A573&lt;&gt;"",MAESTRO!$B572,"")</f>
        <v/>
      </c>
      <c r="C573" t="str">
        <f>IF($A573&lt;&gt;"",MAESTRO!$A572,"")</f>
        <v/>
      </c>
      <c r="D573" t="str">
        <f>IF($A573&lt;&gt;"",MAESTRO!$C572,"")</f>
        <v/>
      </c>
      <c r="E573" t="str">
        <f>IF($A573&lt;&gt;"",MAESTRO!$M572,"")</f>
        <v/>
      </c>
      <c r="F573" t="str">
        <f>IF($A573&lt;&gt;"",MAESTRO!$J572,"")</f>
        <v/>
      </c>
      <c r="G573" t="str">
        <f>IF($A573&lt;&gt;"",MAESTRO!$D572,"")</f>
        <v/>
      </c>
      <c r="H573" t="str">
        <f>IF($A573&lt;&gt;"",IF(TRIM(MAESTRO!$G572&amp;" "&amp;MAESTRO!$H572&amp;" "&amp;MAESTRO!$I572)="",MAESTRO!$F572,TRIM(MAESTRO!$G572&amp;" "&amp;MAESTRO!$H572&amp;" "&amp;MAESTRO!$I572)),"")</f>
        <v/>
      </c>
      <c r="I573" t="str">
        <f>IF($A573&lt;&gt;"",MAESTRO!$K572,"")</f>
        <v/>
      </c>
      <c r="J573" t="str">
        <f>IF($A573&lt;&gt;"",573,"")</f>
        <v/>
      </c>
    </row>
    <row r="574" spans="1:10" x14ac:dyDescent="0.2">
      <c r="A574" t="str">
        <f>IF(AND(UPPER(MAESTRO!$M573)="VIP",UPPER(MAESTRO!$J573)="SI",MAESTRO!$F573&lt;&gt;""),MAESTRO!$P573,"")</f>
        <v/>
      </c>
      <c r="B574" t="str">
        <f>IF($A574&lt;&gt;"",MAESTRO!$B573,"")</f>
        <v/>
      </c>
      <c r="C574" t="str">
        <f>IF($A574&lt;&gt;"",MAESTRO!$A573,"")</f>
        <v/>
      </c>
      <c r="D574" t="str">
        <f>IF($A574&lt;&gt;"",MAESTRO!$C573,"")</f>
        <v/>
      </c>
      <c r="E574" t="str">
        <f>IF($A574&lt;&gt;"",MAESTRO!$M573,"")</f>
        <v/>
      </c>
      <c r="F574" t="str">
        <f>IF($A574&lt;&gt;"",MAESTRO!$J573,"")</f>
        <v/>
      </c>
      <c r="G574" t="str">
        <f>IF($A574&lt;&gt;"",MAESTRO!$D573,"")</f>
        <v/>
      </c>
      <c r="H574" t="str">
        <f>IF($A574&lt;&gt;"",IF(TRIM(MAESTRO!$G573&amp;" "&amp;MAESTRO!$H573&amp;" "&amp;MAESTRO!$I573)="",MAESTRO!$F573,TRIM(MAESTRO!$G573&amp;" "&amp;MAESTRO!$H573&amp;" "&amp;MAESTRO!$I573)),"")</f>
        <v/>
      </c>
      <c r="I574" t="str">
        <f>IF($A574&lt;&gt;"",MAESTRO!$K573,"")</f>
        <v/>
      </c>
      <c r="J574" t="str">
        <f>IF($A574&lt;&gt;"",574,"")</f>
        <v/>
      </c>
    </row>
    <row r="575" spans="1:10" x14ac:dyDescent="0.2">
      <c r="A575" t="str">
        <f>IF(AND(UPPER(MAESTRO!$M574)="VIP",UPPER(MAESTRO!$J574)="SI",MAESTRO!$F574&lt;&gt;""),MAESTRO!$P574,"")</f>
        <v/>
      </c>
      <c r="B575" t="str">
        <f>IF($A575&lt;&gt;"",MAESTRO!$B574,"")</f>
        <v/>
      </c>
      <c r="C575" t="str">
        <f>IF($A575&lt;&gt;"",MAESTRO!$A574,"")</f>
        <v/>
      </c>
      <c r="D575" t="str">
        <f>IF($A575&lt;&gt;"",MAESTRO!$C574,"")</f>
        <v/>
      </c>
      <c r="E575" t="str">
        <f>IF($A575&lt;&gt;"",MAESTRO!$M574,"")</f>
        <v/>
      </c>
      <c r="F575" t="str">
        <f>IF($A575&lt;&gt;"",MAESTRO!$J574,"")</f>
        <v/>
      </c>
      <c r="G575" t="str">
        <f>IF($A575&lt;&gt;"",MAESTRO!$D574,"")</f>
        <v/>
      </c>
      <c r="H575" t="str">
        <f>IF($A575&lt;&gt;"",IF(TRIM(MAESTRO!$G574&amp;" "&amp;MAESTRO!$H574&amp;" "&amp;MAESTRO!$I574)="",MAESTRO!$F574,TRIM(MAESTRO!$G574&amp;" "&amp;MAESTRO!$H574&amp;" "&amp;MAESTRO!$I574)),"")</f>
        <v/>
      </c>
      <c r="I575" t="str">
        <f>IF($A575&lt;&gt;"",MAESTRO!$K574,"")</f>
        <v/>
      </c>
      <c r="J575" t="str">
        <f>IF($A575&lt;&gt;"",575,"")</f>
        <v/>
      </c>
    </row>
    <row r="576" spans="1:10" x14ac:dyDescent="0.2">
      <c r="A576" t="str">
        <f>IF(AND(UPPER(MAESTRO!$M575)="VIP",UPPER(MAESTRO!$J575)="SI",MAESTRO!$F575&lt;&gt;""),MAESTRO!$P575,"")</f>
        <v/>
      </c>
      <c r="B576" t="str">
        <f>IF($A576&lt;&gt;"",MAESTRO!$B575,"")</f>
        <v/>
      </c>
      <c r="C576" t="str">
        <f>IF($A576&lt;&gt;"",MAESTRO!$A575,"")</f>
        <v/>
      </c>
      <c r="D576" t="str">
        <f>IF($A576&lt;&gt;"",MAESTRO!$C575,"")</f>
        <v/>
      </c>
      <c r="E576" t="str">
        <f>IF($A576&lt;&gt;"",MAESTRO!$M575,"")</f>
        <v/>
      </c>
      <c r="F576" t="str">
        <f>IF($A576&lt;&gt;"",MAESTRO!$J575,"")</f>
        <v/>
      </c>
      <c r="G576" t="str">
        <f>IF($A576&lt;&gt;"",MAESTRO!$D575,"")</f>
        <v/>
      </c>
      <c r="H576" t="str">
        <f>IF($A576&lt;&gt;"",IF(TRIM(MAESTRO!$G575&amp;" "&amp;MAESTRO!$H575&amp;" "&amp;MAESTRO!$I575)="",MAESTRO!$F575,TRIM(MAESTRO!$G575&amp;" "&amp;MAESTRO!$H575&amp;" "&amp;MAESTRO!$I575)),"")</f>
        <v/>
      </c>
      <c r="I576" t="str">
        <f>IF($A576&lt;&gt;"",MAESTRO!$K575,"")</f>
        <v/>
      </c>
      <c r="J576" t="str">
        <f>IF($A576&lt;&gt;"",576,"")</f>
        <v/>
      </c>
    </row>
    <row r="577" spans="1:10" x14ac:dyDescent="0.2">
      <c r="A577" t="str">
        <f>IF(AND(UPPER(MAESTRO!$M576)="VIP",UPPER(MAESTRO!$J576)="SI",MAESTRO!$F576&lt;&gt;""),MAESTRO!$P576,"")</f>
        <v/>
      </c>
      <c r="B577" t="str">
        <f>IF($A577&lt;&gt;"",MAESTRO!$B576,"")</f>
        <v/>
      </c>
      <c r="C577" t="str">
        <f>IF($A577&lt;&gt;"",MAESTRO!$A576,"")</f>
        <v/>
      </c>
      <c r="D577" t="str">
        <f>IF($A577&lt;&gt;"",MAESTRO!$C576,"")</f>
        <v/>
      </c>
      <c r="E577" t="str">
        <f>IF($A577&lt;&gt;"",MAESTRO!$M576,"")</f>
        <v/>
      </c>
      <c r="F577" t="str">
        <f>IF($A577&lt;&gt;"",MAESTRO!$J576,"")</f>
        <v/>
      </c>
      <c r="G577" t="str">
        <f>IF($A577&lt;&gt;"",MAESTRO!$D576,"")</f>
        <v/>
      </c>
      <c r="H577" t="str">
        <f>IF($A577&lt;&gt;"",IF(TRIM(MAESTRO!$G576&amp;" "&amp;MAESTRO!$H576&amp;" "&amp;MAESTRO!$I576)="",MAESTRO!$F576,TRIM(MAESTRO!$G576&amp;" "&amp;MAESTRO!$H576&amp;" "&amp;MAESTRO!$I576)),"")</f>
        <v/>
      </c>
      <c r="I577" t="str">
        <f>IF($A577&lt;&gt;"",MAESTRO!$K576,"")</f>
        <v/>
      </c>
      <c r="J577" t="str">
        <f>IF($A577&lt;&gt;"",577,"")</f>
        <v/>
      </c>
    </row>
    <row r="578" spans="1:10" x14ac:dyDescent="0.2">
      <c r="A578" t="str">
        <f>IF(AND(UPPER(MAESTRO!$M577)="VIP",UPPER(MAESTRO!$J577)="SI",MAESTRO!$F577&lt;&gt;""),MAESTRO!$P577,"")</f>
        <v/>
      </c>
      <c r="B578" t="str">
        <f>IF($A578&lt;&gt;"",MAESTRO!$B577,"")</f>
        <v/>
      </c>
      <c r="C578" t="str">
        <f>IF($A578&lt;&gt;"",MAESTRO!$A577,"")</f>
        <v/>
      </c>
      <c r="D578" t="str">
        <f>IF($A578&lt;&gt;"",MAESTRO!$C577,"")</f>
        <v/>
      </c>
      <c r="E578" t="str">
        <f>IF($A578&lt;&gt;"",MAESTRO!$M577,"")</f>
        <v/>
      </c>
      <c r="F578" t="str">
        <f>IF($A578&lt;&gt;"",MAESTRO!$J577,"")</f>
        <v/>
      </c>
      <c r="G578" t="str">
        <f>IF($A578&lt;&gt;"",MAESTRO!$D577,"")</f>
        <v/>
      </c>
      <c r="H578" t="str">
        <f>IF($A578&lt;&gt;"",IF(TRIM(MAESTRO!$G577&amp;" "&amp;MAESTRO!$H577&amp;" "&amp;MAESTRO!$I577)="",MAESTRO!$F577,TRIM(MAESTRO!$G577&amp;" "&amp;MAESTRO!$H577&amp;" "&amp;MAESTRO!$I577)),"")</f>
        <v/>
      </c>
      <c r="I578" t="str">
        <f>IF($A578&lt;&gt;"",MAESTRO!$K577,"")</f>
        <v/>
      </c>
      <c r="J578" t="str">
        <f>IF($A578&lt;&gt;"",578,"")</f>
        <v/>
      </c>
    </row>
    <row r="579" spans="1:10" x14ac:dyDescent="0.2">
      <c r="A579" t="str">
        <f>IF(AND(UPPER(MAESTRO!$M578)="VIP",UPPER(MAESTRO!$J578)="SI",MAESTRO!$F578&lt;&gt;""),MAESTRO!$P578,"")</f>
        <v/>
      </c>
      <c r="B579" t="str">
        <f>IF($A579&lt;&gt;"",MAESTRO!$B578,"")</f>
        <v/>
      </c>
      <c r="C579" t="str">
        <f>IF($A579&lt;&gt;"",MAESTRO!$A578,"")</f>
        <v/>
      </c>
      <c r="D579" t="str">
        <f>IF($A579&lt;&gt;"",MAESTRO!$C578,"")</f>
        <v/>
      </c>
      <c r="E579" t="str">
        <f>IF($A579&lt;&gt;"",MAESTRO!$M578,"")</f>
        <v/>
      </c>
      <c r="F579" t="str">
        <f>IF($A579&lt;&gt;"",MAESTRO!$J578,"")</f>
        <v/>
      </c>
      <c r="G579" t="str">
        <f>IF($A579&lt;&gt;"",MAESTRO!$D578,"")</f>
        <v/>
      </c>
      <c r="H579" t="str">
        <f>IF($A579&lt;&gt;"",IF(TRIM(MAESTRO!$G578&amp;" "&amp;MAESTRO!$H578&amp;" "&amp;MAESTRO!$I578)="",MAESTRO!$F578,TRIM(MAESTRO!$G578&amp;" "&amp;MAESTRO!$H578&amp;" "&amp;MAESTRO!$I578)),"")</f>
        <v/>
      </c>
      <c r="I579" t="str">
        <f>IF($A579&lt;&gt;"",MAESTRO!$K578,"")</f>
        <v/>
      </c>
      <c r="J579" t="str">
        <f>IF($A579&lt;&gt;"",579,"")</f>
        <v/>
      </c>
    </row>
    <row r="580" spans="1:10" x14ac:dyDescent="0.2">
      <c r="A580" t="str">
        <f>IF(AND(UPPER(MAESTRO!$M579)="VIP",UPPER(MAESTRO!$J579)="SI",MAESTRO!$F579&lt;&gt;""),MAESTRO!$P579,"")</f>
        <v/>
      </c>
      <c r="B580" t="str">
        <f>IF($A580&lt;&gt;"",MAESTRO!$B579,"")</f>
        <v/>
      </c>
      <c r="C580" t="str">
        <f>IF($A580&lt;&gt;"",MAESTRO!$A579,"")</f>
        <v/>
      </c>
      <c r="D580" t="str">
        <f>IF($A580&lt;&gt;"",MAESTRO!$C579,"")</f>
        <v/>
      </c>
      <c r="E580" t="str">
        <f>IF($A580&lt;&gt;"",MAESTRO!$M579,"")</f>
        <v/>
      </c>
      <c r="F580" t="str">
        <f>IF($A580&lt;&gt;"",MAESTRO!$J579,"")</f>
        <v/>
      </c>
      <c r="G580" t="str">
        <f>IF($A580&lt;&gt;"",MAESTRO!$D579,"")</f>
        <v/>
      </c>
      <c r="H580" t="str">
        <f>IF($A580&lt;&gt;"",IF(TRIM(MAESTRO!$G579&amp;" "&amp;MAESTRO!$H579&amp;" "&amp;MAESTRO!$I579)="",MAESTRO!$F579,TRIM(MAESTRO!$G579&amp;" "&amp;MAESTRO!$H579&amp;" "&amp;MAESTRO!$I579)),"")</f>
        <v/>
      </c>
      <c r="I580" t="str">
        <f>IF($A580&lt;&gt;"",MAESTRO!$K579,"")</f>
        <v/>
      </c>
      <c r="J580" t="str">
        <f>IF($A580&lt;&gt;"",580,"")</f>
        <v/>
      </c>
    </row>
    <row r="581" spans="1:10" x14ac:dyDescent="0.2">
      <c r="A581" t="str">
        <f>IF(AND(UPPER(MAESTRO!$M580)="VIP",UPPER(MAESTRO!$J580)="SI",MAESTRO!$F580&lt;&gt;""),MAESTRO!$P580,"")</f>
        <v>B11</v>
      </c>
      <c r="B581">
        <f>IF($A581&lt;&gt;"",MAESTRO!$B580,"")</f>
        <v>579</v>
      </c>
      <c r="C581">
        <f>IF($A581&lt;&gt;"",MAESTRO!$A580,"")</f>
        <v>579</v>
      </c>
      <c r="D581" t="str">
        <f>IF($A581&lt;&gt;"",MAESTRO!$C580,"")</f>
        <v>PROVEEDORES</v>
      </c>
      <c r="E581" t="str">
        <f>IF($A581&lt;&gt;"",MAESTRO!$M580,"")</f>
        <v>VIP</v>
      </c>
      <c r="F581" t="str">
        <f>IF($A581&lt;&gt;"",MAESTRO!$J580,"")</f>
        <v>SI</v>
      </c>
      <c r="G581">
        <f>IF($A581&lt;&gt;"",MAESTRO!$D580,"")</f>
        <v>0</v>
      </c>
      <c r="H581" t="str">
        <f>IF($A581&lt;&gt;"",IF(TRIM(MAESTRO!$G580&amp;" "&amp;MAESTRO!$H580&amp;" "&amp;MAESTRO!$I580)="",MAESTRO!$F580,TRIM(MAESTRO!$G580&amp;" "&amp;MAESTRO!$H580&amp;" "&amp;MAESTRO!$I580)),"")</f>
        <v>Walter Espinoza Birr</v>
      </c>
      <c r="I581" t="str">
        <f>IF($A581&lt;&gt;"",MAESTRO!$K580,"")</f>
        <v>Agente VARD Marine Brasil</v>
      </c>
      <c r="J581">
        <f>IF($A581&lt;&gt;"",581,"")</f>
        <v>581</v>
      </c>
    </row>
    <row r="582" spans="1:10" x14ac:dyDescent="0.2">
      <c r="A582" t="str">
        <f>IF(AND(UPPER(MAESTRO!$M581)="VIP",UPPER(MAESTRO!$J581)="SI",MAESTRO!$F581&lt;&gt;""),MAESTRO!$P581,"")</f>
        <v/>
      </c>
      <c r="B582" t="str">
        <f>IF($A582&lt;&gt;"",MAESTRO!$B581,"")</f>
        <v/>
      </c>
      <c r="C582" t="str">
        <f>IF($A582&lt;&gt;"",MAESTRO!$A581,"")</f>
        <v/>
      </c>
      <c r="D582" t="str">
        <f>IF($A582&lt;&gt;"",MAESTRO!$C581,"")</f>
        <v/>
      </c>
      <c r="E582" t="str">
        <f>IF($A582&lt;&gt;"",MAESTRO!$M581,"")</f>
        <v/>
      </c>
      <c r="F582" t="str">
        <f>IF($A582&lt;&gt;"",MAESTRO!$J581,"")</f>
        <v/>
      </c>
      <c r="G582" t="str">
        <f>IF($A582&lt;&gt;"",MAESTRO!$D581,"")</f>
        <v/>
      </c>
      <c r="H582" t="str">
        <f>IF($A582&lt;&gt;"",IF(TRIM(MAESTRO!$G581&amp;" "&amp;MAESTRO!$H581&amp;" "&amp;MAESTRO!$I581)="",MAESTRO!$F581,TRIM(MAESTRO!$G581&amp;" "&amp;MAESTRO!$H581&amp;" "&amp;MAESTRO!$I581)),"")</f>
        <v/>
      </c>
      <c r="I582" t="str">
        <f>IF($A582&lt;&gt;"",MAESTRO!$K581,"")</f>
        <v/>
      </c>
      <c r="J582" t="str">
        <f>IF($A582&lt;&gt;"",582,"")</f>
        <v/>
      </c>
    </row>
    <row r="583" spans="1:10" x14ac:dyDescent="0.2">
      <c r="A583" t="str">
        <f>IF(AND(UPPER(MAESTRO!$M582)="VIP",UPPER(MAESTRO!$J582)="SI",MAESTRO!$F582&lt;&gt;""),MAESTRO!$P582,"")</f>
        <v/>
      </c>
      <c r="B583" t="str">
        <f>IF($A583&lt;&gt;"",MAESTRO!$B582,"")</f>
        <v/>
      </c>
      <c r="C583" t="str">
        <f>IF($A583&lt;&gt;"",MAESTRO!$A582,"")</f>
        <v/>
      </c>
      <c r="D583" t="str">
        <f>IF($A583&lt;&gt;"",MAESTRO!$C582,"")</f>
        <v/>
      </c>
      <c r="E583" t="str">
        <f>IF($A583&lt;&gt;"",MAESTRO!$M582,"")</f>
        <v/>
      </c>
      <c r="F583" t="str">
        <f>IF($A583&lt;&gt;"",MAESTRO!$J582,"")</f>
        <v/>
      </c>
      <c r="G583" t="str">
        <f>IF($A583&lt;&gt;"",MAESTRO!$D582,"")</f>
        <v/>
      </c>
      <c r="H583" t="str">
        <f>IF($A583&lt;&gt;"",IF(TRIM(MAESTRO!$G582&amp;" "&amp;MAESTRO!$H582&amp;" "&amp;MAESTRO!$I582)="",MAESTRO!$F582,TRIM(MAESTRO!$G582&amp;" "&amp;MAESTRO!$H582&amp;" "&amp;MAESTRO!$I582)),"")</f>
        <v/>
      </c>
      <c r="I583" t="str">
        <f>IF($A583&lt;&gt;"",MAESTRO!$K582,"")</f>
        <v/>
      </c>
      <c r="J583" t="str">
        <f>IF($A583&lt;&gt;"",583,"")</f>
        <v/>
      </c>
    </row>
    <row r="584" spans="1:10" x14ac:dyDescent="0.2">
      <c r="A584" t="str">
        <f>IF(AND(UPPER(MAESTRO!$M583)="VIP",UPPER(MAESTRO!$J583)="SI",MAESTRO!$F583&lt;&gt;""),MAESTRO!$P583,"")</f>
        <v/>
      </c>
      <c r="B584" t="str">
        <f>IF($A584&lt;&gt;"",MAESTRO!$B583,"")</f>
        <v/>
      </c>
      <c r="C584" t="str">
        <f>IF($A584&lt;&gt;"",MAESTRO!$A583,"")</f>
        <v/>
      </c>
      <c r="D584" t="str">
        <f>IF($A584&lt;&gt;"",MAESTRO!$C583,"")</f>
        <v/>
      </c>
      <c r="E584" t="str">
        <f>IF($A584&lt;&gt;"",MAESTRO!$M583,"")</f>
        <v/>
      </c>
      <c r="F584" t="str">
        <f>IF($A584&lt;&gt;"",MAESTRO!$J583,"")</f>
        <v/>
      </c>
      <c r="G584" t="str">
        <f>IF($A584&lt;&gt;"",MAESTRO!$D583,"")</f>
        <v/>
      </c>
      <c r="H584" t="str">
        <f>IF($A584&lt;&gt;"",IF(TRIM(MAESTRO!$G583&amp;" "&amp;MAESTRO!$H583&amp;" "&amp;MAESTRO!$I583)="",MAESTRO!$F583,TRIM(MAESTRO!$G583&amp;" "&amp;MAESTRO!$H583&amp;" "&amp;MAESTRO!$I583)),"")</f>
        <v/>
      </c>
      <c r="I584" t="str">
        <f>IF($A584&lt;&gt;"",MAESTRO!$K583,"")</f>
        <v/>
      </c>
      <c r="J584" t="str">
        <f>IF($A584&lt;&gt;"",584,"")</f>
        <v/>
      </c>
    </row>
    <row r="585" spans="1:10" x14ac:dyDescent="0.2">
      <c r="A585" t="str">
        <f>IF(AND(UPPER(MAESTRO!$M584)="VIP",UPPER(MAESTRO!$J584)="SI",MAESTRO!$F584&lt;&gt;""),MAESTRO!$P584,"")</f>
        <v/>
      </c>
      <c r="B585" t="str">
        <f>IF($A585&lt;&gt;"",MAESTRO!$B584,"")</f>
        <v/>
      </c>
      <c r="C585" t="str">
        <f>IF($A585&lt;&gt;"",MAESTRO!$A584,"")</f>
        <v/>
      </c>
      <c r="D585" t="str">
        <f>IF($A585&lt;&gt;"",MAESTRO!$C584,"")</f>
        <v/>
      </c>
      <c r="E585" t="str">
        <f>IF($A585&lt;&gt;"",MAESTRO!$M584,"")</f>
        <v/>
      </c>
      <c r="F585" t="str">
        <f>IF($A585&lt;&gt;"",MAESTRO!$J584,"")</f>
        <v/>
      </c>
      <c r="G585" t="str">
        <f>IF($A585&lt;&gt;"",MAESTRO!$D584,"")</f>
        <v/>
      </c>
      <c r="H585" t="str">
        <f>IF($A585&lt;&gt;"",IF(TRIM(MAESTRO!$G584&amp;" "&amp;MAESTRO!$H584&amp;" "&amp;MAESTRO!$I584)="",MAESTRO!$F584,TRIM(MAESTRO!$G584&amp;" "&amp;MAESTRO!$H584&amp;" "&amp;MAESTRO!$I584)),"")</f>
        <v/>
      </c>
      <c r="I585" t="str">
        <f>IF($A585&lt;&gt;"",MAESTRO!$K584,"")</f>
        <v/>
      </c>
      <c r="J585" t="str">
        <f>IF($A585&lt;&gt;"",585,"")</f>
        <v/>
      </c>
    </row>
    <row r="586" spans="1:10" x14ac:dyDescent="0.2">
      <c r="A586" t="str">
        <f>IF(AND(UPPER(MAESTRO!$M585)="VIP",UPPER(MAESTRO!$J585)="SI",MAESTRO!$F585&lt;&gt;""),MAESTRO!$P585,"")</f>
        <v/>
      </c>
      <c r="B586" t="str">
        <f>IF($A586&lt;&gt;"",MAESTRO!$B585,"")</f>
        <v/>
      </c>
      <c r="C586" t="str">
        <f>IF($A586&lt;&gt;"",MAESTRO!$A585,"")</f>
        <v/>
      </c>
      <c r="D586" t="str">
        <f>IF($A586&lt;&gt;"",MAESTRO!$C585,"")</f>
        <v/>
      </c>
      <c r="E586" t="str">
        <f>IF($A586&lt;&gt;"",MAESTRO!$M585,"")</f>
        <v/>
      </c>
      <c r="F586" t="str">
        <f>IF($A586&lt;&gt;"",MAESTRO!$J585,"")</f>
        <v/>
      </c>
      <c r="G586" t="str">
        <f>IF($A586&lt;&gt;"",MAESTRO!$D585,"")</f>
        <v/>
      </c>
      <c r="H586" t="str">
        <f>IF($A586&lt;&gt;"",IF(TRIM(MAESTRO!$G585&amp;" "&amp;MAESTRO!$H585&amp;" "&amp;MAESTRO!$I585)="",MAESTRO!$F585,TRIM(MAESTRO!$G585&amp;" "&amp;MAESTRO!$H585&amp;" "&amp;MAESTRO!$I585)),"")</f>
        <v/>
      </c>
      <c r="I586" t="str">
        <f>IF($A586&lt;&gt;"",MAESTRO!$K585,"")</f>
        <v/>
      </c>
      <c r="J586" t="str">
        <f>IF($A586&lt;&gt;"",586,"")</f>
        <v/>
      </c>
    </row>
    <row r="587" spans="1:10" x14ac:dyDescent="0.2">
      <c r="A587" t="str">
        <f>IF(AND(UPPER(MAESTRO!$M586)="VIP",UPPER(MAESTRO!$J586)="SI",MAESTRO!$F586&lt;&gt;""),MAESTRO!$P586,"")</f>
        <v/>
      </c>
      <c r="B587" t="str">
        <f>IF($A587&lt;&gt;"",MAESTRO!$B586,"")</f>
        <v/>
      </c>
      <c r="C587" t="str">
        <f>IF($A587&lt;&gt;"",MAESTRO!$A586,"")</f>
        <v/>
      </c>
      <c r="D587" t="str">
        <f>IF($A587&lt;&gt;"",MAESTRO!$C586,"")</f>
        <v/>
      </c>
      <c r="E587" t="str">
        <f>IF($A587&lt;&gt;"",MAESTRO!$M586,"")</f>
        <v/>
      </c>
      <c r="F587" t="str">
        <f>IF($A587&lt;&gt;"",MAESTRO!$J586,"")</f>
        <v/>
      </c>
      <c r="G587" t="str">
        <f>IF($A587&lt;&gt;"",MAESTRO!$D586,"")</f>
        <v/>
      </c>
      <c r="H587" t="str">
        <f>IF($A587&lt;&gt;"",IF(TRIM(MAESTRO!$G586&amp;" "&amp;MAESTRO!$H586&amp;" "&amp;MAESTRO!$I586)="",MAESTRO!$F586,TRIM(MAESTRO!$G586&amp;" "&amp;MAESTRO!$H586&amp;" "&amp;MAESTRO!$I586)),"")</f>
        <v/>
      </c>
      <c r="I587" t="str">
        <f>IF($A587&lt;&gt;"",MAESTRO!$K586,"")</f>
        <v/>
      </c>
      <c r="J587" t="str">
        <f>IF($A587&lt;&gt;"",587,"")</f>
        <v/>
      </c>
    </row>
    <row r="588" spans="1:10" x14ac:dyDescent="0.2">
      <c r="A588" t="str">
        <f>IF(AND(UPPER(MAESTRO!$M587)="VIP",UPPER(MAESTRO!$J587)="SI",MAESTRO!$F587&lt;&gt;""),MAESTRO!$P587,"")</f>
        <v>B10</v>
      </c>
      <c r="B588">
        <f>IF($A588&lt;&gt;"",MAESTRO!$B587,"")</f>
        <v>586</v>
      </c>
      <c r="C588">
        <f>IF($A588&lt;&gt;"",MAESTRO!$A587,"")</f>
        <v>586</v>
      </c>
      <c r="D588" t="str">
        <f>IF($A588&lt;&gt;"",MAESTRO!$C587,"")</f>
        <v>PROVEEDORES</v>
      </c>
      <c r="E588" t="str">
        <f>IF($A588&lt;&gt;"",MAESTRO!$M587,"")</f>
        <v>VIP</v>
      </c>
      <c r="F588" t="str">
        <f>IF($A588&lt;&gt;"",MAESTRO!$J587,"")</f>
        <v>SI</v>
      </c>
      <c r="G588">
        <f>IF($A588&lt;&gt;"",MAESTRO!$D587,"")</f>
        <v>0</v>
      </c>
      <c r="H588" t="str">
        <f>IF($A588&lt;&gt;"",IF(TRIM(MAESTRO!$G587&amp;" "&amp;MAESTRO!$H587&amp;" "&amp;MAESTRO!$I587)="",MAESTRO!$F587,TRIM(MAESTRO!$G587&amp;" "&amp;MAESTRO!$H587&amp;" "&amp;MAESTRO!$I587)),"")</f>
        <v>Felipe Howard</v>
      </c>
      <c r="I588" t="str">
        <f>IF($A588&lt;&gt;"",MAESTRO!$K587,"")</f>
        <v>Gerente General HUMBOLDT</v>
      </c>
      <c r="J588">
        <f>IF($A588&lt;&gt;"",588,"")</f>
        <v>588</v>
      </c>
    </row>
    <row r="589" spans="1:10" x14ac:dyDescent="0.2">
      <c r="A589" t="str">
        <f>IF(AND(UPPER(MAESTRO!$M588)="VIP",UPPER(MAESTRO!$J588)="SI",MAESTRO!$F588&lt;&gt;""),MAESTRO!$P588,"")</f>
        <v/>
      </c>
      <c r="B589" t="str">
        <f>IF($A589&lt;&gt;"",MAESTRO!$B588,"")</f>
        <v/>
      </c>
      <c r="C589" t="str">
        <f>IF($A589&lt;&gt;"",MAESTRO!$A588,"")</f>
        <v/>
      </c>
      <c r="D589" t="str">
        <f>IF($A589&lt;&gt;"",MAESTRO!$C588,"")</f>
        <v/>
      </c>
      <c r="E589" t="str">
        <f>IF($A589&lt;&gt;"",MAESTRO!$M588,"")</f>
        <v/>
      </c>
      <c r="F589" t="str">
        <f>IF($A589&lt;&gt;"",MAESTRO!$J588,"")</f>
        <v/>
      </c>
      <c r="G589" t="str">
        <f>IF($A589&lt;&gt;"",MAESTRO!$D588,"")</f>
        <v/>
      </c>
      <c r="H589" t="str">
        <f>IF($A589&lt;&gt;"",IF(TRIM(MAESTRO!$G588&amp;" "&amp;MAESTRO!$H588&amp;" "&amp;MAESTRO!$I588)="",MAESTRO!$F588,TRIM(MAESTRO!$G588&amp;" "&amp;MAESTRO!$H588&amp;" "&amp;MAESTRO!$I588)),"")</f>
        <v/>
      </c>
      <c r="I589" t="str">
        <f>IF($A589&lt;&gt;"",MAESTRO!$K588,"")</f>
        <v/>
      </c>
      <c r="J589" t="str">
        <f>IF($A589&lt;&gt;"",589,"")</f>
        <v/>
      </c>
    </row>
    <row r="590" spans="1:10" x14ac:dyDescent="0.2">
      <c r="A590" t="str">
        <f>IF(AND(UPPER(MAESTRO!$M589)="VIP",UPPER(MAESTRO!$J589)="SI",MAESTRO!$F589&lt;&gt;""),MAESTRO!$P589,"")</f>
        <v/>
      </c>
      <c r="B590" t="str">
        <f>IF($A590&lt;&gt;"",MAESTRO!$B589,"")</f>
        <v/>
      </c>
      <c r="C590" t="str">
        <f>IF($A590&lt;&gt;"",MAESTRO!$A589,"")</f>
        <v/>
      </c>
      <c r="D590" t="str">
        <f>IF($A590&lt;&gt;"",MAESTRO!$C589,"")</f>
        <v/>
      </c>
      <c r="E590" t="str">
        <f>IF($A590&lt;&gt;"",MAESTRO!$M589,"")</f>
        <v/>
      </c>
      <c r="F590" t="str">
        <f>IF($A590&lt;&gt;"",MAESTRO!$J589,"")</f>
        <v/>
      </c>
      <c r="G590" t="str">
        <f>IF($A590&lt;&gt;"",MAESTRO!$D589,"")</f>
        <v/>
      </c>
      <c r="H590" t="str">
        <f>IF($A590&lt;&gt;"",IF(TRIM(MAESTRO!$G589&amp;" "&amp;MAESTRO!$H589&amp;" "&amp;MAESTRO!$I589)="",MAESTRO!$F589,TRIM(MAESTRO!$G589&amp;" "&amp;MAESTRO!$H589&amp;" "&amp;MAESTRO!$I589)),"")</f>
        <v/>
      </c>
      <c r="I590" t="str">
        <f>IF($A590&lt;&gt;"",MAESTRO!$K589,"")</f>
        <v/>
      </c>
      <c r="J590" t="str">
        <f>IF($A590&lt;&gt;"",590,"")</f>
        <v/>
      </c>
    </row>
    <row r="591" spans="1:10" x14ac:dyDescent="0.2">
      <c r="A591" t="str">
        <f>IF(AND(UPPER(MAESTRO!$M590)="VIP",UPPER(MAESTRO!$J590)="SI",MAESTRO!$F590&lt;&gt;""),MAESTRO!$P590,"")</f>
        <v>B37</v>
      </c>
      <c r="B591">
        <f>IF($A591&lt;&gt;"",MAESTRO!$B590,"")</f>
        <v>589</v>
      </c>
      <c r="C591">
        <f>IF($A591&lt;&gt;"",MAESTRO!$A590,"")</f>
        <v>589</v>
      </c>
      <c r="D591" t="str">
        <f>IF($A591&lt;&gt;"",MAESTRO!$C590,"")</f>
        <v>PROVEEDORES</v>
      </c>
      <c r="E591" t="str">
        <f>IF($A591&lt;&gt;"",MAESTRO!$M590,"")</f>
        <v>VIP</v>
      </c>
      <c r="F591" t="str">
        <f>IF($A591&lt;&gt;"",MAESTRO!$J590,"")</f>
        <v>SI</v>
      </c>
      <c r="G591" t="str">
        <f>IF($A591&lt;&gt;"",MAESTRO!$D590,"")</f>
        <v>Almte.</v>
      </c>
      <c r="H591" t="str">
        <f>IF($A591&lt;&gt;"",IF(TRIM(MAESTRO!$G590&amp;" "&amp;MAESTRO!$H590&amp;" "&amp;MAESTRO!$I590)="",MAESTRO!$F590,TRIM(MAESTRO!$G590&amp;" "&amp;MAESTRO!$H590&amp;" "&amp;MAESTRO!$I590)),"")</f>
        <v>Javier Romero Caramelo</v>
      </c>
      <c r="I591" t="str">
        <f>IF($A591&lt;&gt;"",MAESTRO!$K590,"")</f>
        <v>Director de Gabinete Presidente- Líder de la Delegacion de NAVANTIA</v>
      </c>
      <c r="J591">
        <f>IF($A591&lt;&gt;"",591,"")</f>
        <v>591</v>
      </c>
    </row>
    <row r="592" spans="1:10" x14ac:dyDescent="0.2">
      <c r="A592" t="str">
        <f>IF(AND(UPPER(MAESTRO!$M591)="VIP",UPPER(MAESTRO!$J591)="SI",MAESTRO!$F591&lt;&gt;""),MAESTRO!$P591,"")</f>
        <v/>
      </c>
      <c r="B592" t="str">
        <f>IF($A592&lt;&gt;"",MAESTRO!$B591,"")</f>
        <v/>
      </c>
      <c r="C592" t="str">
        <f>IF($A592&lt;&gt;"",MAESTRO!$A591,"")</f>
        <v/>
      </c>
      <c r="D592" t="str">
        <f>IF($A592&lt;&gt;"",MAESTRO!$C591,"")</f>
        <v/>
      </c>
      <c r="E592" t="str">
        <f>IF($A592&lt;&gt;"",MAESTRO!$M591,"")</f>
        <v/>
      </c>
      <c r="F592" t="str">
        <f>IF($A592&lt;&gt;"",MAESTRO!$J591,"")</f>
        <v/>
      </c>
      <c r="G592" t="str">
        <f>IF($A592&lt;&gt;"",MAESTRO!$D591,"")</f>
        <v/>
      </c>
      <c r="H592" t="str">
        <f>IF($A592&lt;&gt;"",IF(TRIM(MAESTRO!$G591&amp;" "&amp;MAESTRO!$H591&amp;" "&amp;MAESTRO!$I591)="",MAESTRO!$F591,TRIM(MAESTRO!$G591&amp;" "&amp;MAESTRO!$H591&amp;" "&amp;MAESTRO!$I591)),"")</f>
        <v/>
      </c>
      <c r="I592" t="str">
        <f>IF($A592&lt;&gt;"",MAESTRO!$K591,"")</f>
        <v/>
      </c>
      <c r="J592" t="str">
        <f>IF($A592&lt;&gt;"",592,"")</f>
        <v/>
      </c>
    </row>
    <row r="593" spans="1:10" x14ac:dyDescent="0.2">
      <c r="A593" t="str">
        <f>IF(AND(UPPER(MAESTRO!$M592)="VIP",UPPER(MAESTRO!$J592)="SI",MAESTRO!$F592&lt;&gt;""),MAESTRO!$P592,"")</f>
        <v/>
      </c>
      <c r="B593" t="str">
        <f>IF($A593&lt;&gt;"",MAESTRO!$B592,"")</f>
        <v/>
      </c>
      <c r="C593" t="str">
        <f>IF($A593&lt;&gt;"",MAESTRO!$A592,"")</f>
        <v/>
      </c>
      <c r="D593" t="str">
        <f>IF($A593&lt;&gt;"",MAESTRO!$C592,"")</f>
        <v/>
      </c>
      <c r="E593" t="str">
        <f>IF($A593&lt;&gt;"",MAESTRO!$M592,"")</f>
        <v/>
      </c>
      <c r="F593" t="str">
        <f>IF($A593&lt;&gt;"",MAESTRO!$J592,"")</f>
        <v/>
      </c>
      <c r="G593" t="str">
        <f>IF($A593&lt;&gt;"",MAESTRO!$D592,"")</f>
        <v/>
      </c>
      <c r="H593" t="str">
        <f>IF($A593&lt;&gt;"",IF(TRIM(MAESTRO!$G592&amp;" "&amp;MAESTRO!$H592&amp;" "&amp;MAESTRO!$I592)="",MAESTRO!$F592,TRIM(MAESTRO!$G592&amp;" "&amp;MAESTRO!$H592&amp;" "&amp;MAESTRO!$I592)),"")</f>
        <v/>
      </c>
      <c r="I593" t="str">
        <f>IF($A593&lt;&gt;"",MAESTRO!$K592,"")</f>
        <v/>
      </c>
      <c r="J593" t="str">
        <f>IF($A593&lt;&gt;"",593,"")</f>
        <v/>
      </c>
    </row>
    <row r="594" spans="1:10" x14ac:dyDescent="0.2">
      <c r="A594" t="str">
        <f>IF(AND(UPPER(MAESTRO!$M593)="VIP",UPPER(MAESTRO!$J593)="SI",MAESTRO!$F593&lt;&gt;""),MAESTRO!$P593,"")</f>
        <v>B8</v>
      </c>
      <c r="B594">
        <f>IF($A594&lt;&gt;"",MAESTRO!$B593,"")</f>
        <v>592</v>
      </c>
      <c r="C594">
        <f>IF($A594&lt;&gt;"",MAESTRO!$A593,"")</f>
        <v>592</v>
      </c>
      <c r="D594" t="str">
        <f>IF($A594&lt;&gt;"",MAESTRO!$C593,"")</f>
        <v>PROVEEDORES</v>
      </c>
      <c r="E594" t="str">
        <f>IF($A594&lt;&gt;"",MAESTRO!$M593,"")</f>
        <v>VIP</v>
      </c>
      <c r="F594" t="str">
        <f>IF($A594&lt;&gt;"",MAESTRO!$J593,"")</f>
        <v>SI</v>
      </c>
      <c r="G594" t="str">
        <f>IF($A594&lt;&gt;"",MAESTRO!$D593,"")</f>
        <v>Presidente</v>
      </c>
      <c r="H594" t="str">
        <f>IF($A594&lt;&gt;"",IF(TRIM(MAESTRO!$G593&amp;" "&amp;MAESTRO!$H593&amp;" "&amp;MAESTRO!$I593)="",MAESTRO!$F593,TRIM(MAESTRO!$G593&amp;" "&amp;MAESTRO!$H593&amp;" "&amp;MAESTRO!$I593)),"")</f>
        <v>Eduardo Dobarro Rubido</v>
      </c>
      <c r="I594" t="str">
        <f>IF($A594&lt;&gt;"",MAESTRO!$K593,"")</f>
        <v>Vicepresidente Negocio de Fragatas y Buques de Intervención NAVANTIA</v>
      </c>
      <c r="J594">
        <f>IF($A594&lt;&gt;"",594,"")</f>
        <v>594</v>
      </c>
    </row>
    <row r="595" spans="1:10" x14ac:dyDescent="0.2">
      <c r="A595" t="str">
        <f>IF(AND(UPPER(MAESTRO!$M594)="VIP",UPPER(MAESTRO!$J594)="SI",MAESTRO!$F594&lt;&gt;""),MAESTRO!$P594,"")</f>
        <v>B7</v>
      </c>
      <c r="B595">
        <f>IF($A595&lt;&gt;"",MAESTRO!$B594,"")</f>
        <v>593</v>
      </c>
      <c r="C595">
        <f>IF($A595&lt;&gt;"",MAESTRO!$A594,"")</f>
        <v>593</v>
      </c>
      <c r="D595" t="str">
        <f>IF($A595&lt;&gt;"",MAESTRO!$C594,"")</f>
        <v>PROVEEDORES</v>
      </c>
      <c r="E595" t="str">
        <f>IF($A595&lt;&gt;"",MAESTRO!$M594,"")</f>
        <v>VIP</v>
      </c>
      <c r="F595" t="str">
        <f>IF($A595&lt;&gt;"",MAESTRO!$J594,"")</f>
        <v>SI</v>
      </c>
      <c r="G595" t="str">
        <f>IF($A595&lt;&gt;"",MAESTRO!$D594,"")</f>
        <v>Rector</v>
      </c>
      <c r="H595" t="str">
        <f>IF($A595&lt;&gt;"",IF(TRIM(MAESTRO!$G594&amp;" "&amp;MAESTRO!$H594&amp;" "&amp;MAESTRO!$I594)="",MAESTRO!$F594,TRIM(MAESTRO!$G594&amp;" "&amp;MAESTRO!$H594&amp;" "&amp;MAESTRO!$I594)),"")</f>
        <v>Pablo Menéndez Gómez</v>
      </c>
      <c r="I595" t="str">
        <f>IF($A595&lt;&gt;"",MAESTRO!$K594,"")</f>
        <v>Director Comercial América, NAVANTIA</v>
      </c>
      <c r="J595">
        <f>IF($A595&lt;&gt;"",595,"")</f>
        <v>595</v>
      </c>
    </row>
    <row r="596" spans="1:10" x14ac:dyDescent="0.2">
      <c r="A596" t="str">
        <f>IF(AND(UPPER(MAESTRO!$M595)="VIP",UPPER(MAESTRO!$J595)="SI",MAESTRO!$F595&lt;&gt;""),MAESTRO!$P595,"")</f>
        <v/>
      </c>
      <c r="B596" t="str">
        <f>IF($A596&lt;&gt;"",MAESTRO!$B595,"")</f>
        <v/>
      </c>
      <c r="C596" t="str">
        <f>IF($A596&lt;&gt;"",MAESTRO!$A595,"")</f>
        <v/>
      </c>
      <c r="D596" t="str">
        <f>IF($A596&lt;&gt;"",MAESTRO!$C595,"")</f>
        <v/>
      </c>
      <c r="E596" t="str">
        <f>IF($A596&lt;&gt;"",MAESTRO!$M595,"")</f>
        <v/>
      </c>
      <c r="F596" t="str">
        <f>IF($A596&lt;&gt;"",MAESTRO!$J595,"")</f>
        <v/>
      </c>
      <c r="G596" t="str">
        <f>IF($A596&lt;&gt;"",MAESTRO!$D595,"")</f>
        <v/>
      </c>
      <c r="H596" t="str">
        <f>IF($A596&lt;&gt;"",IF(TRIM(MAESTRO!$G595&amp;" "&amp;MAESTRO!$H595&amp;" "&amp;MAESTRO!$I595)="",MAESTRO!$F595,TRIM(MAESTRO!$G595&amp;" "&amp;MAESTRO!$H595&amp;" "&amp;MAESTRO!$I595)),"")</f>
        <v/>
      </c>
      <c r="I596" t="str">
        <f>IF($A596&lt;&gt;"",MAESTRO!$K595,"")</f>
        <v/>
      </c>
      <c r="J596" t="str">
        <f>IF($A596&lt;&gt;"",596,"")</f>
        <v/>
      </c>
    </row>
    <row r="597" spans="1:10" x14ac:dyDescent="0.2">
      <c r="A597" t="str">
        <f>IF(AND(UPPER(MAESTRO!$M596)="VIP",UPPER(MAESTRO!$J596)="SI",MAESTRO!$F596&lt;&gt;""),MAESTRO!$P596,"")</f>
        <v/>
      </c>
      <c r="B597" t="str">
        <f>IF($A597&lt;&gt;"",MAESTRO!$B596,"")</f>
        <v/>
      </c>
      <c r="C597" t="str">
        <f>IF($A597&lt;&gt;"",MAESTRO!$A596,"")</f>
        <v/>
      </c>
      <c r="D597" t="str">
        <f>IF($A597&lt;&gt;"",MAESTRO!$C596,"")</f>
        <v/>
      </c>
      <c r="E597" t="str">
        <f>IF($A597&lt;&gt;"",MAESTRO!$M596,"")</f>
        <v/>
      </c>
      <c r="F597" t="str">
        <f>IF($A597&lt;&gt;"",MAESTRO!$J596,"")</f>
        <v/>
      </c>
      <c r="G597" t="str">
        <f>IF($A597&lt;&gt;"",MAESTRO!$D596,"")</f>
        <v/>
      </c>
      <c r="H597" t="str">
        <f>IF($A597&lt;&gt;"",IF(TRIM(MAESTRO!$G596&amp;" "&amp;MAESTRO!$H596&amp;" "&amp;MAESTRO!$I596)="",MAESTRO!$F596,TRIM(MAESTRO!$G596&amp;" "&amp;MAESTRO!$H596&amp;" "&amp;MAESTRO!$I596)),"")</f>
        <v/>
      </c>
      <c r="I597" t="str">
        <f>IF($A597&lt;&gt;"",MAESTRO!$K596,"")</f>
        <v/>
      </c>
      <c r="J597" t="str">
        <f>IF($A597&lt;&gt;"",597,"")</f>
        <v/>
      </c>
    </row>
    <row r="598" spans="1:10" x14ac:dyDescent="0.2">
      <c r="A598" t="str">
        <f>IF(AND(UPPER(MAESTRO!$M597)="VIP",UPPER(MAESTRO!$J597)="SI",MAESTRO!$F597&lt;&gt;""),MAESTRO!$P597,"")</f>
        <v>B39</v>
      </c>
      <c r="B598">
        <f>IF($A598&lt;&gt;"",MAESTRO!$B597,"")</f>
        <v>596</v>
      </c>
      <c r="C598">
        <f>IF($A598&lt;&gt;"",MAESTRO!$A597,"")</f>
        <v>596</v>
      </c>
      <c r="D598" t="str">
        <f>IF($A598&lt;&gt;"",MAESTRO!$C597,"")</f>
        <v>PROVEEDORES</v>
      </c>
      <c r="E598" t="str">
        <f>IF($A598&lt;&gt;"",MAESTRO!$M597,"")</f>
        <v>VIP</v>
      </c>
      <c r="F598" t="str">
        <f>IF($A598&lt;&gt;"",MAESTRO!$J597,"")</f>
        <v>SI</v>
      </c>
      <c r="G598" t="str">
        <f>IF($A598&lt;&gt;"",MAESTRO!$D597,"")</f>
        <v>Rector</v>
      </c>
      <c r="H598" t="str">
        <f>IF($A598&lt;&gt;"",IF(TRIM(MAESTRO!$G597&amp;" "&amp;MAESTRO!$H597&amp;" "&amp;MAESTRO!$I597)="",MAESTRO!$F597,TRIM(MAESTRO!$G597&amp;" "&amp;MAESTRO!$H597&amp;" "&amp;MAESTRO!$I597)),"")</f>
        <v>Pablo Fernández</v>
      </c>
      <c r="I598" t="str">
        <f>IF($A598&lt;&gt;"",MAESTRO!$K597,"")</f>
        <v>Director Corporativo Grupo Fernandez Jove</v>
      </c>
      <c r="J598">
        <f>IF($A598&lt;&gt;"",598,"")</f>
        <v>598</v>
      </c>
    </row>
    <row r="599" spans="1:10" x14ac:dyDescent="0.2">
      <c r="A599" t="str">
        <f>IF(AND(UPPER(MAESTRO!$M598)="VIP",UPPER(MAESTRO!$J598)="SI",MAESTRO!$F598&lt;&gt;""),MAESTRO!$P598,"")</f>
        <v/>
      </c>
      <c r="B599" t="str">
        <f>IF($A599&lt;&gt;"",MAESTRO!$B598,"")</f>
        <v/>
      </c>
      <c r="C599" t="str">
        <f>IF($A599&lt;&gt;"",MAESTRO!$A598,"")</f>
        <v/>
      </c>
      <c r="D599" t="str">
        <f>IF($A599&lt;&gt;"",MAESTRO!$C598,"")</f>
        <v/>
      </c>
      <c r="E599" t="str">
        <f>IF($A599&lt;&gt;"",MAESTRO!$M598,"")</f>
        <v/>
      </c>
      <c r="F599" t="str">
        <f>IF($A599&lt;&gt;"",MAESTRO!$J598,"")</f>
        <v/>
      </c>
      <c r="G599" t="str">
        <f>IF($A599&lt;&gt;"",MAESTRO!$D598,"")</f>
        <v/>
      </c>
      <c r="H599" t="str">
        <f>IF($A599&lt;&gt;"",IF(TRIM(MAESTRO!$G598&amp;" "&amp;MAESTRO!$H598&amp;" "&amp;MAESTRO!$I598)="",MAESTRO!$F598,TRIM(MAESTRO!$G598&amp;" "&amp;MAESTRO!$H598&amp;" "&amp;MAESTRO!$I598)),"")</f>
        <v/>
      </c>
      <c r="I599" t="str">
        <f>IF($A599&lt;&gt;"",MAESTRO!$K598,"")</f>
        <v/>
      </c>
      <c r="J599" t="str">
        <f>IF($A599&lt;&gt;"",599,"")</f>
        <v/>
      </c>
    </row>
    <row r="600" spans="1:10" x14ac:dyDescent="0.2">
      <c r="A600" t="str">
        <f>IF(AND(UPPER(MAESTRO!$M599)="VIP",UPPER(MAESTRO!$J599)="SI",MAESTRO!$F599&lt;&gt;""),MAESTRO!$P599,"")</f>
        <v/>
      </c>
      <c r="B600" t="str">
        <f>IF($A600&lt;&gt;"",MAESTRO!$B599,"")</f>
        <v/>
      </c>
      <c r="C600" t="str">
        <f>IF($A600&lt;&gt;"",MAESTRO!$A599,"")</f>
        <v/>
      </c>
      <c r="D600" t="str">
        <f>IF($A600&lt;&gt;"",MAESTRO!$C599,"")</f>
        <v/>
      </c>
      <c r="E600" t="str">
        <f>IF($A600&lt;&gt;"",MAESTRO!$M599,"")</f>
        <v/>
      </c>
      <c r="F600" t="str">
        <f>IF($A600&lt;&gt;"",MAESTRO!$J599,"")</f>
        <v/>
      </c>
      <c r="G600" t="str">
        <f>IF($A600&lt;&gt;"",MAESTRO!$D599,"")</f>
        <v/>
      </c>
      <c r="H600" t="str">
        <f>IF($A600&lt;&gt;"",IF(TRIM(MAESTRO!$G599&amp;" "&amp;MAESTRO!$H599&amp;" "&amp;MAESTRO!$I599)="",MAESTRO!$F599,TRIM(MAESTRO!$G599&amp;" "&amp;MAESTRO!$H599&amp;" "&amp;MAESTRO!$I599)),"")</f>
        <v/>
      </c>
      <c r="I600" t="str">
        <f>IF($A600&lt;&gt;"",MAESTRO!$K599,"")</f>
        <v/>
      </c>
      <c r="J600" t="str">
        <f>IF($A600&lt;&gt;"",600,"")</f>
        <v/>
      </c>
    </row>
    <row r="601" spans="1:10" x14ac:dyDescent="0.2">
      <c r="A601" t="str">
        <f>IF(AND(UPPER(MAESTRO!$M600)="VIP",UPPER(MAESTRO!$J600)="SI",MAESTRO!$F600&lt;&gt;""),MAESTRO!$P600,"")</f>
        <v/>
      </c>
      <c r="B601" t="str">
        <f>IF($A601&lt;&gt;"",MAESTRO!$B600,"")</f>
        <v/>
      </c>
      <c r="C601" t="str">
        <f>IF($A601&lt;&gt;"",MAESTRO!$A600,"")</f>
        <v/>
      </c>
      <c r="D601" t="str">
        <f>IF($A601&lt;&gt;"",MAESTRO!$C600,"")</f>
        <v/>
      </c>
      <c r="E601" t="str">
        <f>IF($A601&lt;&gt;"",MAESTRO!$M600,"")</f>
        <v/>
      </c>
      <c r="F601" t="str">
        <f>IF($A601&lt;&gt;"",MAESTRO!$J600,"")</f>
        <v/>
      </c>
      <c r="G601" t="str">
        <f>IF($A601&lt;&gt;"",MAESTRO!$D600,"")</f>
        <v/>
      </c>
      <c r="H601" t="str">
        <f>IF($A601&lt;&gt;"",IF(TRIM(MAESTRO!$G600&amp;" "&amp;MAESTRO!$H600&amp;" "&amp;MAESTRO!$I600)="",MAESTRO!$F600,TRIM(MAESTRO!$G600&amp;" "&amp;MAESTRO!$H600&amp;" "&amp;MAESTRO!$I600)),"")</f>
        <v/>
      </c>
      <c r="I601" t="str">
        <f>IF($A601&lt;&gt;"",MAESTRO!$K600,"")</f>
        <v/>
      </c>
      <c r="J601" t="str">
        <f>IF($A601&lt;&gt;"",601,"")</f>
        <v/>
      </c>
    </row>
    <row r="602" spans="1:10" x14ac:dyDescent="0.2">
      <c r="A602" t="str">
        <f>IF(AND(UPPER(MAESTRO!$M601)="VIP",UPPER(MAESTRO!$J601)="SI",MAESTRO!$F601&lt;&gt;""),MAESTRO!$P601,"")</f>
        <v/>
      </c>
      <c r="B602" t="str">
        <f>IF($A602&lt;&gt;"",MAESTRO!$B601,"")</f>
        <v/>
      </c>
      <c r="C602" t="str">
        <f>IF($A602&lt;&gt;"",MAESTRO!$A601,"")</f>
        <v/>
      </c>
      <c r="D602" t="str">
        <f>IF($A602&lt;&gt;"",MAESTRO!$C601,"")</f>
        <v/>
      </c>
      <c r="E602" t="str">
        <f>IF($A602&lt;&gt;"",MAESTRO!$M601,"")</f>
        <v/>
      </c>
      <c r="F602" t="str">
        <f>IF($A602&lt;&gt;"",MAESTRO!$J601,"")</f>
        <v/>
      </c>
      <c r="G602" t="str">
        <f>IF($A602&lt;&gt;"",MAESTRO!$D601,"")</f>
        <v/>
      </c>
      <c r="H602" t="str">
        <f>IF($A602&lt;&gt;"",IF(TRIM(MAESTRO!$G601&amp;" "&amp;MAESTRO!$H601&amp;" "&amp;MAESTRO!$I601)="",MAESTRO!$F601,TRIM(MAESTRO!$G601&amp;" "&amp;MAESTRO!$H601&amp;" "&amp;MAESTRO!$I601)),"")</f>
        <v/>
      </c>
      <c r="I602" t="str">
        <f>IF($A602&lt;&gt;"",MAESTRO!$K601,"")</f>
        <v/>
      </c>
      <c r="J602" t="str">
        <f>IF($A602&lt;&gt;"",602,"")</f>
        <v/>
      </c>
    </row>
    <row r="603" spans="1:10" x14ac:dyDescent="0.2">
      <c r="A603" t="str">
        <f>IF(AND(UPPER(MAESTRO!$M602)="VIP",UPPER(MAESTRO!$J602)="SI",MAESTRO!$F602&lt;&gt;""),MAESTRO!$P602,"")</f>
        <v/>
      </c>
      <c r="B603" t="str">
        <f>IF($A603&lt;&gt;"",MAESTRO!$B602,"")</f>
        <v/>
      </c>
      <c r="C603" t="str">
        <f>IF($A603&lt;&gt;"",MAESTRO!$A602,"")</f>
        <v/>
      </c>
      <c r="D603" t="str">
        <f>IF($A603&lt;&gt;"",MAESTRO!$C602,"")</f>
        <v/>
      </c>
      <c r="E603" t="str">
        <f>IF($A603&lt;&gt;"",MAESTRO!$M602,"")</f>
        <v/>
      </c>
      <c r="F603" t="str">
        <f>IF($A603&lt;&gt;"",MAESTRO!$J602,"")</f>
        <v/>
      </c>
      <c r="G603" t="str">
        <f>IF($A603&lt;&gt;"",MAESTRO!$D602,"")</f>
        <v/>
      </c>
      <c r="H603" t="str">
        <f>IF($A603&lt;&gt;"",IF(TRIM(MAESTRO!$G602&amp;" "&amp;MAESTRO!$H602&amp;" "&amp;MAESTRO!$I602)="",MAESTRO!$F602,TRIM(MAESTRO!$G602&amp;" "&amp;MAESTRO!$H602&amp;" "&amp;MAESTRO!$I602)),"")</f>
        <v/>
      </c>
      <c r="I603" t="str">
        <f>IF($A603&lt;&gt;"",MAESTRO!$K602,"")</f>
        <v/>
      </c>
      <c r="J603" t="str">
        <f>IF($A603&lt;&gt;"",603,"")</f>
        <v/>
      </c>
    </row>
    <row r="604" spans="1:10" x14ac:dyDescent="0.2">
      <c r="A604" t="str">
        <f>IF(AND(UPPER(MAESTRO!$M603)="VIP",UPPER(MAESTRO!$J603)="SI",MAESTRO!$F603&lt;&gt;""),MAESTRO!$P603,"")</f>
        <v/>
      </c>
      <c r="B604" t="str">
        <f>IF($A604&lt;&gt;"",MAESTRO!$B603,"")</f>
        <v/>
      </c>
      <c r="C604" t="str">
        <f>IF($A604&lt;&gt;"",MAESTRO!$A603,"")</f>
        <v/>
      </c>
      <c r="D604" t="str">
        <f>IF($A604&lt;&gt;"",MAESTRO!$C603,"")</f>
        <v/>
      </c>
      <c r="E604" t="str">
        <f>IF($A604&lt;&gt;"",MAESTRO!$M603,"")</f>
        <v/>
      </c>
      <c r="F604" t="str">
        <f>IF($A604&lt;&gt;"",MAESTRO!$J603,"")</f>
        <v/>
      </c>
      <c r="G604" t="str">
        <f>IF($A604&lt;&gt;"",MAESTRO!$D603,"")</f>
        <v/>
      </c>
      <c r="H604" t="str">
        <f>IF($A604&lt;&gt;"",IF(TRIM(MAESTRO!$G603&amp;" "&amp;MAESTRO!$H603&amp;" "&amp;MAESTRO!$I603)="",MAESTRO!$F603,TRIM(MAESTRO!$G603&amp;" "&amp;MAESTRO!$H603&amp;" "&amp;MAESTRO!$I603)),"")</f>
        <v/>
      </c>
      <c r="I604" t="str">
        <f>IF($A604&lt;&gt;"",MAESTRO!$K603,"")</f>
        <v/>
      </c>
      <c r="J604" t="str">
        <f>IF($A604&lt;&gt;"",604,"")</f>
        <v/>
      </c>
    </row>
    <row r="605" spans="1:10" x14ac:dyDescent="0.2">
      <c r="A605" t="str">
        <f>IF(AND(UPPER(MAESTRO!$M604)="VIP",UPPER(MAESTRO!$J604)="SI",MAESTRO!$F604&lt;&gt;""),MAESTRO!$P604,"")</f>
        <v/>
      </c>
      <c r="B605" t="str">
        <f>IF($A605&lt;&gt;"",MAESTRO!$B604,"")</f>
        <v/>
      </c>
      <c r="C605" t="str">
        <f>IF($A605&lt;&gt;"",MAESTRO!$A604,"")</f>
        <v/>
      </c>
      <c r="D605" t="str">
        <f>IF($A605&lt;&gt;"",MAESTRO!$C604,"")</f>
        <v/>
      </c>
      <c r="E605" t="str">
        <f>IF($A605&lt;&gt;"",MAESTRO!$M604,"")</f>
        <v/>
      </c>
      <c r="F605" t="str">
        <f>IF($A605&lt;&gt;"",MAESTRO!$J604,"")</f>
        <v/>
      </c>
      <c r="G605" t="str">
        <f>IF($A605&lt;&gt;"",MAESTRO!$D604,"")</f>
        <v/>
      </c>
      <c r="H605" t="str">
        <f>IF($A605&lt;&gt;"",IF(TRIM(MAESTRO!$G604&amp;" "&amp;MAESTRO!$H604&amp;" "&amp;MAESTRO!$I604)="",MAESTRO!$F604,TRIM(MAESTRO!$G604&amp;" "&amp;MAESTRO!$H604&amp;" "&amp;MAESTRO!$I604)),"")</f>
        <v/>
      </c>
      <c r="I605" t="str">
        <f>IF($A605&lt;&gt;"",MAESTRO!$K604,"")</f>
        <v/>
      </c>
      <c r="J605" t="str">
        <f>IF($A605&lt;&gt;"",605,"")</f>
        <v/>
      </c>
    </row>
    <row r="606" spans="1:10" x14ac:dyDescent="0.2">
      <c r="A606" t="str">
        <f>IF(AND(UPPER(MAESTRO!$M605)="VIP",UPPER(MAESTRO!$J605)="SI",MAESTRO!$F605&lt;&gt;""),MAESTRO!$P605,"")</f>
        <v>B4</v>
      </c>
      <c r="B606">
        <f>IF($A606&lt;&gt;"",MAESTRO!$B605,"")</f>
        <v>604</v>
      </c>
      <c r="C606">
        <f>IF($A606&lt;&gt;"",MAESTRO!$A605,"")</f>
        <v>604</v>
      </c>
      <c r="D606" t="str">
        <f>IF($A606&lt;&gt;"",MAESTRO!$C605,"")</f>
        <v xml:space="preserve">ASMAR </v>
      </c>
      <c r="E606" t="str">
        <f>IF($A606&lt;&gt;"",MAESTRO!$M605,"")</f>
        <v>VIP</v>
      </c>
      <c r="F606" t="str">
        <f>IF($A606&lt;&gt;"",MAESTRO!$J605,"")</f>
        <v>SI</v>
      </c>
      <c r="G606" t="str">
        <f>IF($A606&lt;&gt;"",MAESTRO!$D605,"")</f>
        <v>Capitán de Navío</v>
      </c>
      <c r="H606" t="str">
        <f>IF($A606&lt;&gt;"",IF(TRIM(MAESTRO!$G605&amp;" "&amp;MAESTRO!$H605&amp;" "&amp;MAESTRO!$I605)="",MAESTRO!$F605,TRIM(MAESTRO!$G605&amp;" "&amp;MAESTRO!$H605&amp;" "&amp;MAESTRO!$I605)),"")</f>
        <v>Rafael Castillo Vallejos</v>
      </c>
      <c r="I606" t="str">
        <f>IF($A606&lt;&gt;"",MAESTRO!$K605,"")</f>
        <v>Admistrador ASMAR (T)</v>
      </c>
      <c r="J606">
        <f>IF($A606&lt;&gt;"",606,"")</f>
        <v>606</v>
      </c>
    </row>
    <row r="607" spans="1:10" x14ac:dyDescent="0.2">
      <c r="A607" t="str">
        <f>IF(AND(UPPER(MAESTRO!$M606)="VIP",UPPER(MAESTRO!$J606)="SI",MAESTRO!$F606&lt;&gt;""),MAESTRO!$P606,"")</f>
        <v/>
      </c>
      <c r="B607" t="str">
        <f>IF($A607&lt;&gt;"",MAESTRO!$B606,"")</f>
        <v/>
      </c>
      <c r="C607" t="str">
        <f>IF($A607&lt;&gt;"",MAESTRO!$A606,"")</f>
        <v/>
      </c>
      <c r="D607" t="str">
        <f>IF($A607&lt;&gt;"",MAESTRO!$C606,"")</f>
        <v/>
      </c>
      <c r="E607" t="str">
        <f>IF($A607&lt;&gt;"",MAESTRO!$M606,"")</f>
        <v/>
      </c>
      <c r="F607" t="str">
        <f>IF($A607&lt;&gt;"",MAESTRO!$J606,"")</f>
        <v/>
      </c>
      <c r="G607" t="str">
        <f>IF($A607&lt;&gt;"",MAESTRO!$D606,"")</f>
        <v/>
      </c>
      <c r="H607" t="str">
        <f>IF($A607&lt;&gt;"",IF(TRIM(MAESTRO!$G606&amp;" "&amp;MAESTRO!$H606&amp;" "&amp;MAESTRO!$I606)="",MAESTRO!$F606,TRIM(MAESTRO!$G606&amp;" "&amp;MAESTRO!$H606&amp;" "&amp;MAESTRO!$I606)),"")</f>
        <v/>
      </c>
      <c r="I607" t="str">
        <f>IF($A607&lt;&gt;"",MAESTRO!$K606,"")</f>
        <v/>
      </c>
      <c r="J607" t="str">
        <f>IF($A607&lt;&gt;"",607,"")</f>
        <v/>
      </c>
    </row>
    <row r="608" spans="1:10" x14ac:dyDescent="0.2">
      <c r="A608" t="str">
        <f>IF(AND(UPPER(MAESTRO!$M607)="VIP",UPPER(MAESTRO!$J607)="SI",MAESTRO!$F607&lt;&gt;""),MAESTRO!$P607,"")</f>
        <v/>
      </c>
      <c r="B608" t="str">
        <f>IF($A608&lt;&gt;"",MAESTRO!$B607,"")</f>
        <v/>
      </c>
      <c r="C608" t="str">
        <f>IF($A608&lt;&gt;"",MAESTRO!$A607,"")</f>
        <v/>
      </c>
      <c r="D608" t="str">
        <f>IF($A608&lt;&gt;"",MAESTRO!$C607,"")</f>
        <v/>
      </c>
      <c r="E608" t="str">
        <f>IF($A608&lt;&gt;"",MAESTRO!$M607,"")</f>
        <v/>
      </c>
      <c r="F608" t="str">
        <f>IF($A608&lt;&gt;"",MAESTRO!$J607,"")</f>
        <v/>
      </c>
      <c r="G608" t="str">
        <f>IF($A608&lt;&gt;"",MAESTRO!$D607,"")</f>
        <v/>
      </c>
      <c r="H608" t="str">
        <f>IF($A608&lt;&gt;"",IF(TRIM(MAESTRO!$G607&amp;" "&amp;MAESTRO!$H607&amp;" "&amp;MAESTRO!$I607)="",MAESTRO!$F607,TRIM(MAESTRO!$G607&amp;" "&amp;MAESTRO!$H607&amp;" "&amp;MAESTRO!$I607)),"")</f>
        <v/>
      </c>
      <c r="I608" t="str">
        <f>IF($A608&lt;&gt;"",MAESTRO!$K607,"")</f>
        <v/>
      </c>
      <c r="J608" t="str">
        <f>IF($A608&lt;&gt;"",608,"")</f>
        <v/>
      </c>
    </row>
    <row r="609" spans="1:10" x14ac:dyDescent="0.2">
      <c r="A609" t="str">
        <f>IF(AND(UPPER(MAESTRO!$M608)="VIP",UPPER(MAESTRO!$J608)="SI",MAESTRO!$F608&lt;&gt;""),MAESTRO!$P608,"")</f>
        <v/>
      </c>
      <c r="B609" t="str">
        <f>IF($A609&lt;&gt;"",MAESTRO!$B608,"")</f>
        <v/>
      </c>
      <c r="C609" t="str">
        <f>IF($A609&lt;&gt;"",MAESTRO!$A608,"")</f>
        <v/>
      </c>
      <c r="D609" t="str">
        <f>IF($A609&lt;&gt;"",MAESTRO!$C608,"")</f>
        <v/>
      </c>
      <c r="E609" t="str">
        <f>IF($A609&lt;&gt;"",MAESTRO!$M608,"")</f>
        <v/>
      </c>
      <c r="F609" t="str">
        <f>IF($A609&lt;&gt;"",MAESTRO!$J608,"")</f>
        <v/>
      </c>
      <c r="G609" t="str">
        <f>IF($A609&lt;&gt;"",MAESTRO!$D608,"")</f>
        <v/>
      </c>
      <c r="H609" t="str">
        <f>IF($A609&lt;&gt;"",IF(TRIM(MAESTRO!$G608&amp;" "&amp;MAESTRO!$H608&amp;" "&amp;MAESTRO!$I608)="",MAESTRO!$F608,TRIM(MAESTRO!$G608&amp;" "&amp;MAESTRO!$H608&amp;" "&amp;MAESTRO!$I608)),"")</f>
        <v/>
      </c>
      <c r="I609" t="str">
        <f>IF($A609&lt;&gt;"",MAESTRO!$K608,"")</f>
        <v/>
      </c>
      <c r="J609" t="str">
        <f>IF($A609&lt;&gt;"",609,"")</f>
        <v/>
      </c>
    </row>
    <row r="610" spans="1:10" x14ac:dyDescent="0.2">
      <c r="A610" t="str">
        <f>IF(AND(UPPER(MAESTRO!$M609)="VIP",UPPER(MAESTRO!$J609)="SI",MAESTRO!$F609&lt;&gt;""),MAESTRO!$P609,"")</f>
        <v/>
      </c>
      <c r="B610" t="str">
        <f>IF($A610&lt;&gt;"",MAESTRO!$B609,"")</f>
        <v/>
      </c>
      <c r="C610" t="str">
        <f>IF($A610&lt;&gt;"",MAESTRO!$A609,"")</f>
        <v/>
      </c>
      <c r="D610" t="str">
        <f>IF($A610&lt;&gt;"",MAESTRO!$C609,"")</f>
        <v/>
      </c>
      <c r="E610" t="str">
        <f>IF($A610&lt;&gt;"",MAESTRO!$M609,"")</f>
        <v/>
      </c>
      <c r="F610" t="str">
        <f>IF($A610&lt;&gt;"",MAESTRO!$J609,"")</f>
        <v/>
      </c>
      <c r="G610" t="str">
        <f>IF($A610&lt;&gt;"",MAESTRO!$D609,"")</f>
        <v/>
      </c>
      <c r="H610" t="str">
        <f>IF($A610&lt;&gt;"",IF(TRIM(MAESTRO!$G609&amp;" "&amp;MAESTRO!$H609&amp;" "&amp;MAESTRO!$I609)="",MAESTRO!$F609,TRIM(MAESTRO!$G609&amp;" "&amp;MAESTRO!$H609&amp;" "&amp;MAESTRO!$I609)),"")</f>
        <v/>
      </c>
      <c r="I610" t="str">
        <f>IF($A610&lt;&gt;"",MAESTRO!$K609,"")</f>
        <v/>
      </c>
      <c r="J610" t="str">
        <f>IF($A610&lt;&gt;"",610,"")</f>
        <v/>
      </c>
    </row>
    <row r="611" spans="1:10" x14ac:dyDescent="0.2">
      <c r="A611" t="str">
        <f>IF(AND(UPPER(MAESTRO!$M610)="VIP",UPPER(MAESTRO!$J610)="SI",MAESTRO!$F610&lt;&gt;""),MAESTRO!$P610,"")</f>
        <v/>
      </c>
      <c r="B611" t="str">
        <f>IF($A611&lt;&gt;"",MAESTRO!$B610,"")</f>
        <v/>
      </c>
      <c r="C611" t="str">
        <f>IF($A611&lt;&gt;"",MAESTRO!$A610,"")</f>
        <v/>
      </c>
      <c r="D611" t="str">
        <f>IF($A611&lt;&gt;"",MAESTRO!$C610,"")</f>
        <v/>
      </c>
      <c r="E611" t="str">
        <f>IF($A611&lt;&gt;"",MAESTRO!$M610,"")</f>
        <v/>
      </c>
      <c r="F611" t="str">
        <f>IF($A611&lt;&gt;"",MAESTRO!$J610,"")</f>
        <v/>
      </c>
      <c r="G611" t="str">
        <f>IF($A611&lt;&gt;"",MAESTRO!$D610,"")</f>
        <v/>
      </c>
      <c r="H611" t="str">
        <f>IF($A611&lt;&gt;"",IF(TRIM(MAESTRO!$G610&amp;" "&amp;MAESTRO!$H610&amp;" "&amp;MAESTRO!$I610)="",MAESTRO!$F610,TRIM(MAESTRO!$G610&amp;" "&amp;MAESTRO!$H610&amp;" "&amp;MAESTRO!$I610)),"")</f>
        <v/>
      </c>
      <c r="I611" t="str">
        <f>IF($A611&lt;&gt;"",MAESTRO!$K610,"")</f>
        <v/>
      </c>
      <c r="J611" t="str">
        <f>IF($A611&lt;&gt;"",611,"")</f>
        <v/>
      </c>
    </row>
    <row r="612" spans="1:10" x14ac:dyDescent="0.2">
      <c r="A612" t="str">
        <f>IF(AND(UPPER(MAESTRO!$M611)="VIP",UPPER(MAESTRO!$J611)="SI",MAESTRO!$F611&lt;&gt;""),MAESTRO!$P611,"")</f>
        <v/>
      </c>
      <c r="B612" t="str">
        <f>IF($A612&lt;&gt;"",MAESTRO!$B611,"")</f>
        <v/>
      </c>
      <c r="C612" t="str">
        <f>IF($A612&lt;&gt;"",MAESTRO!$A611,"")</f>
        <v/>
      </c>
      <c r="D612" t="str">
        <f>IF($A612&lt;&gt;"",MAESTRO!$C611,"")</f>
        <v/>
      </c>
      <c r="E612" t="str">
        <f>IF($A612&lt;&gt;"",MAESTRO!$M611,"")</f>
        <v/>
      </c>
      <c r="F612" t="str">
        <f>IF($A612&lt;&gt;"",MAESTRO!$J611,"")</f>
        <v/>
      </c>
      <c r="G612" t="str">
        <f>IF($A612&lt;&gt;"",MAESTRO!$D611,"")</f>
        <v/>
      </c>
      <c r="H612" t="str">
        <f>IF($A612&lt;&gt;"",IF(TRIM(MAESTRO!$G611&amp;" "&amp;MAESTRO!$H611&amp;" "&amp;MAESTRO!$I611)="",MAESTRO!$F611,TRIM(MAESTRO!$G611&amp;" "&amp;MAESTRO!$H611&amp;" "&amp;MAESTRO!$I611)),"")</f>
        <v/>
      </c>
      <c r="I612" t="str">
        <f>IF($A612&lt;&gt;"",MAESTRO!$K611,"")</f>
        <v/>
      </c>
      <c r="J612" t="str">
        <f>IF($A612&lt;&gt;"",612,"")</f>
        <v/>
      </c>
    </row>
    <row r="613" spans="1:10" x14ac:dyDescent="0.2">
      <c r="A613" t="str">
        <f>IF(AND(UPPER(MAESTRO!$M612)="VIP",UPPER(MAESTRO!$J612)="SI",MAESTRO!$F612&lt;&gt;""),MAESTRO!$P612,"")</f>
        <v/>
      </c>
      <c r="B613" t="str">
        <f>IF($A613&lt;&gt;"",MAESTRO!$B612,"")</f>
        <v/>
      </c>
      <c r="C613" t="str">
        <f>IF($A613&lt;&gt;"",MAESTRO!$A612,"")</f>
        <v/>
      </c>
      <c r="D613" t="str">
        <f>IF($A613&lt;&gt;"",MAESTRO!$C612,"")</f>
        <v/>
      </c>
      <c r="E613" t="str">
        <f>IF($A613&lt;&gt;"",MAESTRO!$M612,"")</f>
        <v/>
      </c>
      <c r="F613" t="str">
        <f>IF($A613&lt;&gt;"",MAESTRO!$J612,"")</f>
        <v/>
      </c>
      <c r="G613" t="str">
        <f>IF($A613&lt;&gt;"",MAESTRO!$D612,"")</f>
        <v/>
      </c>
      <c r="H613" t="str">
        <f>IF($A613&lt;&gt;"",IF(TRIM(MAESTRO!$G612&amp;" "&amp;MAESTRO!$H612&amp;" "&amp;MAESTRO!$I612)="",MAESTRO!$F612,TRIM(MAESTRO!$G612&amp;" "&amp;MAESTRO!$H612&amp;" "&amp;MAESTRO!$I612)),"")</f>
        <v/>
      </c>
      <c r="I613" t="str">
        <f>IF($A613&lt;&gt;"",MAESTRO!$K612,"")</f>
        <v/>
      </c>
      <c r="J613" t="str">
        <f>IF($A613&lt;&gt;"",613,"")</f>
        <v/>
      </c>
    </row>
    <row r="614" spans="1:10" x14ac:dyDescent="0.2">
      <c r="A614" t="str">
        <f>IF(AND(UPPER(MAESTRO!$M613)="VIP",UPPER(MAESTRO!$J613)="SI",MAESTRO!$F613&lt;&gt;""),MAESTRO!$P613,"")</f>
        <v/>
      </c>
      <c r="B614" t="str">
        <f>IF($A614&lt;&gt;"",MAESTRO!$B613,"")</f>
        <v/>
      </c>
      <c r="C614" t="str">
        <f>IF($A614&lt;&gt;"",MAESTRO!$A613,"")</f>
        <v/>
      </c>
      <c r="D614" t="str">
        <f>IF($A614&lt;&gt;"",MAESTRO!$C613,"")</f>
        <v/>
      </c>
      <c r="E614" t="str">
        <f>IF($A614&lt;&gt;"",MAESTRO!$M613,"")</f>
        <v/>
      </c>
      <c r="F614" t="str">
        <f>IF($A614&lt;&gt;"",MAESTRO!$J613,"")</f>
        <v/>
      </c>
      <c r="G614" t="str">
        <f>IF($A614&lt;&gt;"",MAESTRO!$D613,"")</f>
        <v/>
      </c>
      <c r="H614" t="str">
        <f>IF($A614&lt;&gt;"",IF(TRIM(MAESTRO!$G613&amp;" "&amp;MAESTRO!$H613&amp;" "&amp;MAESTRO!$I613)="",MAESTRO!$F613,TRIM(MAESTRO!$G613&amp;" "&amp;MAESTRO!$H613&amp;" "&amp;MAESTRO!$I613)),"")</f>
        <v/>
      </c>
      <c r="I614" t="str">
        <f>IF($A614&lt;&gt;"",MAESTRO!$K613,"")</f>
        <v/>
      </c>
      <c r="J614" t="str">
        <f>IF($A614&lt;&gt;"",614,"")</f>
        <v/>
      </c>
    </row>
    <row r="615" spans="1:10" x14ac:dyDescent="0.2">
      <c r="A615" t="str">
        <f>IF(AND(UPPER(MAESTRO!$M614)="VIP",UPPER(MAESTRO!$J614)="SI",MAESTRO!$F614&lt;&gt;""),MAESTRO!$P614,"")</f>
        <v/>
      </c>
      <c r="B615" t="str">
        <f>IF($A615&lt;&gt;"",MAESTRO!$B614,"")</f>
        <v/>
      </c>
      <c r="C615" t="str">
        <f>IF($A615&lt;&gt;"",MAESTRO!$A614,"")</f>
        <v/>
      </c>
      <c r="D615" t="str">
        <f>IF($A615&lt;&gt;"",MAESTRO!$C614,"")</f>
        <v/>
      </c>
      <c r="E615" t="str">
        <f>IF($A615&lt;&gt;"",MAESTRO!$M614,"")</f>
        <v/>
      </c>
      <c r="F615" t="str">
        <f>IF($A615&lt;&gt;"",MAESTRO!$J614,"")</f>
        <v/>
      </c>
      <c r="G615" t="str">
        <f>IF($A615&lt;&gt;"",MAESTRO!$D614,"")</f>
        <v/>
      </c>
      <c r="H615" t="str">
        <f>IF($A615&lt;&gt;"",IF(TRIM(MAESTRO!$G614&amp;" "&amp;MAESTRO!$H614&amp;" "&amp;MAESTRO!$I614)="",MAESTRO!$F614,TRIM(MAESTRO!$G614&amp;" "&amp;MAESTRO!$H614&amp;" "&amp;MAESTRO!$I614)),"")</f>
        <v/>
      </c>
      <c r="I615" t="str">
        <f>IF($A615&lt;&gt;"",MAESTRO!$K614,"")</f>
        <v/>
      </c>
      <c r="J615" t="str">
        <f>IF($A615&lt;&gt;"",615,"")</f>
        <v/>
      </c>
    </row>
    <row r="616" spans="1:10" x14ac:dyDescent="0.2">
      <c r="A616" t="str">
        <f>IF(AND(UPPER(MAESTRO!$M615)="VIP",UPPER(MAESTRO!$J615)="SI",MAESTRO!$F615&lt;&gt;""),MAESTRO!$P615,"")</f>
        <v/>
      </c>
      <c r="B616" t="str">
        <f>IF($A616&lt;&gt;"",MAESTRO!$B615,"")</f>
        <v/>
      </c>
      <c r="C616" t="str">
        <f>IF($A616&lt;&gt;"",MAESTRO!$A615,"")</f>
        <v/>
      </c>
      <c r="D616" t="str">
        <f>IF($A616&lt;&gt;"",MAESTRO!$C615,"")</f>
        <v/>
      </c>
      <c r="E616" t="str">
        <f>IF($A616&lt;&gt;"",MAESTRO!$M615,"")</f>
        <v/>
      </c>
      <c r="F616" t="str">
        <f>IF($A616&lt;&gt;"",MAESTRO!$J615,"")</f>
        <v/>
      </c>
      <c r="G616" t="str">
        <f>IF($A616&lt;&gt;"",MAESTRO!$D615,"")</f>
        <v/>
      </c>
      <c r="H616" t="str">
        <f>IF($A616&lt;&gt;"",IF(TRIM(MAESTRO!$G615&amp;" "&amp;MAESTRO!$H615&amp;" "&amp;MAESTRO!$I615)="",MAESTRO!$F615,TRIM(MAESTRO!$G615&amp;" "&amp;MAESTRO!$H615&amp;" "&amp;MAESTRO!$I615)),"")</f>
        <v/>
      </c>
      <c r="I616" t="str">
        <f>IF($A616&lt;&gt;"",MAESTRO!$K615,"")</f>
        <v/>
      </c>
      <c r="J616" t="str">
        <f>IF($A616&lt;&gt;"",616,"")</f>
        <v/>
      </c>
    </row>
    <row r="617" spans="1:10" x14ac:dyDescent="0.2">
      <c r="A617" t="str">
        <f>IF(AND(UPPER(MAESTRO!$M616)="VIP",UPPER(MAESTRO!$J616)="SI",MAESTRO!$F616&lt;&gt;""),MAESTRO!$P616,"")</f>
        <v/>
      </c>
      <c r="B617" t="str">
        <f>IF($A617&lt;&gt;"",MAESTRO!$B616,"")</f>
        <v/>
      </c>
      <c r="C617" t="str">
        <f>IF($A617&lt;&gt;"",MAESTRO!$A616,"")</f>
        <v/>
      </c>
      <c r="D617" t="str">
        <f>IF($A617&lt;&gt;"",MAESTRO!$C616,"")</f>
        <v/>
      </c>
      <c r="E617" t="str">
        <f>IF($A617&lt;&gt;"",MAESTRO!$M616,"")</f>
        <v/>
      </c>
      <c r="F617" t="str">
        <f>IF($A617&lt;&gt;"",MAESTRO!$J616,"")</f>
        <v/>
      </c>
      <c r="G617" t="str">
        <f>IF($A617&lt;&gt;"",MAESTRO!$D616,"")</f>
        <v/>
      </c>
      <c r="H617" t="str">
        <f>IF($A617&lt;&gt;"",IF(TRIM(MAESTRO!$G616&amp;" "&amp;MAESTRO!$H616&amp;" "&amp;MAESTRO!$I616)="",MAESTRO!$F616,TRIM(MAESTRO!$G616&amp;" "&amp;MAESTRO!$H616&amp;" "&amp;MAESTRO!$I616)),"")</f>
        <v/>
      </c>
      <c r="I617" t="str">
        <f>IF($A617&lt;&gt;"",MAESTRO!$K616,"")</f>
        <v/>
      </c>
      <c r="J617" t="str">
        <f>IF($A617&lt;&gt;"",617,"")</f>
        <v/>
      </c>
    </row>
    <row r="618" spans="1:10" x14ac:dyDescent="0.2">
      <c r="A618" t="str">
        <f>IF(AND(UPPER(MAESTRO!$M617)="VIP",UPPER(MAESTRO!$J617)="SI",MAESTRO!$F617&lt;&gt;""),MAESTRO!$P617,"")</f>
        <v>B2</v>
      </c>
      <c r="B618">
        <f>IF($A618&lt;&gt;"",MAESTRO!$B617,"")</f>
        <v>616</v>
      </c>
      <c r="C618">
        <f>IF($A618&lt;&gt;"",MAESTRO!$A617,"")</f>
        <v>616</v>
      </c>
      <c r="D618" t="str">
        <f>IF($A618&lt;&gt;"",MAESTRO!$C617,"")</f>
        <v>ASMAR DIRECCIÓN</v>
      </c>
      <c r="E618" t="str">
        <f>IF($A618&lt;&gt;"",MAESTRO!$M617,"")</f>
        <v>VIP</v>
      </c>
      <c r="F618" t="str">
        <f>IF($A618&lt;&gt;"",MAESTRO!$J617,"")</f>
        <v>SI</v>
      </c>
      <c r="G618" t="str">
        <f>IF($A618&lt;&gt;"",MAESTRO!$D617,"")</f>
        <v>Vicealmirante</v>
      </c>
      <c r="H618" t="str">
        <f>IF($A618&lt;&gt;"",IF(TRIM(MAESTRO!$G617&amp;" "&amp;MAESTRO!$H617&amp;" "&amp;MAESTRO!$I617)="",MAESTRO!$F617,TRIM(MAESTRO!$G617&amp;" "&amp;MAESTRO!$H617&amp;" "&amp;MAESTRO!$I617)),"")</f>
        <v>Guillermo Luttges Mathieu</v>
      </c>
      <c r="I618" t="str">
        <f>IF($A618&lt;&gt;"",MAESTRO!$K617,"")</f>
        <v>Gerente Corporativo  de Construcción Naval</v>
      </c>
      <c r="J618">
        <f>IF($A618&lt;&gt;"",618,"")</f>
        <v>618</v>
      </c>
    </row>
    <row r="619" spans="1:10" x14ac:dyDescent="0.2">
      <c r="A619" t="str">
        <f>IF(AND(UPPER(MAESTRO!$M618)="VIP",UPPER(MAESTRO!$J618)="SI",MAESTRO!$F618&lt;&gt;""),MAESTRO!$P618,"")</f>
        <v/>
      </c>
      <c r="B619" t="str">
        <f>IF($A619&lt;&gt;"",MAESTRO!$B618,"")</f>
        <v/>
      </c>
      <c r="C619" t="str">
        <f>IF($A619&lt;&gt;"",MAESTRO!$A618,"")</f>
        <v/>
      </c>
      <c r="D619" t="str">
        <f>IF($A619&lt;&gt;"",MAESTRO!$C618,"")</f>
        <v/>
      </c>
      <c r="E619" t="str">
        <f>IF($A619&lt;&gt;"",MAESTRO!$M618,"")</f>
        <v/>
      </c>
      <c r="F619" t="str">
        <f>IF($A619&lt;&gt;"",MAESTRO!$J618,"")</f>
        <v/>
      </c>
      <c r="G619" t="str">
        <f>IF($A619&lt;&gt;"",MAESTRO!$D618,"")</f>
        <v/>
      </c>
      <c r="H619" t="str">
        <f>IF($A619&lt;&gt;"",IF(TRIM(MAESTRO!$G618&amp;" "&amp;MAESTRO!$H618&amp;" "&amp;MAESTRO!$I618)="",MAESTRO!$F618,TRIM(MAESTRO!$G618&amp;" "&amp;MAESTRO!$H618&amp;" "&amp;MAESTRO!$I618)),"")</f>
        <v/>
      </c>
      <c r="I619" t="str">
        <f>IF($A619&lt;&gt;"",MAESTRO!$K618,"")</f>
        <v/>
      </c>
      <c r="J619" t="str">
        <f>IF($A619&lt;&gt;"",619,"")</f>
        <v/>
      </c>
    </row>
    <row r="620" spans="1:10" x14ac:dyDescent="0.2">
      <c r="A620" t="str">
        <f>IF(AND(UPPER(MAESTRO!$M619)="VIP",UPPER(MAESTRO!$J619)="SI",MAESTRO!$F619&lt;&gt;""),MAESTRO!$P619,"")</f>
        <v/>
      </c>
      <c r="B620" t="str">
        <f>IF($A620&lt;&gt;"",MAESTRO!$B619,"")</f>
        <v/>
      </c>
      <c r="C620" t="str">
        <f>IF($A620&lt;&gt;"",MAESTRO!$A619,"")</f>
        <v/>
      </c>
      <c r="D620" t="str">
        <f>IF($A620&lt;&gt;"",MAESTRO!$C619,"")</f>
        <v/>
      </c>
      <c r="E620" t="str">
        <f>IF($A620&lt;&gt;"",MAESTRO!$M619,"")</f>
        <v/>
      </c>
      <c r="F620" t="str">
        <f>IF($A620&lt;&gt;"",MAESTRO!$J619,"")</f>
        <v/>
      </c>
      <c r="G620" t="str">
        <f>IF($A620&lt;&gt;"",MAESTRO!$D619,"")</f>
        <v/>
      </c>
      <c r="H620" t="str">
        <f>IF($A620&lt;&gt;"",IF(TRIM(MAESTRO!$G619&amp;" "&amp;MAESTRO!$H619&amp;" "&amp;MAESTRO!$I619)="",MAESTRO!$F619,TRIM(MAESTRO!$G619&amp;" "&amp;MAESTRO!$H619&amp;" "&amp;MAESTRO!$I619)),"")</f>
        <v/>
      </c>
      <c r="I620" t="str">
        <f>IF($A620&lt;&gt;"",MAESTRO!$K619,"")</f>
        <v/>
      </c>
      <c r="J620" t="str">
        <f>IF($A620&lt;&gt;"",620,"")</f>
        <v/>
      </c>
    </row>
    <row r="621" spans="1:10" x14ac:dyDescent="0.2">
      <c r="A621" t="str">
        <f>IF(AND(UPPER(MAESTRO!$M620)="VIP",UPPER(MAESTRO!$J620)="SI",MAESTRO!$F620&lt;&gt;""),MAESTRO!$P620,"")</f>
        <v/>
      </c>
      <c r="B621" t="str">
        <f>IF($A621&lt;&gt;"",MAESTRO!$B620,"")</f>
        <v/>
      </c>
      <c r="C621" t="str">
        <f>IF($A621&lt;&gt;"",MAESTRO!$A620,"")</f>
        <v/>
      </c>
      <c r="D621" t="str">
        <f>IF($A621&lt;&gt;"",MAESTRO!$C620,"")</f>
        <v/>
      </c>
      <c r="E621" t="str">
        <f>IF($A621&lt;&gt;"",MAESTRO!$M620,"")</f>
        <v/>
      </c>
      <c r="F621" t="str">
        <f>IF($A621&lt;&gt;"",MAESTRO!$J620,"")</f>
        <v/>
      </c>
      <c r="G621" t="str">
        <f>IF($A621&lt;&gt;"",MAESTRO!$D620,"")</f>
        <v/>
      </c>
      <c r="H621" t="str">
        <f>IF($A621&lt;&gt;"",IF(TRIM(MAESTRO!$G620&amp;" "&amp;MAESTRO!$H620&amp;" "&amp;MAESTRO!$I620)="",MAESTRO!$F620,TRIM(MAESTRO!$G620&amp;" "&amp;MAESTRO!$H620&amp;" "&amp;MAESTRO!$I620)),"")</f>
        <v/>
      </c>
      <c r="I621" t="str">
        <f>IF($A621&lt;&gt;"",MAESTRO!$K620,"")</f>
        <v/>
      </c>
      <c r="J621" t="str">
        <f>IF($A621&lt;&gt;"",621,"")</f>
        <v/>
      </c>
    </row>
    <row r="622" spans="1:10" x14ac:dyDescent="0.2">
      <c r="A622" t="str">
        <f>IF(AND(UPPER(MAESTRO!$M621)="VIP",UPPER(MAESTRO!$J621)="SI",MAESTRO!$F621&lt;&gt;""),MAESTRO!$P621,"")</f>
        <v/>
      </c>
      <c r="B622" t="str">
        <f>IF($A622&lt;&gt;"",MAESTRO!$B621,"")</f>
        <v/>
      </c>
      <c r="C622" t="str">
        <f>IF($A622&lt;&gt;"",MAESTRO!$A621,"")</f>
        <v/>
      </c>
      <c r="D622" t="str">
        <f>IF($A622&lt;&gt;"",MAESTRO!$C621,"")</f>
        <v/>
      </c>
      <c r="E622" t="str">
        <f>IF($A622&lt;&gt;"",MAESTRO!$M621,"")</f>
        <v/>
      </c>
      <c r="F622" t="str">
        <f>IF($A622&lt;&gt;"",MAESTRO!$J621,"")</f>
        <v/>
      </c>
      <c r="G622" t="str">
        <f>IF($A622&lt;&gt;"",MAESTRO!$D621,"")</f>
        <v/>
      </c>
      <c r="H622" t="str">
        <f>IF($A622&lt;&gt;"",IF(TRIM(MAESTRO!$G621&amp;" "&amp;MAESTRO!$H621&amp;" "&amp;MAESTRO!$I621)="",MAESTRO!$F621,TRIM(MAESTRO!$G621&amp;" "&amp;MAESTRO!$H621&amp;" "&amp;MAESTRO!$I621)),"")</f>
        <v/>
      </c>
      <c r="I622" t="str">
        <f>IF($A622&lt;&gt;"",MAESTRO!$K621,"")</f>
        <v/>
      </c>
      <c r="J622" t="str">
        <f>IF($A622&lt;&gt;"",622,"")</f>
        <v/>
      </c>
    </row>
    <row r="623" spans="1:10" x14ac:dyDescent="0.2">
      <c r="A623" t="str">
        <f>IF(AND(UPPER(MAESTRO!$M622)="VIP",UPPER(MAESTRO!$J622)="SI",MAESTRO!$F622&lt;&gt;""),MAESTRO!$P622,"")</f>
        <v/>
      </c>
      <c r="B623" t="str">
        <f>IF($A623&lt;&gt;"",MAESTRO!$B622,"")</f>
        <v/>
      </c>
      <c r="C623" t="str">
        <f>IF($A623&lt;&gt;"",MAESTRO!$A622,"")</f>
        <v/>
      </c>
      <c r="D623" t="str">
        <f>IF($A623&lt;&gt;"",MAESTRO!$C622,"")</f>
        <v/>
      </c>
      <c r="E623" t="str">
        <f>IF($A623&lt;&gt;"",MAESTRO!$M622,"")</f>
        <v/>
      </c>
      <c r="F623" t="str">
        <f>IF($A623&lt;&gt;"",MAESTRO!$J622,"")</f>
        <v/>
      </c>
      <c r="G623" t="str">
        <f>IF($A623&lt;&gt;"",MAESTRO!$D622,"")</f>
        <v/>
      </c>
      <c r="H623" t="str">
        <f>IF($A623&lt;&gt;"",IF(TRIM(MAESTRO!$G622&amp;" "&amp;MAESTRO!$H622&amp;" "&amp;MAESTRO!$I622)="",MAESTRO!$F622,TRIM(MAESTRO!$G622&amp;" "&amp;MAESTRO!$H622&amp;" "&amp;MAESTRO!$I622)),"")</f>
        <v/>
      </c>
      <c r="I623" t="str">
        <f>IF($A623&lt;&gt;"",MAESTRO!$K622,"")</f>
        <v/>
      </c>
      <c r="J623" t="str">
        <f>IF($A623&lt;&gt;"",623,"")</f>
        <v/>
      </c>
    </row>
    <row r="624" spans="1:10" x14ac:dyDescent="0.2">
      <c r="A624" t="str">
        <f>IF(AND(UPPER(MAESTRO!$M623)="VIP",UPPER(MAESTRO!$J623)="SI",MAESTRO!$F623&lt;&gt;""),MAESTRO!$P623,"")</f>
        <v/>
      </c>
      <c r="B624" t="str">
        <f>IF($A624&lt;&gt;"",MAESTRO!$B623,"")</f>
        <v/>
      </c>
      <c r="C624" t="str">
        <f>IF($A624&lt;&gt;"",MAESTRO!$A623,"")</f>
        <v/>
      </c>
      <c r="D624" t="str">
        <f>IF($A624&lt;&gt;"",MAESTRO!$C623,"")</f>
        <v/>
      </c>
      <c r="E624" t="str">
        <f>IF($A624&lt;&gt;"",MAESTRO!$M623,"")</f>
        <v/>
      </c>
      <c r="F624" t="str">
        <f>IF($A624&lt;&gt;"",MAESTRO!$J623,"")</f>
        <v/>
      </c>
      <c r="G624" t="str">
        <f>IF($A624&lt;&gt;"",MAESTRO!$D623,"")</f>
        <v/>
      </c>
      <c r="H624" t="str">
        <f>IF($A624&lt;&gt;"",IF(TRIM(MAESTRO!$G623&amp;" "&amp;MAESTRO!$H623&amp;" "&amp;MAESTRO!$I623)="",MAESTRO!$F623,TRIM(MAESTRO!$G623&amp;" "&amp;MAESTRO!$H623&amp;" "&amp;MAESTRO!$I623)),"")</f>
        <v/>
      </c>
      <c r="I624" t="str">
        <f>IF($A624&lt;&gt;"",MAESTRO!$K623,"")</f>
        <v/>
      </c>
      <c r="J624" t="str">
        <f>IF($A624&lt;&gt;"",624,"")</f>
        <v/>
      </c>
    </row>
    <row r="625" spans="1:10" x14ac:dyDescent="0.2">
      <c r="A625" t="str">
        <f>IF(AND(UPPER(MAESTRO!$M624)="VIP",UPPER(MAESTRO!$J624)="SI",MAESTRO!$F624&lt;&gt;""),MAESTRO!$P624,"")</f>
        <v/>
      </c>
      <c r="B625" t="str">
        <f>IF($A625&lt;&gt;"",MAESTRO!$B624,"")</f>
        <v/>
      </c>
      <c r="C625" t="str">
        <f>IF($A625&lt;&gt;"",MAESTRO!$A624,"")</f>
        <v/>
      </c>
      <c r="D625" t="str">
        <f>IF($A625&lt;&gt;"",MAESTRO!$C624,"")</f>
        <v/>
      </c>
      <c r="E625" t="str">
        <f>IF($A625&lt;&gt;"",MAESTRO!$M624,"")</f>
        <v/>
      </c>
      <c r="F625" t="str">
        <f>IF($A625&lt;&gt;"",MAESTRO!$J624,"")</f>
        <v/>
      </c>
      <c r="G625" t="str">
        <f>IF($A625&lt;&gt;"",MAESTRO!$D624,"")</f>
        <v/>
      </c>
      <c r="H625" t="str">
        <f>IF($A625&lt;&gt;"",IF(TRIM(MAESTRO!$G624&amp;" "&amp;MAESTRO!$H624&amp;" "&amp;MAESTRO!$I624)="",MAESTRO!$F624,TRIM(MAESTRO!$G624&amp;" "&amp;MAESTRO!$H624&amp;" "&amp;MAESTRO!$I624)),"")</f>
        <v/>
      </c>
      <c r="I625" t="str">
        <f>IF($A625&lt;&gt;"",MAESTRO!$K624,"")</f>
        <v/>
      </c>
      <c r="J625" t="str">
        <f>IF($A625&lt;&gt;"",625,"")</f>
        <v/>
      </c>
    </row>
    <row r="626" spans="1:10" x14ac:dyDescent="0.2">
      <c r="A626" t="str">
        <f>IF(AND(UPPER(MAESTRO!$M625)="VIP",UPPER(MAESTRO!$J625)="SI",MAESTRO!$F625&lt;&gt;""),MAESTRO!$P625,"")</f>
        <v/>
      </c>
      <c r="B626" t="str">
        <f>IF($A626&lt;&gt;"",MAESTRO!$B625,"")</f>
        <v/>
      </c>
      <c r="C626" t="str">
        <f>IF($A626&lt;&gt;"",MAESTRO!$A625,"")</f>
        <v/>
      </c>
      <c r="D626" t="str">
        <f>IF($A626&lt;&gt;"",MAESTRO!$C625,"")</f>
        <v/>
      </c>
      <c r="E626" t="str">
        <f>IF($A626&lt;&gt;"",MAESTRO!$M625,"")</f>
        <v/>
      </c>
      <c r="F626" t="str">
        <f>IF($A626&lt;&gt;"",MAESTRO!$J625,"")</f>
        <v/>
      </c>
      <c r="G626" t="str">
        <f>IF($A626&lt;&gt;"",MAESTRO!$D625,"")</f>
        <v/>
      </c>
      <c r="H626" t="str">
        <f>IF($A626&lt;&gt;"",IF(TRIM(MAESTRO!$G625&amp;" "&amp;MAESTRO!$H625&amp;" "&amp;MAESTRO!$I625)="",MAESTRO!$F625,TRIM(MAESTRO!$G625&amp;" "&amp;MAESTRO!$H625&amp;" "&amp;MAESTRO!$I625)),"")</f>
        <v/>
      </c>
      <c r="I626" t="str">
        <f>IF($A626&lt;&gt;"",MAESTRO!$K625,"")</f>
        <v/>
      </c>
      <c r="J626" t="str">
        <f>IF($A626&lt;&gt;"",626,"")</f>
        <v/>
      </c>
    </row>
    <row r="627" spans="1:10" x14ac:dyDescent="0.2">
      <c r="A627" t="str">
        <f>IF(AND(UPPER(MAESTRO!$M626)="VIP",UPPER(MAESTRO!$J626)="SI",MAESTRO!$F626&lt;&gt;""),MAESTRO!$P626,"")</f>
        <v/>
      </c>
      <c r="B627" t="str">
        <f>IF($A627&lt;&gt;"",MAESTRO!$B626,"")</f>
        <v/>
      </c>
      <c r="C627" t="str">
        <f>IF($A627&lt;&gt;"",MAESTRO!$A626,"")</f>
        <v/>
      </c>
      <c r="D627" t="str">
        <f>IF($A627&lt;&gt;"",MAESTRO!$C626,"")</f>
        <v/>
      </c>
      <c r="E627" t="str">
        <f>IF($A627&lt;&gt;"",MAESTRO!$M626,"")</f>
        <v/>
      </c>
      <c r="F627" t="str">
        <f>IF($A627&lt;&gt;"",MAESTRO!$J626,"")</f>
        <v/>
      </c>
      <c r="G627" t="str">
        <f>IF($A627&lt;&gt;"",MAESTRO!$D626,"")</f>
        <v/>
      </c>
      <c r="H627" t="str">
        <f>IF($A627&lt;&gt;"",IF(TRIM(MAESTRO!$G626&amp;" "&amp;MAESTRO!$H626&amp;" "&amp;MAESTRO!$I626)="",MAESTRO!$F626,TRIM(MAESTRO!$G626&amp;" "&amp;MAESTRO!$H626&amp;" "&amp;MAESTRO!$I626)),"")</f>
        <v/>
      </c>
      <c r="I627" t="str">
        <f>IF($A627&lt;&gt;"",MAESTRO!$K626,"")</f>
        <v/>
      </c>
      <c r="J627" t="str">
        <f>IF($A627&lt;&gt;"",627,"")</f>
        <v/>
      </c>
    </row>
    <row r="628" spans="1:10" x14ac:dyDescent="0.2">
      <c r="A628" t="str">
        <f>IF(AND(UPPER(MAESTRO!$M627)="VIP",UPPER(MAESTRO!$J627)="SI",MAESTRO!$F627&lt;&gt;""),MAESTRO!$P627,"")</f>
        <v/>
      </c>
      <c r="B628" t="str">
        <f>IF($A628&lt;&gt;"",MAESTRO!$B627,"")</f>
        <v/>
      </c>
      <c r="C628" t="str">
        <f>IF($A628&lt;&gt;"",MAESTRO!$A627,"")</f>
        <v/>
      </c>
      <c r="D628" t="str">
        <f>IF($A628&lt;&gt;"",MAESTRO!$C627,"")</f>
        <v/>
      </c>
      <c r="E628" t="str">
        <f>IF($A628&lt;&gt;"",MAESTRO!$M627,"")</f>
        <v/>
      </c>
      <c r="F628" t="str">
        <f>IF($A628&lt;&gt;"",MAESTRO!$J627,"")</f>
        <v/>
      </c>
      <c r="G628" t="str">
        <f>IF($A628&lt;&gt;"",MAESTRO!$D627,"")</f>
        <v/>
      </c>
      <c r="H628" t="str">
        <f>IF($A628&lt;&gt;"",IF(TRIM(MAESTRO!$G627&amp;" "&amp;MAESTRO!$H627&amp;" "&amp;MAESTRO!$I627)="",MAESTRO!$F627,TRIM(MAESTRO!$G627&amp;" "&amp;MAESTRO!$H627&amp;" "&amp;MAESTRO!$I627)),"")</f>
        <v/>
      </c>
      <c r="I628" t="str">
        <f>IF($A628&lt;&gt;"",MAESTRO!$K627,"")</f>
        <v/>
      </c>
      <c r="J628" t="str">
        <f>IF($A628&lt;&gt;"",628,"")</f>
        <v/>
      </c>
    </row>
    <row r="629" spans="1:10" x14ac:dyDescent="0.2">
      <c r="A629" t="str">
        <f>IF(AND(UPPER(MAESTRO!$M628)="VIP",UPPER(MAESTRO!$J628)="SI",MAESTRO!$F628&lt;&gt;""),MAESTRO!$P628,"")</f>
        <v/>
      </c>
      <c r="B629" t="str">
        <f>IF($A629&lt;&gt;"",MAESTRO!$B628,"")</f>
        <v/>
      </c>
      <c r="C629" t="str">
        <f>IF($A629&lt;&gt;"",MAESTRO!$A628,"")</f>
        <v/>
      </c>
      <c r="D629" t="str">
        <f>IF($A629&lt;&gt;"",MAESTRO!$C628,"")</f>
        <v/>
      </c>
      <c r="E629" t="str">
        <f>IF($A629&lt;&gt;"",MAESTRO!$M628,"")</f>
        <v/>
      </c>
      <c r="F629" t="str">
        <f>IF($A629&lt;&gt;"",MAESTRO!$J628,"")</f>
        <v/>
      </c>
      <c r="G629" t="str">
        <f>IF($A629&lt;&gt;"",MAESTRO!$D628,"")</f>
        <v/>
      </c>
      <c r="H629" t="str">
        <f>IF($A629&lt;&gt;"",IF(TRIM(MAESTRO!$G628&amp;" "&amp;MAESTRO!$H628&amp;" "&amp;MAESTRO!$I628)="",MAESTRO!$F628,TRIM(MAESTRO!$G628&amp;" "&amp;MAESTRO!$H628&amp;" "&amp;MAESTRO!$I628)),"")</f>
        <v/>
      </c>
      <c r="I629" t="str">
        <f>IF($A629&lt;&gt;"",MAESTRO!$K628,"")</f>
        <v/>
      </c>
      <c r="J629" t="str">
        <f>IF($A629&lt;&gt;"",629,"")</f>
        <v/>
      </c>
    </row>
    <row r="630" spans="1:10" x14ac:dyDescent="0.2">
      <c r="A630" t="str">
        <f>IF(AND(UPPER(MAESTRO!$M629)="VIP",UPPER(MAESTRO!$J629)="SI",MAESTRO!$F629&lt;&gt;""),MAESTRO!$P629,"")</f>
        <v/>
      </c>
      <c r="B630" t="str">
        <f>IF($A630&lt;&gt;"",MAESTRO!$B629,"")</f>
        <v/>
      </c>
      <c r="C630" t="str">
        <f>IF($A630&lt;&gt;"",MAESTRO!$A629,"")</f>
        <v/>
      </c>
      <c r="D630" t="str">
        <f>IF($A630&lt;&gt;"",MAESTRO!$C629,"")</f>
        <v/>
      </c>
      <c r="E630" t="str">
        <f>IF($A630&lt;&gt;"",MAESTRO!$M629,"")</f>
        <v/>
      </c>
      <c r="F630" t="str">
        <f>IF($A630&lt;&gt;"",MAESTRO!$J629,"")</f>
        <v/>
      </c>
      <c r="G630" t="str">
        <f>IF($A630&lt;&gt;"",MAESTRO!$D629,"")</f>
        <v/>
      </c>
      <c r="H630" t="str">
        <f>IF($A630&lt;&gt;"",IF(TRIM(MAESTRO!$G629&amp;" "&amp;MAESTRO!$H629&amp;" "&amp;MAESTRO!$I629)="",MAESTRO!$F629,TRIM(MAESTRO!$G629&amp;" "&amp;MAESTRO!$H629&amp;" "&amp;MAESTRO!$I629)),"")</f>
        <v/>
      </c>
      <c r="I630" t="str">
        <f>IF($A630&lt;&gt;"",MAESTRO!$K629,"")</f>
        <v/>
      </c>
      <c r="J630" t="str">
        <f>IF($A630&lt;&gt;"",630,"")</f>
        <v/>
      </c>
    </row>
    <row r="631" spans="1:10" x14ac:dyDescent="0.2">
      <c r="A631" t="str">
        <f>IF(AND(UPPER(MAESTRO!$M630)="VIP",UPPER(MAESTRO!$J630)="SI",MAESTRO!$F630&lt;&gt;""),MAESTRO!$P630,"")</f>
        <v/>
      </c>
      <c r="B631" t="str">
        <f>IF($A631&lt;&gt;"",MAESTRO!$B630,"")</f>
        <v/>
      </c>
      <c r="C631" t="str">
        <f>IF($A631&lt;&gt;"",MAESTRO!$A630,"")</f>
        <v/>
      </c>
      <c r="D631" t="str">
        <f>IF($A631&lt;&gt;"",MAESTRO!$C630,"")</f>
        <v/>
      </c>
      <c r="E631" t="str">
        <f>IF($A631&lt;&gt;"",MAESTRO!$M630,"")</f>
        <v/>
      </c>
      <c r="F631" t="str">
        <f>IF($A631&lt;&gt;"",MAESTRO!$J630,"")</f>
        <v/>
      </c>
      <c r="G631" t="str">
        <f>IF($A631&lt;&gt;"",MAESTRO!$D630,"")</f>
        <v/>
      </c>
      <c r="H631" t="str">
        <f>IF($A631&lt;&gt;"",IF(TRIM(MAESTRO!$G630&amp;" "&amp;MAESTRO!$H630&amp;" "&amp;MAESTRO!$I630)="",MAESTRO!$F630,TRIM(MAESTRO!$G630&amp;" "&amp;MAESTRO!$H630&amp;" "&amp;MAESTRO!$I630)),"")</f>
        <v/>
      </c>
      <c r="I631" t="str">
        <f>IF($A631&lt;&gt;"",MAESTRO!$K630,"")</f>
        <v/>
      </c>
      <c r="J631" t="str">
        <f>IF($A631&lt;&gt;"",631,"")</f>
        <v/>
      </c>
    </row>
    <row r="632" spans="1:10" x14ac:dyDescent="0.2">
      <c r="A632" t="str">
        <f>IF(AND(UPPER(MAESTRO!$M631)="VIP",UPPER(MAESTRO!$J631)="SI",MAESTRO!$F631&lt;&gt;""),MAESTRO!$P631,"")</f>
        <v/>
      </c>
      <c r="B632" t="str">
        <f>IF($A632&lt;&gt;"",MAESTRO!$B631,"")</f>
        <v/>
      </c>
      <c r="C632" t="str">
        <f>IF($A632&lt;&gt;"",MAESTRO!$A631,"")</f>
        <v/>
      </c>
      <c r="D632" t="str">
        <f>IF($A632&lt;&gt;"",MAESTRO!$C631,"")</f>
        <v/>
      </c>
      <c r="E632" t="str">
        <f>IF($A632&lt;&gt;"",MAESTRO!$M631,"")</f>
        <v/>
      </c>
      <c r="F632" t="str">
        <f>IF($A632&lt;&gt;"",MAESTRO!$J631,"")</f>
        <v/>
      </c>
      <c r="G632" t="str">
        <f>IF($A632&lt;&gt;"",MAESTRO!$D631,"")</f>
        <v/>
      </c>
      <c r="H632" t="str">
        <f>IF($A632&lt;&gt;"",IF(TRIM(MAESTRO!$G631&amp;" "&amp;MAESTRO!$H631&amp;" "&amp;MAESTRO!$I631)="",MAESTRO!$F631,TRIM(MAESTRO!$G631&amp;" "&amp;MAESTRO!$H631&amp;" "&amp;MAESTRO!$I631)),"")</f>
        <v/>
      </c>
      <c r="I632" t="str">
        <f>IF($A632&lt;&gt;"",MAESTRO!$K631,"")</f>
        <v/>
      </c>
      <c r="J632" t="str">
        <f>IF($A632&lt;&gt;"",632,"")</f>
        <v/>
      </c>
    </row>
    <row r="633" spans="1:10" x14ac:dyDescent="0.2">
      <c r="A633" t="str">
        <f>IF(AND(UPPER(MAESTRO!$M632)="VIP",UPPER(MAESTRO!$J632)="SI",MAESTRO!$F632&lt;&gt;""),MAESTRO!$P632,"")</f>
        <v/>
      </c>
      <c r="B633" t="str">
        <f>IF($A633&lt;&gt;"",MAESTRO!$B632,"")</f>
        <v/>
      </c>
      <c r="C633" t="str">
        <f>IF($A633&lt;&gt;"",MAESTRO!$A632,"")</f>
        <v/>
      </c>
      <c r="D633" t="str">
        <f>IF($A633&lt;&gt;"",MAESTRO!$C632,"")</f>
        <v/>
      </c>
      <c r="E633" t="str">
        <f>IF($A633&lt;&gt;"",MAESTRO!$M632,"")</f>
        <v/>
      </c>
      <c r="F633" t="str">
        <f>IF($A633&lt;&gt;"",MAESTRO!$J632,"")</f>
        <v/>
      </c>
      <c r="G633" t="str">
        <f>IF($A633&lt;&gt;"",MAESTRO!$D632,"")</f>
        <v/>
      </c>
      <c r="H633" t="str">
        <f>IF($A633&lt;&gt;"",IF(TRIM(MAESTRO!$G632&amp;" "&amp;MAESTRO!$H632&amp;" "&amp;MAESTRO!$I632)="",MAESTRO!$F632,TRIM(MAESTRO!$G632&amp;" "&amp;MAESTRO!$H632&amp;" "&amp;MAESTRO!$I632)),"")</f>
        <v/>
      </c>
      <c r="I633" t="str">
        <f>IF($A633&lt;&gt;"",MAESTRO!$K632,"")</f>
        <v/>
      </c>
      <c r="J633" t="str">
        <f>IF($A633&lt;&gt;"",633,"")</f>
        <v/>
      </c>
    </row>
    <row r="634" spans="1:10" x14ac:dyDescent="0.2">
      <c r="A634" t="str">
        <f>IF(AND(UPPER(MAESTRO!$M633)="VIP",UPPER(MAESTRO!$J633)="SI",MAESTRO!$F633&lt;&gt;""),MAESTRO!$P633,"")</f>
        <v/>
      </c>
      <c r="B634" t="str">
        <f>IF($A634&lt;&gt;"",MAESTRO!$B633,"")</f>
        <v/>
      </c>
      <c r="C634" t="str">
        <f>IF($A634&lt;&gt;"",MAESTRO!$A633,"")</f>
        <v/>
      </c>
      <c r="D634" t="str">
        <f>IF($A634&lt;&gt;"",MAESTRO!$C633,"")</f>
        <v/>
      </c>
      <c r="E634" t="str">
        <f>IF($A634&lt;&gt;"",MAESTRO!$M633,"")</f>
        <v/>
      </c>
      <c r="F634" t="str">
        <f>IF($A634&lt;&gt;"",MAESTRO!$J633,"")</f>
        <v/>
      </c>
      <c r="G634" t="str">
        <f>IF($A634&lt;&gt;"",MAESTRO!$D633,"")</f>
        <v/>
      </c>
      <c r="H634" t="str">
        <f>IF($A634&lt;&gt;"",IF(TRIM(MAESTRO!$G633&amp;" "&amp;MAESTRO!$H633&amp;" "&amp;MAESTRO!$I633)="",MAESTRO!$F633,TRIM(MAESTRO!$G633&amp;" "&amp;MAESTRO!$H633&amp;" "&amp;MAESTRO!$I633)),"")</f>
        <v/>
      </c>
      <c r="I634" t="str">
        <f>IF($A634&lt;&gt;"",MAESTRO!$K633,"")</f>
        <v/>
      </c>
      <c r="J634" t="str">
        <f>IF($A634&lt;&gt;"",634,"")</f>
        <v/>
      </c>
    </row>
    <row r="635" spans="1:10" x14ac:dyDescent="0.2">
      <c r="A635" t="str">
        <f>IF(AND(UPPER(MAESTRO!$M634)="VIP",UPPER(MAESTRO!$J634)="SI",MAESTRO!$F634&lt;&gt;""),MAESTRO!$P634,"")</f>
        <v/>
      </c>
      <c r="B635" t="str">
        <f>IF($A635&lt;&gt;"",MAESTRO!$B634,"")</f>
        <v/>
      </c>
      <c r="C635" t="str">
        <f>IF($A635&lt;&gt;"",MAESTRO!$A634,"")</f>
        <v/>
      </c>
      <c r="D635" t="str">
        <f>IF($A635&lt;&gt;"",MAESTRO!$C634,"")</f>
        <v/>
      </c>
      <c r="E635" t="str">
        <f>IF($A635&lt;&gt;"",MAESTRO!$M634,"")</f>
        <v/>
      </c>
      <c r="F635" t="str">
        <f>IF($A635&lt;&gt;"",MAESTRO!$J634,"")</f>
        <v/>
      </c>
      <c r="G635" t="str">
        <f>IF($A635&lt;&gt;"",MAESTRO!$D634,"")</f>
        <v/>
      </c>
      <c r="H635" t="str">
        <f>IF($A635&lt;&gt;"",IF(TRIM(MAESTRO!$G634&amp;" "&amp;MAESTRO!$H634&amp;" "&amp;MAESTRO!$I634)="",MAESTRO!$F634,TRIM(MAESTRO!$G634&amp;" "&amp;MAESTRO!$H634&amp;" "&amp;MAESTRO!$I634)),"")</f>
        <v/>
      </c>
      <c r="I635" t="str">
        <f>IF($A635&lt;&gt;"",MAESTRO!$K634,"")</f>
        <v/>
      </c>
      <c r="J635" t="str">
        <f>IF($A635&lt;&gt;"",635,"")</f>
        <v/>
      </c>
    </row>
    <row r="636" spans="1:10" x14ac:dyDescent="0.2">
      <c r="A636" t="str">
        <f>IF(AND(UPPER(MAESTRO!$M635)="VIP",UPPER(MAESTRO!$J635)="SI",MAESTRO!$F635&lt;&gt;""),MAESTRO!$P635,"")</f>
        <v/>
      </c>
      <c r="B636" t="str">
        <f>IF($A636&lt;&gt;"",MAESTRO!$B635,"")</f>
        <v/>
      </c>
      <c r="C636" t="str">
        <f>IF($A636&lt;&gt;"",MAESTRO!$A635,"")</f>
        <v/>
      </c>
      <c r="D636" t="str">
        <f>IF($A636&lt;&gt;"",MAESTRO!$C635,"")</f>
        <v/>
      </c>
      <c r="E636" t="str">
        <f>IF($A636&lt;&gt;"",MAESTRO!$M635,"")</f>
        <v/>
      </c>
      <c r="F636" t="str">
        <f>IF($A636&lt;&gt;"",MAESTRO!$J635,"")</f>
        <v/>
      </c>
      <c r="G636" t="str">
        <f>IF($A636&lt;&gt;"",MAESTRO!$D635,"")</f>
        <v/>
      </c>
      <c r="H636" t="str">
        <f>IF($A636&lt;&gt;"",IF(TRIM(MAESTRO!$G635&amp;" "&amp;MAESTRO!$H635&amp;" "&amp;MAESTRO!$I635)="",MAESTRO!$F635,TRIM(MAESTRO!$G635&amp;" "&amp;MAESTRO!$H635&amp;" "&amp;MAESTRO!$I635)),"")</f>
        <v/>
      </c>
      <c r="I636" t="str">
        <f>IF($A636&lt;&gt;"",MAESTRO!$K635,"")</f>
        <v/>
      </c>
      <c r="J636" t="str">
        <f>IF($A636&lt;&gt;"",636,"")</f>
        <v/>
      </c>
    </row>
    <row r="637" spans="1:10" x14ac:dyDescent="0.2">
      <c r="A637" t="str">
        <f>IF(AND(UPPER(MAESTRO!$M636)="VIP",UPPER(MAESTRO!$J636)="SI",MAESTRO!$F636&lt;&gt;""),MAESTRO!$P636,"")</f>
        <v/>
      </c>
      <c r="B637" t="str">
        <f>IF($A637&lt;&gt;"",MAESTRO!$B636,"")</f>
        <v/>
      </c>
      <c r="C637" t="str">
        <f>IF($A637&lt;&gt;"",MAESTRO!$A636,"")</f>
        <v/>
      </c>
      <c r="D637" t="str">
        <f>IF($A637&lt;&gt;"",MAESTRO!$C636,"")</f>
        <v/>
      </c>
      <c r="E637" t="str">
        <f>IF($A637&lt;&gt;"",MAESTRO!$M636,"")</f>
        <v/>
      </c>
      <c r="F637" t="str">
        <f>IF($A637&lt;&gt;"",MAESTRO!$J636,"")</f>
        <v/>
      </c>
      <c r="G637" t="str">
        <f>IF($A637&lt;&gt;"",MAESTRO!$D636,"")</f>
        <v/>
      </c>
      <c r="H637" t="str">
        <f>IF($A637&lt;&gt;"",IF(TRIM(MAESTRO!$G636&amp;" "&amp;MAESTRO!$H636&amp;" "&amp;MAESTRO!$I636)="",MAESTRO!$F636,TRIM(MAESTRO!$G636&amp;" "&amp;MAESTRO!$H636&amp;" "&amp;MAESTRO!$I636)),"")</f>
        <v/>
      </c>
      <c r="I637" t="str">
        <f>IF($A637&lt;&gt;"",MAESTRO!$K636,"")</f>
        <v/>
      </c>
      <c r="J637" t="str">
        <f>IF($A637&lt;&gt;"",637,"")</f>
        <v/>
      </c>
    </row>
    <row r="638" spans="1:10" x14ac:dyDescent="0.2">
      <c r="A638" t="str">
        <f>IF(AND(UPPER(MAESTRO!$M637)="VIP",UPPER(MAESTRO!$J637)="SI",MAESTRO!$F637&lt;&gt;""),MAESTRO!$P637,"")</f>
        <v/>
      </c>
      <c r="B638" t="str">
        <f>IF($A638&lt;&gt;"",MAESTRO!$B637,"")</f>
        <v/>
      </c>
      <c r="C638" t="str">
        <f>IF($A638&lt;&gt;"",MAESTRO!$A637,"")</f>
        <v/>
      </c>
      <c r="D638" t="str">
        <f>IF($A638&lt;&gt;"",MAESTRO!$C637,"")</f>
        <v/>
      </c>
      <c r="E638" t="str">
        <f>IF($A638&lt;&gt;"",MAESTRO!$M637,"")</f>
        <v/>
      </c>
      <c r="F638" t="str">
        <f>IF($A638&lt;&gt;"",MAESTRO!$J637,"")</f>
        <v/>
      </c>
      <c r="G638" t="str">
        <f>IF($A638&lt;&gt;"",MAESTRO!$D637,"")</f>
        <v/>
      </c>
      <c r="H638" t="str">
        <f>IF($A638&lt;&gt;"",IF(TRIM(MAESTRO!$G637&amp;" "&amp;MAESTRO!$H637&amp;" "&amp;MAESTRO!$I637)="",MAESTRO!$F637,TRIM(MAESTRO!$G637&amp;" "&amp;MAESTRO!$H637&amp;" "&amp;MAESTRO!$I637)),"")</f>
        <v/>
      </c>
      <c r="I638" t="str">
        <f>IF($A638&lt;&gt;"",MAESTRO!$K637,"")</f>
        <v/>
      </c>
      <c r="J638" t="str">
        <f>IF($A638&lt;&gt;"",638,"")</f>
        <v/>
      </c>
    </row>
    <row r="639" spans="1:10" x14ac:dyDescent="0.2">
      <c r="A639" t="str">
        <f>IF(AND(UPPER(MAESTRO!$M638)="VIP",UPPER(MAESTRO!$J638)="SI",MAESTRO!$F638&lt;&gt;""),MAESTRO!$P638,"")</f>
        <v/>
      </c>
      <c r="B639" t="str">
        <f>IF($A639&lt;&gt;"",MAESTRO!$B638,"")</f>
        <v/>
      </c>
      <c r="C639" t="str">
        <f>IF($A639&lt;&gt;"",MAESTRO!$A638,"")</f>
        <v/>
      </c>
      <c r="D639" t="str">
        <f>IF($A639&lt;&gt;"",MAESTRO!$C638,"")</f>
        <v/>
      </c>
      <c r="E639" t="str">
        <f>IF($A639&lt;&gt;"",MAESTRO!$M638,"")</f>
        <v/>
      </c>
      <c r="F639" t="str">
        <f>IF($A639&lt;&gt;"",MAESTRO!$J638,"")</f>
        <v/>
      </c>
      <c r="G639" t="str">
        <f>IF($A639&lt;&gt;"",MAESTRO!$D638,"")</f>
        <v/>
      </c>
      <c r="H639" t="str">
        <f>IF($A639&lt;&gt;"",IF(TRIM(MAESTRO!$G638&amp;" "&amp;MAESTRO!$H638&amp;" "&amp;MAESTRO!$I638)="",MAESTRO!$F638,TRIM(MAESTRO!$G638&amp;" "&amp;MAESTRO!$H638&amp;" "&amp;MAESTRO!$I638)),"")</f>
        <v/>
      </c>
      <c r="I639" t="str">
        <f>IF($A639&lt;&gt;"",MAESTRO!$K638,"")</f>
        <v/>
      </c>
      <c r="J639" t="str">
        <f>IF($A639&lt;&gt;"",639,"")</f>
        <v/>
      </c>
    </row>
    <row r="640" spans="1:10" x14ac:dyDescent="0.2">
      <c r="A640" t="str">
        <f>IF(AND(UPPER(MAESTRO!$M639)="VIP",UPPER(MAESTRO!$J639)="SI",MAESTRO!$F639&lt;&gt;""),MAESTRO!$P639,"")</f>
        <v/>
      </c>
      <c r="B640" t="str">
        <f>IF($A640&lt;&gt;"",MAESTRO!$B639,"")</f>
        <v/>
      </c>
      <c r="C640" t="str">
        <f>IF($A640&lt;&gt;"",MAESTRO!$A639,"")</f>
        <v/>
      </c>
      <c r="D640" t="str">
        <f>IF($A640&lt;&gt;"",MAESTRO!$C639,"")</f>
        <v/>
      </c>
      <c r="E640" t="str">
        <f>IF($A640&lt;&gt;"",MAESTRO!$M639,"")</f>
        <v/>
      </c>
      <c r="F640" t="str">
        <f>IF($A640&lt;&gt;"",MAESTRO!$J639,"")</f>
        <v/>
      </c>
      <c r="G640" t="str">
        <f>IF($A640&lt;&gt;"",MAESTRO!$D639,"")</f>
        <v/>
      </c>
      <c r="H640" t="str">
        <f>IF($A640&lt;&gt;"",IF(TRIM(MAESTRO!$G639&amp;" "&amp;MAESTRO!$H639&amp;" "&amp;MAESTRO!$I639)="",MAESTRO!$F639,TRIM(MAESTRO!$G639&amp;" "&amp;MAESTRO!$H639&amp;" "&amp;MAESTRO!$I639)),"")</f>
        <v/>
      </c>
      <c r="I640" t="str">
        <f>IF($A640&lt;&gt;"",MAESTRO!$K639,"")</f>
        <v/>
      </c>
      <c r="J640" t="str">
        <f>IF($A640&lt;&gt;"",640,"")</f>
        <v/>
      </c>
    </row>
    <row r="641" spans="1:10" x14ac:dyDescent="0.2">
      <c r="A641" t="str">
        <f>IF(AND(UPPER(MAESTRO!$M640)="VIP",UPPER(MAESTRO!$J640)="SI",MAESTRO!$F640&lt;&gt;""),MAESTRO!$P640,"")</f>
        <v/>
      </c>
      <c r="B641" t="str">
        <f>IF($A641&lt;&gt;"",MAESTRO!$B640,"")</f>
        <v/>
      </c>
      <c r="C641" t="str">
        <f>IF($A641&lt;&gt;"",MAESTRO!$A640,"")</f>
        <v/>
      </c>
      <c r="D641" t="str">
        <f>IF($A641&lt;&gt;"",MAESTRO!$C640,"")</f>
        <v/>
      </c>
      <c r="E641" t="str">
        <f>IF($A641&lt;&gt;"",MAESTRO!$M640,"")</f>
        <v/>
      </c>
      <c r="F641" t="str">
        <f>IF($A641&lt;&gt;"",MAESTRO!$J640,"")</f>
        <v/>
      </c>
      <c r="G641" t="str">
        <f>IF($A641&lt;&gt;"",MAESTRO!$D640,"")</f>
        <v/>
      </c>
      <c r="H641" t="str">
        <f>IF($A641&lt;&gt;"",IF(TRIM(MAESTRO!$G640&amp;" "&amp;MAESTRO!$H640&amp;" "&amp;MAESTRO!$I640)="",MAESTRO!$F640,TRIM(MAESTRO!$G640&amp;" "&amp;MAESTRO!$H640&amp;" "&amp;MAESTRO!$I640)),"")</f>
        <v/>
      </c>
      <c r="I641" t="str">
        <f>IF($A641&lt;&gt;"",MAESTRO!$K640,"")</f>
        <v/>
      </c>
      <c r="J641" t="str">
        <f>IF($A641&lt;&gt;"",641,"")</f>
        <v/>
      </c>
    </row>
    <row r="642" spans="1:10" x14ac:dyDescent="0.2">
      <c r="A642" t="str">
        <f>IF(AND(UPPER(MAESTRO!$M641)="VIP",UPPER(MAESTRO!$J641)="SI",MAESTRO!$F641&lt;&gt;""),MAESTRO!$P641,"")</f>
        <v/>
      </c>
      <c r="B642" t="str">
        <f>IF($A642&lt;&gt;"",MAESTRO!$B641,"")</f>
        <v/>
      </c>
      <c r="C642" t="str">
        <f>IF($A642&lt;&gt;"",MAESTRO!$A641,"")</f>
        <v/>
      </c>
      <c r="D642" t="str">
        <f>IF($A642&lt;&gt;"",MAESTRO!$C641,"")</f>
        <v/>
      </c>
      <c r="E642" t="str">
        <f>IF($A642&lt;&gt;"",MAESTRO!$M641,"")</f>
        <v/>
      </c>
      <c r="F642" t="str">
        <f>IF($A642&lt;&gt;"",MAESTRO!$J641,"")</f>
        <v/>
      </c>
      <c r="G642" t="str">
        <f>IF($A642&lt;&gt;"",MAESTRO!$D641,"")</f>
        <v/>
      </c>
      <c r="H642" t="str">
        <f>IF($A642&lt;&gt;"",IF(TRIM(MAESTRO!$G641&amp;" "&amp;MAESTRO!$H641&amp;" "&amp;MAESTRO!$I641)="",MAESTRO!$F641,TRIM(MAESTRO!$G641&amp;" "&amp;MAESTRO!$H641&amp;" "&amp;MAESTRO!$I641)),"")</f>
        <v/>
      </c>
      <c r="I642" t="str">
        <f>IF($A642&lt;&gt;"",MAESTRO!$K641,"")</f>
        <v/>
      </c>
      <c r="J642" t="str">
        <f>IF($A642&lt;&gt;"",642,"")</f>
        <v/>
      </c>
    </row>
    <row r="643" spans="1:10" x14ac:dyDescent="0.2">
      <c r="A643" t="str">
        <f>IF(AND(UPPER(MAESTRO!$M642)="VIP",UPPER(MAESTRO!$J642)="SI",MAESTRO!$F642&lt;&gt;""),MAESTRO!$P642,"")</f>
        <v/>
      </c>
      <c r="B643" t="str">
        <f>IF($A643&lt;&gt;"",MAESTRO!$B642,"")</f>
        <v/>
      </c>
      <c r="C643" t="str">
        <f>IF($A643&lt;&gt;"",MAESTRO!$A642,"")</f>
        <v/>
      </c>
      <c r="D643" t="str">
        <f>IF($A643&lt;&gt;"",MAESTRO!$C642,"")</f>
        <v/>
      </c>
      <c r="E643" t="str">
        <f>IF($A643&lt;&gt;"",MAESTRO!$M642,"")</f>
        <v/>
      </c>
      <c r="F643" t="str">
        <f>IF($A643&lt;&gt;"",MAESTRO!$J642,"")</f>
        <v/>
      </c>
      <c r="G643" t="str">
        <f>IF($A643&lt;&gt;"",MAESTRO!$D642,"")</f>
        <v/>
      </c>
      <c r="H643" t="str">
        <f>IF($A643&lt;&gt;"",IF(TRIM(MAESTRO!$G642&amp;" "&amp;MAESTRO!$H642&amp;" "&amp;MAESTRO!$I642)="",MAESTRO!$F642,TRIM(MAESTRO!$G642&amp;" "&amp;MAESTRO!$H642&amp;" "&amp;MAESTRO!$I642)),"")</f>
        <v/>
      </c>
      <c r="I643" t="str">
        <f>IF($A643&lt;&gt;"",MAESTRO!$K642,"")</f>
        <v/>
      </c>
      <c r="J643" t="str">
        <f>IF($A643&lt;&gt;"",643,"")</f>
        <v/>
      </c>
    </row>
    <row r="644" spans="1:10" x14ac:dyDescent="0.2">
      <c r="A644" t="str">
        <f>IF(AND(UPPER(MAESTRO!$M643)="VIP",UPPER(MAESTRO!$J643)="SI",MAESTRO!$F643&lt;&gt;""),MAESTRO!$P643,"")</f>
        <v/>
      </c>
      <c r="B644" t="str">
        <f>IF($A644&lt;&gt;"",MAESTRO!$B643,"")</f>
        <v/>
      </c>
      <c r="C644" t="str">
        <f>IF($A644&lt;&gt;"",MAESTRO!$A643,"")</f>
        <v/>
      </c>
      <c r="D644" t="str">
        <f>IF($A644&lt;&gt;"",MAESTRO!$C643,"")</f>
        <v/>
      </c>
      <c r="E644" t="str">
        <f>IF($A644&lt;&gt;"",MAESTRO!$M643,"")</f>
        <v/>
      </c>
      <c r="F644" t="str">
        <f>IF($A644&lt;&gt;"",MAESTRO!$J643,"")</f>
        <v/>
      </c>
      <c r="G644" t="str">
        <f>IF($A644&lt;&gt;"",MAESTRO!$D643,"")</f>
        <v/>
      </c>
      <c r="H644" t="str">
        <f>IF($A644&lt;&gt;"",IF(TRIM(MAESTRO!$G643&amp;" "&amp;MAESTRO!$H643&amp;" "&amp;MAESTRO!$I643)="",MAESTRO!$F643,TRIM(MAESTRO!$G643&amp;" "&amp;MAESTRO!$H643&amp;" "&amp;MAESTRO!$I643)),"")</f>
        <v/>
      </c>
      <c r="I644" t="str">
        <f>IF($A644&lt;&gt;"",MAESTRO!$K643,"")</f>
        <v/>
      </c>
      <c r="J644" t="str">
        <f>IF($A644&lt;&gt;"",644,"")</f>
        <v/>
      </c>
    </row>
    <row r="645" spans="1:10" x14ac:dyDescent="0.2">
      <c r="A645" t="str">
        <f>IF(AND(UPPER(MAESTRO!$M644)="VIP",UPPER(MAESTRO!$J644)="SI",MAESTRO!$F644&lt;&gt;""),MAESTRO!$P644,"")</f>
        <v/>
      </c>
      <c r="B645" t="str">
        <f>IF($A645&lt;&gt;"",MAESTRO!$B644,"")</f>
        <v/>
      </c>
      <c r="C645" t="str">
        <f>IF($A645&lt;&gt;"",MAESTRO!$A644,"")</f>
        <v/>
      </c>
      <c r="D645" t="str">
        <f>IF($A645&lt;&gt;"",MAESTRO!$C644,"")</f>
        <v/>
      </c>
      <c r="E645" t="str">
        <f>IF($A645&lt;&gt;"",MAESTRO!$M644,"")</f>
        <v/>
      </c>
      <c r="F645" t="str">
        <f>IF($A645&lt;&gt;"",MAESTRO!$J644,"")</f>
        <v/>
      </c>
      <c r="G645" t="str">
        <f>IF($A645&lt;&gt;"",MAESTRO!$D644,"")</f>
        <v/>
      </c>
      <c r="H645" t="str">
        <f>IF($A645&lt;&gt;"",IF(TRIM(MAESTRO!$G644&amp;" "&amp;MAESTRO!$H644&amp;" "&amp;MAESTRO!$I644)="",MAESTRO!$F644,TRIM(MAESTRO!$G644&amp;" "&amp;MAESTRO!$H644&amp;" "&amp;MAESTRO!$I644)),"")</f>
        <v/>
      </c>
      <c r="I645" t="str">
        <f>IF($A645&lt;&gt;"",MAESTRO!$K644,"")</f>
        <v/>
      </c>
      <c r="J645" t="str">
        <f>IF($A645&lt;&gt;"",645,"")</f>
        <v/>
      </c>
    </row>
    <row r="646" spans="1:10" x14ac:dyDescent="0.2">
      <c r="A646" t="str">
        <f>IF(AND(UPPER(MAESTRO!$M645)="VIP",UPPER(MAESTRO!$J645)="SI",MAESTRO!$F645&lt;&gt;""),MAESTRO!$P645,"")</f>
        <v/>
      </c>
      <c r="B646" t="str">
        <f>IF($A646&lt;&gt;"",MAESTRO!$B645,"")</f>
        <v/>
      </c>
      <c r="C646" t="str">
        <f>IF($A646&lt;&gt;"",MAESTRO!$A645,"")</f>
        <v/>
      </c>
      <c r="D646" t="str">
        <f>IF($A646&lt;&gt;"",MAESTRO!$C645,"")</f>
        <v/>
      </c>
      <c r="E646" t="str">
        <f>IF($A646&lt;&gt;"",MAESTRO!$M645,"")</f>
        <v/>
      </c>
      <c r="F646" t="str">
        <f>IF($A646&lt;&gt;"",MAESTRO!$J645,"")</f>
        <v/>
      </c>
      <c r="G646" t="str">
        <f>IF($A646&lt;&gt;"",MAESTRO!$D645,"")</f>
        <v/>
      </c>
      <c r="H646" t="str">
        <f>IF($A646&lt;&gt;"",IF(TRIM(MAESTRO!$G645&amp;" "&amp;MAESTRO!$H645&amp;" "&amp;MAESTRO!$I645)="",MAESTRO!$F645,TRIM(MAESTRO!$G645&amp;" "&amp;MAESTRO!$H645&amp;" "&amp;MAESTRO!$I645)),"")</f>
        <v/>
      </c>
      <c r="I646" t="str">
        <f>IF($A646&lt;&gt;"",MAESTRO!$K645,"")</f>
        <v/>
      </c>
      <c r="J646" t="str">
        <f>IF($A646&lt;&gt;"",646,"")</f>
        <v/>
      </c>
    </row>
    <row r="647" spans="1:10" x14ac:dyDescent="0.2">
      <c r="A647" t="str">
        <f>IF(AND(UPPER(MAESTRO!$M646)="VIP",UPPER(MAESTRO!$J646)="SI",MAESTRO!$F646&lt;&gt;""),MAESTRO!$P646,"")</f>
        <v/>
      </c>
      <c r="B647" t="str">
        <f>IF($A647&lt;&gt;"",MAESTRO!$B646,"")</f>
        <v/>
      </c>
      <c r="C647" t="str">
        <f>IF($A647&lt;&gt;"",MAESTRO!$A646,"")</f>
        <v/>
      </c>
      <c r="D647" t="str">
        <f>IF($A647&lt;&gt;"",MAESTRO!$C646,"")</f>
        <v/>
      </c>
      <c r="E647" t="str">
        <f>IF($A647&lt;&gt;"",MAESTRO!$M646,"")</f>
        <v/>
      </c>
      <c r="F647" t="str">
        <f>IF($A647&lt;&gt;"",MAESTRO!$J646,"")</f>
        <v/>
      </c>
      <c r="G647" t="str">
        <f>IF($A647&lt;&gt;"",MAESTRO!$D646,"")</f>
        <v/>
      </c>
      <c r="H647" t="str">
        <f>IF($A647&lt;&gt;"",IF(TRIM(MAESTRO!$G646&amp;" "&amp;MAESTRO!$H646&amp;" "&amp;MAESTRO!$I646)="",MAESTRO!$F646,TRIM(MAESTRO!$G646&amp;" "&amp;MAESTRO!$H646&amp;" "&amp;MAESTRO!$I646)),"")</f>
        <v/>
      </c>
      <c r="I647" t="str">
        <f>IF($A647&lt;&gt;"",MAESTRO!$K646,"")</f>
        <v/>
      </c>
      <c r="J647" t="str">
        <f>IF($A647&lt;&gt;"",647,"")</f>
        <v/>
      </c>
    </row>
    <row r="648" spans="1:10" x14ac:dyDescent="0.2">
      <c r="A648" t="str">
        <f>IF(AND(UPPER(MAESTRO!$M647)="VIP",UPPER(MAESTRO!$J647)="SI",MAESTRO!$F647&lt;&gt;""),MAESTRO!$P647,"")</f>
        <v/>
      </c>
      <c r="B648" t="str">
        <f>IF($A648&lt;&gt;"",MAESTRO!$B647,"")</f>
        <v/>
      </c>
      <c r="C648" t="str">
        <f>IF($A648&lt;&gt;"",MAESTRO!$A647,"")</f>
        <v/>
      </c>
      <c r="D648" t="str">
        <f>IF($A648&lt;&gt;"",MAESTRO!$C647,"")</f>
        <v/>
      </c>
      <c r="E648" t="str">
        <f>IF($A648&lt;&gt;"",MAESTRO!$M647,"")</f>
        <v/>
      </c>
      <c r="F648" t="str">
        <f>IF($A648&lt;&gt;"",MAESTRO!$J647,"")</f>
        <v/>
      </c>
      <c r="G648" t="str">
        <f>IF($A648&lt;&gt;"",MAESTRO!$D647,"")</f>
        <v/>
      </c>
      <c r="H648" t="str">
        <f>IF($A648&lt;&gt;"",IF(TRIM(MAESTRO!$G647&amp;" "&amp;MAESTRO!$H647&amp;" "&amp;MAESTRO!$I647)="",MAESTRO!$F647,TRIM(MAESTRO!$G647&amp;" "&amp;MAESTRO!$H647&amp;" "&amp;MAESTRO!$I647)),"")</f>
        <v/>
      </c>
      <c r="I648" t="str">
        <f>IF($A648&lt;&gt;"",MAESTRO!$K647,"")</f>
        <v/>
      </c>
      <c r="J648" t="str">
        <f>IF($A648&lt;&gt;"",648,"")</f>
        <v/>
      </c>
    </row>
    <row r="649" spans="1:10" x14ac:dyDescent="0.2">
      <c r="A649" t="str">
        <f>IF(AND(UPPER(MAESTRO!$M648)="VIP",UPPER(MAESTRO!$J648)="SI",MAESTRO!$F648&lt;&gt;""),MAESTRO!$P648,"")</f>
        <v/>
      </c>
      <c r="B649" t="str">
        <f>IF($A649&lt;&gt;"",MAESTRO!$B648,"")</f>
        <v/>
      </c>
      <c r="C649" t="str">
        <f>IF($A649&lt;&gt;"",MAESTRO!$A648,"")</f>
        <v/>
      </c>
      <c r="D649" t="str">
        <f>IF($A649&lt;&gt;"",MAESTRO!$C648,"")</f>
        <v/>
      </c>
      <c r="E649" t="str">
        <f>IF($A649&lt;&gt;"",MAESTRO!$M648,"")</f>
        <v/>
      </c>
      <c r="F649" t="str">
        <f>IF($A649&lt;&gt;"",MAESTRO!$J648,"")</f>
        <v/>
      </c>
      <c r="G649" t="str">
        <f>IF($A649&lt;&gt;"",MAESTRO!$D648,"")</f>
        <v/>
      </c>
      <c r="H649" t="str">
        <f>IF($A649&lt;&gt;"",IF(TRIM(MAESTRO!$G648&amp;" "&amp;MAESTRO!$H648&amp;" "&amp;MAESTRO!$I648)="",MAESTRO!$F648,TRIM(MAESTRO!$G648&amp;" "&amp;MAESTRO!$H648&amp;" "&amp;MAESTRO!$I648)),"")</f>
        <v/>
      </c>
      <c r="I649" t="str">
        <f>IF($A649&lt;&gt;"",MAESTRO!$K648,"")</f>
        <v/>
      </c>
      <c r="J649" t="str">
        <f>IF($A649&lt;&gt;"",649,"")</f>
        <v/>
      </c>
    </row>
    <row r="650" spans="1:10" x14ac:dyDescent="0.2">
      <c r="A650" t="str">
        <f>IF(AND(UPPER(MAESTRO!$M649)="VIP",UPPER(MAESTRO!$J649)="SI",MAESTRO!$F649&lt;&gt;""),MAESTRO!$P649,"")</f>
        <v/>
      </c>
      <c r="B650" t="str">
        <f>IF($A650&lt;&gt;"",MAESTRO!$B649,"")</f>
        <v/>
      </c>
      <c r="C650" t="str">
        <f>IF($A650&lt;&gt;"",MAESTRO!$A649,"")</f>
        <v/>
      </c>
      <c r="D650" t="str">
        <f>IF($A650&lt;&gt;"",MAESTRO!$C649,"")</f>
        <v/>
      </c>
      <c r="E650" t="str">
        <f>IF($A650&lt;&gt;"",MAESTRO!$M649,"")</f>
        <v/>
      </c>
      <c r="F650" t="str">
        <f>IF($A650&lt;&gt;"",MAESTRO!$J649,"")</f>
        <v/>
      </c>
      <c r="G650" t="str">
        <f>IF($A650&lt;&gt;"",MAESTRO!$D649,"")</f>
        <v/>
      </c>
      <c r="H650" t="str">
        <f>IF($A650&lt;&gt;"",IF(TRIM(MAESTRO!$G649&amp;" "&amp;MAESTRO!$H649&amp;" "&amp;MAESTRO!$I649)="",MAESTRO!$F649,TRIM(MAESTRO!$G649&amp;" "&amp;MAESTRO!$H649&amp;" "&amp;MAESTRO!$I649)),"")</f>
        <v/>
      </c>
      <c r="I650" t="str">
        <f>IF($A650&lt;&gt;"",MAESTRO!$K649,"")</f>
        <v/>
      </c>
      <c r="J650" t="str">
        <f>IF($A650&lt;&gt;"",650,"")</f>
        <v/>
      </c>
    </row>
    <row r="651" spans="1:10" x14ac:dyDescent="0.2">
      <c r="A651" t="str">
        <f>IF(AND(UPPER(MAESTRO!$M650)="VIP",UPPER(MAESTRO!$J650)="SI",MAESTRO!$F650&lt;&gt;""),MAESTRO!$P650,"")</f>
        <v/>
      </c>
      <c r="B651" t="str">
        <f>IF($A651&lt;&gt;"",MAESTRO!$B650,"")</f>
        <v/>
      </c>
      <c r="C651" t="str">
        <f>IF($A651&lt;&gt;"",MAESTRO!$A650,"")</f>
        <v/>
      </c>
      <c r="D651" t="str">
        <f>IF($A651&lt;&gt;"",MAESTRO!$C650,"")</f>
        <v/>
      </c>
      <c r="E651" t="str">
        <f>IF($A651&lt;&gt;"",MAESTRO!$M650,"")</f>
        <v/>
      </c>
      <c r="F651" t="str">
        <f>IF($A651&lt;&gt;"",MAESTRO!$J650,"")</f>
        <v/>
      </c>
      <c r="G651" t="str">
        <f>IF($A651&lt;&gt;"",MAESTRO!$D650,"")</f>
        <v/>
      </c>
      <c r="H651" t="str">
        <f>IF($A651&lt;&gt;"",IF(TRIM(MAESTRO!$G650&amp;" "&amp;MAESTRO!$H650&amp;" "&amp;MAESTRO!$I650)="",MAESTRO!$F650,TRIM(MAESTRO!$G650&amp;" "&amp;MAESTRO!$H650&amp;" "&amp;MAESTRO!$I650)),"")</f>
        <v/>
      </c>
      <c r="I651" t="str">
        <f>IF($A651&lt;&gt;"",MAESTRO!$K650,"")</f>
        <v/>
      </c>
      <c r="J651" t="str">
        <f>IF($A651&lt;&gt;"",651,"")</f>
        <v/>
      </c>
    </row>
    <row r="652" spans="1:10" x14ac:dyDescent="0.2">
      <c r="A652" t="str">
        <f>IF(AND(UPPER(MAESTRO!$M651)="VIP",UPPER(MAESTRO!$J651)="SI",MAESTRO!$F651&lt;&gt;""),MAESTRO!$P651,"")</f>
        <v/>
      </c>
      <c r="B652" t="str">
        <f>IF($A652&lt;&gt;"",MAESTRO!$B651,"")</f>
        <v/>
      </c>
      <c r="C652" t="str">
        <f>IF($A652&lt;&gt;"",MAESTRO!$A651,"")</f>
        <v/>
      </c>
      <c r="D652" t="str">
        <f>IF($A652&lt;&gt;"",MAESTRO!$C651,"")</f>
        <v/>
      </c>
      <c r="E652" t="str">
        <f>IF($A652&lt;&gt;"",MAESTRO!$M651,"")</f>
        <v/>
      </c>
      <c r="F652" t="str">
        <f>IF($A652&lt;&gt;"",MAESTRO!$J651,"")</f>
        <v/>
      </c>
      <c r="G652" t="str">
        <f>IF($A652&lt;&gt;"",MAESTRO!$D651,"")</f>
        <v/>
      </c>
      <c r="H652" t="str">
        <f>IF($A652&lt;&gt;"",IF(TRIM(MAESTRO!$G651&amp;" "&amp;MAESTRO!$H651&amp;" "&amp;MAESTRO!$I651)="",MAESTRO!$F651,TRIM(MAESTRO!$G651&amp;" "&amp;MAESTRO!$H651&amp;" "&amp;MAESTRO!$I651)),"")</f>
        <v/>
      </c>
      <c r="I652" t="str">
        <f>IF($A652&lt;&gt;"",MAESTRO!$K651,"")</f>
        <v/>
      </c>
      <c r="J652" t="str">
        <f>IF($A652&lt;&gt;"",652,"")</f>
        <v/>
      </c>
    </row>
    <row r="653" spans="1:10" x14ac:dyDescent="0.2">
      <c r="A653" t="str">
        <f>IF(AND(UPPER(MAESTRO!$M652)="VIP",UPPER(MAESTRO!$J652)="SI",MAESTRO!$F652&lt;&gt;""),MAESTRO!$P652,"")</f>
        <v/>
      </c>
      <c r="B653" t="str">
        <f>IF($A653&lt;&gt;"",MAESTRO!$B652,"")</f>
        <v/>
      </c>
      <c r="C653" t="str">
        <f>IF($A653&lt;&gt;"",MAESTRO!$A652,"")</f>
        <v/>
      </c>
      <c r="D653" t="str">
        <f>IF($A653&lt;&gt;"",MAESTRO!$C652,"")</f>
        <v/>
      </c>
      <c r="E653" t="str">
        <f>IF($A653&lt;&gt;"",MAESTRO!$M652,"")</f>
        <v/>
      </c>
      <c r="F653" t="str">
        <f>IF($A653&lt;&gt;"",MAESTRO!$J652,"")</f>
        <v/>
      </c>
      <c r="G653" t="str">
        <f>IF($A653&lt;&gt;"",MAESTRO!$D652,"")</f>
        <v/>
      </c>
      <c r="H653" t="str">
        <f>IF($A653&lt;&gt;"",IF(TRIM(MAESTRO!$G652&amp;" "&amp;MAESTRO!$H652&amp;" "&amp;MAESTRO!$I652)="",MAESTRO!$F652,TRIM(MAESTRO!$G652&amp;" "&amp;MAESTRO!$H652&amp;" "&amp;MAESTRO!$I652)),"")</f>
        <v/>
      </c>
      <c r="I653" t="str">
        <f>IF($A653&lt;&gt;"",MAESTRO!$K652,"")</f>
        <v/>
      </c>
      <c r="J653" t="str">
        <f>IF($A653&lt;&gt;"",653,"")</f>
        <v/>
      </c>
    </row>
    <row r="654" spans="1:10" x14ac:dyDescent="0.2">
      <c r="A654" t="str">
        <f>IF(AND(UPPER(MAESTRO!$M653)="VIP",UPPER(MAESTRO!$J653)="SI",MAESTRO!$F653&lt;&gt;""),MAESTRO!$P653,"")</f>
        <v/>
      </c>
      <c r="B654" t="str">
        <f>IF($A654&lt;&gt;"",MAESTRO!$B653,"")</f>
        <v/>
      </c>
      <c r="C654" t="str">
        <f>IF($A654&lt;&gt;"",MAESTRO!$A653,"")</f>
        <v/>
      </c>
      <c r="D654" t="str">
        <f>IF($A654&lt;&gt;"",MAESTRO!$C653,"")</f>
        <v/>
      </c>
      <c r="E654" t="str">
        <f>IF($A654&lt;&gt;"",MAESTRO!$M653,"")</f>
        <v/>
      </c>
      <c r="F654" t="str">
        <f>IF($A654&lt;&gt;"",MAESTRO!$J653,"")</f>
        <v/>
      </c>
      <c r="G654" t="str">
        <f>IF($A654&lt;&gt;"",MAESTRO!$D653,"")</f>
        <v/>
      </c>
      <c r="H654" t="str">
        <f>IF($A654&lt;&gt;"",IF(TRIM(MAESTRO!$G653&amp;" "&amp;MAESTRO!$H653&amp;" "&amp;MAESTRO!$I653)="",MAESTRO!$F653,TRIM(MAESTRO!$G653&amp;" "&amp;MAESTRO!$H653&amp;" "&amp;MAESTRO!$I653)),"")</f>
        <v/>
      </c>
      <c r="I654" t="str">
        <f>IF($A654&lt;&gt;"",MAESTRO!$K653,"")</f>
        <v/>
      </c>
      <c r="J654" t="str">
        <f>IF($A654&lt;&gt;"",654,"")</f>
        <v/>
      </c>
    </row>
    <row r="655" spans="1:10" x14ac:dyDescent="0.2">
      <c r="A655" t="str">
        <f>IF(AND(UPPER(MAESTRO!$M654)="VIP",UPPER(MAESTRO!$J654)="SI",MAESTRO!$F654&lt;&gt;""),MAESTRO!$P654,"")</f>
        <v/>
      </c>
      <c r="B655" t="str">
        <f>IF($A655&lt;&gt;"",MAESTRO!$B654,"")</f>
        <v/>
      </c>
      <c r="C655" t="str">
        <f>IF($A655&lt;&gt;"",MAESTRO!$A654,"")</f>
        <v/>
      </c>
      <c r="D655" t="str">
        <f>IF($A655&lt;&gt;"",MAESTRO!$C654,"")</f>
        <v/>
      </c>
      <c r="E655" t="str">
        <f>IF($A655&lt;&gt;"",MAESTRO!$M654,"")</f>
        <v/>
      </c>
      <c r="F655" t="str">
        <f>IF($A655&lt;&gt;"",MAESTRO!$J654,"")</f>
        <v/>
      </c>
      <c r="G655" t="str">
        <f>IF($A655&lt;&gt;"",MAESTRO!$D654,"")</f>
        <v/>
      </c>
      <c r="H655" t="str">
        <f>IF($A655&lt;&gt;"",IF(TRIM(MAESTRO!$G654&amp;" "&amp;MAESTRO!$H654&amp;" "&amp;MAESTRO!$I654)="",MAESTRO!$F654,TRIM(MAESTRO!$G654&amp;" "&amp;MAESTRO!$H654&amp;" "&amp;MAESTRO!$I654)),"")</f>
        <v/>
      </c>
      <c r="I655" t="str">
        <f>IF($A655&lt;&gt;"",MAESTRO!$K654,"")</f>
        <v/>
      </c>
      <c r="J655" t="str">
        <f>IF($A655&lt;&gt;"",655,"")</f>
        <v/>
      </c>
    </row>
    <row r="656" spans="1:10" x14ac:dyDescent="0.2">
      <c r="A656" t="str">
        <f>IF(AND(UPPER(MAESTRO!$M655)="VIP",UPPER(MAESTRO!$J655)="SI",MAESTRO!$F655&lt;&gt;""),MAESTRO!$P655,"")</f>
        <v/>
      </c>
      <c r="B656" t="str">
        <f>IF($A656&lt;&gt;"",MAESTRO!$B655,"")</f>
        <v/>
      </c>
      <c r="C656" t="str">
        <f>IF($A656&lt;&gt;"",MAESTRO!$A655,"")</f>
        <v/>
      </c>
      <c r="D656" t="str">
        <f>IF($A656&lt;&gt;"",MAESTRO!$C655,"")</f>
        <v/>
      </c>
      <c r="E656" t="str">
        <f>IF($A656&lt;&gt;"",MAESTRO!$M655,"")</f>
        <v/>
      </c>
      <c r="F656" t="str">
        <f>IF($A656&lt;&gt;"",MAESTRO!$J655,"")</f>
        <v/>
      </c>
      <c r="G656" t="str">
        <f>IF($A656&lt;&gt;"",MAESTRO!$D655,"")</f>
        <v/>
      </c>
      <c r="H656" t="str">
        <f>IF($A656&lt;&gt;"",IF(TRIM(MAESTRO!$G655&amp;" "&amp;MAESTRO!$H655&amp;" "&amp;MAESTRO!$I655)="",MAESTRO!$F655,TRIM(MAESTRO!$G655&amp;" "&amp;MAESTRO!$H655&amp;" "&amp;MAESTRO!$I655)),"")</f>
        <v/>
      </c>
      <c r="I656" t="str">
        <f>IF($A656&lt;&gt;"",MAESTRO!$K655,"")</f>
        <v/>
      </c>
      <c r="J656" t="str">
        <f>IF($A656&lt;&gt;"",656,"")</f>
        <v/>
      </c>
    </row>
    <row r="657" spans="1:10" x14ac:dyDescent="0.2">
      <c r="A657" t="str">
        <f>IF(AND(UPPER(MAESTRO!$M656)="VIP",UPPER(MAESTRO!$J656)="SI",MAESTRO!$F656&lt;&gt;""),MAESTRO!$P656,"")</f>
        <v/>
      </c>
      <c r="B657" t="str">
        <f>IF($A657&lt;&gt;"",MAESTRO!$B656,"")</f>
        <v/>
      </c>
      <c r="C657" t="str">
        <f>IF($A657&lt;&gt;"",MAESTRO!$A656,"")</f>
        <v/>
      </c>
      <c r="D657" t="str">
        <f>IF($A657&lt;&gt;"",MAESTRO!$C656,"")</f>
        <v/>
      </c>
      <c r="E657" t="str">
        <f>IF($A657&lt;&gt;"",MAESTRO!$M656,"")</f>
        <v/>
      </c>
      <c r="F657" t="str">
        <f>IF($A657&lt;&gt;"",MAESTRO!$J656,"")</f>
        <v/>
      </c>
      <c r="G657" t="str">
        <f>IF($A657&lt;&gt;"",MAESTRO!$D656,"")</f>
        <v/>
      </c>
      <c r="H657" t="str">
        <f>IF($A657&lt;&gt;"",IF(TRIM(MAESTRO!$G656&amp;" "&amp;MAESTRO!$H656&amp;" "&amp;MAESTRO!$I656)="",MAESTRO!$F656,TRIM(MAESTRO!$G656&amp;" "&amp;MAESTRO!$H656&amp;" "&amp;MAESTRO!$I656)),"")</f>
        <v/>
      </c>
      <c r="I657" t="str">
        <f>IF($A657&lt;&gt;"",MAESTRO!$K656,"")</f>
        <v/>
      </c>
      <c r="J657" t="str">
        <f>IF($A657&lt;&gt;"",657,"")</f>
        <v/>
      </c>
    </row>
    <row r="658" spans="1:10" x14ac:dyDescent="0.2">
      <c r="A658" t="str">
        <f>IF(AND(UPPER(MAESTRO!$M657)="VIP",UPPER(MAESTRO!$J657)="SI",MAESTRO!$F657&lt;&gt;""),MAESTRO!$P657,"")</f>
        <v/>
      </c>
      <c r="B658" t="str">
        <f>IF($A658&lt;&gt;"",MAESTRO!$B657,"")</f>
        <v/>
      </c>
      <c r="C658" t="str">
        <f>IF($A658&lt;&gt;"",MAESTRO!$A657,"")</f>
        <v/>
      </c>
      <c r="D658" t="str">
        <f>IF($A658&lt;&gt;"",MAESTRO!$C657,"")</f>
        <v/>
      </c>
      <c r="E658" t="str">
        <f>IF($A658&lt;&gt;"",MAESTRO!$M657,"")</f>
        <v/>
      </c>
      <c r="F658" t="str">
        <f>IF($A658&lt;&gt;"",MAESTRO!$J657,"")</f>
        <v/>
      </c>
      <c r="G658" t="str">
        <f>IF($A658&lt;&gt;"",MAESTRO!$D657,"")</f>
        <v/>
      </c>
      <c r="H658" t="str">
        <f>IF($A658&lt;&gt;"",IF(TRIM(MAESTRO!$G657&amp;" "&amp;MAESTRO!$H657&amp;" "&amp;MAESTRO!$I657)="",MAESTRO!$F657,TRIM(MAESTRO!$G657&amp;" "&amp;MAESTRO!$H657&amp;" "&amp;MAESTRO!$I657)),"")</f>
        <v/>
      </c>
      <c r="I658" t="str">
        <f>IF($A658&lt;&gt;"",MAESTRO!$K657,"")</f>
        <v/>
      </c>
      <c r="J658" t="str">
        <f>IF($A658&lt;&gt;"",658,"")</f>
        <v/>
      </c>
    </row>
    <row r="659" spans="1:10" x14ac:dyDescent="0.2">
      <c r="A659" t="str">
        <f>IF(AND(UPPER(MAESTRO!$M658)="VIP",UPPER(MAESTRO!$J658)="SI",MAESTRO!$F658&lt;&gt;""),MAESTRO!$P658,"")</f>
        <v/>
      </c>
      <c r="B659" t="str">
        <f>IF($A659&lt;&gt;"",MAESTRO!$B658,"")</f>
        <v/>
      </c>
      <c r="C659" t="str">
        <f>IF($A659&lt;&gt;"",MAESTRO!$A658,"")</f>
        <v/>
      </c>
      <c r="D659" t="str">
        <f>IF($A659&lt;&gt;"",MAESTRO!$C658,"")</f>
        <v/>
      </c>
      <c r="E659" t="str">
        <f>IF($A659&lt;&gt;"",MAESTRO!$M658,"")</f>
        <v/>
      </c>
      <c r="F659" t="str">
        <f>IF($A659&lt;&gt;"",MAESTRO!$J658,"")</f>
        <v/>
      </c>
      <c r="G659" t="str">
        <f>IF($A659&lt;&gt;"",MAESTRO!$D658,"")</f>
        <v/>
      </c>
      <c r="H659" t="str">
        <f>IF($A659&lt;&gt;"",IF(TRIM(MAESTRO!$G658&amp;" "&amp;MAESTRO!$H658&amp;" "&amp;MAESTRO!$I658)="",MAESTRO!$F658,TRIM(MAESTRO!$G658&amp;" "&amp;MAESTRO!$H658&amp;" "&amp;MAESTRO!$I658)),"")</f>
        <v/>
      </c>
      <c r="I659" t="str">
        <f>IF($A659&lt;&gt;"",MAESTRO!$K658,"")</f>
        <v/>
      </c>
      <c r="J659" t="str">
        <f>IF($A659&lt;&gt;"",659,"")</f>
        <v/>
      </c>
    </row>
    <row r="660" spans="1:10" x14ac:dyDescent="0.2">
      <c r="A660" t="str">
        <f>IF(AND(UPPER(MAESTRO!$M659)="VIP",UPPER(MAESTRO!$J659)="SI",MAESTRO!$F659&lt;&gt;""),MAESTRO!$P659,"")</f>
        <v/>
      </c>
      <c r="B660" t="str">
        <f>IF($A660&lt;&gt;"",MAESTRO!$B659,"")</f>
        <v/>
      </c>
      <c r="C660" t="str">
        <f>IF($A660&lt;&gt;"",MAESTRO!$A659,"")</f>
        <v/>
      </c>
      <c r="D660" t="str">
        <f>IF($A660&lt;&gt;"",MAESTRO!$C659,"")</f>
        <v/>
      </c>
      <c r="E660" t="str">
        <f>IF($A660&lt;&gt;"",MAESTRO!$M659,"")</f>
        <v/>
      </c>
      <c r="F660" t="str">
        <f>IF($A660&lt;&gt;"",MAESTRO!$J659,"")</f>
        <v/>
      </c>
      <c r="G660" t="str">
        <f>IF($A660&lt;&gt;"",MAESTRO!$D659,"")</f>
        <v/>
      </c>
      <c r="H660" t="str">
        <f>IF($A660&lt;&gt;"",IF(TRIM(MAESTRO!$G659&amp;" "&amp;MAESTRO!$H659&amp;" "&amp;MAESTRO!$I659)="",MAESTRO!$F659,TRIM(MAESTRO!$G659&amp;" "&amp;MAESTRO!$H659&amp;" "&amp;MAESTRO!$I659)),"")</f>
        <v/>
      </c>
      <c r="I660" t="str">
        <f>IF($A660&lt;&gt;"",MAESTRO!$K659,"")</f>
        <v/>
      </c>
      <c r="J660" t="str">
        <f>IF($A660&lt;&gt;"",660,"")</f>
        <v/>
      </c>
    </row>
    <row r="661" spans="1:10" x14ac:dyDescent="0.2">
      <c r="A661" t="str">
        <f>IF(AND(UPPER(MAESTRO!$M660)="VIP",UPPER(MAESTRO!$J660)="SI",MAESTRO!$F660&lt;&gt;""),MAESTRO!$P660,"")</f>
        <v/>
      </c>
      <c r="B661" t="str">
        <f>IF($A661&lt;&gt;"",MAESTRO!$B660,"")</f>
        <v/>
      </c>
      <c r="C661" t="str">
        <f>IF($A661&lt;&gt;"",MAESTRO!$A660,"")</f>
        <v/>
      </c>
      <c r="D661" t="str">
        <f>IF($A661&lt;&gt;"",MAESTRO!$C660,"")</f>
        <v/>
      </c>
      <c r="E661" t="str">
        <f>IF($A661&lt;&gt;"",MAESTRO!$M660,"")</f>
        <v/>
      </c>
      <c r="F661" t="str">
        <f>IF($A661&lt;&gt;"",MAESTRO!$J660,"")</f>
        <v/>
      </c>
      <c r="G661" t="str">
        <f>IF($A661&lt;&gt;"",MAESTRO!$D660,"")</f>
        <v/>
      </c>
      <c r="H661" t="str">
        <f>IF($A661&lt;&gt;"",IF(TRIM(MAESTRO!$G660&amp;" "&amp;MAESTRO!$H660&amp;" "&amp;MAESTRO!$I660)="",MAESTRO!$F660,TRIM(MAESTRO!$G660&amp;" "&amp;MAESTRO!$H660&amp;" "&amp;MAESTRO!$I660)),"")</f>
        <v/>
      </c>
      <c r="I661" t="str">
        <f>IF($A661&lt;&gt;"",MAESTRO!$K660,"")</f>
        <v/>
      </c>
      <c r="J661" t="str">
        <f>IF($A661&lt;&gt;"",661,"")</f>
        <v/>
      </c>
    </row>
    <row r="662" spans="1:10" x14ac:dyDescent="0.2">
      <c r="A662" t="str">
        <f>IF(AND(UPPER(MAESTRO!$M661)="VIP",UPPER(MAESTRO!$J661)="SI",MAESTRO!$F661&lt;&gt;""),MAESTRO!$P661,"")</f>
        <v/>
      </c>
      <c r="B662" t="str">
        <f>IF($A662&lt;&gt;"",MAESTRO!$B661,"")</f>
        <v/>
      </c>
      <c r="C662" t="str">
        <f>IF($A662&lt;&gt;"",MAESTRO!$A661,"")</f>
        <v/>
      </c>
      <c r="D662" t="str">
        <f>IF($A662&lt;&gt;"",MAESTRO!$C661,"")</f>
        <v/>
      </c>
      <c r="E662" t="str">
        <f>IF($A662&lt;&gt;"",MAESTRO!$M661,"")</f>
        <v/>
      </c>
      <c r="F662" t="str">
        <f>IF($A662&lt;&gt;"",MAESTRO!$J661,"")</f>
        <v/>
      </c>
      <c r="G662" t="str">
        <f>IF($A662&lt;&gt;"",MAESTRO!$D661,"")</f>
        <v/>
      </c>
      <c r="H662" t="str">
        <f>IF($A662&lt;&gt;"",IF(TRIM(MAESTRO!$G661&amp;" "&amp;MAESTRO!$H661&amp;" "&amp;MAESTRO!$I661)="",MAESTRO!$F661,TRIM(MAESTRO!$G661&amp;" "&amp;MAESTRO!$H661&amp;" "&amp;MAESTRO!$I661)),"")</f>
        <v/>
      </c>
      <c r="I662" t="str">
        <f>IF($A662&lt;&gt;"",MAESTRO!$K661,"")</f>
        <v/>
      </c>
      <c r="J662" t="str">
        <f>IF($A662&lt;&gt;"",662,"")</f>
        <v/>
      </c>
    </row>
    <row r="663" spans="1:10" x14ac:dyDescent="0.2">
      <c r="A663" t="str">
        <f>IF(AND(UPPER(MAESTRO!$M662)="VIP",UPPER(MAESTRO!$J662)="SI",MAESTRO!$F662&lt;&gt;""),MAESTRO!$P662,"")</f>
        <v/>
      </c>
      <c r="B663" t="str">
        <f>IF($A663&lt;&gt;"",MAESTRO!$B662,"")</f>
        <v/>
      </c>
      <c r="C663" t="str">
        <f>IF($A663&lt;&gt;"",MAESTRO!$A662,"")</f>
        <v/>
      </c>
      <c r="D663" t="str">
        <f>IF($A663&lt;&gt;"",MAESTRO!$C662,"")</f>
        <v/>
      </c>
      <c r="E663" t="str">
        <f>IF($A663&lt;&gt;"",MAESTRO!$M662,"")</f>
        <v/>
      </c>
      <c r="F663" t="str">
        <f>IF($A663&lt;&gt;"",MAESTRO!$J662,"")</f>
        <v/>
      </c>
      <c r="G663" t="str">
        <f>IF($A663&lt;&gt;"",MAESTRO!$D662,"")</f>
        <v/>
      </c>
      <c r="H663" t="str">
        <f>IF($A663&lt;&gt;"",IF(TRIM(MAESTRO!$G662&amp;" "&amp;MAESTRO!$H662&amp;" "&amp;MAESTRO!$I662)="",MAESTRO!$F662,TRIM(MAESTRO!$G662&amp;" "&amp;MAESTRO!$H662&amp;" "&amp;MAESTRO!$I662)),"")</f>
        <v/>
      </c>
      <c r="I663" t="str">
        <f>IF($A663&lt;&gt;"",MAESTRO!$K662,"")</f>
        <v/>
      </c>
      <c r="J663" t="str">
        <f>IF($A663&lt;&gt;"",663,"")</f>
        <v/>
      </c>
    </row>
    <row r="664" spans="1:10" x14ac:dyDescent="0.2">
      <c r="A664" t="str">
        <f>IF(AND(UPPER(MAESTRO!$M663)="VIP",UPPER(MAESTRO!$J663)="SI",MAESTRO!$F663&lt;&gt;""),MAESTRO!$P663,"")</f>
        <v/>
      </c>
      <c r="B664" t="str">
        <f>IF($A664&lt;&gt;"",MAESTRO!$B663,"")</f>
        <v/>
      </c>
      <c r="C664" t="str">
        <f>IF($A664&lt;&gt;"",MAESTRO!$A663,"")</f>
        <v/>
      </c>
      <c r="D664" t="str">
        <f>IF($A664&lt;&gt;"",MAESTRO!$C663,"")</f>
        <v/>
      </c>
      <c r="E664" t="str">
        <f>IF($A664&lt;&gt;"",MAESTRO!$M663,"")</f>
        <v/>
      </c>
      <c r="F664" t="str">
        <f>IF($A664&lt;&gt;"",MAESTRO!$J663,"")</f>
        <v/>
      </c>
      <c r="G664" t="str">
        <f>IF($A664&lt;&gt;"",MAESTRO!$D663,"")</f>
        <v/>
      </c>
      <c r="H664" t="str">
        <f>IF($A664&lt;&gt;"",IF(TRIM(MAESTRO!$G663&amp;" "&amp;MAESTRO!$H663&amp;" "&amp;MAESTRO!$I663)="",MAESTRO!$F663,TRIM(MAESTRO!$G663&amp;" "&amp;MAESTRO!$H663&amp;" "&amp;MAESTRO!$I663)),"")</f>
        <v/>
      </c>
      <c r="I664" t="str">
        <f>IF($A664&lt;&gt;"",MAESTRO!$K663,"")</f>
        <v/>
      </c>
      <c r="J664" t="str">
        <f>IF($A664&lt;&gt;"",664,"")</f>
        <v/>
      </c>
    </row>
    <row r="665" spans="1:10" x14ac:dyDescent="0.2">
      <c r="A665" t="str">
        <f>IF(AND(UPPER(MAESTRO!$M664)="VIP",UPPER(MAESTRO!$J664)="SI",MAESTRO!$F664&lt;&gt;""),MAESTRO!$P664,"")</f>
        <v/>
      </c>
      <c r="B665" t="str">
        <f>IF($A665&lt;&gt;"",MAESTRO!$B664,"")</f>
        <v/>
      </c>
      <c r="C665" t="str">
        <f>IF($A665&lt;&gt;"",MAESTRO!$A664,"")</f>
        <v/>
      </c>
      <c r="D665" t="str">
        <f>IF($A665&lt;&gt;"",MAESTRO!$C664,"")</f>
        <v/>
      </c>
      <c r="E665" t="str">
        <f>IF($A665&lt;&gt;"",MAESTRO!$M664,"")</f>
        <v/>
      </c>
      <c r="F665" t="str">
        <f>IF($A665&lt;&gt;"",MAESTRO!$J664,"")</f>
        <v/>
      </c>
      <c r="G665" t="str">
        <f>IF($A665&lt;&gt;"",MAESTRO!$D664,"")</f>
        <v/>
      </c>
      <c r="H665" t="str">
        <f>IF($A665&lt;&gt;"",IF(TRIM(MAESTRO!$G664&amp;" "&amp;MAESTRO!$H664&amp;" "&amp;MAESTRO!$I664)="",MAESTRO!$F664,TRIM(MAESTRO!$G664&amp;" "&amp;MAESTRO!$H664&amp;" "&amp;MAESTRO!$I664)),"")</f>
        <v/>
      </c>
      <c r="I665" t="str">
        <f>IF($A665&lt;&gt;"",MAESTRO!$K664,"")</f>
        <v/>
      </c>
      <c r="J665" t="str">
        <f>IF($A665&lt;&gt;"",665,"")</f>
        <v/>
      </c>
    </row>
    <row r="666" spans="1:10" x14ac:dyDescent="0.2">
      <c r="A666" t="str">
        <f>IF(AND(UPPER(MAESTRO!$M665)="VIP",UPPER(MAESTRO!$J665)="SI",MAESTRO!$F665&lt;&gt;""),MAESTRO!$P665,"")</f>
        <v/>
      </c>
      <c r="B666" t="str">
        <f>IF($A666&lt;&gt;"",MAESTRO!$B665,"")</f>
        <v/>
      </c>
      <c r="C666" t="str">
        <f>IF($A666&lt;&gt;"",MAESTRO!$A665,"")</f>
        <v/>
      </c>
      <c r="D666" t="str">
        <f>IF($A666&lt;&gt;"",MAESTRO!$C665,"")</f>
        <v/>
      </c>
      <c r="E666" t="str">
        <f>IF($A666&lt;&gt;"",MAESTRO!$M665,"")</f>
        <v/>
      </c>
      <c r="F666" t="str">
        <f>IF($A666&lt;&gt;"",MAESTRO!$J665,"")</f>
        <v/>
      </c>
      <c r="G666" t="str">
        <f>IF($A666&lt;&gt;"",MAESTRO!$D665,"")</f>
        <v/>
      </c>
      <c r="H666" t="str">
        <f>IF($A666&lt;&gt;"",IF(TRIM(MAESTRO!$G665&amp;" "&amp;MAESTRO!$H665&amp;" "&amp;MAESTRO!$I665)="",MAESTRO!$F665,TRIM(MAESTRO!$G665&amp;" "&amp;MAESTRO!$H665&amp;" "&amp;MAESTRO!$I665)),"")</f>
        <v/>
      </c>
      <c r="I666" t="str">
        <f>IF($A666&lt;&gt;"",MAESTRO!$K665,"")</f>
        <v/>
      </c>
      <c r="J666" t="str">
        <f>IF($A666&lt;&gt;"",666,"")</f>
        <v/>
      </c>
    </row>
    <row r="667" spans="1:10" x14ac:dyDescent="0.2">
      <c r="A667" t="str">
        <f>IF(AND(UPPER(MAESTRO!$M666)="VIP",UPPER(MAESTRO!$J666)="SI",MAESTRO!$F666&lt;&gt;""),MAESTRO!$P666,"")</f>
        <v/>
      </c>
      <c r="B667" t="str">
        <f>IF($A667&lt;&gt;"",MAESTRO!$B666,"")</f>
        <v/>
      </c>
      <c r="C667" t="str">
        <f>IF($A667&lt;&gt;"",MAESTRO!$A666,"")</f>
        <v/>
      </c>
      <c r="D667" t="str">
        <f>IF($A667&lt;&gt;"",MAESTRO!$C666,"")</f>
        <v/>
      </c>
      <c r="E667" t="str">
        <f>IF($A667&lt;&gt;"",MAESTRO!$M666,"")</f>
        <v/>
      </c>
      <c r="F667" t="str">
        <f>IF($A667&lt;&gt;"",MAESTRO!$J666,"")</f>
        <v/>
      </c>
      <c r="G667" t="str">
        <f>IF($A667&lt;&gt;"",MAESTRO!$D666,"")</f>
        <v/>
      </c>
      <c r="H667" t="str">
        <f>IF($A667&lt;&gt;"",IF(TRIM(MAESTRO!$G666&amp;" "&amp;MAESTRO!$H666&amp;" "&amp;MAESTRO!$I666)="",MAESTRO!$F666,TRIM(MAESTRO!$G666&amp;" "&amp;MAESTRO!$H666&amp;" "&amp;MAESTRO!$I666)),"")</f>
        <v/>
      </c>
      <c r="I667" t="str">
        <f>IF($A667&lt;&gt;"",MAESTRO!$K666,"")</f>
        <v/>
      </c>
      <c r="J667" t="str">
        <f>IF($A667&lt;&gt;"",667,"")</f>
        <v/>
      </c>
    </row>
    <row r="668" spans="1:10" x14ac:dyDescent="0.2">
      <c r="A668" t="str">
        <f>IF(AND(UPPER(MAESTRO!$M667)="VIP",UPPER(MAESTRO!$J667)="SI",MAESTRO!$F667&lt;&gt;""),MAESTRO!$P667,"")</f>
        <v/>
      </c>
      <c r="B668" t="str">
        <f>IF($A668&lt;&gt;"",MAESTRO!$B667,"")</f>
        <v/>
      </c>
      <c r="C668" t="str">
        <f>IF($A668&lt;&gt;"",MAESTRO!$A667,"")</f>
        <v/>
      </c>
      <c r="D668" t="str">
        <f>IF($A668&lt;&gt;"",MAESTRO!$C667,"")</f>
        <v/>
      </c>
      <c r="E668" t="str">
        <f>IF($A668&lt;&gt;"",MAESTRO!$M667,"")</f>
        <v/>
      </c>
      <c r="F668" t="str">
        <f>IF($A668&lt;&gt;"",MAESTRO!$J667,"")</f>
        <v/>
      </c>
      <c r="G668" t="str">
        <f>IF($A668&lt;&gt;"",MAESTRO!$D667,"")</f>
        <v/>
      </c>
      <c r="H668" t="str">
        <f>IF($A668&lt;&gt;"",IF(TRIM(MAESTRO!$G667&amp;" "&amp;MAESTRO!$H667&amp;" "&amp;MAESTRO!$I667)="",MAESTRO!$F667,TRIM(MAESTRO!$G667&amp;" "&amp;MAESTRO!$H667&amp;" "&amp;MAESTRO!$I667)),"")</f>
        <v/>
      </c>
      <c r="I668" t="str">
        <f>IF($A668&lt;&gt;"",MAESTRO!$K667,"")</f>
        <v/>
      </c>
      <c r="J668" t="str">
        <f>IF($A668&lt;&gt;"",668,"")</f>
        <v/>
      </c>
    </row>
    <row r="669" spans="1:10" x14ac:dyDescent="0.2">
      <c r="A669" t="str">
        <f>IF(AND(UPPER(MAESTRO!$M668)="VIP",UPPER(MAESTRO!$J668)="SI",MAESTRO!$F668&lt;&gt;""),MAESTRO!$P668,"")</f>
        <v/>
      </c>
      <c r="B669" t="str">
        <f>IF($A669&lt;&gt;"",MAESTRO!$B668,"")</f>
        <v/>
      </c>
      <c r="C669" t="str">
        <f>IF($A669&lt;&gt;"",MAESTRO!$A668,"")</f>
        <v/>
      </c>
      <c r="D669" t="str">
        <f>IF($A669&lt;&gt;"",MAESTRO!$C668,"")</f>
        <v/>
      </c>
      <c r="E669" t="str">
        <f>IF($A669&lt;&gt;"",MAESTRO!$M668,"")</f>
        <v/>
      </c>
      <c r="F669" t="str">
        <f>IF($A669&lt;&gt;"",MAESTRO!$J668,"")</f>
        <v/>
      </c>
      <c r="G669" t="str">
        <f>IF($A669&lt;&gt;"",MAESTRO!$D668,"")</f>
        <v/>
      </c>
      <c r="H669" t="str">
        <f>IF($A669&lt;&gt;"",IF(TRIM(MAESTRO!$G668&amp;" "&amp;MAESTRO!$H668&amp;" "&amp;MAESTRO!$I668)="",MAESTRO!$F668,TRIM(MAESTRO!$G668&amp;" "&amp;MAESTRO!$H668&amp;" "&amp;MAESTRO!$I668)),"")</f>
        <v/>
      </c>
      <c r="I669" t="str">
        <f>IF($A669&lt;&gt;"",MAESTRO!$K668,"")</f>
        <v/>
      </c>
      <c r="J669" t="str">
        <f>IF($A669&lt;&gt;"",669,"")</f>
        <v/>
      </c>
    </row>
    <row r="670" spans="1:10" x14ac:dyDescent="0.2">
      <c r="A670" t="str">
        <f>IF(AND(UPPER(MAESTRO!$M669)="VIP",UPPER(MAESTRO!$J669)="SI",MAESTRO!$F669&lt;&gt;""),MAESTRO!$P669,"")</f>
        <v/>
      </c>
      <c r="B670" t="str">
        <f>IF($A670&lt;&gt;"",MAESTRO!$B669,"")</f>
        <v/>
      </c>
      <c r="C670" t="str">
        <f>IF($A670&lt;&gt;"",MAESTRO!$A669,"")</f>
        <v/>
      </c>
      <c r="D670" t="str">
        <f>IF($A670&lt;&gt;"",MAESTRO!$C669,"")</f>
        <v/>
      </c>
      <c r="E670" t="str">
        <f>IF($A670&lt;&gt;"",MAESTRO!$M669,"")</f>
        <v/>
      </c>
      <c r="F670" t="str">
        <f>IF($A670&lt;&gt;"",MAESTRO!$J669,"")</f>
        <v/>
      </c>
      <c r="G670" t="str">
        <f>IF($A670&lt;&gt;"",MAESTRO!$D669,"")</f>
        <v/>
      </c>
      <c r="H670" t="str">
        <f>IF($A670&lt;&gt;"",IF(TRIM(MAESTRO!$G669&amp;" "&amp;MAESTRO!$H669&amp;" "&amp;MAESTRO!$I669)="",MAESTRO!$F669,TRIM(MAESTRO!$G669&amp;" "&amp;MAESTRO!$H669&amp;" "&amp;MAESTRO!$I669)),"")</f>
        <v/>
      </c>
      <c r="I670" t="str">
        <f>IF($A670&lt;&gt;"",MAESTRO!$K669,"")</f>
        <v/>
      </c>
      <c r="J670" t="str">
        <f>IF($A670&lt;&gt;"",670,"")</f>
        <v/>
      </c>
    </row>
    <row r="671" spans="1:10" x14ac:dyDescent="0.2">
      <c r="A671" t="str">
        <f>IF(AND(UPPER(MAESTRO!$M670)="VIP",UPPER(MAESTRO!$J670)="SI",MAESTRO!$F670&lt;&gt;""),MAESTRO!$P670,"")</f>
        <v/>
      </c>
      <c r="B671" t="str">
        <f>IF($A671&lt;&gt;"",MAESTRO!$B670,"")</f>
        <v/>
      </c>
      <c r="C671" t="str">
        <f>IF($A671&lt;&gt;"",MAESTRO!$A670,"")</f>
        <v/>
      </c>
      <c r="D671" t="str">
        <f>IF($A671&lt;&gt;"",MAESTRO!$C670,"")</f>
        <v/>
      </c>
      <c r="E671" t="str">
        <f>IF($A671&lt;&gt;"",MAESTRO!$M670,"")</f>
        <v/>
      </c>
      <c r="F671" t="str">
        <f>IF($A671&lt;&gt;"",MAESTRO!$J670,"")</f>
        <v/>
      </c>
      <c r="G671" t="str">
        <f>IF($A671&lt;&gt;"",MAESTRO!$D670,"")</f>
        <v/>
      </c>
      <c r="H671" t="str">
        <f>IF($A671&lt;&gt;"",IF(TRIM(MAESTRO!$G670&amp;" "&amp;MAESTRO!$H670&amp;" "&amp;MAESTRO!$I670)="",MAESTRO!$F670,TRIM(MAESTRO!$G670&amp;" "&amp;MAESTRO!$H670&amp;" "&amp;MAESTRO!$I670)),"")</f>
        <v/>
      </c>
      <c r="I671" t="str">
        <f>IF($A671&lt;&gt;"",MAESTRO!$K670,"")</f>
        <v/>
      </c>
      <c r="J671" t="str">
        <f>IF($A671&lt;&gt;"",671,"")</f>
        <v/>
      </c>
    </row>
    <row r="672" spans="1:10" x14ac:dyDescent="0.2">
      <c r="A672" t="str">
        <f>IF(AND(UPPER(MAESTRO!$M671)="VIP",UPPER(MAESTRO!$J671)="SI",MAESTRO!$F671&lt;&gt;""),MAESTRO!$P671,"")</f>
        <v/>
      </c>
      <c r="B672" t="str">
        <f>IF($A672&lt;&gt;"",MAESTRO!$B671,"")</f>
        <v/>
      </c>
      <c r="C672" t="str">
        <f>IF($A672&lt;&gt;"",MAESTRO!$A671,"")</f>
        <v/>
      </c>
      <c r="D672" t="str">
        <f>IF($A672&lt;&gt;"",MAESTRO!$C671,"")</f>
        <v/>
      </c>
      <c r="E672" t="str">
        <f>IF($A672&lt;&gt;"",MAESTRO!$M671,"")</f>
        <v/>
      </c>
      <c r="F672" t="str">
        <f>IF($A672&lt;&gt;"",MAESTRO!$J671,"")</f>
        <v/>
      </c>
      <c r="G672" t="str">
        <f>IF($A672&lt;&gt;"",MAESTRO!$D671,"")</f>
        <v/>
      </c>
      <c r="H672" t="str">
        <f>IF($A672&lt;&gt;"",IF(TRIM(MAESTRO!$G671&amp;" "&amp;MAESTRO!$H671&amp;" "&amp;MAESTRO!$I671)="",MAESTRO!$F671,TRIM(MAESTRO!$G671&amp;" "&amp;MAESTRO!$H671&amp;" "&amp;MAESTRO!$I671)),"")</f>
        <v/>
      </c>
      <c r="I672" t="str">
        <f>IF($A672&lt;&gt;"",MAESTRO!$K671,"")</f>
        <v/>
      </c>
      <c r="J672" t="str">
        <f>IF($A672&lt;&gt;"",672,"")</f>
        <v/>
      </c>
    </row>
    <row r="673" spans="1:10" x14ac:dyDescent="0.2">
      <c r="A673" t="str">
        <f>IF(AND(UPPER(MAESTRO!$M672)="VIP",UPPER(MAESTRO!$J672)="SI",MAESTRO!$F672&lt;&gt;""),MAESTRO!$P672,"")</f>
        <v/>
      </c>
      <c r="B673" t="str">
        <f>IF($A673&lt;&gt;"",MAESTRO!$B672,"")</f>
        <v/>
      </c>
      <c r="C673" t="str">
        <f>IF($A673&lt;&gt;"",MAESTRO!$A672,"")</f>
        <v/>
      </c>
      <c r="D673" t="str">
        <f>IF($A673&lt;&gt;"",MAESTRO!$C672,"")</f>
        <v/>
      </c>
      <c r="E673" t="str">
        <f>IF($A673&lt;&gt;"",MAESTRO!$M672,"")</f>
        <v/>
      </c>
      <c r="F673" t="str">
        <f>IF($A673&lt;&gt;"",MAESTRO!$J672,"")</f>
        <v/>
      </c>
      <c r="G673" t="str">
        <f>IF($A673&lt;&gt;"",MAESTRO!$D672,"")</f>
        <v/>
      </c>
      <c r="H673" t="str">
        <f>IF($A673&lt;&gt;"",IF(TRIM(MAESTRO!$G672&amp;" "&amp;MAESTRO!$H672&amp;" "&amp;MAESTRO!$I672)="",MAESTRO!$F672,TRIM(MAESTRO!$G672&amp;" "&amp;MAESTRO!$H672&amp;" "&amp;MAESTRO!$I672)),"")</f>
        <v/>
      </c>
      <c r="I673" t="str">
        <f>IF($A673&lt;&gt;"",MAESTRO!$K672,"")</f>
        <v/>
      </c>
      <c r="J673" t="str">
        <f>IF($A673&lt;&gt;"",673,"")</f>
        <v/>
      </c>
    </row>
    <row r="674" spans="1:10" x14ac:dyDescent="0.2">
      <c r="A674" t="str">
        <f>IF(AND(UPPER(MAESTRO!$M673)="VIP",UPPER(MAESTRO!$J673)="SI",MAESTRO!$F673&lt;&gt;""),MAESTRO!$P673,"")</f>
        <v/>
      </c>
      <c r="B674" t="str">
        <f>IF($A674&lt;&gt;"",MAESTRO!$B673,"")</f>
        <v/>
      </c>
      <c r="C674" t="str">
        <f>IF($A674&lt;&gt;"",MAESTRO!$A673,"")</f>
        <v/>
      </c>
      <c r="D674" t="str">
        <f>IF($A674&lt;&gt;"",MAESTRO!$C673,"")</f>
        <v/>
      </c>
      <c r="E674" t="str">
        <f>IF($A674&lt;&gt;"",MAESTRO!$M673,"")</f>
        <v/>
      </c>
      <c r="F674" t="str">
        <f>IF($A674&lt;&gt;"",MAESTRO!$J673,"")</f>
        <v/>
      </c>
      <c r="G674" t="str">
        <f>IF($A674&lt;&gt;"",MAESTRO!$D673,"")</f>
        <v/>
      </c>
      <c r="H674" t="str">
        <f>IF($A674&lt;&gt;"",IF(TRIM(MAESTRO!$G673&amp;" "&amp;MAESTRO!$H673&amp;" "&amp;MAESTRO!$I673)="",MAESTRO!$F673,TRIM(MAESTRO!$G673&amp;" "&amp;MAESTRO!$H673&amp;" "&amp;MAESTRO!$I673)),"")</f>
        <v/>
      </c>
      <c r="I674" t="str">
        <f>IF($A674&lt;&gt;"",MAESTRO!$K673,"")</f>
        <v/>
      </c>
      <c r="J674" t="str">
        <f>IF($A674&lt;&gt;"",674,"")</f>
        <v/>
      </c>
    </row>
    <row r="675" spans="1:10" x14ac:dyDescent="0.2">
      <c r="A675" t="str">
        <f>IF(AND(UPPER(MAESTRO!$M674)="VIP",UPPER(MAESTRO!$J674)="SI",MAESTRO!$F674&lt;&gt;""),MAESTRO!$P674,"")</f>
        <v/>
      </c>
      <c r="B675" t="str">
        <f>IF($A675&lt;&gt;"",MAESTRO!$B674,"")</f>
        <v/>
      </c>
      <c r="C675" t="str">
        <f>IF($A675&lt;&gt;"",MAESTRO!$A674,"")</f>
        <v/>
      </c>
      <c r="D675" t="str">
        <f>IF($A675&lt;&gt;"",MAESTRO!$C674,"")</f>
        <v/>
      </c>
      <c r="E675" t="str">
        <f>IF($A675&lt;&gt;"",MAESTRO!$M674,"")</f>
        <v/>
      </c>
      <c r="F675" t="str">
        <f>IF($A675&lt;&gt;"",MAESTRO!$J674,"")</f>
        <v/>
      </c>
      <c r="G675" t="str">
        <f>IF($A675&lt;&gt;"",MAESTRO!$D674,"")</f>
        <v/>
      </c>
      <c r="H675" t="str">
        <f>IF($A675&lt;&gt;"",IF(TRIM(MAESTRO!$G674&amp;" "&amp;MAESTRO!$H674&amp;" "&amp;MAESTRO!$I674)="",MAESTRO!$F674,TRIM(MAESTRO!$G674&amp;" "&amp;MAESTRO!$H674&amp;" "&amp;MAESTRO!$I674)),"")</f>
        <v/>
      </c>
      <c r="I675" t="str">
        <f>IF($A675&lt;&gt;"",MAESTRO!$K674,"")</f>
        <v/>
      </c>
      <c r="J675" t="str">
        <f>IF($A675&lt;&gt;"",675,"")</f>
        <v/>
      </c>
    </row>
    <row r="676" spans="1:10" x14ac:dyDescent="0.2">
      <c r="A676" t="str">
        <f>IF(AND(UPPER(MAESTRO!$M675)="VIP",UPPER(MAESTRO!$J675)="SI",MAESTRO!$F675&lt;&gt;""),MAESTRO!$P675,"")</f>
        <v/>
      </c>
      <c r="B676" t="str">
        <f>IF($A676&lt;&gt;"",MAESTRO!$B675,"")</f>
        <v/>
      </c>
      <c r="C676" t="str">
        <f>IF($A676&lt;&gt;"",MAESTRO!$A675,"")</f>
        <v/>
      </c>
      <c r="D676" t="str">
        <f>IF($A676&lt;&gt;"",MAESTRO!$C675,"")</f>
        <v/>
      </c>
      <c r="E676" t="str">
        <f>IF($A676&lt;&gt;"",MAESTRO!$M675,"")</f>
        <v/>
      </c>
      <c r="F676" t="str">
        <f>IF($A676&lt;&gt;"",MAESTRO!$J675,"")</f>
        <v/>
      </c>
      <c r="G676" t="str">
        <f>IF($A676&lt;&gt;"",MAESTRO!$D675,"")</f>
        <v/>
      </c>
      <c r="H676" t="str">
        <f>IF($A676&lt;&gt;"",IF(TRIM(MAESTRO!$G675&amp;" "&amp;MAESTRO!$H675&amp;" "&amp;MAESTRO!$I675)="",MAESTRO!$F675,TRIM(MAESTRO!$G675&amp;" "&amp;MAESTRO!$H675&amp;" "&amp;MAESTRO!$I675)),"")</f>
        <v/>
      </c>
      <c r="I676" t="str">
        <f>IF($A676&lt;&gt;"",MAESTRO!$K675,"")</f>
        <v/>
      </c>
      <c r="J676" t="str">
        <f>IF($A676&lt;&gt;"",676,"")</f>
        <v/>
      </c>
    </row>
    <row r="677" spans="1:10" x14ac:dyDescent="0.2">
      <c r="A677" t="str">
        <f>IF(AND(UPPER(MAESTRO!$M676)="VIP",UPPER(MAESTRO!$J676)="SI",MAESTRO!$F676&lt;&gt;""),MAESTRO!$P676,"")</f>
        <v/>
      </c>
      <c r="B677" t="str">
        <f>IF($A677&lt;&gt;"",MAESTRO!$B676,"")</f>
        <v/>
      </c>
      <c r="C677" t="str">
        <f>IF($A677&lt;&gt;"",MAESTRO!$A676,"")</f>
        <v/>
      </c>
      <c r="D677" t="str">
        <f>IF($A677&lt;&gt;"",MAESTRO!$C676,"")</f>
        <v/>
      </c>
      <c r="E677" t="str">
        <f>IF($A677&lt;&gt;"",MAESTRO!$M676,"")</f>
        <v/>
      </c>
      <c r="F677" t="str">
        <f>IF($A677&lt;&gt;"",MAESTRO!$J676,"")</f>
        <v/>
      </c>
      <c r="G677" t="str">
        <f>IF($A677&lt;&gt;"",MAESTRO!$D676,"")</f>
        <v/>
      </c>
      <c r="H677" t="str">
        <f>IF($A677&lt;&gt;"",IF(TRIM(MAESTRO!$G676&amp;" "&amp;MAESTRO!$H676&amp;" "&amp;MAESTRO!$I676)="",MAESTRO!$F676,TRIM(MAESTRO!$G676&amp;" "&amp;MAESTRO!$H676&amp;" "&amp;MAESTRO!$I676)),"")</f>
        <v/>
      </c>
      <c r="I677" t="str">
        <f>IF($A677&lt;&gt;"",MAESTRO!$K676,"")</f>
        <v/>
      </c>
      <c r="J677" t="str">
        <f>IF($A677&lt;&gt;"",677,"")</f>
        <v/>
      </c>
    </row>
    <row r="678" spans="1:10" x14ac:dyDescent="0.2">
      <c r="A678" t="str">
        <f>IF(AND(UPPER(MAESTRO!$M677)="VIP",UPPER(MAESTRO!$J677)="SI",MAESTRO!$F677&lt;&gt;""),MAESTRO!$P677,"")</f>
        <v/>
      </c>
      <c r="B678" t="str">
        <f>IF($A678&lt;&gt;"",MAESTRO!$B677,"")</f>
        <v/>
      </c>
      <c r="C678" t="str">
        <f>IF($A678&lt;&gt;"",MAESTRO!$A677,"")</f>
        <v/>
      </c>
      <c r="D678" t="str">
        <f>IF($A678&lt;&gt;"",MAESTRO!$C677,"")</f>
        <v/>
      </c>
      <c r="E678" t="str">
        <f>IF($A678&lt;&gt;"",MAESTRO!$M677,"")</f>
        <v/>
      </c>
      <c r="F678" t="str">
        <f>IF($A678&lt;&gt;"",MAESTRO!$J677,"")</f>
        <v/>
      </c>
      <c r="G678" t="str">
        <f>IF($A678&lt;&gt;"",MAESTRO!$D677,"")</f>
        <v/>
      </c>
      <c r="H678" t="str">
        <f>IF($A678&lt;&gt;"",IF(TRIM(MAESTRO!$G677&amp;" "&amp;MAESTRO!$H677&amp;" "&amp;MAESTRO!$I677)="",MAESTRO!$F677,TRIM(MAESTRO!$G677&amp;" "&amp;MAESTRO!$H677&amp;" "&amp;MAESTRO!$I677)),"")</f>
        <v/>
      </c>
      <c r="I678" t="str">
        <f>IF($A678&lt;&gt;"",MAESTRO!$K677,"")</f>
        <v/>
      </c>
      <c r="J678" t="str">
        <f>IF($A678&lt;&gt;"",678,"")</f>
        <v/>
      </c>
    </row>
    <row r="679" spans="1:10" x14ac:dyDescent="0.2">
      <c r="A679" t="str">
        <f>IF(AND(UPPER(MAESTRO!$M678)="VIP",UPPER(MAESTRO!$J678)="SI",MAESTRO!$F678&lt;&gt;""),MAESTRO!$P678,"")</f>
        <v/>
      </c>
      <c r="B679" t="str">
        <f>IF($A679&lt;&gt;"",MAESTRO!$B678,"")</f>
        <v/>
      </c>
      <c r="C679" t="str">
        <f>IF($A679&lt;&gt;"",MAESTRO!$A678,"")</f>
        <v/>
      </c>
      <c r="D679" t="str">
        <f>IF($A679&lt;&gt;"",MAESTRO!$C678,"")</f>
        <v/>
      </c>
      <c r="E679" t="str">
        <f>IF($A679&lt;&gt;"",MAESTRO!$M678,"")</f>
        <v/>
      </c>
      <c r="F679" t="str">
        <f>IF($A679&lt;&gt;"",MAESTRO!$J678,"")</f>
        <v/>
      </c>
      <c r="G679" t="str">
        <f>IF($A679&lt;&gt;"",MAESTRO!$D678,"")</f>
        <v/>
      </c>
      <c r="H679" t="str">
        <f>IF($A679&lt;&gt;"",IF(TRIM(MAESTRO!$G678&amp;" "&amp;MAESTRO!$H678&amp;" "&amp;MAESTRO!$I678)="",MAESTRO!$F678,TRIM(MAESTRO!$G678&amp;" "&amp;MAESTRO!$H678&amp;" "&amp;MAESTRO!$I678)),"")</f>
        <v/>
      </c>
      <c r="I679" t="str">
        <f>IF($A679&lt;&gt;"",MAESTRO!$K678,"")</f>
        <v/>
      </c>
      <c r="J679" t="str">
        <f>IF($A679&lt;&gt;"",679,"")</f>
        <v/>
      </c>
    </row>
    <row r="680" spans="1:10" x14ac:dyDescent="0.2">
      <c r="A680" t="str">
        <f>IF(AND(UPPER(MAESTRO!$M679)="VIP",UPPER(MAESTRO!$J679)="SI",MAESTRO!$F679&lt;&gt;""),MAESTRO!$P679,"")</f>
        <v/>
      </c>
      <c r="B680" t="str">
        <f>IF($A680&lt;&gt;"",MAESTRO!$B679,"")</f>
        <v/>
      </c>
      <c r="C680" t="str">
        <f>IF($A680&lt;&gt;"",MAESTRO!$A679,"")</f>
        <v/>
      </c>
      <c r="D680" t="str">
        <f>IF($A680&lt;&gt;"",MAESTRO!$C679,"")</f>
        <v/>
      </c>
      <c r="E680" t="str">
        <f>IF($A680&lt;&gt;"",MAESTRO!$M679,"")</f>
        <v/>
      </c>
      <c r="F680" t="str">
        <f>IF($A680&lt;&gt;"",MAESTRO!$J679,"")</f>
        <v/>
      </c>
      <c r="G680" t="str">
        <f>IF($A680&lt;&gt;"",MAESTRO!$D679,"")</f>
        <v/>
      </c>
      <c r="H680" t="str">
        <f>IF($A680&lt;&gt;"",IF(TRIM(MAESTRO!$G679&amp;" "&amp;MAESTRO!$H679&amp;" "&amp;MAESTRO!$I679)="",MAESTRO!$F679,TRIM(MAESTRO!$G679&amp;" "&amp;MAESTRO!$H679&amp;" "&amp;MAESTRO!$I679)),"")</f>
        <v/>
      </c>
      <c r="I680" t="str">
        <f>IF($A680&lt;&gt;"",MAESTRO!$K679,"")</f>
        <v/>
      </c>
      <c r="J680" t="str">
        <f>IF($A680&lt;&gt;"",680,"")</f>
        <v/>
      </c>
    </row>
    <row r="681" spans="1:10" x14ac:dyDescent="0.2">
      <c r="A681" t="str">
        <f>IF(AND(UPPER(MAESTRO!$M680)="VIP",UPPER(MAESTRO!$J680)="SI",MAESTRO!$F680&lt;&gt;""),MAESTRO!$P680,"")</f>
        <v/>
      </c>
      <c r="B681" t="str">
        <f>IF($A681&lt;&gt;"",MAESTRO!$B680,"")</f>
        <v/>
      </c>
      <c r="C681" t="str">
        <f>IF($A681&lt;&gt;"",MAESTRO!$A680,"")</f>
        <v/>
      </c>
      <c r="D681" t="str">
        <f>IF($A681&lt;&gt;"",MAESTRO!$C680,"")</f>
        <v/>
      </c>
      <c r="E681" t="str">
        <f>IF($A681&lt;&gt;"",MAESTRO!$M680,"")</f>
        <v/>
      </c>
      <c r="F681" t="str">
        <f>IF($A681&lt;&gt;"",MAESTRO!$J680,"")</f>
        <v/>
      </c>
      <c r="G681" t="str">
        <f>IF($A681&lt;&gt;"",MAESTRO!$D680,"")</f>
        <v/>
      </c>
      <c r="H681" t="str">
        <f>IF($A681&lt;&gt;"",IF(TRIM(MAESTRO!$G680&amp;" "&amp;MAESTRO!$H680&amp;" "&amp;MAESTRO!$I680)="",MAESTRO!$F680,TRIM(MAESTRO!$G680&amp;" "&amp;MAESTRO!$H680&amp;" "&amp;MAESTRO!$I680)),"")</f>
        <v/>
      </c>
      <c r="I681" t="str">
        <f>IF($A681&lt;&gt;"",MAESTRO!$K680,"")</f>
        <v/>
      </c>
      <c r="J681" t="str">
        <f>IF($A681&lt;&gt;"",681,"")</f>
        <v/>
      </c>
    </row>
    <row r="682" spans="1:10" x14ac:dyDescent="0.2">
      <c r="A682" t="str">
        <f>IF(AND(UPPER(MAESTRO!$M681)="VIP",UPPER(MAESTRO!$J681)="SI",MAESTRO!$F681&lt;&gt;""),MAESTRO!$P681,"")</f>
        <v/>
      </c>
      <c r="B682" t="str">
        <f>IF($A682&lt;&gt;"",MAESTRO!$B681,"")</f>
        <v/>
      </c>
      <c r="C682" t="str">
        <f>IF($A682&lt;&gt;"",MAESTRO!$A681,"")</f>
        <v/>
      </c>
      <c r="D682" t="str">
        <f>IF($A682&lt;&gt;"",MAESTRO!$C681,"")</f>
        <v/>
      </c>
      <c r="E682" t="str">
        <f>IF($A682&lt;&gt;"",MAESTRO!$M681,"")</f>
        <v/>
      </c>
      <c r="F682" t="str">
        <f>IF($A682&lt;&gt;"",MAESTRO!$J681,"")</f>
        <v/>
      </c>
      <c r="G682" t="str">
        <f>IF($A682&lt;&gt;"",MAESTRO!$D681,"")</f>
        <v/>
      </c>
      <c r="H682" t="str">
        <f>IF($A682&lt;&gt;"",IF(TRIM(MAESTRO!$G681&amp;" "&amp;MAESTRO!$H681&amp;" "&amp;MAESTRO!$I681)="",MAESTRO!$F681,TRIM(MAESTRO!$G681&amp;" "&amp;MAESTRO!$H681&amp;" "&amp;MAESTRO!$I681)),"")</f>
        <v/>
      </c>
      <c r="I682" t="str">
        <f>IF($A682&lt;&gt;"",MAESTRO!$K681,"")</f>
        <v/>
      </c>
      <c r="J682" t="str">
        <f>IF($A682&lt;&gt;"",682,"")</f>
        <v/>
      </c>
    </row>
    <row r="683" spans="1:10" x14ac:dyDescent="0.2">
      <c r="A683" t="str">
        <f>IF(AND(UPPER(MAESTRO!$M682)="VIP",UPPER(MAESTRO!$J682)="SI",MAESTRO!$F682&lt;&gt;""),MAESTRO!$P682,"")</f>
        <v/>
      </c>
      <c r="B683" t="str">
        <f>IF($A683&lt;&gt;"",MAESTRO!$B682,"")</f>
        <v/>
      </c>
      <c r="C683" t="str">
        <f>IF($A683&lt;&gt;"",MAESTRO!$A682,"")</f>
        <v/>
      </c>
      <c r="D683" t="str">
        <f>IF($A683&lt;&gt;"",MAESTRO!$C682,"")</f>
        <v/>
      </c>
      <c r="E683" t="str">
        <f>IF($A683&lt;&gt;"",MAESTRO!$M682,"")</f>
        <v/>
      </c>
      <c r="F683" t="str">
        <f>IF($A683&lt;&gt;"",MAESTRO!$J682,"")</f>
        <v/>
      </c>
      <c r="G683" t="str">
        <f>IF($A683&lt;&gt;"",MAESTRO!$D682,"")</f>
        <v/>
      </c>
      <c r="H683" t="str">
        <f>IF($A683&lt;&gt;"",IF(TRIM(MAESTRO!$G682&amp;" "&amp;MAESTRO!$H682&amp;" "&amp;MAESTRO!$I682)="",MAESTRO!$F682,TRIM(MAESTRO!$G682&amp;" "&amp;MAESTRO!$H682&amp;" "&amp;MAESTRO!$I682)),"")</f>
        <v/>
      </c>
      <c r="I683" t="str">
        <f>IF($A683&lt;&gt;"",MAESTRO!$K682,"")</f>
        <v/>
      </c>
      <c r="J683" t="str">
        <f>IF($A683&lt;&gt;"",683,"")</f>
        <v/>
      </c>
    </row>
    <row r="684" spans="1:10" x14ac:dyDescent="0.2">
      <c r="A684" t="str">
        <f>IF(AND(UPPER(MAESTRO!$M683)="VIP",UPPER(MAESTRO!$J683)="SI",MAESTRO!$F683&lt;&gt;""),MAESTRO!$P683,"")</f>
        <v/>
      </c>
      <c r="B684" t="str">
        <f>IF($A684&lt;&gt;"",MAESTRO!$B683,"")</f>
        <v/>
      </c>
      <c r="C684" t="str">
        <f>IF($A684&lt;&gt;"",MAESTRO!$A683,"")</f>
        <v/>
      </c>
      <c r="D684" t="str">
        <f>IF($A684&lt;&gt;"",MAESTRO!$C683,"")</f>
        <v/>
      </c>
      <c r="E684" t="str">
        <f>IF($A684&lt;&gt;"",MAESTRO!$M683,"")</f>
        <v/>
      </c>
      <c r="F684" t="str">
        <f>IF($A684&lt;&gt;"",MAESTRO!$J683,"")</f>
        <v/>
      </c>
      <c r="G684" t="str">
        <f>IF($A684&lt;&gt;"",MAESTRO!$D683,"")</f>
        <v/>
      </c>
      <c r="H684" t="str">
        <f>IF($A684&lt;&gt;"",IF(TRIM(MAESTRO!$G683&amp;" "&amp;MAESTRO!$H683&amp;" "&amp;MAESTRO!$I683)="",MAESTRO!$F683,TRIM(MAESTRO!$G683&amp;" "&amp;MAESTRO!$H683&amp;" "&amp;MAESTRO!$I683)),"")</f>
        <v/>
      </c>
      <c r="I684" t="str">
        <f>IF($A684&lt;&gt;"",MAESTRO!$K683,"")</f>
        <v/>
      </c>
      <c r="J684" t="str">
        <f>IF($A684&lt;&gt;"",684,"")</f>
        <v/>
      </c>
    </row>
    <row r="685" spans="1:10" x14ac:dyDescent="0.2">
      <c r="A685" t="str">
        <f>IF(AND(UPPER(MAESTRO!$M684)="VIP",UPPER(MAESTRO!$J684)="SI",MAESTRO!$F684&lt;&gt;""),MAESTRO!$P684,"")</f>
        <v/>
      </c>
      <c r="B685" t="str">
        <f>IF($A685&lt;&gt;"",MAESTRO!$B684,"")</f>
        <v/>
      </c>
      <c r="C685" t="str">
        <f>IF($A685&lt;&gt;"",MAESTRO!$A684,"")</f>
        <v/>
      </c>
      <c r="D685" t="str">
        <f>IF($A685&lt;&gt;"",MAESTRO!$C684,"")</f>
        <v/>
      </c>
      <c r="E685" t="str">
        <f>IF($A685&lt;&gt;"",MAESTRO!$M684,"")</f>
        <v/>
      </c>
      <c r="F685" t="str">
        <f>IF($A685&lt;&gt;"",MAESTRO!$J684,"")</f>
        <v/>
      </c>
      <c r="G685" t="str">
        <f>IF($A685&lt;&gt;"",MAESTRO!$D684,"")</f>
        <v/>
      </c>
      <c r="H685" t="str">
        <f>IF($A685&lt;&gt;"",IF(TRIM(MAESTRO!$G684&amp;" "&amp;MAESTRO!$H684&amp;" "&amp;MAESTRO!$I684)="",MAESTRO!$F684,TRIM(MAESTRO!$G684&amp;" "&amp;MAESTRO!$H684&amp;" "&amp;MAESTRO!$I684)),"")</f>
        <v/>
      </c>
      <c r="I685" t="str">
        <f>IF($A685&lt;&gt;"",MAESTRO!$K684,"")</f>
        <v/>
      </c>
      <c r="J685" t="str">
        <f>IF($A685&lt;&gt;"",685,"")</f>
        <v/>
      </c>
    </row>
    <row r="686" spans="1:10" x14ac:dyDescent="0.2">
      <c r="A686" t="str">
        <f>IF(AND(UPPER(MAESTRO!$M685)="VIP",UPPER(MAESTRO!$J685)="SI",MAESTRO!$F685&lt;&gt;""),MAESTRO!$P685,"")</f>
        <v/>
      </c>
      <c r="B686" t="str">
        <f>IF($A686&lt;&gt;"",MAESTRO!$B685,"")</f>
        <v/>
      </c>
      <c r="C686" t="str">
        <f>IF($A686&lt;&gt;"",MAESTRO!$A685,"")</f>
        <v/>
      </c>
      <c r="D686" t="str">
        <f>IF($A686&lt;&gt;"",MAESTRO!$C685,"")</f>
        <v/>
      </c>
      <c r="E686" t="str">
        <f>IF($A686&lt;&gt;"",MAESTRO!$M685,"")</f>
        <v/>
      </c>
      <c r="F686" t="str">
        <f>IF($A686&lt;&gt;"",MAESTRO!$J685,"")</f>
        <v/>
      </c>
      <c r="G686" t="str">
        <f>IF($A686&lt;&gt;"",MAESTRO!$D685,"")</f>
        <v/>
      </c>
      <c r="H686" t="str">
        <f>IF($A686&lt;&gt;"",IF(TRIM(MAESTRO!$G685&amp;" "&amp;MAESTRO!$H685&amp;" "&amp;MAESTRO!$I685)="",MAESTRO!$F685,TRIM(MAESTRO!$G685&amp;" "&amp;MAESTRO!$H685&amp;" "&amp;MAESTRO!$I685)),"")</f>
        <v/>
      </c>
      <c r="I686" t="str">
        <f>IF($A686&lt;&gt;"",MAESTRO!$K685,"")</f>
        <v/>
      </c>
      <c r="J686" t="str">
        <f>IF($A686&lt;&gt;"",686,"")</f>
        <v/>
      </c>
    </row>
    <row r="687" spans="1:10" x14ac:dyDescent="0.2">
      <c r="A687" t="str">
        <f>IF(AND(UPPER(MAESTRO!$M686)="VIP",UPPER(MAESTRO!$J686)="SI",MAESTRO!$F686&lt;&gt;""),MAESTRO!$P686,"")</f>
        <v/>
      </c>
      <c r="B687" t="str">
        <f>IF($A687&lt;&gt;"",MAESTRO!$B686,"")</f>
        <v/>
      </c>
      <c r="C687" t="str">
        <f>IF($A687&lt;&gt;"",MAESTRO!$A686,"")</f>
        <v/>
      </c>
      <c r="D687" t="str">
        <f>IF($A687&lt;&gt;"",MAESTRO!$C686,"")</f>
        <v/>
      </c>
      <c r="E687" t="str">
        <f>IF($A687&lt;&gt;"",MAESTRO!$M686,"")</f>
        <v/>
      </c>
      <c r="F687" t="str">
        <f>IF($A687&lt;&gt;"",MAESTRO!$J686,"")</f>
        <v/>
      </c>
      <c r="G687" t="str">
        <f>IF($A687&lt;&gt;"",MAESTRO!$D686,"")</f>
        <v/>
      </c>
      <c r="H687" t="str">
        <f>IF($A687&lt;&gt;"",IF(TRIM(MAESTRO!$G686&amp;" "&amp;MAESTRO!$H686&amp;" "&amp;MAESTRO!$I686)="",MAESTRO!$F686,TRIM(MAESTRO!$G686&amp;" "&amp;MAESTRO!$H686&amp;" "&amp;MAESTRO!$I686)),"")</f>
        <v/>
      </c>
      <c r="I687" t="str">
        <f>IF($A687&lt;&gt;"",MAESTRO!$K686,"")</f>
        <v/>
      </c>
      <c r="J687" t="str">
        <f>IF($A687&lt;&gt;"",687,"")</f>
        <v/>
      </c>
    </row>
    <row r="688" spans="1:10" x14ac:dyDescent="0.2">
      <c r="A688" t="str">
        <f>IF(AND(UPPER(MAESTRO!$M687)="VIP",UPPER(MAESTRO!$J687)="SI",MAESTRO!$F687&lt;&gt;""),MAESTRO!$P687,"")</f>
        <v/>
      </c>
      <c r="B688" t="str">
        <f>IF($A688&lt;&gt;"",MAESTRO!$B687,"")</f>
        <v/>
      </c>
      <c r="C688" t="str">
        <f>IF($A688&lt;&gt;"",MAESTRO!$A687,"")</f>
        <v/>
      </c>
      <c r="D688" t="str">
        <f>IF($A688&lt;&gt;"",MAESTRO!$C687,"")</f>
        <v/>
      </c>
      <c r="E688" t="str">
        <f>IF($A688&lt;&gt;"",MAESTRO!$M687,"")</f>
        <v/>
      </c>
      <c r="F688" t="str">
        <f>IF($A688&lt;&gt;"",MAESTRO!$J687,"")</f>
        <v/>
      </c>
      <c r="G688" t="str">
        <f>IF($A688&lt;&gt;"",MAESTRO!$D687,"")</f>
        <v/>
      </c>
      <c r="H688" t="str">
        <f>IF($A688&lt;&gt;"",IF(TRIM(MAESTRO!$G687&amp;" "&amp;MAESTRO!$H687&amp;" "&amp;MAESTRO!$I687)="",MAESTRO!$F687,TRIM(MAESTRO!$G687&amp;" "&amp;MAESTRO!$H687&amp;" "&amp;MAESTRO!$I687)),"")</f>
        <v/>
      </c>
      <c r="I688" t="str">
        <f>IF($A688&lt;&gt;"",MAESTRO!$K687,"")</f>
        <v/>
      </c>
      <c r="J688" t="str">
        <f>IF($A688&lt;&gt;"",688,"")</f>
        <v/>
      </c>
    </row>
    <row r="689" spans="1:10" x14ac:dyDescent="0.2">
      <c r="A689" t="str">
        <f>IF(AND(UPPER(MAESTRO!$M688)="VIP",UPPER(MAESTRO!$J688)="SI",MAESTRO!$F688&lt;&gt;""),MAESTRO!$P688,"")</f>
        <v/>
      </c>
      <c r="B689" t="str">
        <f>IF($A689&lt;&gt;"",MAESTRO!$B688,"")</f>
        <v/>
      </c>
      <c r="C689" t="str">
        <f>IF($A689&lt;&gt;"",MAESTRO!$A688,"")</f>
        <v/>
      </c>
      <c r="D689" t="str">
        <f>IF($A689&lt;&gt;"",MAESTRO!$C688,"")</f>
        <v/>
      </c>
      <c r="E689" t="str">
        <f>IF($A689&lt;&gt;"",MAESTRO!$M688,"")</f>
        <v/>
      </c>
      <c r="F689" t="str">
        <f>IF($A689&lt;&gt;"",MAESTRO!$J688,"")</f>
        <v/>
      </c>
      <c r="G689" t="str">
        <f>IF($A689&lt;&gt;"",MAESTRO!$D688,"")</f>
        <v/>
      </c>
      <c r="H689" t="str">
        <f>IF($A689&lt;&gt;"",IF(TRIM(MAESTRO!$G688&amp;" "&amp;MAESTRO!$H688&amp;" "&amp;MAESTRO!$I688)="",MAESTRO!$F688,TRIM(MAESTRO!$G688&amp;" "&amp;MAESTRO!$H688&amp;" "&amp;MAESTRO!$I688)),"")</f>
        <v/>
      </c>
      <c r="I689" t="str">
        <f>IF($A689&lt;&gt;"",MAESTRO!$K688,"")</f>
        <v/>
      </c>
      <c r="J689" t="str">
        <f>IF($A689&lt;&gt;"",689,"")</f>
        <v/>
      </c>
    </row>
    <row r="690" spans="1:10" x14ac:dyDescent="0.2">
      <c r="A690" t="str">
        <f>IF(AND(UPPER(MAESTRO!$M689)="VIP",UPPER(MAESTRO!$J689)="SI",MAESTRO!$F689&lt;&gt;""),MAESTRO!$P689,"")</f>
        <v/>
      </c>
      <c r="B690" t="str">
        <f>IF($A690&lt;&gt;"",MAESTRO!$B689,"")</f>
        <v/>
      </c>
      <c r="C690" t="str">
        <f>IF($A690&lt;&gt;"",MAESTRO!$A689,"")</f>
        <v/>
      </c>
      <c r="D690" t="str">
        <f>IF($A690&lt;&gt;"",MAESTRO!$C689,"")</f>
        <v/>
      </c>
      <c r="E690" t="str">
        <f>IF($A690&lt;&gt;"",MAESTRO!$M689,"")</f>
        <v/>
      </c>
      <c r="F690" t="str">
        <f>IF($A690&lt;&gt;"",MAESTRO!$J689,"")</f>
        <v/>
      </c>
      <c r="G690" t="str">
        <f>IF($A690&lt;&gt;"",MAESTRO!$D689,"")</f>
        <v/>
      </c>
      <c r="H690" t="str">
        <f>IF($A690&lt;&gt;"",IF(TRIM(MAESTRO!$G689&amp;" "&amp;MAESTRO!$H689&amp;" "&amp;MAESTRO!$I689)="",MAESTRO!$F689,TRIM(MAESTRO!$G689&amp;" "&amp;MAESTRO!$H689&amp;" "&amp;MAESTRO!$I689)),"")</f>
        <v/>
      </c>
      <c r="I690" t="str">
        <f>IF($A690&lt;&gt;"",MAESTRO!$K689,"")</f>
        <v/>
      </c>
      <c r="J690" t="str">
        <f>IF($A690&lt;&gt;"",690,"")</f>
        <v/>
      </c>
    </row>
    <row r="691" spans="1:10" x14ac:dyDescent="0.2">
      <c r="A691" t="str">
        <f>IF(AND(UPPER(MAESTRO!$M690)="VIP",UPPER(MAESTRO!$J690)="SI",MAESTRO!$F690&lt;&gt;""),MAESTRO!$P690,"")</f>
        <v/>
      </c>
      <c r="B691" t="str">
        <f>IF($A691&lt;&gt;"",MAESTRO!$B690,"")</f>
        <v/>
      </c>
      <c r="C691" t="str">
        <f>IF($A691&lt;&gt;"",MAESTRO!$A690,"")</f>
        <v/>
      </c>
      <c r="D691" t="str">
        <f>IF($A691&lt;&gt;"",MAESTRO!$C690,"")</f>
        <v/>
      </c>
      <c r="E691" t="str">
        <f>IF($A691&lt;&gt;"",MAESTRO!$M690,"")</f>
        <v/>
      </c>
      <c r="F691" t="str">
        <f>IF($A691&lt;&gt;"",MAESTRO!$J690,"")</f>
        <v/>
      </c>
      <c r="G691" t="str">
        <f>IF($A691&lt;&gt;"",MAESTRO!$D690,"")</f>
        <v/>
      </c>
      <c r="H691" t="str">
        <f>IF($A691&lt;&gt;"",IF(TRIM(MAESTRO!$G690&amp;" "&amp;MAESTRO!$H690&amp;" "&amp;MAESTRO!$I690)="",MAESTRO!$F690,TRIM(MAESTRO!$G690&amp;" "&amp;MAESTRO!$H690&amp;" "&amp;MAESTRO!$I690)),"")</f>
        <v/>
      </c>
      <c r="I691" t="str">
        <f>IF($A691&lt;&gt;"",MAESTRO!$K690,"")</f>
        <v/>
      </c>
      <c r="J691" t="str">
        <f>IF($A691&lt;&gt;"",691,"")</f>
        <v/>
      </c>
    </row>
    <row r="692" spans="1:10" x14ac:dyDescent="0.2">
      <c r="A692" t="str">
        <f>IF(AND(UPPER(MAESTRO!$M691)="VIP",UPPER(MAESTRO!$J691)="SI",MAESTRO!$F691&lt;&gt;""),MAESTRO!$P691,"")</f>
        <v/>
      </c>
      <c r="B692" t="str">
        <f>IF($A692&lt;&gt;"",MAESTRO!$B691,"")</f>
        <v/>
      </c>
      <c r="C692" t="str">
        <f>IF($A692&lt;&gt;"",MAESTRO!$A691,"")</f>
        <v/>
      </c>
      <c r="D692" t="str">
        <f>IF($A692&lt;&gt;"",MAESTRO!$C691,"")</f>
        <v/>
      </c>
      <c r="E692" t="str">
        <f>IF($A692&lt;&gt;"",MAESTRO!$M691,"")</f>
        <v/>
      </c>
      <c r="F692" t="str">
        <f>IF($A692&lt;&gt;"",MAESTRO!$J691,"")</f>
        <v/>
      </c>
      <c r="G692" t="str">
        <f>IF($A692&lt;&gt;"",MAESTRO!$D691,"")</f>
        <v/>
      </c>
      <c r="H692" t="str">
        <f>IF($A692&lt;&gt;"",IF(TRIM(MAESTRO!$G691&amp;" "&amp;MAESTRO!$H691&amp;" "&amp;MAESTRO!$I691)="",MAESTRO!$F691,TRIM(MAESTRO!$G691&amp;" "&amp;MAESTRO!$H691&amp;" "&amp;MAESTRO!$I691)),"")</f>
        <v/>
      </c>
      <c r="I692" t="str">
        <f>IF($A692&lt;&gt;"",MAESTRO!$K691,"")</f>
        <v/>
      </c>
      <c r="J692" t="str">
        <f>IF($A692&lt;&gt;"",692,"")</f>
        <v/>
      </c>
    </row>
    <row r="693" spans="1:10" x14ac:dyDescent="0.2">
      <c r="A693" t="str">
        <f>IF(AND(UPPER(MAESTRO!$M692)="VIP",UPPER(MAESTRO!$J692)="SI",MAESTRO!$F692&lt;&gt;""),MAESTRO!$P692,"")</f>
        <v/>
      </c>
      <c r="B693" t="str">
        <f>IF($A693&lt;&gt;"",MAESTRO!$B692,"")</f>
        <v/>
      </c>
      <c r="C693" t="str">
        <f>IF($A693&lt;&gt;"",MAESTRO!$A692,"")</f>
        <v/>
      </c>
      <c r="D693" t="str">
        <f>IF($A693&lt;&gt;"",MAESTRO!$C692,"")</f>
        <v/>
      </c>
      <c r="E693" t="str">
        <f>IF($A693&lt;&gt;"",MAESTRO!$M692,"")</f>
        <v/>
      </c>
      <c r="F693" t="str">
        <f>IF($A693&lt;&gt;"",MAESTRO!$J692,"")</f>
        <v/>
      </c>
      <c r="G693" t="str">
        <f>IF($A693&lt;&gt;"",MAESTRO!$D692,"")</f>
        <v/>
      </c>
      <c r="H693" t="str">
        <f>IF($A693&lt;&gt;"",IF(TRIM(MAESTRO!$G692&amp;" "&amp;MAESTRO!$H692&amp;" "&amp;MAESTRO!$I692)="",MAESTRO!$F692,TRIM(MAESTRO!$G692&amp;" "&amp;MAESTRO!$H692&amp;" "&amp;MAESTRO!$I692)),"")</f>
        <v/>
      </c>
      <c r="I693" t="str">
        <f>IF($A693&lt;&gt;"",MAESTRO!$K692,"")</f>
        <v/>
      </c>
      <c r="J693" t="str">
        <f>IF($A693&lt;&gt;"",693,"")</f>
        <v/>
      </c>
    </row>
    <row r="694" spans="1:10" x14ac:dyDescent="0.2">
      <c r="A694" t="str">
        <f>IF(AND(UPPER(MAESTRO!$M693)="VIP",UPPER(MAESTRO!$J693)="SI",MAESTRO!$F693&lt;&gt;""),MAESTRO!$P693,"")</f>
        <v/>
      </c>
      <c r="B694" t="str">
        <f>IF($A694&lt;&gt;"",MAESTRO!$B693,"")</f>
        <v/>
      </c>
      <c r="C694" t="str">
        <f>IF($A694&lt;&gt;"",MAESTRO!$A693,"")</f>
        <v/>
      </c>
      <c r="D694" t="str">
        <f>IF($A694&lt;&gt;"",MAESTRO!$C693,"")</f>
        <v/>
      </c>
      <c r="E694" t="str">
        <f>IF($A694&lt;&gt;"",MAESTRO!$M693,"")</f>
        <v/>
      </c>
      <c r="F694" t="str">
        <f>IF($A694&lt;&gt;"",MAESTRO!$J693,"")</f>
        <v/>
      </c>
      <c r="G694" t="str">
        <f>IF($A694&lt;&gt;"",MAESTRO!$D693,"")</f>
        <v/>
      </c>
      <c r="H694" t="str">
        <f>IF($A694&lt;&gt;"",IF(TRIM(MAESTRO!$G693&amp;" "&amp;MAESTRO!$H693&amp;" "&amp;MAESTRO!$I693)="",MAESTRO!$F693,TRIM(MAESTRO!$G693&amp;" "&amp;MAESTRO!$H693&amp;" "&amp;MAESTRO!$I693)),"")</f>
        <v/>
      </c>
      <c r="I694" t="str">
        <f>IF($A694&lt;&gt;"",MAESTRO!$K693,"")</f>
        <v/>
      </c>
      <c r="J694" t="str">
        <f>IF($A694&lt;&gt;"",694,"")</f>
        <v/>
      </c>
    </row>
    <row r="695" spans="1:10" x14ac:dyDescent="0.2">
      <c r="A695" t="str">
        <f>IF(AND(UPPER(MAESTRO!$M694)="VIP",UPPER(MAESTRO!$J694)="SI",MAESTRO!$F694&lt;&gt;""),MAESTRO!$P694,"")</f>
        <v/>
      </c>
      <c r="B695" t="str">
        <f>IF($A695&lt;&gt;"",MAESTRO!$B694,"")</f>
        <v/>
      </c>
      <c r="C695" t="str">
        <f>IF($A695&lt;&gt;"",MAESTRO!$A694,"")</f>
        <v/>
      </c>
      <c r="D695" t="str">
        <f>IF($A695&lt;&gt;"",MAESTRO!$C694,"")</f>
        <v/>
      </c>
      <c r="E695" t="str">
        <f>IF($A695&lt;&gt;"",MAESTRO!$M694,"")</f>
        <v/>
      </c>
      <c r="F695" t="str">
        <f>IF($A695&lt;&gt;"",MAESTRO!$J694,"")</f>
        <v/>
      </c>
      <c r="G695" t="str">
        <f>IF($A695&lt;&gt;"",MAESTRO!$D694,"")</f>
        <v/>
      </c>
      <c r="H695" t="str">
        <f>IF($A695&lt;&gt;"",IF(TRIM(MAESTRO!$G694&amp;" "&amp;MAESTRO!$H694&amp;" "&amp;MAESTRO!$I694)="",MAESTRO!$F694,TRIM(MAESTRO!$G694&amp;" "&amp;MAESTRO!$H694&amp;" "&amp;MAESTRO!$I694)),"")</f>
        <v/>
      </c>
      <c r="I695" t="str">
        <f>IF($A695&lt;&gt;"",MAESTRO!$K694,"")</f>
        <v/>
      </c>
      <c r="J695" t="str">
        <f>IF($A695&lt;&gt;"",695,"")</f>
        <v/>
      </c>
    </row>
    <row r="696" spans="1:10" x14ac:dyDescent="0.2">
      <c r="A696" t="str">
        <f>IF(AND(UPPER(MAESTRO!$M695)="VIP",UPPER(MAESTRO!$J695)="SI",MAESTRO!$F695&lt;&gt;""),MAESTRO!$P695,"")</f>
        <v/>
      </c>
      <c r="B696" t="str">
        <f>IF($A696&lt;&gt;"",MAESTRO!$B695,"")</f>
        <v/>
      </c>
      <c r="C696" t="str">
        <f>IF($A696&lt;&gt;"",MAESTRO!$A695,"")</f>
        <v/>
      </c>
      <c r="D696" t="str">
        <f>IF($A696&lt;&gt;"",MAESTRO!$C695,"")</f>
        <v/>
      </c>
      <c r="E696" t="str">
        <f>IF($A696&lt;&gt;"",MAESTRO!$M695,"")</f>
        <v/>
      </c>
      <c r="F696" t="str">
        <f>IF($A696&lt;&gt;"",MAESTRO!$J695,"")</f>
        <v/>
      </c>
      <c r="G696" t="str">
        <f>IF($A696&lt;&gt;"",MAESTRO!$D695,"")</f>
        <v/>
      </c>
      <c r="H696" t="str">
        <f>IF($A696&lt;&gt;"",IF(TRIM(MAESTRO!$G695&amp;" "&amp;MAESTRO!$H695&amp;" "&amp;MAESTRO!$I695)="",MAESTRO!$F695,TRIM(MAESTRO!$G695&amp;" "&amp;MAESTRO!$H695&amp;" "&amp;MAESTRO!$I695)),"")</f>
        <v/>
      </c>
      <c r="I696" t="str">
        <f>IF($A696&lt;&gt;"",MAESTRO!$K695,"")</f>
        <v/>
      </c>
      <c r="J696" t="str">
        <f>IF($A696&lt;&gt;"",696,"")</f>
        <v/>
      </c>
    </row>
    <row r="697" spans="1:10" x14ac:dyDescent="0.2">
      <c r="A697" t="str">
        <f>IF(AND(UPPER(MAESTRO!$M696)="VIP",UPPER(MAESTRO!$J696)="SI",MAESTRO!$F696&lt;&gt;""),MAESTRO!$P696,"")</f>
        <v/>
      </c>
      <c r="B697" t="str">
        <f>IF($A697&lt;&gt;"",MAESTRO!$B696,"")</f>
        <v/>
      </c>
      <c r="C697" t="str">
        <f>IF($A697&lt;&gt;"",MAESTRO!$A696,"")</f>
        <v/>
      </c>
      <c r="D697" t="str">
        <f>IF($A697&lt;&gt;"",MAESTRO!$C696,"")</f>
        <v/>
      </c>
      <c r="E697" t="str">
        <f>IF($A697&lt;&gt;"",MAESTRO!$M696,"")</f>
        <v/>
      </c>
      <c r="F697" t="str">
        <f>IF($A697&lt;&gt;"",MAESTRO!$J696,"")</f>
        <v/>
      </c>
      <c r="G697" t="str">
        <f>IF($A697&lt;&gt;"",MAESTRO!$D696,"")</f>
        <v/>
      </c>
      <c r="H697" t="str">
        <f>IF($A697&lt;&gt;"",IF(TRIM(MAESTRO!$G696&amp;" "&amp;MAESTRO!$H696&amp;" "&amp;MAESTRO!$I696)="",MAESTRO!$F696,TRIM(MAESTRO!$G696&amp;" "&amp;MAESTRO!$H696&amp;" "&amp;MAESTRO!$I696)),"")</f>
        <v/>
      </c>
      <c r="I697" t="str">
        <f>IF($A697&lt;&gt;"",MAESTRO!$K696,"")</f>
        <v/>
      </c>
      <c r="J697" t="str">
        <f>IF($A697&lt;&gt;"",697,"")</f>
        <v/>
      </c>
    </row>
    <row r="698" spans="1:10" x14ac:dyDescent="0.2">
      <c r="A698" t="str">
        <f>IF(AND(UPPER(MAESTRO!$M697)="VIP",UPPER(MAESTRO!$J697)="SI",MAESTRO!$F697&lt;&gt;""),MAESTRO!$P697,"")</f>
        <v/>
      </c>
      <c r="B698" t="str">
        <f>IF($A698&lt;&gt;"",MAESTRO!$B697,"")</f>
        <v/>
      </c>
      <c r="C698" t="str">
        <f>IF($A698&lt;&gt;"",MAESTRO!$A697,"")</f>
        <v/>
      </c>
      <c r="D698" t="str">
        <f>IF($A698&lt;&gt;"",MAESTRO!$C697,"")</f>
        <v/>
      </c>
      <c r="E698" t="str">
        <f>IF($A698&lt;&gt;"",MAESTRO!$M697,"")</f>
        <v/>
      </c>
      <c r="F698" t="str">
        <f>IF($A698&lt;&gt;"",MAESTRO!$J697,"")</f>
        <v/>
      </c>
      <c r="G698" t="str">
        <f>IF($A698&lt;&gt;"",MAESTRO!$D697,"")</f>
        <v/>
      </c>
      <c r="H698" t="str">
        <f>IF($A698&lt;&gt;"",IF(TRIM(MAESTRO!$G697&amp;" "&amp;MAESTRO!$H697&amp;" "&amp;MAESTRO!$I697)="",MAESTRO!$F697,TRIM(MAESTRO!$G697&amp;" "&amp;MAESTRO!$H697&amp;" "&amp;MAESTRO!$I697)),"")</f>
        <v/>
      </c>
      <c r="I698" t="str">
        <f>IF($A698&lt;&gt;"",MAESTRO!$K697,"")</f>
        <v/>
      </c>
      <c r="J698" t="str">
        <f>IF($A698&lt;&gt;"",698,"")</f>
        <v/>
      </c>
    </row>
    <row r="699" spans="1:10" x14ac:dyDescent="0.2">
      <c r="A699" t="str">
        <f>IF(AND(UPPER(MAESTRO!$M698)="VIP",UPPER(MAESTRO!$J698)="SI",MAESTRO!$F698&lt;&gt;""),MAESTRO!$P698,"")</f>
        <v/>
      </c>
      <c r="B699" t="str">
        <f>IF($A699&lt;&gt;"",MAESTRO!$B698,"")</f>
        <v/>
      </c>
      <c r="C699" t="str">
        <f>IF($A699&lt;&gt;"",MAESTRO!$A698,"")</f>
        <v/>
      </c>
      <c r="D699" t="str">
        <f>IF($A699&lt;&gt;"",MAESTRO!$C698,"")</f>
        <v/>
      </c>
      <c r="E699" t="str">
        <f>IF($A699&lt;&gt;"",MAESTRO!$M698,"")</f>
        <v/>
      </c>
      <c r="F699" t="str">
        <f>IF($A699&lt;&gt;"",MAESTRO!$J698,"")</f>
        <v/>
      </c>
      <c r="G699" t="str">
        <f>IF($A699&lt;&gt;"",MAESTRO!$D698,"")</f>
        <v/>
      </c>
      <c r="H699" t="str">
        <f>IF($A699&lt;&gt;"",IF(TRIM(MAESTRO!$G698&amp;" "&amp;MAESTRO!$H698&amp;" "&amp;MAESTRO!$I698)="",MAESTRO!$F698,TRIM(MAESTRO!$G698&amp;" "&amp;MAESTRO!$H698&amp;" "&amp;MAESTRO!$I698)),"")</f>
        <v/>
      </c>
      <c r="I699" t="str">
        <f>IF($A699&lt;&gt;"",MAESTRO!$K698,"")</f>
        <v/>
      </c>
      <c r="J699" t="str">
        <f>IF($A699&lt;&gt;"",699,"")</f>
        <v/>
      </c>
    </row>
    <row r="700" spans="1:10" x14ac:dyDescent="0.2">
      <c r="A700" t="str">
        <f>IF(AND(UPPER(MAESTRO!$M699)="VIP",UPPER(MAESTRO!$J699)="SI",MAESTRO!$F699&lt;&gt;""),MAESTRO!$P699,"")</f>
        <v/>
      </c>
      <c r="B700" t="str">
        <f>IF($A700&lt;&gt;"",MAESTRO!$B699,"")</f>
        <v/>
      </c>
      <c r="C700" t="str">
        <f>IF($A700&lt;&gt;"",MAESTRO!$A699,"")</f>
        <v/>
      </c>
      <c r="D700" t="str">
        <f>IF($A700&lt;&gt;"",MAESTRO!$C699,"")</f>
        <v/>
      </c>
      <c r="E700" t="str">
        <f>IF($A700&lt;&gt;"",MAESTRO!$M699,"")</f>
        <v/>
      </c>
      <c r="F700" t="str">
        <f>IF($A700&lt;&gt;"",MAESTRO!$J699,"")</f>
        <v/>
      </c>
      <c r="G700" t="str">
        <f>IF($A700&lt;&gt;"",MAESTRO!$D699,"")</f>
        <v/>
      </c>
      <c r="H700" t="str">
        <f>IF($A700&lt;&gt;"",IF(TRIM(MAESTRO!$G699&amp;" "&amp;MAESTRO!$H699&amp;" "&amp;MAESTRO!$I699)="",MAESTRO!$F699,TRIM(MAESTRO!$G699&amp;" "&amp;MAESTRO!$H699&amp;" "&amp;MAESTRO!$I699)),"")</f>
        <v/>
      </c>
      <c r="I700" t="str">
        <f>IF($A700&lt;&gt;"",MAESTRO!$K699,"")</f>
        <v/>
      </c>
      <c r="J700" t="str">
        <f>IF($A700&lt;&gt;"",700,"")</f>
        <v/>
      </c>
    </row>
    <row r="701" spans="1:10" x14ac:dyDescent="0.2">
      <c r="A701" t="str">
        <f>IF(AND(UPPER(MAESTRO!$M700)="VIP",UPPER(MAESTRO!$J700)="SI",MAESTRO!$F700&lt;&gt;""),MAESTRO!$P700,"")</f>
        <v/>
      </c>
      <c r="B701" t="str">
        <f>IF($A701&lt;&gt;"",MAESTRO!$B700,"")</f>
        <v/>
      </c>
      <c r="C701" t="str">
        <f>IF($A701&lt;&gt;"",MAESTRO!$A700,"")</f>
        <v/>
      </c>
      <c r="D701" t="str">
        <f>IF($A701&lt;&gt;"",MAESTRO!$C700,"")</f>
        <v/>
      </c>
      <c r="E701" t="str">
        <f>IF($A701&lt;&gt;"",MAESTRO!$M700,"")</f>
        <v/>
      </c>
      <c r="F701" t="str">
        <f>IF($A701&lt;&gt;"",MAESTRO!$J700,"")</f>
        <v/>
      </c>
      <c r="G701" t="str">
        <f>IF($A701&lt;&gt;"",MAESTRO!$D700,"")</f>
        <v/>
      </c>
      <c r="H701" t="str">
        <f>IF($A701&lt;&gt;"",IF(TRIM(MAESTRO!$G700&amp;" "&amp;MAESTRO!$H700&amp;" "&amp;MAESTRO!$I700)="",MAESTRO!$F700,TRIM(MAESTRO!$G700&amp;" "&amp;MAESTRO!$H700&amp;" "&amp;MAESTRO!$I700)),"")</f>
        <v/>
      </c>
      <c r="I701" t="str">
        <f>IF($A701&lt;&gt;"",MAESTRO!$K700,"")</f>
        <v/>
      </c>
      <c r="J701" t="str">
        <f>IF($A701&lt;&gt;"",701,"")</f>
        <v/>
      </c>
    </row>
    <row r="702" spans="1:10" x14ac:dyDescent="0.2">
      <c r="A702" t="str">
        <f>IF(AND(UPPER(MAESTRO!$M701)="VIP",UPPER(MAESTRO!$J701)="SI",MAESTRO!$F701&lt;&gt;""),MAESTRO!$P701,"")</f>
        <v/>
      </c>
      <c r="B702" t="str">
        <f>IF($A702&lt;&gt;"",MAESTRO!$B701,"")</f>
        <v/>
      </c>
      <c r="C702" t="str">
        <f>IF($A702&lt;&gt;"",MAESTRO!$A701,"")</f>
        <v/>
      </c>
      <c r="D702" t="str">
        <f>IF($A702&lt;&gt;"",MAESTRO!$C701,"")</f>
        <v/>
      </c>
      <c r="E702" t="str">
        <f>IF($A702&lt;&gt;"",MAESTRO!$M701,"")</f>
        <v/>
      </c>
      <c r="F702" t="str">
        <f>IF($A702&lt;&gt;"",MAESTRO!$J701,"")</f>
        <v/>
      </c>
      <c r="G702" t="str">
        <f>IF($A702&lt;&gt;"",MAESTRO!$D701,"")</f>
        <v/>
      </c>
      <c r="H702" t="str">
        <f>IF($A702&lt;&gt;"",IF(TRIM(MAESTRO!$G701&amp;" "&amp;MAESTRO!$H701&amp;" "&amp;MAESTRO!$I701)="",MAESTRO!$F701,TRIM(MAESTRO!$G701&amp;" "&amp;MAESTRO!$H701&amp;" "&amp;MAESTRO!$I701)),"")</f>
        <v/>
      </c>
      <c r="I702" t="str">
        <f>IF($A702&lt;&gt;"",MAESTRO!$K701,"")</f>
        <v/>
      </c>
      <c r="J702" t="str">
        <f>IF($A702&lt;&gt;"",702,"")</f>
        <v/>
      </c>
    </row>
    <row r="703" spans="1:10" x14ac:dyDescent="0.2">
      <c r="A703" t="str">
        <f>IF(AND(UPPER(MAESTRO!$M702)="VIP",UPPER(MAESTRO!$J702)="SI",MAESTRO!$F702&lt;&gt;""),MAESTRO!$P702,"")</f>
        <v/>
      </c>
      <c r="B703" t="str">
        <f>IF($A703&lt;&gt;"",MAESTRO!$B702,"")</f>
        <v/>
      </c>
      <c r="C703" t="str">
        <f>IF($A703&lt;&gt;"",MAESTRO!$A702,"")</f>
        <v/>
      </c>
      <c r="D703" t="str">
        <f>IF($A703&lt;&gt;"",MAESTRO!$C702,"")</f>
        <v/>
      </c>
      <c r="E703" t="str">
        <f>IF($A703&lt;&gt;"",MAESTRO!$M702,"")</f>
        <v/>
      </c>
      <c r="F703" t="str">
        <f>IF($A703&lt;&gt;"",MAESTRO!$J702,"")</f>
        <v/>
      </c>
      <c r="G703" t="str">
        <f>IF($A703&lt;&gt;"",MAESTRO!$D702,"")</f>
        <v/>
      </c>
      <c r="H703" t="str">
        <f>IF($A703&lt;&gt;"",IF(TRIM(MAESTRO!$G702&amp;" "&amp;MAESTRO!$H702&amp;" "&amp;MAESTRO!$I702)="",MAESTRO!$F702,TRIM(MAESTRO!$G702&amp;" "&amp;MAESTRO!$H702&amp;" "&amp;MAESTRO!$I702)),"")</f>
        <v/>
      </c>
      <c r="I703" t="str">
        <f>IF($A703&lt;&gt;"",MAESTRO!$K702,"")</f>
        <v/>
      </c>
      <c r="J703" t="str">
        <f>IF($A703&lt;&gt;"",703,"")</f>
        <v/>
      </c>
    </row>
    <row r="704" spans="1:10" x14ac:dyDescent="0.2">
      <c r="A704" t="str">
        <f>IF(AND(UPPER(MAESTRO!$M703)="VIP",UPPER(MAESTRO!$J703)="SI",MAESTRO!$F703&lt;&gt;""),MAESTRO!$P703,"")</f>
        <v/>
      </c>
      <c r="B704" t="str">
        <f>IF($A704&lt;&gt;"",MAESTRO!$B703,"")</f>
        <v/>
      </c>
      <c r="C704" t="str">
        <f>IF($A704&lt;&gt;"",MAESTRO!$A703,"")</f>
        <v/>
      </c>
      <c r="D704" t="str">
        <f>IF($A704&lt;&gt;"",MAESTRO!$C703,"")</f>
        <v/>
      </c>
      <c r="E704" t="str">
        <f>IF($A704&lt;&gt;"",MAESTRO!$M703,"")</f>
        <v/>
      </c>
      <c r="F704" t="str">
        <f>IF($A704&lt;&gt;"",MAESTRO!$J703,"")</f>
        <v/>
      </c>
      <c r="G704" t="str">
        <f>IF($A704&lt;&gt;"",MAESTRO!$D703,"")</f>
        <v/>
      </c>
      <c r="H704" t="str">
        <f>IF($A704&lt;&gt;"",IF(TRIM(MAESTRO!$G703&amp;" "&amp;MAESTRO!$H703&amp;" "&amp;MAESTRO!$I703)="",MAESTRO!$F703,TRIM(MAESTRO!$G703&amp;" "&amp;MAESTRO!$H703&amp;" "&amp;MAESTRO!$I703)),"")</f>
        <v/>
      </c>
      <c r="I704" t="str">
        <f>IF($A704&lt;&gt;"",MAESTRO!$K703,"")</f>
        <v/>
      </c>
      <c r="J704" t="str">
        <f>IF($A704&lt;&gt;"",704,"")</f>
        <v/>
      </c>
    </row>
    <row r="705" spans="1:10" x14ac:dyDescent="0.2">
      <c r="A705" t="str">
        <f>IF(AND(UPPER(MAESTRO!$M704)="VIP",UPPER(MAESTRO!$J704)="SI",MAESTRO!$F704&lt;&gt;""),MAESTRO!$P704,"")</f>
        <v/>
      </c>
      <c r="B705" t="str">
        <f>IF($A705&lt;&gt;"",MAESTRO!$B704,"")</f>
        <v/>
      </c>
      <c r="C705" t="str">
        <f>IF($A705&lt;&gt;"",MAESTRO!$A704,"")</f>
        <v/>
      </c>
      <c r="D705" t="str">
        <f>IF($A705&lt;&gt;"",MAESTRO!$C704,"")</f>
        <v/>
      </c>
      <c r="E705" t="str">
        <f>IF($A705&lt;&gt;"",MAESTRO!$M704,"")</f>
        <v/>
      </c>
      <c r="F705" t="str">
        <f>IF($A705&lt;&gt;"",MAESTRO!$J704,"")</f>
        <v/>
      </c>
      <c r="G705" t="str">
        <f>IF($A705&lt;&gt;"",MAESTRO!$D704,"")</f>
        <v/>
      </c>
      <c r="H705" t="str">
        <f>IF($A705&lt;&gt;"",IF(TRIM(MAESTRO!$G704&amp;" "&amp;MAESTRO!$H704&amp;" "&amp;MAESTRO!$I704)="",MAESTRO!$F704,TRIM(MAESTRO!$G704&amp;" "&amp;MAESTRO!$H704&amp;" "&amp;MAESTRO!$I704)),"")</f>
        <v/>
      </c>
      <c r="I705" t="str">
        <f>IF($A705&lt;&gt;"",MAESTRO!$K704,"")</f>
        <v/>
      </c>
      <c r="J705" t="str">
        <f>IF($A705&lt;&gt;"",705,"")</f>
        <v/>
      </c>
    </row>
    <row r="706" spans="1:10" x14ac:dyDescent="0.2">
      <c r="A706" t="str">
        <f>IF(AND(UPPER(MAESTRO!$M705)="VIP",UPPER(MAESTRO!$J705)="SI",MAESTRO!$F705&lt;&gt;""),MAESTRO!$P705,"")</f>
        <v/>
      </c>
      <c r="B706" t="str">
        <f>IF($A706&lt;&gt;"",MAESTRO!$B705,"")</f>
        <v/>
      </c>
      <c r="C706" t="str">
        <f>IF($A706&lt;&gt;"",MAESTRO!$A705,"")</f>
        <v/>
      </c>
      <c r="D706" t="str">
        <f>IF($A706&lt;&gt;"",MAESTRO!$C705,"")</f>
        <v/>
      </c>
      <c r="E706" t="str">
        <f>IF($A706&lt;&gt;"",MAESTRO!$M705,"")</f>
        <v/>
      </c>
      <c r="F706" t="str">
        <f>IF($A706&lt;&gt;"",MAESTRO!$J705,"")</f>
        <v/>
      </c>
      <c r="G706" t="str">
        <f>IF($A706&lt;&gt;"",MAESTRO!$D705,"")</f>
        <v/>
      </c>
      <c r="H706" t="str">
        <f>IF($A706&lt;&gt;"",IF(TRIM(MAESTRO!$G705&amp;" "&amp;MAESTRO!$H705&amp;" "&amp;MAESTRO!$I705)="",MAESTRO!$F705,TRIM(MAESTRO!$G705&amp;" "&amp;MAESTRO!$H705&amp;" "&amp;MAESTRO!$I705)),"")</f>
        <v/>
      </c>
      <c r="I706" t="str">
        <f>IF($A706&lt;&gt;"",MAESTRO!$K705,"")</f>
        <v/>
      </c>
      <c r="J706" t="str">
        <f>IF($A706&lt;&gt;"",706,"")</f>
        <v/>
      </c>
    </row>
    <row r="707" spans="1:10" x14ac:dyDescent="0.2">
      <c r="A707" t="str">
        <f>IF(AND(UPPER(MAESTRO!$M706)="VIP",UPPER(MAESTRO!$J706)="SI",MAESTRO!$F706&lt;&gt;""),MAESTRO!$P706,"")</f>
        <v/>
      </c>
      <c r="B707" t="str">
        <f>IF($A707&lt;&gt;"",MAESTRO!$B706,"")</f>
        <v/>
      </c>
      <c r="C707" t="str">
        <f>IF($A707&lt;&gt;"",MAESTRO!$A706,"")</f>
        <v/>
      </c>
      <c r="D707" t="str">
        <f>IF($A707&lt;&gt;"",MAESTRO!$C706,"")</f>
        <v/>
      </c>
      <c r="E707" t="str">
        <f>IF($A707&lt;&gt;"",MAESTRO!$M706,"")</f>
        <v/>
      </c>
      <c r="F707" t="str">
        <f>IF($A707&lt;&gt;"",MAESTRO!$J706,"")</f>
        <v/>
      </c>
      <c r="G707" t="str">
        <f>IF($A707&lt;&gt;"",MAESTRO!$D706,"")</f>
        <v/>
      </c>
      <c r="H707" t="str">
        <f>IF($A707&lt;&gt;"",IF(TRIM(MAESTRO!$G706&amp;" "&amp;MAESTRO!$H706&amp;" "&amp;MAESTRO!$I706)="",MAESTRO!$F706,TRIM(MAESTRO!$G706&amp;" "&amp;MAESTRO!$H706&amp;" "&amp;MAESTRO!$I706)),"")</f>
        <v/>
      </c>
      <c r="I707" t="str">
        <f>IF($A707&lt;&gt;"",MAESTRO!$K706,"")</f>
        <v/>
      </c>
      <c r="J707" t="str">
        <f>IF($A707&lt;&gt;"",707,"")</f>
        <v/>
      </c>
    </row>
    <row r="708" spans="1:10" x14ac:dyDescent="0.2">
      <c r="A708" t="str">
        <f>IF(AND(UPPER(MAESTRO!$M707)="VIP",UPPER(MAESTRO!$J707)="SI",MAESTRO!$F707&lt;&gt;""),MAESTRO!$P707,"")</f>
        <v/>
      </c>
      <c r="B708" t="str">
        <f>IF($A708&lt;&gt;"",MAESTRO!$B707,"")</f>
        <v/>
      </c>
      <c r="C708" t="str">
        <f>IF($A708&lt;&gt;"",MAESTRO!$A707,"")</f>
        <v/>
      </c>
      <c r="D708" t="str">
        <f>IF($A708&lt;&gt;"",MAESTRO!$C707,"")</f>
        <v/>
      </c>
      <c r="E708" t="str">
        <f>IF($A708&lt;&gt;"",MAESTRO!$M707,"")</f>
        <v/>
      </c>
      <c r="F708" t="str">
        <f>IF($A708&lt;&gt;"",MAESTRO!$J707,"")</f>
        <v/>
      </c>
      <c r="G708" t="str">
        <f>IF($A708&lt;&gt;"",MAESTRO!$D707,"")</f>
        <v/>
      </c>
      <c r="H708" t="str">
        <f>IF($A708&lt;&gt;"",IF(TRIM(MAESTRO!$G707&amp;" "&amp;MAESTRO!$H707&amp;" "&amp;MAESTRO!$I707)="",MAESTRO!$F707,TRIM(MAESTRO!$G707&amp;" "&amp;MAESTRO!$H707&amp;" "&amp;MAESTRO!$I707)),"")</f>
        <v/>
      </c>
      <c r="I708" t="str">
        <f>IF($A708&lt;&gt;"",MAESTRO!$K707,"")</f>
        <v/>
      </c>
      <c r="J708" t="str">
        <f>IF($A708&lt;&gt;"",708,"")</f>
        <v/>
      </c>
    </row>
    <row r="709" spans="1:10" x14ac:dyDescent="0.2">
      <c r="A709" t="str">
        <f>IF(AND(UPPER(MAESTRO!$M708)="VIP",UPPER(MAESTRO!$J708)="SI",MAESTRO!$F708&lt;&gt;""),MAESTRO!$P708,"")</f>
        <v/>
      </c>
      <c r="B709" t="str">
        <f>IF($A709&lt;&gt;"",MAESTRO!$B708,"")</f>
        <v/>
      </c>
      <c r="C709" t="str">
        <f>IF($A709&lt;&gt;"",MAESTRO!$A708,"")</f>
        <v/>
      </c>
      <c r="D709" t="str">
        <f>IF($A709&lt;&gt;"",MAESTRO!$C708,"")</f>
        <v/>
      </c>
      <c r="E709" t="str">
        <f>IF($A709&lt;&gt;"",MAESTRO!$M708,"")</f>
        <v/>
      </c>
      <c r="F709" t="str">
        <f>IF($A709&lt;&gt;"",MAESTRO!$J708,"")</f>
        <v/>
      </c>
      <c r="G709" t="str">
        <f>IF($A709&lt;&gt;"",MAESTRO!$D708,"")</f>
        <v/>
      </c>
      <c r="H709" t="str">
        <f>IF($A709&lt;&gt;"",IF(TRIM(MAESTRO!$G708&amp;" "&amp;MAESTRO!$H708&amp;" "&amp;MAESTRO!$I708)="",MAESTRO!$F708,TRIM(MAESTRO!$G708&amp;" "&amp;MAESTRO!$H708&amp;" "&amp;MAESTRO!$I708)),"")</f>
        <v/>
      </c>
      <c r="I709" t="str">
        <f>IF($A709&lt;&gt;"",MAESTRO!$K708,"")</f>
        <v/>
      </c>
      <c r="J709" t="str">
        <f>IF($A709&lt;&gt;"",709,"")</f>
        <v/>
      </c>
    </row>
    <row r="710" spans="1:10" x14ac:dyDescent="0.2">
      <c r="A710" t="str">
        <f>IF(AND(UPPER(MAESTRO!$M709)="VIP",UPPER(MAESTRO!$J709)="SI",MAESTRO!$F709&lt;&gt;""),MAESTRO!$P709,"")</f>
        <v/>
      </c>
      <c r="B710" t="str">
        <f>IF($A710&lt;&gt;"",MAESTRO!$B709,"")</f>
        <v/>
      </c>
      <c r="C710" t="str">
        <f>IF($A710&lt;&gt;"",MAESTRO!$A709,"")</f>
        <v/>
      </c>
      <c r="D710" t="str">
        <f>IF($A710&lt;&gt;"",MAESTRO!$C709,"")</f>
        <v/>
      </c>
      <c r="E710" t="str">
        <f>IF($A710&lt;&gt;"",MAESTRO!$M709,"")</f>
        <v/>
      </c>
      <c r="F710" t="str">
        <f>IF($A710&lt;&gt;"",MAESTRO!$J709,"")</f>
        <v/>
      </c>
      <c r="G710" t="str">
        <f>IF($A710&lt;&gt;"",MAESTRO!$D709,"")</f>
        <v/>
      </c>
      <c r="H710" t="str">
        <f>IF($A710&lt;&gt;"",IF(TRIM(MAESTRO!$G709&amp;" "&amp;MAESTRO!$H709&amp;" "&amp;MAESTRO!$I709)="",MAESTRO!$F709,TRIM(MAESTRO!$G709&amp;" "&amp;MAESTRO!$H709&amp;" "&amp;MAESTRO!$I709)),"")</f>
        <v/>
      </c>
      <c r="I710" t="str">
        <f>IF($A710&lt;&gt;"",MAESTRO!$K709,"")</f>
        <v/>
      </c>
      <c r="J710" t="str">
        <f>IF($A710&lt;&gt;"",710,"")</f>
        <v/>
      </c>
    </row>
    <row r="711" spans="1:10" x14ac:dyDescent="0.2">
      <c r="A711" t="str">
        <f>IF(AND(UPPER(MAESTRO!$M710)="VIP",UPPER(MAESTRO!$J710)="SI",MAESTRO!$F710&lt;&gt;""),MAESTRO!$P710,"")</f>
        <v/>
      </c>
      <c r="B711" t="str">
        <f>IF($A711&lt;&gt;"",MAESTRO!$B710,"")</f>
        <v/>
      </c>
      <c r="C711" t="str">
        <f>IF($A711&lt;&gt;"",MAESTRO!$A710,"")</f>
        <v/>
      </c>
      <c r="D711" t="str">
        <f>IF($A711&lt;&gt;"",MAESTRO!$C710,"")</f>
        <v/>
      </c>
      <c r="E711" t="str">
        <f>IF($A711&lt;&gt;"",MAESTRO!$M710,"")</f>
        <v/>
      </c>
      <c r="F711" t="str">
        <f>IF($A711&lt;&gt;"",MAESTRO!$J710,"")</f>
        <v/>
      </c>
      <c r="G711" t="str">
        <f>IF($A711&lt;&gt;"",MAESTRO!$D710,"")</f>
        <v/>
      </c>
      <c r="H711" t="str">
        <f>IF($A711&lt;&gt;"",IF(TRIM(MAESTRO!$G710&amp;" "&amp;MAESTRO!$H710&amp;" "&amp;MAESTRO!$I710)="",MAESTRO!$F710,TRIM(MAESTRO!$G710&amp;" "&amp;MAESTRO!$H710&amp;" "&amp;MAESTRO!$I710)),"")</f>
        <v/>
      </c>
      <c r="I711" t="str">
        <f>IF($A711&lt;&gt;"",MAESTRO!$K710,"")</f>
        <v/>
      </c>
      <c r="J711" t="str">
        <f>IF($A711&lt;&gt;"",711,"")</f>
        <v/>
      </c>
    </row>
    <row r="712" spans="1:10" x14ac:dyDescent="0.2">
      <c r="A712" t="str">
        <f>IF(AND(UPPER(MAESTRO!$M711)="VIP",UPPER(MAESTRO!$J711)="SI",MAESTRO!$F711&lt;&gt;""),MAESTRO!$P711,"")</f>
        <v/>
      </c>
      <c r="B712" t="str">
        <f>IF($A712&lt;&gt;"",MAESTRO!$B711,"")</f>
        <v/>
      </c>
      <c r="C712" t="str">
        <f>IF($A712&lt;&gt;"",MAESTRO!$A711,"")</f>
        <v/>
      </c>
      <c r="D712" t="str">
        <f>IF($A712&lt;&gt;"",MAESTRO!$C711,"")</f>
        <v/>
      </c>
      <c r="E712" t="str">
        <f>IF($A712&lt;&gt;"",MAESTRO!$M711,"")</f>
        <v/>
      </c>
      <c r="F712" t="str">
        <f>IF($A712&lt;&gt;"",MAESTRO!$J711,"")</f>
        <v/>
      </c>
      <c r="G712" t="str">
        <f>IF($A712&lt;&gt;"",MAESTRO!$D711,"")</f>
        <v/>
      </c>
      <c r="H712" t="str">
        <f>IF($A712&lt;&gt;"",IF(TRIM(MAESTRO!$G711&amp;" "&amp;MAESTRO!$H711&amp;" "&amp;MAESTRO!$I711)="",MAESTRO!$F711,TRIM(MAESTRO!$G711&amp;" "&amp;MAESTRO!$H711&amp;" "&amp;MAESTRO!$I711)),"")</f>
        <v/>
      </c>
      <c r="I712" t="str">
        <f>IF($A712&lt;&gt;"",MAESTRO!$K711,"")</f>
        <v/>
      </c>
      <c r="J712" t="str">
        <f>IF($A712&lt;&gt;"",712,"")</f>
        <v/>
      </c>
    </row>
    <row r="713" spans="1:10" x14ac:dyDescent="0.2">
      <c r="A713" t="str">
        <f>IF(AND(UPPER(MAESTRO!$M712)="VIP",UPPER(MAESTRO!$J712)="SI",MAESTRO!$F712&lt;&gt;""),MAESTRO!$P712,"")</f>
        <v/>
      </c>
      <c r="B713" t="str">
        <f>IF($A713&lt;&gt;"",MAESTRO!$B712,"")</f>
        <v/>
      </c>
      <c r="C713" t="str">
        <f>IF($A713&lt;&gt;"",MAESTRO!$A712,"")</f>
        <v/>
      </c>
      <c r="D713" t="str">
        <f>IF($A713&lt;&gt;"",MAESTRO!$C712,"")</f>
        <v/>
      </c>
      <c r="E713" t="str">
        <f>IF($A713&lt;&gt;"",MAESTRO!$M712,"")</f>
        <v/>
      </c>
      <c r="F713" t="str">
        <f>IF($A713&lt;&gt;"",MAESTRO!$J712,"")</f>
        <v/>
      </c>
      <c r="G713" t="str">
        <f>IF($A713&lt;&gt;"",MAESTRO!$D712,"")</f>
        <v/>
      </c>
      <c r="H713" t="str">
        <f>IF($A713&lt;&gt;"",IF(TRIM(MAESTRO!$G712&amp;" "&amp;MAESTRO!$H712&amp;" "&amp;MAESTRO!$I712)="",MAESTRO!$F712,TRIM(MAESTRO!$G712&amp;" "&amp;MAESTRO!$H712&amp;" "&amp;MAESTRO!$I712)),"")</f>
        <v/>
      </c>
      <c r="I713" t="str">
        <f>IF($A713&lt;&gt;"",MAESTRO!$K712,"")</f>
        <v/>
      </c>
      <c r="J713" t="str">
        <f>IF($A713&lt;&gt;"",713,"")</f>
        <v/>
      </c>
    </row>
    <row r="714" spans="1:10" x14ac:dyDescent="0.2">
      <c r="A714" t="str">
        <f>IF(AND(UPPER(MAESTRO!$M713)="VIP",UPPER(MAESTRO!$J713)="SI",MAESTRO!$F713&lt;&gt;""),MAESTRO!$P713,"")</f>
        <v/>
      </c>
      <c r="B714" t="str">
        <f>IF($A714&lt;&gt;"",MAESTRO!$B713,"")</f>
        <v/>
      </c>
      <c r="C714" t="str">
        <f>IF($A714&lt;&gt;"",MAESTRO!$A713,"")</f>
        <v/>
      </c>
      <c r="D714" t="str">
        <f>IF($A714&lt;&gt;"",MAESTRO!$C713,"")</f>
        <v/>
      </c>
      <c r="E714" t="str">
        <f>IF($A714&lt;&gt;"",MAESTRO!$M713,"")</f>
        <v/>
      </c>
      <c r="F714" t="str">
        <f>IF($A714&lt;&gt;"",MAESTRO!$J713,"")</f>
        <v/>
      </c>
      <c r="G714" t="str">
        <f>IF($A714&lt;&gt;"",MAESTRO!$D713,"")</f>
        <v/>
      </c>
      <c r="H714" t="str">
        <f>IF($A714&lt;&gt;"",IF(TRIM(MAESTRO!$G713&amp;" "&amp;MAESTRO!$H713&amp;" "&amp;MAESTRO!$I713)="",MAESTRO!$F713,TRIM(MAESTRO!$G713&amp;" "&amp;MAESTRO!$H713&amp;" "&amp;MAESTRO!$I713)),"")</f>
        <v/>
      </c>
      <c r="I714" t="str">
        <f>IF($A714&lt;&gt;"",MAESTRO!$K713,"")</f>
        <v/>
      </c>
      <c r="J714" t="str">
        <f>IF($A714&lt;&gt;"",714,"")</f>
        <v/>
      </c>
    </row>
    <row r="715" spans="1:10" x14ac:dyDescent="0.2">
      <c r="A715" t="str">
        <f>IF(AND(UPPER(MAESTRO!$M714)="VIP",UPPER(MAESTRO!$J714)="SI",MAESTRO!$F714&lt;&gt;""),MAESTRO!$P714,"")</f>
        <v/>
      </c>
      <c r="B715" t="str">
        <f>IF($A715&lt;&gt;"",MAESTRO!$B714,"")</f>
        <v/>
      </c>
      <c r="C715" t="str">
        <f>IF($A715&lt;&gt;"",MAESTRO!$A714,"")</f>
        <v/>
      </c>
      <c r="D715" t="str">
        <f>IF($A715&lt;&gt;"",MAESTRO!$C714,"")</f>
        <v/>
      </c>
      <c r="E715" t="str">
        <f>IF($A715&lt;&gt;"",MAESTRO!$M714,"")</f>
        <v/>
      </c>
      <c r="F715" t="str">
        <f>IF($A715&lt;&gt;"",MAESTRO!$J714,"")</f>
        <v/>
      </c>
      <c r="G715" t="str">
        <f>IF($A715&lt;&gt;"",MAESTRO!$D714,"")</f>
        <v/>
      </c>
      <c r="H715" t="str">
        <f>IF($A715&lt;&gt;"",IF(TRIM(MAESTRO!$G714&amp;" "&amp;MAESTRO!$H714&amp;" "&amp;MAESTRO!$I714)="",MAESTRO!$F714,TRIM(MAESTRO!$G714&amp;" "&amp;MAESTRO!$H714&amp;" "&amp;MAESTRO!$I714)),"")</f>
        <v/>
      </c>
      <c r="I715" t="str">
        <f>IF($A715&lt;&gt;"",MAESTRO!$K714,"")</f>
        <v/>
      </c>
      <c r="J715" t="str">
        <f>IF($A715&lt;&gt;"",715,"")</f>
        <v/>
      </c>
    </row>
    <row r="716" spans="1:10" x14ac:dyDescent="0.2">
      <c r="A716" t="str">
        <f>IF(AND(UPPER(MAESTRO!$M715)="VIP",UPPER(MAESTRO!$J715)="SI",MAESTRO!$F715&lt;&gt;""),MAESTRO!$P715,"")</f>
        <v/>
      </c>
      <c r="B716" t="str">
        <f>IF($A716&lt;&gt;"",MAESTRO!$B715,"")</f>
        <v/>
      </c>
      <c r="C716" t="str">
        <f>IF($A716&lt;&gt;"",MAESTRO!$A715,"")</f>
        <v/>
      </c>
      <c r="D716" t="str">
        <f>IF($A716&lt;&gt;"",MAESTRO!$C715,"")</f>
        <v/>
      </c>
      <c r="E716" t="str">
        <f>IF($A716&lt;&gt;"",MAESTRO!$M715,"")</f>
        <v/>
      </c>
      <c r="F716" t="str">
        <f>IF($A716&lt;&gt;"",MAESTRO!$J715,"")</f>
        <v/>
      </c>
      <c r="G716" t="str">
        <f>IF($A716&lt;&gt;"",MAESTRO!$D715,"")</f>
        <v/>
      </c>
      <c r="H716" t="str">
        <f>IF($A716&lt;&gt;"",IF(TRIM(MAESTRO!$G715&amp;" "&amp;MAESTRO!$H715&amp;" "&amp;MAESTRO!$I715)="",MAESTRO!$F715,TRIM(MAESTRO!$G715&amp;" "&amp;MAESTRO!$H715&amp;" "&amp;MAESTRO!$I715)),"")</f>
        <v/>
      </c>
      <c r="I716" t="str">
        <f>IF($A716&lt;&gt;"",MAESTRO!$K715,"")</f>
        <v/>
      </c>
      <c r="J716" t="str">
        <f>IF($A716&lt;&gt;"",716,"")</f>
        <v/>
      </c>
    </row>
    <row r="717" spans="1:10" x14ac:dyDescent="0.2">
      <c r="A717" t="str">
        <f>IF(AND(UPPER(MAESTRO!$M716)="VIP",UPPER(MAESTRO!$J716)="SI",MAESTRO!$F716&lt;&gt;""),MAESTRO!$P716,"")</f>
        <v/>
      </c>
      <c r="B717" t="str">
        <f>IF($A717&lt;&gt;"",MAESTRO!$B716,"")</f>
        <v/>
      </c>
      <c r="C717" t="str">
        <f>IF($A717&lt;&gt;"",MAESTRO!$A716,"")</f>
        <v/>
      </c>
      <c r="D717" t="str">
        <f>IF($A717&lt;&gt;"",MAESTRO!$C716,"")</f>
        <v/>
      </c>
      <c r="E717" t="str">
        <f>IF($A717&lt;&gt;"",MAESTRO!$M716,"")</f>
        <v/>
      </c>
      <c r="F717" t="str">
        <f>IF($A717&lt;&gt;"",MAESTRO!$J716,"")</f>
        <v/>
      </c>
      <c r="G717" t="str">
        <f>IF($A717&lt;&gt;"",MAESTRO!$D716,"")</f>
        <v/>
      </c>
      <c r="H717" t="str">
        <f>IF($A717&lt;&gt;"",IF(TRIM(MAESTRO!$G716&amp;" "&amp;MAESTRO!$H716&amp;" "&amp;MAESTRO!$I716)="",MAESTRO!$F716,TRIM(MAESTRO!$G716&amp;" "&amp;MAESTRO!$H716&amp;" "&amp;MAESTRO!$I716)),"")</f>
        <v/>
      </c>
      <c r="I717" t="str">
        <f>IF($A717&lt;&gt;"",MAESTRO!$K716,"")</f>
        <v/>
      </c>
      <c r="J717" t="str">
        <f>IF($A717&lt;&gt;"",717,"")</f>
        <v/>
      </c>
    </row>
    <row r="718" spans="1:10" x14ac:dyDescent="0.2">
      <c r="A718" t="str">
        <f>IF(AND(UPPER(MAESTRO!$M717)="VIP",UPPER(MAESTRO!$J717)="SI",MAESTRO!$F717&lt;&gt;""),MAESTRO!$P717,"")</f>
        <v/>
      </c>
      <c r="B718" t="str">
        <f>IF($A718&lt;&gt;"",MAESTRO!$B717,"")</f>
        <v/>
      </c>
      <c r="C718" t="str">
        <f>IF($A718&lt;&gt;"",MAESTRO!$A717,"")</f>
        <v/>
      </c>
      <c r="D718" t="str">
        <f>IF($A718&lt;&gt;"",MAESTRO!$C717,"")</f>
        <v/>
      </c>
      <c r="E718" t="str">
        <f>IF($A718&lt;&gt;"",MAESTRO!$M717,"")</f>
        <v/>
      </c>
      <c r="F718" t="str">
        <f>IF($A718&lt;&gt;"",MAESTRO!$J717,"")</f>
        <v/>
      </c>
      <c r="G718" t="str">
        <f>IF($A718&lt;&gt;"",MAESTRO!$D717,"")</f>
        <v/>
      </c>
      <c r="H718" t="str">
        <f>IF($A718&lt;&gt;"",IF(TRIM(MAESTRO!$G717&amp;" "&amp;MAESTRO!$H717&amp;" "&amp;MAESTRO!$I717)="",MAESTRO!$F717,TRIM(MAESTRO!$G717&amp;" "&amp;MAESTRO!$H717&amp;" "&amp;MAESTRO!$I717)),"")</f>
        <v/>
      </c>
      <c r="I718" t="str">
        <f>IF($A718&lt;&gt;"",MAESTRO!$K717,"")</f>
        <v/>
      </c>
      <c r="J718" t="str">
        <f>IF($A718&lt;&gt;"",718,"")</f>
        <v/>
      </c>
    </row>
    <row r="719" spans="1:10" x14ac:dyDescent="0.2">
      <c r="A719" t="str">
        <f>IF(AND(UPPER(MAESTRO!$M718)="VIP",UPPER(MAESTRO!$J718)="SI",MAESTRO!$F718&lt;&gt;""),MAESTRO!$P718,"")</f>
        <v/>
      </c>
      <c r="B719" t="str">
        <f>IF($A719&lt;&gt;"",MAESTRO!$B718,"")</f>
        <v/>
      </c>
      <c r="C719" t="str">
        <f>IF($A719&lt;&gt;"",MAESTRO!$A718,"")</f>
        <v/>
      </c>
      <c r="D719" t="str">
        <f>IF($A719&lt;&gt;"",MAESTRO!$C718,"")</f>
        <v/>
      </c>
      <c r="E719" t="str">
        <f>IF($A719&lt;&gt;"",MAESTRO!$M718,"")</f>
        <v/>
      </c>
      <c r="F719" t="str">
        <f>IF($A719&lt;&gt;"",MAESTRO!$J718,"")</f>
        <v/>
      </c>
      <c r="G719" t="str">
        <f>IF($A719&lt;&gt;"",MAESTRO!$D718,"")</f>
        <v/>
      </c>
      <c r="H719" t="str">
        <f>IF($A719&lt;&gt;"",IF(TRIM(MAESTRO!$G718&amp;" "&amp;MAESTRO!$H718&amp;" "&amp;MAESTRO!$I718)="",MAESTRO!$F718,TRIM(MAESTRO!$G718&amp;" "&amp;MAESTRO!$H718&amp;" "&amp;MAESTRO!$I718)),"")</f>
        <v/>
      </c>
      <c r="I719" t="str">
        <f>IF($A719&lt;&gt;"",MAESTRO!$K718,"")</f>
        <v/>
      </c>
      <c r="J719" t="str">
        <f>IF($A719&lt;&gt;"",719,"")</f>
        <v/>
      </c>
    </row>
    <row r="720" spans="1:10" x14ac:dyDescent="0.2">
      <c r="A720" t="str">
        <f>IF(AND(UPPER(MAESTRO!$M719)="VIP",UPPER(MAESTRO!$J719)="SI",MAESTRO!$F719&lt;&gt;""),MAESTRO!$P719,"")</f>
        <v/>
      </c>
      <c r="B720" t="str">
        <f>IF($A720&lt;&gt;"",MAESTRO!$B719,"")</f>
        <v/>
      </c>
      <c r="C720" t="str">
        <f>IF($A720&lt;&gt;"",MAESTRO!$A719,"")</f>
        <v/>
      </c>
      <c r="D720" t="str">
        <f>IF($A720&lt;&gt;"",MAESTRO!$C719,"")</f>
        <v/>
      </c>
      <c r="E720" t="str">
        <f>IF($A720&lt;&gt;"",MAESTRO!$M719,"")</f>
        <v/>
      </c>
      <c r="F720" t="str">
        <f>IF($A720&lt;&gt;"",MAESTRO!$J719,"")</f>
        <v/>
      </c>
      <c r="G720" t="str">
        <f>IF($A720&lt;&gt;"",MAESTRO!$D719,"")</f>
        <v/>
      </c>
      <c r="H720" t="str">
        <f>IF($A720&lt;&gt;"",IF(TRIM(MAESTRO!$G719&amp;" "&amp;MAESTRO!$H719&amp;" "&amp;MAESTRO!$I719)="",MAESTRO!$F719,TRIM(MAESTRO!$G719&amp;" "&amp;MAESTRO!$H719&amp;" "&amp;MAESTRO!$I719)),"")</f>
        <v/>
      </c>
      <c r="I720" t="str">
        <f>IF($A720&lt;&gt;"",MAESTRO!$K719,"")</f>
        <v/>
      </c>
      <c r="J720" t="str">
        <f>IF($A720&lt;&gt;"",720,"")</f>
        <v/>
      </c>
    </row>
    <row r="721" spans="1:10" x14ac:dyDescent="0.2">
      <c r="A721" t="str">
        <f>IF(AND(UPPER(MAESTRO!$M720)="VIP",UPPER(MAESTRO!$J720)="SI",MAESTRO!$F720&lt;&gt;""),MAESTRO!$P720,"")</f>
        <v/>
      </c>
      <c r="B721" t="str">
        <f>IF($A721&lt;&gt;"",MAESTRO!$B720,"")</f>
        <v/>
      </c>
      <c r="C721" t="str">
        <f>IF($A721&lt;&gt;"",MAESTRO!$A720,"")</f>
        <v/>
      </c>
      <c r="D721" t="str">
        <f>IF($A721&lt;&gt;"",MAESTRO!$C720,"")</f>
        <v/>
      </c>
      <c r="E721" t="str">
        <f>IF($A721&lt;&gt;"",MAESTRO!$M720,"")</f>
        <v/>
      </c>
      <c r="F721" t="str">
        <f>IF($A721&lt;&gt;"",MAESTRO!$J720,"")</f>
        <v/>
      </c>
      <c r="G721" t="str">
        <f>IF($A721&lt;&gt;"",MAESTRO!$D720,"")</f>
        <v/>
      </c>
      <c r="H721" t="str">
        <f>IF($A721&lt;&gt;"",IF(TRIM(MAESTRO!$G720&amp;" "&amp;MAESTRO!$H720&amp;" "&amp;MAESTRO!$I720)="",MAESTRO!$F720,TRIM(MAESTRO!$G720&amp;" "&amp;MAESTRO!$H720&amp;" "&amp;MAESTRO!$I720)),"")</f>
        <v/>
      </c>
      <c r="I721" t="str">
        <f>IF($A721&lt;&gt;"",MAESTRO!$K720,"")</f>
        <v/>
      </c>
      <c r="J721" t="str">
        <f>IF($A721&lt;&gt;"",721,"")</f>
        <v/>
      </c>
    </row>
    <row r="722" spans="1:10" x14ac:dyDescent="0.2">
      <c r="A722" t="str">
        <f>IF(AND(UPPER(MAESTRO!$M721)="VIP",UPPER(MAESTRO!$J721)="SI",MAESTRO!$F721&lt;&gt;""),MAESTRO!$P721,"")</f>
        <v/>
      </c>
      <c r="B722" t="str">
        <f>IF($A722&lt;&gt;"",MAESTRO!$B721,"")</f>
        <v/>
      </c>
      <c r="C722" t="str">
        <f>IF($A722&lt;&gt;"",MAESTRO!$A721,"")</f>
        <v/>
      </c>
      <c r="D722" t="str">
        <f>IF($A722&lt;&gt;"",MAESTRO!$C721,"")</f>
        <v/>
      </c>
      <c r="E722" t="str">
        <f>IF($A722&lt;&gt;"",MAESTRO!$M721,"")</f>
        <v/>
      </c>
      <c r="F722" t="str">
        <f>IF($A722&lt;&gt;"",MAESTRO!$J721,"")</f>
        <v/>
      </c>
      <c r="G722" t="str">
        <f>IF($A722&lt;&gt;"",MAESTRO!$D721,"")</f>
        <v/>
      </c>
      <c r="H722" t="str">
        <f>IF($A722&lt;&gt;"",IF(TRIM(MAESTRO!$G721&amp;" "&amp;MAESTRO!$H721&amp;" "&amp;MAESTRO!$I721)="",MAESTRO!$F721,TRIM(MAESTRO!$G721&amp;" "&amp;MAESTRO!$H721&amp;" "&amp;MAESTRO!$I721)),"")</f>
        <v/>
      </c>
      <c r="I722" t="str">
        <f>IF($A722&lt;&gt;"",MAESTRO!$K721,"")</f>
        <v/>
      </c>
      <c r="J722" t="str">
        <f>IF($A722&lt;&gt;"",722,"")</f>
        <v/>
      </c>
    </row>
    <row r="723" spans="1:10" x14ac:dyDescent="0.2">
      <c r="A723" t="str">
        <f>IF(AND(UPPER(MAESTRO!$M722)="VIP",UPPER(MAESTRO!$J722)="SI",MAESTRO!$F722&lt;&gt;""),MAESTRO!$P722,"")</f>
        <v/>
      </c>
      <c r="B723" t="str">
        <f>IF($A723&lt;&gt;"",MAESTRO!$B722,"")</f>
        <v/>
      </c>
      <c r="C723" t="str">
        <f>IF($A723&lt;&gt;"",MAESTRO!$A722,"")</f>
        <v/>
      </c>
      <c r="D723" t="str">
        <f>IF($A723&lt;&gt;"",MAESTRO!$C722,"")</f>
        <v/>
      </c>
      <c r="E723" t="str">
        <f>IF($A723&lt;&gt;"",MAESTRO!$M722,"")</f>
        <v/>
      </c>
      <c r="F723" t="str">
        <f>IF($A723&lt;&gt;"",MAESTRO!$J722,"")</f>
        <v/>
      </c>
      <c r="G723" t="str">
        <f>IF($A723&lt;&gt;"",MAESTRO!$D722,"")</f>
        <v/>
      </c>
      <c r="H723" t="str">
        <f>IF($A723&lt;&gt;"",IF(TRIM(MAESTRO!$G722&amp;" "&amp;MAESTRO!$H722&amp;" "&amp;MAESTRO!$I722)="",MAESTRO!$F722,TRIM(MAESTRO!$G722&amp;" "&amp;MAESTRO!$H722&amp;" "&amp;MAESTRO!$I722)),"")</f>
        <v/>
      </c>
      <c r="I723" t="str">
        <f>IF($A723&lt;&gt;"",MAESTRO!$K722,"")</f>
        <v/>
      </c>
      <c r="J723" t="str">
        <f>IF($A723&lt;&gt;"",723,"")</f>
        <v/>
      </c>
    </row>
    <row r="724" spans="1:10" x14ac:dyDescent="0.2">
      <c r="A724" t="str">
        <f>IF(AND(UPPER(MAESTRO!$M723)="VIP",UPPER(MAESTRO!$J723)="SI",MAESTRO!$F723&lt;&gt;""),MAESTRO!$P723,"")</f>
        <v/>
      </c>
      <c r="B724" t="str">
        <f>IF($A724&lt;&gt;"",MAESTRO!$B723,"")</f>
        <v/>
      </c>
      <c r="C724" t="str">
        <f>IF($A724&lt;&gt;"",MAESTRO!$A723,"")</f>
        <v/>
      </c>
      <c r="D724" t="str">
        <f>IF($A724&lt;&gt;"",MAESTRO!$C723,"")</f>
        <v/>
      </c>
      <c r="E724" t="str">
        <f>IF($A724&lt;&gt;"",MAESTRO!$M723,"")</f>
        <v/>
      </c>
      <c r="F724" t="str">
        <f>IF($A724&lt;&gt;"",MAESTRO!$J723,"")</f>
        <v/>
      </c>
      <c r="G724" t="str">
        <f>IF($A724&lt;&gt;"",MAESTRO!$D723,"")</f>
        <v/>
      </c>
      <c r="H724" t="str">
        <f>IF($A724&lt;&gt;"",IF(TRIM(MAESTRO!$G723&amp;" "&amp;MAESTRO!$H723&amp;" "&amp;MAESTRO!$I723)="",MAESTRO!$F723,TRIM(MAESTRO!$G723&amp;" "&amp;MAESTRO!$H723&amp;" "&amp;MAESTRO!$I723)),"")</f>
        <v/>
      </c>
      <c r="I724" t="str">
        <f>IF($A724&lt;&gt;"",MAESTRO!$K723,"")</f>
        <v/>
      </c>
      <c r="J724" t="str">
        <f>IF($A724&lt;&gt;"",724,"")</f>
        <v/>
      </c>
    </row>
    <row r="725" spans="1:10" x14ac:dyDescent="0.2">
      <c r="A725" t="str">
        <f>IF(AND(UPPER(MAESTRO!$M724)="VIP",UPPER(MAESTRO!$J724)="SI",MAESTRO!$F724&lt;&gt;""),MAESTRO!$P724,"")</f>
        <v/>
      </c>
      <c r="B725" t="str">
        <f>IF($A725&lt;&gt;"",MAESTRO!$B724,"")</f>
        <v/>
      </c>
      <c r="C725" t="str">
        <f>IF($A725&lt;&gt;"",MAESTRO!$A724,"")</f>
        <v/>
      </c>
      <c r="D725" t="str">
        <f>IF($A725&lt;&gt;"",MAESTRO!$C724,"")</f>
        <v/>
      </c>
      <c r="E725" t="str">
        <f>IF($A725&lt;&gt;"",MAESTRO!$M724,"")</f>
        <v/>
      </c>
      <c r="F725" t="str">
        <f>IF($A725&lt;&gt;"",MAESTRO!$J724,"")</f>
        <v/>
      </c>
      <c r="G725" t="str">
        <f>IF($A725&lt;&gt;"",MAESTRO!$D724,"")</f>
        <v/>
      </c>
      <c r="H725" t="str">
        <f>IF($A725&lt;&gt;"",IF(TRIM(MAESTRO!$G724&amp;" "&amp;MAESTRO!$H724&amp;" "&amp;MAESTRO!$I724)="",MAESTRO!$F724,TRIM(MAESTRO!$G724&amp;" "&amp;MAESTRO!$H724&amp;" "&amp;MAESTRO!$I724)),"")</f>
        <v/>
      </c>
      <c r="I725" t="str">
        <f>IF($A725&lt;&gt;"",MAESTRO!$K724,"")</f>
        <v/>
      </c>
      <c r="J725" t="str">
        <f>IF($A725&lt;&gt;"",725,"")</f>
        <v/>
      </c>
    </row>
    <row r="726" spans="1:10" x14ac:dyDescent="0.2">
      <c r="A726" t="str">
        <f>IF(AND(UPPER(MAESTRO!$M725)="VIP",UPPER(MAESTRO!$J725)="SI",MAESTRO!$F725&lt;&gt;""),MAESTRO!$P725,"")</f>
        <v/>
      </c>
      <c r="B726" t="str">
        <f>IF($A726&lt;&gt;"",MAESTRO!$B725,"")</f>
        <v/>
      </c>
      <c r="C726" t="str">
        <f>IF($A726&lt;&gt;"",MAESTRO!$A725,"")</f>
        <v/>
      </c>
      <c r="D726" t="str">
        <f>IF($A726&lt;&gt;"",MAESTRO!$C725,"")</f>
        <v/>
      </c>
      <c r="E726" t="str">
        <f>IF($A726&lt;&gt;"",MAESTRO!$M725,"")</f>
        <v/>
      </c>
      <c r="F726" t="str">
        <f>IF($A726&lt;&gt;"",MAESTRO!$J725,"")</f>
        <v/>
      </c>
      <c r="G726" t="str">
        <f>IF($A726&lt;&gt;"",MAESTRO!$D725,"")</f>
        <v/>
      </c>
      <c r="H726" t="str">
        <f>IF($A726&lt;&gt;"",IF(TRIM(MAESTRO!$G725&amp;" "&amp;MAESTRO!$H725&amp;" "&amp;MAESTRO!$I725)="",MAESTRO!$F725,TRIM(MAESTRO!$G725&amp;" "&amp;MAESTRO!$H725&amp;" "&amp;MAESTRO!$I725)),"")</f>
        <v/>
      </c>
      <c r="I726" t="str">
        <f>IF($A726&lt;&gt;"",MAESTRO!$K725,"")</f>
        <v/>
      </c>
      <c r="J726" t="str">
        <f>IF($A726&lt;&gt;"",726,"")</f>
        <v/>
      </c>
    </row>
    <row r="727" spans="1:10" x14ac:dyDescent="0.2">
      <c r="A727" t="str">
        <f>IF(AND(UPPER(MAESTRO!$M726)="VIP",UPPER(MAESTRO!$J726)="SI",MAESTRO!$F726&lt;&gt;""),MAESTRO!$P726,"")</f>
        <v/>
      </c>
      <c r="B727" t="str">
        <f>IF($A727&lt;&gt;"",MAESTRO!$B726,"")</f>
        <v/>
      </c>
      <c r="C727" t="str">
        <f>IF($A727&lt;&gt;"",MAESTRO!$A726,"")</f>
        <v/>
      </c>
      <c r="D727" t="str">
        <f>IF($A727&lt;&gt;"",MAESTRO!$C726,"")</f>
        <v/>
      </c>
      <c r="E727" t="str">
        <f>IF($A727&lt;&gt;"",MAESTRO!$M726,"")</f>
        <v/>
      </c>
      <c r="F727" t="str">
        <f>IF($A727&lt;&gt;"",MAESTRO!$J726,"")</f>
        <v/>
      </c>
      <c r="G727" t="str">
        <f>IF($A727&lt;&gt;"",MAESTRO!$D726,"")</f>
        <v/>
      </c>
      <c r="H727" t="str">
        <f>IF($A727&lt;&gt;"",IF(TRIM(MAESTRO!$G726&amp;" "&amp;MAESTRO!$H726&amp;" "&amp;MAESTRO!$I726)="",MAESTRO!$F726,TRIM(MAESTRO!$G726&amp;" "&amp;MAESTRO!$H726&amp;" "&amp;MAESTRO!$I726)),"")</f>
        <v/>
      </c>
      <c r="I727" t="str">
        <f>IF($A727&lt;&gt;"",MAESTRO!$K726,"")</f>
        <v/>
      </c>
      <c r="J727" t="str">
        <f>IF($A727&lt;&gt;"",727,"")</f>
        <v/>
      </c>
    </row>
    <row r="728" spans="1:10" x14ac:dyDescent="0.2">
      <c r="A728" t="str">
        <f>IF(AND(UPPER(MAESTRO!$M727)="VIP",UPPER(MAESTRO!$J727)="SI",MAESTRO!$F727&lt;&gt;""),MAESTRO!$P727,"")</f>
        <v/>
      </c>
      <c r="B728" t="str">
        <f>IF($A728&lt;&gt;"",MAESTRO!$B727,"")</f>
        <v/>
      </c>
      <c r="C728" t="str">
        <f>IF($A728&lt;&gt;"",MAESTRO!$A727,"")</f>
        <v/>
      </c>
      <c r="D728" t="str">
        <f>IF($A728&lt;&gt;"",MAESTRO!$C727,"")</f>
        <v/>
      </c>
      <c r="E728" t="str">
        <f>IF($A728&lt;&gt;"",MAESTRO!$M727,"")</f>
        <v/>
      </c>
      <c r="F728" t="str">
        <f>IF($A728&lt;&gt;"",MAESTRO!$J727,"")</f>
        <v/>
      </c>
      <c r="G728" t="str">
        <f>IF($A728&lt;&gt;"",MAESTRO!$D727,"")</f>
        <v/>
      </c>
      <c r="H728" t="str">
        <f>IF($A728&lt;&gt;"",IF(TRIM(MAESTRO!$G727&amp;" "&amp;MAESTRO!$H727&amp;" "&amp;MAESTRO!$I727)="",MAESTRO!$F727,TRIM(MAESTRO!$G727&amp;" "&amp;MAESTRO!$H727&amp;" "&amp;MAESTRO!$I727)),"")</f>
        <v/>
      </c>
      <c r="I728" t="str">
        <f>IF($A728&lt;&gt;"",MAESTRO!$K727,"")</f>
        <v/>
      </c>
      <c r="J728" t="str">
        <f>IF($A728&lt;&gt;"",728,"")</f>
        <v/>
      </c>
    </row>
    <row r="729" spans="1:10" x14ac:dyDescent="0.2">
      <c r="A729" t="str">
        <f>IF(AND(UPPER(MAESTRO!$M728)="VIP",UPPER(MAESTRO!$J728)="SI",MAESTRO!$F728&lt;&gt;""),MAESTRO!$P728,"")</f>
        <v/>
      </c>
      <c r="B729" t="str">
        <f>IF($A729&lt;&gt;"",MAESTRO!$B728,"")</f>
        <v/>
      </c>
      <c r="C729" t="str">
        <f>IF($A729&lt;&gt;"",MAESTRO!$A728,"")</f>
        <v/>
      </c>
      <c r="D729" t="str">
        <f>IF($A729&lt;&gt;"",MAESTRO!$C728,"")</f>
        <v/>
      </c>
      <c r="E729" t="str">
        <f>IF($A729&lt;&gt;"",MAESTRO!$M728,"")</f>
        <v/>
      </c>
      <c r="F729" t="str">
        <f>IF($A729&lt;&gt;"",MAESTRO!$J728,"")</f>
        <v/>
      </c>
      <c r="G729" t="str">
        <f>IF($A729&lt;&gt;"",MAESTRO!$D728,"")</f>
        <v/>
      </c>
      <c r="H729" t="str">
        <f>IF($A729&lt;&gt;"",IF(TRIM(MAESTRO!$G728&amp;" "&amp;MAESTRO!$H728&amp;" "&amp;MAESTRO!$I728)="",MAESTRO!$F728,TRIM(MAESTRO!$G728&amp;" "&amp;MAESTRO!$H728&amp;" "&amp;MAESTRO!$I728)),"")</f>
        <v/>
      </c>
      <c r="I729" t="str">
        <f>IF($A729&lt;&gt;"",MAESTRO!$K728,"")</f>
        <v/>
      </c>
      <c r="J729" t="str">
        <f>IF($A729&lt;&gt;"",729,"")</f>
        <v/>
      </c>
    </row>
    <row r="730" spans="1:10" x14ac:dyDescent="0.2">
      <c r="A730" t="str">
        <f>IF(AND(UPPER(MAESTRO!$M729)="VIP",UPPER(MAESTRO!$J729)="SI",MAESTRO!$F729&lt;&gt;""),MAESTRO!$P729,"")</f>
        <v/>
      </c>
      <c r="B730" t="str">
        <f>IF($A730&lt;&gt;"",MAESTRO!$B729,"")</f>
        <v/>
      </c>
      <c r="C730" t="str">
        <f>IF($A730&lt;&gt;"",MAESTRO!$A729,"")</f>
        <v/>
      </c>
      <c r="D730" t="str">
        <f>IF($A730&lt;&gt;"",MAESTRO!$C729,"")</f>
        <v/>
      </c>
      <c r="E730" t="str">
        <f>IF($A730&lt;&gt;"",MAESTRO!$M729,"")</f>
        <v/>
      </c>
      <c r="F730" t="str">
        <f>IF($A730&lt;&gt;"",MAESTRO!$J729,"")</f>
        <v/>
      </c>
      <c r="G730" t="str">
        <f>IF($A730&lt;&gt;"",MAESTRO!$D729,"")</f>
        <v/>
      </c>
      <c r="H730" t="str">
        <f>IF($A730&lt;&gt;"",IF(TRIM(MAESTRO!$G729&amp;" "&amp;MAESTRO!$H729&amp;" "&amp;MAESTRO!$I729)="",MAESTRO!$F729,TRIM(MAESTRO!$G729&amp;" "&amp;MAESTRO!$H729&amp;" "&amp;MAESTRO!$I729)),"")</f>
        <v/>
      </c>
      <c r="I730" t="str">
        <f>IF($A730&lt;&gt;"",MAESTRO!$K729,"")</f>
        <v/>
      </c>
      <c r="J730" t="str">
        <f>IF($A730&lt;&gt;"",730,"")</f>
        <v/>
      </c>
    </row>
    <row r="731" spans="1:10" x14ac:dyDescent="0.2">
      <c r="A731" t="str">
        <f>IF(AND(UPPER(MAESTRO!$M730)="VIP",UPPER(MAESTRO!$J730)="SI",MAESTRO!$F730&lt;&gt;""),MAESTRO!$P730,"")</f>
        <v/>
      </c>
      <c r="B731" t="str">
        <f>IF($A731&lt;&gt;"",MAESTRO!$B730,"")</f>
        <v/>
      </c>
      <c r="C731" t="str">
        <f>IF($A731&lt;&gt;"",MAESTRO!$A730,"")</f>
        <v/>
      </c>
      <c r="D731" t="str">
        <f>IF($A731&lt;&gt;"",MAESTRO!$C730,"")</f>
        <v/>
      </c>
      <c r="E731" t="str">
        <f>IF($A731&lt;&gt;"",MAESTRO!$M730,"")</f>
        <v/>
      </c>
      <c r="F731" t="str">
        <f>IF($A731&lt;&gt;"",MAESTRO!$J730,"")</f>
        <v/>
      </c>
      <c r="G731" t="str">
        <f>IF($A731&lt;&gt;"",MAESTRO!$D730,"")</f>
        <v/>
      </c>
      <c r="H731" t="str">
        <f>IF($A731&lt;&gt;"",IF(TRIM(MAESTRO!$G730&amp;" "&amp;MAESTRO!$H730&amp;" "&amp;MAESTRO!$I730)="",MAESTRO!$F730,TRIM(MAESTRO!$G730&amp;" "&amp;MAESTRO!$H730&amp;" "&amp;MAESTRO!$I730)),"")</f>
        <v/>
      </c>
      <c r="I731" t="str">
        <f>IF($A731&lt;&gt;"",MAESTRO!$K730,"")</f>
        <v/>
      </c>
      <c r="J731" t="str">
        <f>IF($A731&lt;&gt;"",731,"")</f>
        <v/>
      </c>
    </row>
    <row r="732" spans="1:10" x14ac:dyDescent="0.2">
      <c r="A732" t="str">
        <f>IF(AND(UPPER(MAESTRO!$M731)="VIP",UPPER(MAESTRO!$J731)="SI",MAESTRO!$F731&lt;&gt;""),MAESTRO!$P731,"")</f>
        <v/>
      </c>
      <c r="B732" t="str">
        <f>IF($A732&lt;&gt;"",MAESTRO!$B731,"")</f>
        <v/>
      </c>
      <c r="C732" t="str">
        <f>IF($A732&lt;&gt;"",MAESTRO!$A731,"")</f>
        <v/>
      </c>
      <c r="D732" t="str">
        <f>IF($A732&lt;&gt;"",MAESTRO!$C731,"")</f>
        <v/>
      </c>
      <c r="E732" t="str">
        <f>IF($A732&lt;&gt;"",MAESTRO!$M731,"")</f>
        <v/>
      </c>
      <c r="F732" t="str">
        <f>IF($A732&lt;&gt;"",MAESTRO!$J731,"")</f>
        <v/>
      </c>
      <c r="G732" t="str">
        <f>IF($A732&lt;&gt;"",MAESTRO!$D731,"")</f>
        <v/>
      </c>
      <c r="H732" t="str">
        <f>IF($A732&lt;&gt;"",IF(TRIM(MAESTRO!$G731&amp;" "&amp;MAESTRO!$H731&amp;" "&amp;MAESTRO!$I731)="",MAESTRO!$F731,TRIM(MAESTRO!$G731&amp;" "&amp;MAESTRO!$H731&amp;" "&amp;MAESTRO!$I731)),"")</f>
        <v/>
      </c>
      <c r="I732" t="str">
        <f>IF($A732&lt;&gt;"",MAESTRO!$K731,"")</f>
        <v/>
      </c>
      <c r="J732" t="str">
        <f>IF($A732&lt;&gt;"",732,"")</f>
        <v/>
      </c>
    </row>
    <row r="733" spans="1:10" x14ac:dyDescent="0.2">
      <c r="A733" t="str">
        <f>IF(AND(UPPER(MAESTRO!$M732)="VIP",UPPER(MAESTRO!$J732)="SI",MAESTRO!$F732&lt;&gt;""),MAESTRO!$P732,"")</f>
        <v/>
      </c>
      <c r="B733" t="str">
        <f>IF($A733&lt;&gt;"",MAESTRO!$B732,"")</f>
        <v/>
      </c>
      <c r="C733" t="str">
        <f>IF($A733&lt;&gt;"",MAESTRO!$A732,"")</f>
        <v/>
      </c>
      <c r="D733" t="str">
        <f>IF($A733&lt;&gt;"",MAESTRO!$C732,"")</f>
        <v/>
      </c>
      <c r="E733" t="str">
        <f>IF($A733&lt;&gt;"",MAESTRO!$M732,"")</f>
        <v/>
      </c>
      <c r="F733" t="str">
        <f>IF($A733&lt;&gt;"",MAESTRO!$J732,"")</f>
        <v/>
      </c>
      <c r="G733" t="str">
        <f>IF($A733&lt;&gt;"",MAESTRO!$D732,"")</f>
        <v/>
      </c>
      <c r="H733" t="str">
        <f>IF($A733&lt;&gt;"",IF(TRIM(MAESTRO!$G732&amp;" "&amp;MAESTRO!$H732&amp;" "&amp;MAESTRO!$I732)="",MAESTRO!$F732,TRIM(MAESTRO!$G732&amp;" "&amp;MAESTRO!$H732&amp;" "&amp;MAESTRO!$I732)),"")</f>
        <v/>
      </c>
      <c r="I733" t="str">
        <f>IF($A733&lt;&gt;"",MAESTRO!$K732,"")</f>
        <v/>
      </c>
      <c r="J733" t="str">
        <f>IF($A733&lt;&gt;"",733,"")</f>
        <v/>
      </c>
    </row>
    <row r="734" spans="1:10" x14ac:dyDescent="0.2">
      <c r="A734" t="str">
        <f>IF(AND(UPPER(MAESTRO!$M733)="VIP",UPPER(MAESTRO!$J733)="SI",MAESTRO!$F733&lt;&gt;""),MAESTRO!$P733,"")</f>
        <v/>
      </c>
      <c r="B734" t="str">
        <f>IF($A734&lt;&gt;"",MAESTRO!$B733,"")</f>
        <v/>
      </c>
      <c r="C734" t="str">
        <f>IF($A734&lt;&gt;"",MAESTRO!$A733,"")</f>
        <v/>
      </c>
      <c r="D734" t="str">
        <f>IF($A734&lt;&gt;"",MAESTRO!$C733,"")</f>
        <v/>
      </c>
      <c r="E734" t="str">
        <f>IF($A734&lt;&gt;"",MAESTRO!$M733,"")</f>
        <v/>
      </c>
      <c r="F734" t="str">
        <f>IF($A734&lt;&gt;"",MAESTRO!$J733,"")</f>
        <v/>
      </c>
      <c r="G734" t="str">
        <f>IF($A734&lt;&gt;"",MAESTRO!$D733,"")</f>
        <v/>
      </c>
      <c r="H734" t="str">
        <f>IF($A734&lt;&gt;"",IF(TRIM(MAESTRO!$G733&amp;" "&amp;MAESTRO!$H733&amp;" "&amp;MAESTRO!$I733)="",MAESTRO!$F733,TRIM(MAESTRO!$G733&amp;" "&amp;MAESTRO!$H733&amp;" "&amp;MAESTRO!$I733)),"")</f>
        <v/>
      </c>
      <c r="I734" t="str">
        <f>IF($A734&lt;&gt;"",MAESTRO!$K733,"")</f>
        <v/>
      </c>
      <c r="J734" t="str">
        <f>IF($A734&lt;&gt;"",734,"")</f>
        <v/>
      </c>
    </row>
    <row r="735" spans="1:10" x14ac:dyDescent="0.2">
      <c r="A735" t="str">
        <f>IF(AND(UPPER(MAESTRO!$M734)="VIP",UPPER(MAESTRO!$J734)="SI",MAESTRO!$F734&lt;&gt;""),MAESTRO!$P734,"")</f>
        <v/>
      </c>
      <c r="B735" t="str">
        <f>IF($A735&lt;&gt;"",MAESTRO!$B734,"")</f>
        <v/>
      </c>
      <c r="C735" t="str">
        <f>IF($A735&lt;&gt;"",MAESTRO!$A734,"")</f>
        <v/>
      </c>
      <c r="D735" t="str">
        <f>IF($A735&lt;&gt;"",MAESTRO!$C734,"")</f>
        <v/>
      </c>
      <c r="E735" t="str">
        <f>IF($A735&lt;&gt;"",MAESTRO!$M734,"")</f>
        <v/>
      </c>
      <c r="F735" t="str">
        <f>IF($A735&lt;&gt;"",MAESTRO!$J734,"")</f>
        <v/>
      </c>
      <c r="G735" t="str">
        <f>IF($A735&lt;&gt;"",MAESTRO!$D734,"")</f>
        <v/>
      </c>
      <c r="H735" t="str">
        <f>IF($A735&lt;&gt;"",IF(TRIM(MAESTRO!$G734&amp;" "&amp;MAESTRO!$H734&amp;" "&amp;MAESTRO!$I734)="",MAESTRO!$F734,TRIM(MAESTRO!$G734&amp;" "&amp;MAESTRO!$H734&amp;" "&amp;MAESTRO!$I734)),"")</f>
        <v/>
      </c>
      <c r="I735" t="str">
        <f>IF($A735&lt;&gt;"",MAESTRO!$K734,"")</f>
        <v/>
      </c>
      <c r="J735" t="str">
        <f>IF($A735&lt;&gt;"",735,"")</f>
        <v/>
      </c>
    </row>
    <row r="736" spans="1:10" x14ac:dyDescent="0.2">
      <c r="A736" t="str">
        <f>IF(AND(UPPER(MAESTRO!$M735)="VIP",UPPER(MAESTRO!$J735)="SI",MAESTRO!$F735&lt;&gt;""),MAESTRO!$P735,"")</f>
        <v/>
      </c>
      <c r="B736" t="str">
        <f>IF($A736&lt;&gt;"",MAESTRO!$B735,"")</f>
        <v/>
      </c>
      <c r="C736" t="str">
        <f>IF($A736&lt;&gt;"",MAESTRO!$A735,"")</f>
        <v/>
      </c>
      <c r="D736" t="str">
        <f>IF($A736&lt;&gt;"",MAESTRO!$C735,"")</f>
        <v/>
      </c>
      <c r="E736" t="str">
        <f>IF($A736&lt;&gt;"",MAESTRO!$M735,"")</f>
        <v/>
      </c>
      <c r="F736" t="str">
        <f>IF($A736&lt;&gt;"",MAESTRO!$J735,"")</f>
        <v/>
      </c>
      <c r="G736" t="str">
        <f>IF($A736&lt;&gt;"",MAESTRO!$D735,"")</f>
        <v/>
      </c>
      <c r="H736" t="str">
        <f>IF($A736&lt;&gt;"",IF(TRIM(MAESTRO!$G735&amp;" "&amp;MAESTRO!$H735&amp;" "&amp;MAESTRO!$I735)="",MAESTRO!$F735,TRIM(MAESTRO!$G735&amp;" "&amp;MAESTRO!$H735&amp;" "&amp;MAESTRO!$I735)),"")</f>
        <v/>
      </c>
      <c r="I736" t="str">
        <f>IF($A736&lt;&gt;"",MAESTRO!$K735,"")</f>
        <v/>
      </c>
      <c r="J736" t="str">
        <f>IF($A736&lt;&gt;"",736,"")</f>
        <v/>
      </c>
    </row>
    <row r="737" spans="1:10" x14ac:dyDescent="0.2">
      <c r="A737" t="str">
        <f>IF(AND(UPPER(MAESTRO!$M736)="VIP",UPPER(MAESTRO!$J736)="SI",MAESTRO!$F736&lt;&gt;""),MAESTRO!$P736,"")</f>
        <v/>
      </c>
      <c r="B737" t="str">
        <f>IF($A737&lt;&gt;"",MAESTRO!$B736,"")</f>
        <v/>
      </c>
      <c r="C737" t="str">
        <f>IF($A737&lt;&gt;"",MAESTRO!$A736,"")</f>
        <v/>
      </c>
      <c r="D737" t="str">
        <f>IF($A737&lt;&gt;"",MAESTRO!$C736,"")</f>
        <v/>
      </c>
      <c r="E737" t="str">
        <f>IF($A737&lt;&gt;"",MAESTRO!$M736,"")</f>
        <v/>
      </c>
      <c r="F737" t="str">
        <f>IF($A737&lt;&gt;"",MAESTRO!$J736,"")</f>
        <v/>
      </c>
      <c r="G737" t="str">
        <f>IF($A737&lt;&gt;"",MAESTRO!$D736,"")</f>
        <v/>
      </c>
      <c r="H737" t="str">
        <f>IF($A737&lt;&gt;"",IF(TRIM(MAESTRO!$G736&amp;" "&amp;MAESTRO!$H736&amp;" "&amp;MAESTRO!$I736)="",MAESTRO!$F736,TRIM(MAESTRO!$G736&amp;" "&amp;MAESTRO!$H736&amp;" "&amp;MAESTRO!$I736)),"")</f>
        <v/>
      </c>
      <c r="I737" t="str">
        <f>IF($A737&lt;&gt;"",MAESTRO!$K736,"")</f>
        <v/>
      </c>
      <c r="J737" t="str">
        <f>IF($A737&lt;&gt;"",737,"")</f>
        <v/>
      </c>
    </row>
    <row r="738" spans="1:10" x14ac:dyDescent="0.2">
      <c r="A738" t="str">
        <f>IF(AND(UPPER(MAESTRO!$M737)="VIP",UPPER(MAESTRO!$J737)="SI",MAESTRO!$F737&lt;&gt;""),MAESTRO!$P737,"")</f>
        <v/>
      </c>
      <c r="B738" t="str">
        <f>IF($A738&lt;&gt;"",MAESTRO!$B737,"")</f>
        <v/>
      </c>
      <c r="C738" t="str">
        <f>IF($A738&lt;&gt;"",MAESTRO!$A737,"")</f>
        <v/>
      </c>
      <c r="D738" t="str">
        <f>IF($A738&lt;&gt;"",MAESTRO!$C737,"")</f>
        <v/>
      </c>
      <c r="E738" t="str">
        <f>IF($A738&lt;&gt;"",MAESTRO!$M737,"")</f>
        <v/>
      </c>
      <c r="F738" t="str">
        <f>IF($A738&lt;&gt;"",MAESTRO!$J737,"")</f>
        <v/>
      </c>
      <c r="G738" t="str">
        <f>IF($A738&lt;&gt;"",MAESTRO!$D737,"")</f>
        <v/>
      </c>
      <c r="H738" t="str">
        <f>IF($A738&lt;&gt;"",IF(TRIM(MAESTRO!$G737&amp;" "&amp;MAESTRO!$H737&amp;" "&amp;MAESTRO!$I737)="",MAESTRO!$F737,TRIM(MAESTRO!$G737&amp;" "&amp;MAESTRO!$H737&amp;" "&amp;MAESTRO!$I737)),"")</f>
        <v/>
      </c>
      <c r="I738" t="str">
        <f>IF($A738&lt;&gt;"",MAESTRO!$K737,"")</f>
        <v/>
      </c>
      <c r="J738" t="str">
        <f>IF($A738&lt;&gt;"",738,"")</f>
        <v/>
      </c>
    </row>
    <row r="739" spans="1:10" x14ac:dyDescent="0.2">
      <c r="A739" t="str">
        <f>IF(AND(UPPER(MAESTRO!$M738)="VIP",UPPER(MAESTRO!$J738)="SI",MAESTRO!$F738&lt;&gt;""),MAESTRO!$P738,"")</f>
        <v/>
      </c>
      <c r="B739" t="str">
        <f>IF($A739&lt;&gt;"",MAESTRO!$B738,"")</f>
        <v/>
      </c>
      <c r="C739" t="str">
        <f>IF($A739&lt;&gt;"",MAESTRO!$A738,"")</f>
        <v/>
      </c>
      <c r="D739" t="str">
        <f>IF($A739&lt;&gt;"",MAESTRO!$C738,"")</f>
        <v/>
      </c>
      <c r="E739" t="str">
        <f>IF($A739&lt;&gt;"",MAESTRO!$M738,"")</f>
        <v/>
      </c>
      <c r="F739" t="str">
        <f>IF($A739&lt;&gt;"",MAESTRO!$J738,"")</f>
        <v/>
      </c>
      <c r="G739" t="str">
        <f>IF($A739&lt;&gt;"",MAESTRO!$D738,"")</f>
        <v/>
      </c>
      <c r="H739" t="str">
        <f>IF($A739&lt;&gt;"",IF(TRIM(MAESTRO!$G738&amp;" "&amp;MAESTRO!$H738&amp;" "&amp;MAESTRO!$I738)="",MAESTRO!$F738,TRIM(MAESTRO!$G738&amp;" "&amp;MAESTRO!$H738&amp;" "&amp;MAESTRO!$I738)),"")</f>
        <v/>
      </c>
      <c r="I739" t="str">
        <f>IF($A739&lt;&gt;"",MAESTRO!$K738,"")</f>
        <v/>
      </c>
      <c r="J739" t="str">
        <f>IF($A739&lt;&gt;"",739,"")</f>
        <v/>
      </c>
    </row>
    <row r="740" spans="1:10" x14ac:dyDescent="0.2">
      <c r="A740" t="str">
        <f>IF(AND(UPPER(MAESTRO!$M739)="VIP",UPPER(MAESTRO!$J739)="SI",MAESTRO!$F739&lt;&gt;""),MAESTRO!$P739,"")</f>
        <v/>
      </c>
      <c r="B740" t="str">
        <f>IF($A740&lt;&gt;"",MAESTRO!$B739,"")</f>
        <v/>
      </c>
      <c r="C740" t="str">
        <f>IF($A740&lt;&gt;"",MAESTRO!$A739,"")</f>
        <v/>
      </c>
      <c r="D740" t="str">
        <f>IF($A740&lt;&gt;"",MAESTRO!$C739,"")</f>
        <v/>
      </c>
      <c r="E740" t="str">
        <f>IF($A740&lt;&gt;"",MAESTRO!$M739,"")</f>
        <v/>
      </c>
      <c r="F740" t="str">
        <f>IF($A740&lt;&gt;"",MAESTRO!$J739,"")</f>
        <v/>
      </c>
      <c r="G740" t="str">
        <f>IF($A740&lt;&gt;"",MAESTRO!$D739,"")</f>
        <v/>
      </c>
      <c r="H740" t="str">
        <f>IF($A740&lt;&gt;"",IF(TRIM(MAESTRO!$G739&amp;" "&amp;MAESTRO!$H739&amp;" "&amp;MAESTRO!$I739)="",MAESTRO!$F739,TRIM(MAESTRO!$G739&amp;" "&amp;MAESTRO!$H739&amp;" "&amp;MAESTRO!$I739)),"")</f>
        <v/>
      </c>
      <c r="I740" t="str">
        <f>IF($A740&lt;&gt;"",MAESTRO!$K739,"")</f>
        <v/>
      </c>
      <c r="J740" t="str">
        <f>IF($A740&lt;&gt;"",740,"")</f>
        <v/>
      </c>
    </row>
    <row r="741" spans="1:10" x14ac:dyDescent="0.2">
      <c r="A741" t="str">
        <f>IF(AND(UPPER(MAESTRO!$M740)="VIP",UPPER(MAESTRO!$J740)="SI",MAESTRO!$F740&lt;&gt;""),MAESTRO!$P740,"")</f>
        <v/>
      </c>
      <c r="B741" t="str">
        <f>IF($A741&lt;&gt;"",MAESTRO!$B740,"")</f>
        <v/>
      </c>
      <c r="C741" t="str">
        <f>IF($A741&lt;&gt;"",MAESTRO!$A740,"")</f>
        <v/>
      </c>
      <c r="D741" t="str">
        <f>IF($A741&lt;&gt;"",MAESTRO!$C740,"")</f>
        <v/>
      </c>
      <c r="E741" t="str">
        <f>IF($A741&lt;&gt;"",MAESTRO!$M740,"")</f>
        <v/>
      </c>
      <c r="F741" t="str">
        <f>IF($A741&lt;&gt;"",MAESTRO!$J740,"")</f>
        <v/>
      </c>
      <c r="G741" t="str">
        <f>IF($A741&lt;&gt;"",MAESTRO!$D740,"")</f>
        <v/>
      </c>
      <c r="H741" t="str">
        <f>IF($A741&lt;&gt;"",IF(TRIM(MAESTRO!$G740&amp;" "&amp;MAESTRO!$H740&amp;" "&amp;MAESTRO!$I740)="",MAESTRO!$F740,TRIM(MAESTRO!$G740&amp;" "&amp;MAESTRO!$H740&amp;" "&amp;MAESTRO!$I740)),"")</f>
        <v/>
      </c>
      <c r="I741" t="str">
        <f>IF($A741&lt;&gt;"",MAESTRO!$K740,"")</f>
        <v/>
      </c>
      <c r="J741" t="str">
        <f>IF($A741&lt;&gt;"",741,"")</f>
        <v/>
      </c>
    </row>
    <row r="742" spans="1:10" x14ac:dyDescent="0.2">
      <c r="A742" t="str">
        <f>IF(AND(UPPER(MAESTRO!$M741)="VIP",UPPER(MAESTRO!$J741)="SI",MAESTRO!$F741&lt;&gt;""),MAESTRO!$P741,"")</f>
        <v/>
      </c>
      <c r="B742" t="str">
        <f>IF($A742&lt;&gt;"",MAESTRO!$B741,"")</f>
        <v/>
      </c>
      <c r="C742" t="str">
        <f>IF($A742&lt;&gt;"",MAESTRO!$A741,"")</f>
        <v/>
      </c>
      <c r="D742" t="str">
        <f>IF($A742&lt;&gt;"",MAESTRO!$C741,"")</f>
        <v/>
      </c>
      <c r="E742" t="str">
        <f>IF($A742&lt;&gt;"",MAESTRO!$M741,"")</f>
        <v/>
      </c>
      <c r="F742" t="str">
        <f>IF($A742&lt;&gt;"",MAESTRO!$J741,"")</f>
        <v/>
      </c>
      <c r="G742" t="str">
        <f>IF($A742&lt;&gt;"",MAESTRO!$D741,"")</f>
        <v/>
      </c>
      <c r="H742" t="str">
        <f>IF($A742&lt;&gt;"",IF(TRIM(MAESTRO!$G741&amp;" "&amp;MAESTRO!$H741&amp;" "&amp;MAESTRO!$I741)="",MAESTRO!$F741,TRIM(MAESTRO!$G741&amp;" "&amp;MAESTRO!$H741&amp;" "&amp;MAESTRO!$I741)),"")</f>
        <v/>
      </c>
      <c r="I742" t="str">
        <f>IF($A742&lt;&gt;"",MAESTRO!$K741,"")</f>
        <v/>
      </c>
      <c r="J742" t="str">
        <f>IF($A742&lt;&gt;"",742,"")</f>
        <v/>
      </c>
    </row>
    <row r="743" spans="1:10" x14ac:dyDescent="0.2">
      <c r="A743" t="str">
        <f>IF(AND(UPPER(MAESTRO!$M742)="VIP",UPPER(MAESTRO!$J742)="SI",MAESTRO!$F742&lt;&gt;""),MAESTRO!$P742,"")</f>
        <v/>
      </c>
      <c r="B743" t="str">
        <f>IF($A743&lt;&gt;"",MAESTRO!$B742,"")</f>
        <v/>
      </c>
      <c r="C743" t="str">
        <f>IF($A743&lt;&gt;"",MAESTRO!$A742,"")</f>
        <v/>
      </c>
      <c r="D743" t="str">
        <f>IF($A743&lt;&gt;"",MAESTRO!$C742,"")</f>
        <v/>
      </c>
      <c r="E743" t="str">
        <f>IF($A743&lt;&gt;"",MAESTRO!$M742,"")</f>
        <v/>
      </c>
      <c r="F743" t="str">
        <f>IF($A743&lt;&gt;"",MAESTRO!$J742,"")</f>
        <v/>
      </c>
      <c r="G743" t="str">
        <f>IF($A743&lt;&gt;"",MAESTRO!$D742,"")</f>
        <v/>
      </c>
      <c r="H743" t="str">
        <f>IF($A743&lt;&gt;"",IF(TRIM(MAESTRO!$G742&amp;" "&amp;MAESTRO!$H742&amp;" "&amp;MAESTRO!$I742)="",MAESTRO!$F742,TRIM(MAESTRO!$G742&amp;" "&amp;MAESTRO!$H742&amp;" "&amp;MAESTRO!$I742)),"")</f>
        <v/>
      </c>
      <c r="I743" t="str">
        <f>IF($A743&lt;&gt;"",MAESTRO!$K742,"")</f>
        <v/>
      </c>
      <c r="J743" t="str">
        <f>IF($A743&lt;&gt;"",743,"")</f>
        <v/>
      </c>
    </row>
    <row r="744" spans="1:10" x14ac:dyDescent="0.2">
      <c r="A744" t="str">
        <f>IF(AND(UPPER(MAESTRO!$M743)="VIP",UPPER(MAESTRO!$J743)="SI",MAESTRO!$F743&lt;&gt;""),MAESTRO!$P743,"")</f>
        <v/>
      </c>
      <c r="B744" t="str">
        <f>IF($A744&lt;&gt;"",MAESTRO!$B743,"")</f>
        <v/>
      </c>
      <c r="C744" t="str">
        <f>IF($A744&lt;&gt;"",MAESTRO!$A743,"")</f>
        <v/>
      </c>
      <c r="D744" t="str">
        <f>IF($A744&lt;&gt;"",MAESTRO!$C743,"")</f>
        <v/>
      </c>
      <c r="E744" t="str">
        <f>IF($A744&lt;&gt;"",MAESTRO!$M743,"")</f>
        <v/>
      </c>
      <c r="F744" t="str">
        <f>IF($A744&lt;&gt;"",MAESTRO!$J743,"")</f>
        <v/>
      </c>
      <c r="G744" t="str">
        <f>IF($A744&lt;&gt;"",MAESTRO!$D743,"")</f>
        <v/>
      </c>
      <c r="H744" t="str">
        <f>IF($A744&lt;&gt;"",IF(TRIM(MAESTRO!$G743&amp;" "&amp;MAESTRO!$H743&amp;" "&amp;MAESTRO!$I743)="",MAESTRO!$F743,TRIM(MAESTRO!$G743&amp;" "&amp;MAESTRO!$H743&amp;" "&amp;MAESTRO!$I743)),"")</f>
        <v/>
      </c>
      <c r="I744" t="str">
        <f>IF($A744&lt;&gt;"",MAESTRO!$K743,"")</f>
        <v/>
      </c>
      <c r="J744" t="str">
        <f>IF($A744&lt;&gt;"",744,"")</f>
        <v/>
      </c>
    </row>
    <row r="745" spans="1:10" x14ac:dyDescent="0.2">
      <c r="A745" t="str">
        <f>IF(AND(UPPER(MAESTRO!$M744)="VIP",UPPER(MAESTRO!$J744)="SI",MAESTRO!$F744&lt;&gt;""),MAESTRO!$P744,"")</f>
        <v/>
      </c>
      <c r="B745" t="str">
        <f>IF($A745&lt;&gt;"",MAESTRO!$B744,"")</f>
        <v/>
      </c>
      <c r="C745" t="str">
        <f>IF($A745&lt;&gt;"",MAESTRO!$A744,"")</f>
        <v/>
      </c>
      <c r="D745" t="str">
        <f>IF($A745&lt;&gt;"",MAESTRO!$C744,"")</f>
        <v/>
      </c>
      <c r="E745" t="str">
        <f>IF($A745&lt;&gt;"",MAESTRO!$M744,"")</f>
        <v/>
      </c>
      <c r="F745" t="str">
        <f>IF($A745&lt;&gt;"",MAESTRO!$J744,"")</f>
        <v/>
      </c>
      <c r="G745" t="str">
        <f>IF($A745&lt;&gt;"",MAESTRO!$D744,"")</f>
        <v/>
      </c>
      <c r="H745" t="str">
        <f>IF($A745&lt;&gt;"",IF(TRIM(MAESTRO!$G744&amp;" "&amp;MAESTRO!$H744&amp;" "&amp;MAESTRO!$I744)="",MAESTRO!$F744,TRIM(MAESTRO!$G744&amp;" "&amp;MAESTRO!$H744&amp;" "&amp;MAESTRO!$I744)),"")</f>
        <v/>
      </c>
      <c r="I745" t="str">
        <f>IF($A745&lt;&gt;"",MAESTRO!$K744,"")</f>
        <v/>
      </c>
      <c r="J745" t="str">
        <f>IF($A745&lt;&gt;"",745,"")</f>
        <v/>
      </c>
    </row>
    <row r="746" spans="1:10" x14ac:dyDescent="0.2">
      <c r="A746" t="str">
        <f>IF(AND(UPPER(MAESTRO!$M745)="VIP",UPPER(MAESTRO!$J745)="SI",MAESTRO!$F745&lt;&gt;""),MAESTRO!$P745,"")</f>
        <v/>
      </c>
      <c r="B746" t="str">
        <f>IF($A746&lt;&gt;"",MAESTRO!$B745,"")</f>
        <v/>
      </c>
      <c r="C746" t="str">
        <f>IF($A746&lt;&gt;"",MAESTRO!$A745,"")</f>
        <v/>
      </c>
      <c r="D746" t="str">
        <f>IF($A746&lt;&gt;"",MAESTRO!$C745,"")</f>
        <v/>
      </c>
      <c r="E746" t="str">
        <f>IF($A746&lt;&gt;"",MAESTRO!$M745,"")</f>
        <v/>
      </c>
      <c r="F746" t="str">
        <f>IF($A746&lt;&gt;"",MAESTRO!$J745,"")</f>
        <v/>
      </c>
      <c r="G746" t="str">
        <f>IF($A746&lt;&gt;"",MAESTRO!$D745,"")</f>
        <v/>
      </c>
      <c r="H746" t="str">
        <f>IF($A746&lt;&gt;"",IF(TRIM(MAESTRO!$G745&amp;" "&amp;MAESTRO!$H745&amp;" "&amp;MAESTRO!$I745)="",MAESTRO!$F745,TRIM(MAESTRO!$G745&amp;" "&amp;MAESTRO!$H745&amp;" "&amp;MAESTRO!$I745)),"")</f>
        <v/>
      </c>
      <c r="I746" t="str">
        <f>IF($A746&lt;&gt;"",MAESTRO!$K745,"")</f>
        <v/>
      </c>
      <c r="J746" t="str">
        <f>IF($A746&lt;&gt;"",746,"")</f>
        <v/>
      </c>
    </row>
    <row r="747" spans="1:10" x14ac:dyDescent="0.2">
      <c r="A747" t="str">
        <f>IF(AND(UPPER(MAESTRO!$M746)="VIP",UPPER(MAESTRO!$J746)="SI",MAESTRO!$F746&lt;&gt;""),MAESTRO!$P746,"")</f>
        <v/>
      </c>
      <c r="B747" t="str">
        <f>IF($A747&lt;&gt;"",MAESTRO!$B746,"")</f>
        <v/>
      </c>
      <c r="C747" t="str">
        <f>IF($A747&lt;&gt;"",MAESTRO!$A746,"")</f>
        <v/>
      </c>
      <c r="D747" t="str">
        <f>IF($A747&lt;&gt;"",MAESTRO!$C746,"")</f>
        <v/>
      </c>
      <c r="E747" t="str">
        <f>IF($A747&lt;&gt;"",MAESTRO!$M746,"")</f>
        <v/>
      </c>
      <c r="F747" t="str">
        <f>IF($A747&lt;&gt;"",MAESTRO!$J746,"")</f>
        <v/>
      </c>
      <c r="G747" t="str">
        <f>IF($A747&lt;&gt;"",MAESTRO!$D746,"")</f>
        <v/>
      </c>
      <c r="H747" t="str">
        <f>IF($A747&lt;&gt;"",IF(TRIM(MAESTRO!$G746&amp;" "&amp;MAESTRO!$H746&amp;" "&amp;MAESTRO!$I746)="",MAESTRO!$F746,TRIM(MAESTRO!$G746&amp;" "&amp;MAESTRO!$H746&amp;" "&amp;MAESTRO!$I746)),"")</f>
        <v/>
      </c>
      <c r="I747" t="str">
        <f>IF($A747&lt;&gt;"",MAESTRO!$K746,"")</f>
        <v/>
      </c>
      <c r="J747" t="str">
        <f>IF($A747&lt;&gt;"",747,"")</f>
        <v/>
      </c>
    </row>
    <row r="748" spans="1:10" x14ac:dyDescent="0.2">
      <c r="A748" t="str">
        <f>IF(AND(UPPER(MAESTRO!$M747)="VIP",UPPER(MAESTRO!$J747)="SI",MAESTRO!$F747&lt;&gt;""),MAESTRO!$P747,"")</f>
        <v/>
      </c>
      <c r="B748" t="str">
        <f>IF($A748&lt;&gt;"",MAESTRO!$B747,"")</f>
        <v/>
      </c>
      <c r="C748" t="str">
        <f>IF($A748&lt;&gt;"",MAESTRO!$A747,"")</f>
        <v/>
      </c>
      <c r="D748" t="str">
        <f>IF($A748&lt;&gt;"",MAESTRO!$C747,"")</f>
        <v/>
      </c>
      <c r="E748" t="str">
        <f>IF($A748&lt;&gt;"",MAESTRO!$M747,"")</f>
        <v/>
      </c>
      <c r="F748" t="str">
        <f>IF($A748&lt;&gt;"",MAESTRO!$J747,"")</f>
        <v/>
      </c>
      <c r="G748" t="str">
        <f>IF($A748&lt;&gt;"",MAESTRO!$D747,"")</f>
        <v/>
      </c>
      <c r="H748" t="str">
        <f>IF($A748&lt;&gt;"",IF(TRIM(MAESTRO!$G747&amp;" "&amp;MAESTRO!$H747&amp;" "&amp;MAESTRO!$I747)="",MAESTRO!$F747,TRIM(MAESTRO!$G747&amp;" "&amp;MAESTRO!$H747&amp;" "&amp;MAESTRO!$I747)),"")</f>
        <v/>
      </c>
      <c r="I748" t="str">
        <f>IF($A748&lt;&gt;"",MAESTRO!$K747,"")</f>
        <v/>
      </c>
      <c r="J748" t="str">
        <f>IF($A748&lt;&gt;"",748,"")</f>
        <v/>
      </c>
    </row>
    <row r="749" spans="1:10" x14ac:dyDescent="0.2">
      <c r="A749" t="str">
        <f>IF(AND(UPPER(MAESTRO!$M748)="VIP",UPPER(MAESTRO!$J748)="SI",MAESTRO!$F748&lt;&gt;""),MAESTRO!$P748,"")</f>
        <v/>
      </c>
      <c r="B749" t="str">
        <f>IF($A749&lt;&gt;"",MAESTRO!$B748,"")</f>
        <v/>
      </c>
      <c r="C749" t="str">
        <f>IF($A749&lt;&gt;"",MAESTRO!$A748,"")</f>
        <v/>
      </c>
      <c r="D749" t="str">
        <f>IF($A749&lt;&gt;"",MAESTRO!$C748,"")</f>
        <v/>
      </c>
      <c r="E749" t="str">
        <f>IF($A749&lt;&gt;"",MAESTRO!$M748,"")</f>
        <v/>
      </c>
      <c r="F749" t="str">
        <f>IF($A749&lt;&gt;"",MAESTRO!$J748,"")</f>
        <v/>
      </c>
      <c r="G749" t="str">
        <f>IF($A749&lt;&gt;"",MAESTRO!$D748,"")</f>
        <v/>
      </c>
      <c r="H749" t="str">
        <f>IF($A749&lt;&gt;"",IF(TRIM(MAESTRO!$G748&amp;" "&amp;MAESTRO!$H748&amp;" "&amp;MAESTRO!$I748)="",MAESTRO!$F748,TRIM(MAESTRO!$G748&amp;" "&amp;MAESTRO!$H748&amp;" "&amp;MAESTRO!$I748)),"")</f>
        <v/>
      </c>
      <c r="I749" t="str">
        <f>IF($A749&lt;&gt;"",MAESTRO!$K748,"")</f>
        <v/>
      </c>
      <c r="J749" t="str">
        <f>IF($A749&lt;&gt;"",749,"")</f>
        <v/>
      </c>
    </row>
    <row r="750" spans="1:10" x14ac:dyDescent="0.2">
      <c r="A750" t="str">
        <f>IF(AND(UPPER(MAESTRO!$M749)="VIP",UPPER(MAESTRO!$J749)="SI",MAESTRO!$F749&lt;&gt;""),MAESTRO!$P749,"")</f>
        <v/>
      </c>
      <c r="B750" t="str">
        <f>IF($A750&lt;&gt;"",MAESTRO!$B749,"")</f>
        <v/>
      </c>
      <c r="C750" t="str">
        <f>IF($A750&lt;&gt;"",MAESTRO!$A749,"")</f>
        <v/>
      </c>
      <c r="D750" t="str">
        <f>IF($A750&lt;&gt;"",MAESTRO!$C749,"")</f>
        <v/>
      </c>
      <c r="E750" t="str">
        <f>IF($A750&lt;&gt;"",MAESTRO!$M749,"")</f>
        <v/>
      </c>
      <c r="F750" t="str">
        <f>IF($A750&lt;&gt;"",MAESTRO!$J749,"")</f>
        <v/>
      </c>
      <c r="G750" t="str">
        <f>IF($A750&lt;&gt;"",MAESTRO!$D749,"")</f>
        <v/>
      </c>
      <c r="H750" t="str">
        <f>IF($A750&lt;&gt;"",IF(TRIM(MAESTRO!$G749&amp;" "&amp;MAESTRO!$H749&amp;" "&amp;MAESTRO!$I749)="",MAESTRO!$F749,TRIM(MAESTRO!$G749&amp;" "&amp;MAESTRO!$H749&amp;" "&amp;MAESTRO!$I749)),"")</f>
        <v/>
      </c>
      <c r="I750" t="str">
        <f>IF($A750&lt;&gt;"",MAESTRO!$K749,"")</f>
        <v/>
      </c>
      <c r="J750" t="str">
        <f>IF($A750&lt;&gt;"",750,"")</f>
        <v/>
      </c>
    </row>
    <row r="751" spans="1:10" x14ac:dyDescent="0.2">
      <c r="A751" t="str">
        <f>IF(AND(UPPER(MAESTRO!$M750)="VIP",UPPER(MAESTRO!$J750)="SI",MAESTRO!$F750&lt;&gt;""),MAESTRO!$P750,"")</f>
        <v/>
      </c>
      <c r="B751" t="str">
        <f>IF($A751&lt;&gt;"",MAESTRO!$B750,"")</f>
        <v/>
      </c>
      <c r="C751" t="str">
        <f>IF($A751&lt;&gt;"",MAESTRO!$A750,"")</f>
        <v/>
      </c>
      <c r="D751" t="str">
        <f>IF($A751&lt;&gt;"",MAESTRO!$C750,"")</f>
        <v/>
      </c>
      <c r="E751" t="str">
        <f>IF($A751&lt;&gt;"",MAESTRO!$M750,"")</f>
        <v/>
      </c>
      <c r="F751" t="str">
        <f>IF($A751&lt;&gt;"",MAESTRO!$J750,"")</f>
        <v/>
      </c>
      <c r="G751" t="str">
        <f>IF($A751&lt;&gt;"",MAESTRO!$D750,"")</f>
        <v/>
      </c>
      <c r="H751" t="str">
        <f>IF($A751&lt;&gt;"",IF(TRIM(MAESTRO!$G750&amp;" "&amp;MAESTRO!$H750&amp;" "&amp;MAESTRO!$I750)="",MAESTRO!$F750,TRIM(MAESTRO!$G750&amp;" "&amp;MAESTRO!$H750&amp;" "&amp;MAESTRO!$I750)),"")</f>
        <v/>
      </c>
      <c r="I751" t="str">
        <f>IF($A751&lt;&gt;"",MAESTRO!$K750,"")</f>
        <v/>
      </c>
      <c r="J751" t="str">
        <f>IF($A751&lt;&gt;"",751,"")</f>
        <v/>
      </c>
    </row>
    <row r="752" spans="1:10" x14ac:dyDescent="0.2">
      <c r="A752" t="str">
        <f>IF(AND(UPPER(MAESTRO!$M751)="VIP",UPPER(MAESTRO!$J751)="SI",MAESTRO!$F751&lt;&gt;""),MAESTRO!$P751,"")</f>
        <v/>
      </c>
      <c r="B752" t="str">
        <f>IF($A752&lt;&gt;"",MAESTRO!$B751,"")</f>
        <v/>
      </c>
      <c r="C752" t="str">
        <f>IF($A752&lt;&gt;"",MAESTRO!$A751,"")</f>
        <v/>
      </c>
      <c r="D752" t="str">
        <f>IF($A752&lt;&gt;"",MAESTRO!$C751,"")</f>
        <v/>
      </c>
      <c r="E752" t="str">
        <f>IF($A752&lt;&gt;"",MAESTRO!$M751,"")</f>
        <v/>
      </c>
      <c r="F752" t="str">
        <f>IF($A752&lt;&gt;"",MAESTRO!$J751,"")</f>
        <v/>
      </c>
      <c r="G752" t="str">
        <f>IF($A752&lt;&gt;"",MAESTRO!$D751,"")</f>
        <v/>
      </c>
      <c r="H752" t="str">
        <f>IF($A752&lt;&gt;"",IF(TRIM(MAESTRO!$G751&amp;" "&amp;MAESTRO!$H751&amp;" "&amp;MAESTRO!$I751)="",MAESTRO!$F751,TRIM(MAESTRO!$G751&amp;" "&amp;MAESTRO!$H751&amp;" "&amp;MAESTRO!$I751)),"")</f>
        <v/>
      </c>
      <c r="I752" t="str">
        <f>IF($A752&lt;&gt;"",MAESTRO!$K751,"")</f>
        <v/>
      </c>
      <c r="J752" t="str">
        <f>IF($A752&lt;&gt;"",752,"")</f>
        <v/>
      </c>
    </row>
    <row r="753" spans="1:10" x14ac:dyDescent="0.2">
      <c r="A753" t="str">
        <f>IF(AND(UPPER(MAESTRO!$M752)="VIP",UPPER(MAESTRO!$J752)="SI",MAESTRO!$F752&lt;&gt;""),MAESTRO!$P752,"")</f>
        <v/>
      </c>
      <c r="B753" t="str">
        <f>IF($A753&lt;&gt;"",MAESTRO!$B752,"")</f>
        <v/>
      </c>
      <c r="C753" t="str">
        <f>IF($A753&lt;&gt;"",MAESTRO!$A752,"")</f>
        <v/>
      </c>
      <c r="D753" t="str">
        <f>IF($A753&lt;&gt;"",MAESTRO!$C752,"")</f>
        <v/>
      </c>
      <c r="E753" t="str">
        <f>IF($A753&lt;&gt;"",MAESTRO!$M752,"")</f>
        <v/>
      </c>
      <c r="F753" t="str">
        <f>IF($A753&lt;&gt;"",MAESTRO!$J752,"")</f>
        <v/>
      </c>
      <c r="G753" t="str">
        <f>IF($A753&lt;&gt;"",MAESTRO!$D752,"")</f>
        <v/>
      </c>
      <c r="H753" t="str">
        <f>IF($A753&lt;&gt;"",IF(TRIM(MAESTRO!$G752&amp;" "&amp;MAESTRO!$H752&amp;" "&amp;MAESTRO!$I752)="",MAESTRO!$F752,TRIM(MAESTRO!$G752&amp;" "&amp;MAESTRO!$H752&amp;" "&amp;MAESTRO!$I752)),"")</f>
        <v/>
      </c>
      <c r="I753" t="str">
        <f>IF($A753&lt;&gt;"",MAESTRO!$K752,"")</f>
        <v/>
      </c>
      <c r="J753" t="str">
        <f>IF($A753&lt;&gt;"",753,"")</f>
        <v/>
      </c>
    </row>
    <row r="754" spans="1:10" x14ac:dyDescent="0.2">
      <c r="A754" t="str">
        <f>IF(AND(UPPER(MAESTRO!$M753)="VIP",UPPER(MAESTRO!$J753)="SI",MAESTRO!$F753&lt;&gt;""),MAESTRO!$P753,"")</f>
        <v/>
      </c>
      <c r="B754" t="str">
        <f>IF($A754&lt;&gt;"",MAESTRO!$B753,"")</f>
        <v/>
      </c>
      <c r="C754" t="str">
        <f>IF($A754&lt;&gt;"",MAESTRO!$A753,"")</f>
        <v/>
      </c>
      <c r="D754" t="str">
        <f>IF($A754&lt;&gt;"",MAESTRO!$C753,"")</f>
        <v/>
      </c>
      <c r="E754" t="str">
        <f>IF($A754&lt;&gt;"",MAESTRO!$M753,"")</f>
        <v/>
      </c>
      <c r="F754" t="str">
        <f>IF($A754&lt;&gt;"",MAESTRO!$J753,"")</f>
        <v/>
      </c>
      <c r="G754" t="str">
        <f>IF($A754&lt;&gt;"",MAESTRO!$D753,"")</f>
        <v/>
      </c>
      <c r="H754" t="str">
        <f>IF($A754&lt;&gt;"",IF(TRIM(MAESTRO!$G753&amp;" "&amp;MAESTRO!$H753&amp;" "&amp;MAESTRO!$I753)="",MAESTRO!$F753,TRIM(MAESTRO!$G753&amp;" "&amp;MAESTRO!$H753&amp;" "&amp;MAESTRO!$I753)),"")</f>
        <v/>
      </c>
      <c r="I754" t="str">
        <f>IF($A754&lt;&gt;"",MAESTRO!$K753,"")</f>
        <v/>
      </c>
      <c r="J754" t="str">
        <f>IF($A754&lt;&gt;"",754,"")</f>
        <v/>
      </c>
    </row>
    <row r="755" spans="1:10" x14ac:dyDescent="0.2">
      <c r="A755" t="str">
        <f>IF(AND(UPPER(MAESTRO!$M754)="VIP",UPPER(MAESTRO!$J754)="SI",MAESTRO!$F754&lt;&gt;""),MAESTRO!$P754,"")</f>
        <v/>
      </c>
      <c r="B755" t="str">
        <f>IF($A755&lt;&gt;"",MAESTRO!$B754,"")</f>
        <v/>
      </c>
      <c r="C755" t="str">
        <f>IF($A755&lt;&gt;"",MAESTRO!$A754,"")</f>
        <v/>
      </c>
      <c r="D755" t="str">
        <f>IF($A755&lt;&gt;"",MAESTRO!$C754,"")</f>
        <v/>
      </c>
      <c r="E755" t="str">
        <f>IF($A755&lt;&gt;"",MAESTRO!$M754,"")</f>
        <v/>
      </c>
      <c r="F755" t="str">
        <f>IF($A755&lt;&gt;"",MAESTRO!$J754,"")</f>
        <v/>
      </c>
      <c r="G755" t="str">
        <f>IF($A755&lt;&gt;"",MAESTRO!$D754,"")</f>
        <v/>
      </c>
      <c r="H755" t="str">
        <f>IF($A755&lt;&gt;"",IF(TRIM(MAESTRO!$G754&amp;" "&amp;MAESTRO!$H754&amp;" "&amp;MAESTRO!$I754)="",MAESTRO!$F754,TRIM(MAESTRO!$G754&amp;" "&amp;MAESTRO!$H754&amp;" "&amp;MAESTRO!$I754)),"")</f>
        <v/>
      </c>
      <c r="I755" t="str">
        <f>IF($A755&lt;&gt;"",MAESTRO!$K754,"")</f>
        <v/>
      </c>
      <c r="J755" t="str">
        <f>IF($A755&lt;&gt;"",755,"")</f>
        <v/>
      </c>
    </row>
    <row r="756" spans="1:10" x14ac:dyDescent="0.2">
      <c r="A756" t="str">
        <f>IF(AND(UPPER(MAESTRO!$M755)="VIP",UPPER(MAESTRO!$J755)="SI",MAESTRO!$F755&lt;&gt;""),MAESTRO!$P755,"")</f>
        <v/>
      </c>
      <c r="B756" t="str">
        <f>IF($A756&lt;&gt;"",MAESTRO!$B755,"")</f>
        <v/>
      </c>
      <c r="C756" t="str">
        <f>IF($A756&lt;&gt;"",MAESTRO!$A755,"")</f>
        <v/>
      </c>
      <c r="D756" t="str">
        <f>IF($A756&lt;&gt;"",MAESTRO!$C755,"")</f>
        <v/>
      </c>
      <c r="E756" t="str">
        <f>IF($A756&lt;&gt;"",MAESTRO!$M755,"")</f>
        <v/>
      </c>
      <c r="F756" t="str">
        <f>IF($A756&lt;&gt;"",MAESTRO!$J755,"")</f>
        <v/>
      </c>
      <c r="G756" t="str">
        <f>IF($A756&lt;&gt;"",MAESTRO!$D755,"")</f>
        <v/>
      </c>
      <c r="H756" t="str">
        <f>IF($A756&lt;&gt;"",IF(TRIM(MAESTRO!$G755&amp;" "&amp;MAESTRO!$H755&amp;" "&amp;MAESTRO!$I755)="",MAESTRO!$F755,TRIM(MAESTRO!$G755&amp;" "&amp;MAESTRO!$H755&amp;" "&amp;MAESTRO!$I755)),"")</f>
        <v/>
      </c>
      <c r="I756" t="str">
        <f>IF($A756&lt;&gt;"",MAESTRO!$K755,"")</f>
        <v/>
      </c>
      <c r="J756" t="str">
        <f>IF($A756&lt;&gt;"",756,"")</f>
        <v/>
      </c>
    </row>
    <row r="757" spans="1:10" x14ac:dyDescent="0.2">
      <c r="A757" t="str">
        <f>IF(AND(UPPER(MAESTRO!$M756)="VIP",UPPER(MAESTRO!$J756)="SI",MAESTRO!$F756&lt;&gt;""),MAESTRO!$P756,"")</f>
        <v/>
      </c>
      <c r="B757" t="str">
        <f>IF($A757&lt;&gt;"",MAESTRO!$B756,"")</f>
        <v/>
      </c>
      <c r="C757" t="str">
        <f>IF($A757&lt;&gt;"",MAESTRO!$A756,"")</f>
        <v/>
      </c>
      <c r="D757" t="str">
        <f>IF($A757&lt;&gt;"",MAESTRO!$C756,"")</f>
        <v/>
      </c>
      <c r="E757" t="str">
        <f>IF($A757&lt;&gt;"",MAESTRO!$M756,"")</f>
        <v/>
      </c>
      <c r="F757" t="str">
        <f>IF($A757&lt;&gt;"",MAESTRO!$J756,"")</f>
        <v/>
      </c>
      <c r="G757" t="str">
        <f>IF($A757&lt;&gt;"",MAESTRO!$D756,"")</f>
        <v/>
      </c>
      <c r="H757" t="str">
        <f>IF($A757&lt;&gt;"",IF(TRIM(MAESTRO!$G756&amp;" "&amp;MAESTRO!$H756&amp;" "&amp;MAESTRO!$I756)="",MAESTRO!$F756,TRIM(MAESTRO!$G756&amp;" "&amp;MAESTRO!$H756&amp;" "&amp;MAESTRO!$I756)),"")</f>
        <v/>
      </c>
      <c r="I757" t="str">
        <f>IF($A757&lt;&gt;"",MAESTRO!$K756,"")</f>
        <v/>
      </c>
      <c r="J757" t="str">
        <f>IF($A757&lt;&gt;"",757,"")</f>
        <v/>
      </c>
    </row>
    <row r="758" spans="1:10" x14ac:dyDescent="0.2">
      <c r="A758" t="str">
        <f>IF(AND(UPPER(MAESTRO!$M757)="VIP",UPPER(MAESTRO!$J757)="SI",MAESTRO!$F757&lt;&gt;""),MAESTRO!$P757,"")</f>
        <v/>
      </c>
      <c r="B758" t="str">
        <f>IF($A758&lt;&gt;"",MAESTRO!$B757,"")</f>
        <v/>
      </c>
      <c r="C758" t="str">
        <f>IF($A758&lt;&gt;"",MAESTRO!$A757,"")</f>
        <v/>
      </c>
      <c r="D758" t="str">
        <f>IF($A758&lt;&gt;"",MAESTRO!$C757,"")</f>
        <v/>
      </c>
      <c r="E758" t="str">
        <f>IF($A758&lt;&gt;"",MAESTRO!$M757,"")</f>
        <v/>
      </c>
      <c r="F758" t="str">
        <f>IF($A758&lt;&gt;"",MAESTRO!$J757,"")</f>
        <v/>
      </c>
      <c r="G758" t="str">
        <f>IF($A758&lt;&gt;"",MAESTRO!$D757,"")</f>
        <v/>
      </c>
      <c r="H758" t="str">
        <f>IF($A758&lt;&gt;"",IF(TRIM(MAESTRO!$G757&amp;" "&amp;MAESTRO!$H757&amp;" "&amp;MAESTRO!$I757)="",MAESTRO!$F757,TRIM(MAESTRO!$G757&amp;" "&amp;MAESTRO!$H757&amp;" "&amp;MAESTRO!$I757)),"")</f>
        <v/>
      </c>
      <c r="I758" t="str">
        <f>IF($A758&lt;&gt;"",MAESTRO!$K757,"")</f>
        <v/>
      </c>
      <c r="J758" t="str">
        <f>IF($A758&lt;&gt;"",758,"")</f>
        <v/>
      </c>
    </row>
    <row r="759" spans="1:10" x14ac:dyDescent="0.2">
      <c r="A759" t="str">
        <f>IF(AND(UPPER(MAESTRO!$M758)="VIP",UPPER(MAESTRO!$J758)="SI",MAESTRO!$F758&lt;&gt;""),MAESTRO!$P758,"")</f>
        <v/>
      </c>
      <c r="B759" t="str">
        <f>IF($A759&lt;&gt;"",MAESTRO!$B758,"")</f>
        <v/>
      </c>
      <c r="C759" t="str">
        <f>IF($A759&lt;&gt;"",MAESTRO!$A758,"")</f>
        <v/>
      </c>
      <c r="D759" t="str">
        <f>IF($A759&lt;&gt;"",MAESTRO!$C758,"")</f>
        <v/>
      </c>
      <c r="E759" t="str">
        <f>IF($A759&lt;&gt;"",MAESTRO!$M758,"")</f>
        <v/>
      </c>
      <c r="F759" t="str">
        <f>IF($A759&lt;&gt;"",MAESTRO!$J758,"")</f>
        <v/>
      </c>
      <c r="G759" t="str">
        <f>IF($A759&lt;&gt;"",MAESTRO!$D758,"")</f>
        <v/>
      </c>
      <c r="H759" t="str">
        <f>IF($A759&lt;&gt;"",IF(TRIM(MAESTRO!$G758&amp;" "&amp;MAESTRO!$H758&amp;" "&amp;MAESTRO!$I758)="",MAESTRO!$F758,TRIM(MAESTRO!$G758&amp;" "&amp;MAESTRO!$H758&amp;" "&amp;MAESTRO!$I758)),"")</f>
        <v/>
      </c>
      <c r="I759" t="str">
        <f>IF($A759&lt;&gt;"",MAESTRO!$K758,"")</f>
        <v/>
      </c>
      <c r="J759" t="str">
        <f>IF($A759&lt;&gt;"",759,"")</f>
        <v/>
      </c>
    </row>
    <row r="760" spans="1:10" x14ac:dyDescent="0.2">
      <c r="A760" t="str">
        <f>IF(AND(UPPER(MAESTRO!$M759)="VIP",UPPER(MAESTRO!$J759)="SI",MAESTRO!$F759&lt;&gt;""),MAESTRO!$P759,"")</f>
        <v/>
      </c>
      <c r="B760" t="str">
        <f>IF($A760&lt;&gt;"",MAESTRO!$B759,"")</f>
        <v/>
      </c>
      <c r="C760" t="str">
        <f>IF($A760&lt;&gt;"",MAESTRO!$A759,"")</f>
        <v/>
      </c>
      <c r="D760" t="str">
        <f>IF($A760&lt;&gt;"",MAESTRO!$C759,"")</f>
        <v/>
      </c>
      <c r="E760" t="str">
        <f>IF($A760&lt;&gt;"",MAESTRO!$M759,"")</f>
        <v/>
      </c>
      <c r="F760" t="str">
        <f>IF($A760&lt;&gt;"",MAESTRO!$J759,"")</f>
        <v/>
      </c>
      <c r="G760" t="str">
        <f>IF($A760&lt;&gt;"",MAESTRO!$D759,"")</f>
        <v/>
      </c>
      <c r="H760" t="str">
        <f>IF($A760&lt;&gt;"",IF(TRIM(MAESTRO!$G759&amp;" "&amp;MAESTRO!$H759&amp;" "&amp;MAESTRO!$I759)="",MAESTRO!$F759,TRIM(MAESTRO!$G759&amp;" "&amp;MAESTRO!$H759&amp;" "&amp;MAESTRO!$I759)),"")</f>
        <v/>
      </c>
      <c r="I760" t="str">
        <f>IF($A760&lt;&gt;"",MAESTRO!$K759,"")</f>
        <v/>
      </c>
      <c r="J760" t="str">
        <f>IF($A760&lt;&gt;"",760,"")</f>
        <v/>
      </c>
    </row>
    <row r="761" spans="1:10" x14ac:dyDescent="0.2">
      <c r="A761" t="str">
        <f>IF(AND(UPPER(MAESTRO!$M760)="VIP",UPPER(MAESTRO!$J760)="SI",MAESTRO!$F760&lt;&gt;""),MAESTRO!$P760,"")</f>
        <v/>
      </c>
      <c r="B761" t="str">
        <f>IF($A761&lt;&gt;"",MAESTRO!$B760,"")</f>
        <v/>
      </c>
      <c r="C761" t="str">
        <f>IF($A761&lt;&gt;"",MAESTRO!$A760,"")</f>
        <v/>
      </c>
      <c r="D761" t="str">
        <f>IF($A761&lt;&gt;"",MAESTRO!$C760,"")</f>
        <v/>
      </c>
      <c r="E761" t="str">
        <f>IF($A761&lt;&gt;"",MAESTRO!$M760,"")</f>
        <v/>
      </c>
      <c r="F761" t="str">
        <f>IF($A761&lt;&gt;"",MAESTRO!$J760,"")</f>
        <v/>
      </c>
      <c r="G761" t="str">
        <f>IF($A761&lt;&gt;"",MAESTRO!$D760,"")</f>
        <v/>
      </c>
      <c r="H761" t="str">
        <f>IF($A761&lt;&gt;"",IF(TRIM(MAESTRO!$G760&amp;" "&amp;MAESTRO!$H760&amp;" "&amp;MAESTRO!$I760)="",MAESTRO!$F760,TRIM(MAESTRO!$G760&amp;" "&amp;MAESTRO!$H760&amp;" "&amp;MAESTRO!$I760)),"")</f>
        <v/>
      </c>
      <c r="I761" t="str">
        <f>IF($A761&lt;&gt;"",MAESTRO!$K760,"")</f>
        <v/>
      </c>
      <c r="J761" t="str">
        <f>IF($A761&lt;&gt;"",761,"")</f>
        <v/>
      </c>
    </row>
    <row r="762" spans="1:10" x14ac:dyDescent="0.2">
      <c r="A762" t="str">
        <f>IF(AND(UPPER(MAESTRO!$M761)="VIP",UPPER(MAESTRO!$J761)="SI",MAESTRO!$F761&lt;&gt;""),MAESTRO!$P761,"")</f>
        <v/>
      </c>
      <c r="B762" t="str">
        <f>IF($A762&lt;&gt;"",MAESTRO!$B761,"")</f>
        <v/>
      </c>
      <c r="C762" t="str">
        <f>IF($A762&lt;&gt;"",MAESTRO!$A761,"")</f>
        <v/>
      </c>
      <c r="D762" t="str">
        <f>IF($A762&lt;&gt;"",MAESTRO!$C761,"")</f>
        <v/>
      </c>
      <c r="E762" t="str">
        <f>IF($A762&lt;&gt;"",MAESTRO!$M761,"")</f>
        <v/>
      </c>
      <c r="F762" t="str">
        <f>IF($A762&lt;&gt;"",MAESTRO!$J761,"")</f>
        <v/>
      </c>
      <c r="G762" t="str">
        <f>IF($A762&lt;&gt;"",MAESTRO!$D761,"")</f>
        <v/>
      </c>
      <c r="H762" t="str">
        <f>IF($A762&lt;&gt;"",IF(TRIM(MAESTRO!$G761&amp;" "&amp;MAESTRO!$H761&amp;" "&amp;MAESTRO!$I761)="",MAESTRO!$F761,TRIM(MAESTRO!$G761&amp;" "&amp;MAESTRO!$H761&amp;" "&amp;MAESTRO!$I761)),"")</f>
        <v/>
      </c>
      <c r="I762" t="str">
        <f>IF($A762&lt;&gt;"",MAESTRO!$K761,"")</f>
        <v/>
      </c>
      <c r="J762" t="str">
        <f>IF($A762&lt;&gt;"",762,"")</f>
        <v/>
      </c>
    </row>
    <row r="763" spans="1:10" x14ac:dyDescent="0.2">
      <c r="A763" t="str">
        <f>IF(AND(UPPER(MAESTRO!$M762)="VIP",UPPER(MAESTRO!$J762)="SI",MAESTRO!$F762&lt;&gt;""),MAESTRO!$P762,"")</f>
        <v/>
      </c>
      <c r="B763" t="str">
        <f>IF($A763&lt;&gt;"",MAESTRO!$B762,"")</f>
        <v/>
      </c>
      <c r="C763" t="str">
        <f>IF($A763&lt;&gt;"",MAESTRO!$A762,"")</f>
        <v/>
      </c>
      <c r="D763" t="str">
        <f>IF($A763&lt;&gt;"",MAESTRO!$C762,"")</f>
        <v/>
      </c>
      <c r="E763" t="str">
        <f>IF($A763&lt;&gt;"",MAESTRO!$M762,"")</f>
        <v/>
      </c>
      <c r="F763" t="str">
        <f>IF($A763&lt;&gt;"",MAESTRO!$J762,"")</f>
        <v/>
      </c>
      <c r="G763" t="str">
        <f>IF($A763&lt;&gt;"",MAESTRO!$D762,"")</f>
        <v/>
      </c>
      <c r="H763" t="str">
        <f>IF($A763&lt;&gt;"",IF(TRIM(MAESTRO!$G762&amp;" "&amp;MAESTRO!$H762&amp;" "&amp;MAESTRO!$I762)="",MAESTRO!$F762,TRIM(MAESTRO!$G762&amp;" "&amp;MAESTRO!$H762&amp;" "&amp;MAESTRO!$I762)),"")</f>
        <v/>
      </c>
      <c r="I763" t="str">
        <f>IF($A763&lt;&gt;"",MAESTRO!$K762,"")</f>
        <v/>
      </c>
      <c r="J763" t="str">
        <f>IF($A763&lt;&gt;"",763,"")</f>
        <v/>
      </c>
    </row>
    <row r="764" spans="1:10" x14ac:dyDescent="0.2">
      <c r="A764" t="str">
        <f>IF(AND(UPPER(MAESTRO!$M763)="VIP",UPPER(MAESTRO!$J763)="SI",MAESTRO!$F763&lt;&gt;""),MAESTRO!$P763,"")</f>
        <v/>
      </c>
      <c r="B764" t="str">
        <f>IF($A764&lt;&gt;"",MAESTRO!$B763,"")</f>
        <v/>
      </c>
      <c r="C764" t="str">
        <f>IF($A764&lt;&gt;"",MAESTRO!$A763,"")</f>
        <v/>
      </c>
      <c r="D764" t="str">
        <f>IF($A764&lt;&gt;"",MAESTRO!$C763,"")</f>
        <v/>
      </c>
      <c r="E764" t="str">
        <f>IF($A764&lt;&gt;"",MAESTRO!$M763,"")</f>
        <v/>
      </c>
      <c r="F764" t="str">
        <f>IF($A764&lt;&gt;"",MAESTRO!$J763,"")</f>
        <v/>
      </c>
      <c r="G764" t="str">
        <f>IF($A764&lt;&gt;"",MAESTRO!$D763,"")</f>
        <v/>
      </c>
      <c r="H764" t="str">
        <f>IF($A764&lt;&gt;"",IF(TRIM(MAESTRO!$G763&amp;" "&amp;MAESTRO!$H763&amp;" "&amp;MAESTRO!$I763)="",MAESTRO!$F763,TRIM(MAESTRO!$G763&amp;" "&amp;MAESTRO!$H763&amp;" "&amp;MAESTRO!$I763)),"")</f>
        <v/>
      </c>
      <c r="I764" t="str">
        <f>IF($A764&lt;&gt;"",MAESTRO!$K763,"")</f>
        <v/>
      </c>
      <c r="J764" t="str">
        <f>IF($A764&lt;&gt;"",764,"")</f>
        <v/>
      </c>
    </row>
    <row r="765" spans="1:10" x14ac:dyDescent="0.2">
      <c r="A765" t="str">
        <f>IF(AND(UPPER(MAESTRO!$M764)="VIP",UPPER(MAESTRO!$J764)="SI",MAESTRO!$F764&lt;&gt;""),MAESTRO!$P764,"")</f>
        <v/>
      </c>
      <c r="B765" t="str">
        <f>IF($A765&lt;&gt;"",MAESTRO!$B764,"")</f>
        <v/>
      </c>
      <c r="C765" t="str">
        <f>IF($A765&lt;&gt;"",MAESTRO!$A764,"")</f>
        <v/>
      </c>
      <c r="D765" t="str">
        <f>IF($A765&lt;&gt;"",MAESTRO!$C764,"")</f>
        <v/>
      </c>
      <c r="E765" t="str">
        <f>IF($A765&lt;&gt;"",MAESTRO!$M764,"")</f>
        <v/>
      </c>
      <c r="F765" t="str">
        <f>IF($A765&lt;&gt;"",MAESTRO!$J764,"")</f>
        <v/>
      </c>
      <c r="G765" t="str">
        <f>IF($A765&lt;&gt;"",MAESTRO!$D764,"")</f>
        <v/>
      </c>
      <c r="H765" t="str">
        <f>IF($A765&lt;&gt;"",IF(TRIM(MAESTRO!$G764&amp;" "&amp;MAESTRO!$H764&amp;" "&amp;MAESTRO!$I764)="",MAESTRO!$F764,TRIM(MAESTRO!$G764&amp;" "&amp;MAESTRO!$H764&amp;" "&amp;MAESTRO!$I764)),"")</f>
        <v/>
      </c>
      <c r="I765" t="str">
        <f>IF($A765&lt;&gt;"",MAESTRO!$K764,"")</f>
        <v/>
      </c>
      <c r="J765" t="str">
        <f>IF($A765&lt;&gt;"",765,"")</f>
        <v/>
      </c>
    </row>
    <row r="766" spans="1:10" x14ac:dyDescent="0.2">
      <c r="A766" t="str">
        <f>IF(AND(UPPER(MAESTRO!$M765)="VIP",UPPER(MAESTRO!$J765)="SI",MAESTRO!$F765&lt;&gt;""),MAESTRO!$P765,"")</f>
        <v/>
      </c>
      <c r="B766" t="str">
        <f>IF($A766&lt;&gt;"",MAESTRO!$B765,"")</f>
        <v/>
      </c>
      <c r="C766" t="str">
        <f>IF($A766&lt;&gt;"",MAESTRO!$A765,"")</f>
        <v/>
      </c>
      <c r="D766" t="str">
        <f>IF($A766&lt;&gt;"",MAESTRO!$C765,"")</f>
        <v/>
      </c>
      <c r="E766" t="str">
        <f>IF($A766&lt;&gt;"",MAESTRO!$M765,"")</f>
        <v/>
      </c>
      <c r="F766" t="str">
        <f>IF($A766&lt;&gt;"",MAESTRO!$J765,"")</f>
        <v/>
      </c>
      <c r="G766" t="str">
        <f>IF($A766&lt;&gt;"",MAESTRO!$D765,"")</f>
        <v/>
      </c>
      <c r="H766" t="str">
        <f>IF($A766&lt;&gt;"",IF(TRIM(MAESTRO!$G765&amp;" "&amp;MAESTRO!$H765&amp;" "&amp;MAESTRO!$I765)="",MAESTRO!$F765,TRIM(MAESTRO!$G765&amp;" "&amp;MAESTRO!$H765&amp;" "&amp;MAESTRO!$I765)),"")</f>
        <v/>
      </c>
      <c r="I766" t="str">
        <f>IF($A766&lt;&gt;"",MAESTRO!$K765,"")</f>
        <v/>
      </c>
      <c r="J766" t="str">
        <f>IF($A766&lt;&gt;"",766,"")</f>
        <v/>
      </c>
    </row>
    <row r="767" spans="1:10" x14ac:dyDescent="0.2">
      <c r="A767" t="str">
        <f>IF(AND(UPPER(MAESTRO!$M766)="VIP",UPPER(MAESTRO!$J766)="SI",MAESTRO!$F766&lt;&gt;""),MAESTRO!$P766,"")</f>
        <v/>
      </c>
      <c r="B767" t="str">
        <f>IF($A767&lt;&gt;"",MAESTRO!$B766,"")</f>
        <v/>
      </c>
      <c r="C767" t="str">
        <f>IF($A767&lt;&gt;"",MAESTRO!$A766,"")</f>
        <v/>
      </c>
      <c r="D767" t="str">
        <f>IF($A767&lt;&gt;"",MAESTRO!$C766,"")</f>
        <v/>
      </c>
      <c r="E767" t="str">
        <f>IF($A767&lt;&gt;"",MAESTRO!$M766,"")</f>
        <v/>
      </c>
      <c r="F767" t="str">
        <f>IF($A767&lt;&gt;"",MAESTRO!$J766,"")</f>
        <v/>
      </c>
      <c r="G767" t="str">
        <f>IF($A767&lt;&gt;"",MAESTRO!$D766,"")</f>
        <v/>
      </c>
      <c r="H767" t="str">
        <f>IF($A767&lt;&gt;"",IF(TRIM(MAESTRO!$G766&amp;" "&amp;MAESTRO!$H766&amp;" "&amp;MAESTRO!$I766)="",MAESTRO!$F766,TRIM(MAESTRO!$G766&amp;" "&amp;MAESTRO!$H766&amp;" "&amp;MAESTRO!$I766)),"")</f>
        <v/>
      </c>
      <c r="I767" t="str">
        <f>IF($A767&lt;&gt;"",MAESTRO!$K766,"")</f>
        <v/>
      </c>
      <c r="J767" t="str">
        <f>IF($A767&lt;&gt;"",767,"")</f>
        <v/>
      </c>
    </row>
    <row r="768" spans="1:10" x14ac:dyDescent="0.2">
      <c r="A768" t="str">
        <f>IF(AND(UPPER(MAESTRO!$M767)="VIP",UPPER(MAESTRO!$J767)="SI",MAESTRO!$F767&lt;&gt;""),MAESTRO!$P767,"")</f>
        <v/>
      </c>
      <c r="B768" t="str">
        <f>IF($A768&lt;&gt;"",MAESTRO!$B767,"")</f>
        <v/>
      </c>
      <c r="C768" t="str">
        <f>IF($A768&lt;&gt;"",MAESTRO!$A767,"")</f>
        <v/>
      </c>
      <c r="D768" t="str">
        <f>IF($A768&lt;&gt;"",MAESTRO!$C767,"")</f>
        <v/>
      </c>
      <c r="E768" t="str">
        <f>IF($A768&lt;&gt;"",MAESTRO!$M767,"")</f>
        <v/>
      </c>
      <c r="F768" t="str">
        <f>IF($A768&lt;&gt;"",MAESTRO!$J767,"")</f>
        <v/>
      </c>
      <c r="G768" t="str">
        <f>IF($A768&lt;&gt;"",MAESTRO!$D767,"")</f>
        <v/>
      </c>
      <c r="H768" t="str">
        <f>IF($A768&lt;&gt;"",IF(TRIM(MAESTRO!$G767&amp;" "&amp;MAESTRO!$H767&amp;" "&amp;MAESTRO!$I767)="",MAESTRO!$F767,TRIM(MAESTRO!$G767&amp;" "&amp;MAESTRO!$H767&amp;" "&amp;MAESTRO!$I767)),"")</f>
        <v/>
      </c>
      <c r="I768" t="str">
        <f>IF($A768&lt;&gt;"",MAESTRO!$K767,"")</f>
        <v/>
      </c>
      <c r="J768" t="str">
        <f>IF($A768&lt;&gt;"",768,"")</f>
        <v/>
      </c>
    </row>
    <row r="769" spans="1:10" x14ac:dyDescent="0.2">
      <c r="A769" t="str">
        <f>IF(AND(UPPER(MAESTRO!$M768)="VIP",UPPER(MAESTRO!$J768)="SI",MAESTRO!$F768&lt;&gt;""),MAESTRO!$P768,"")</f>
        <v/>
      </c>
      <c r="B769" t="str">
        <f>IF($A769&lt;&gt;"",MAESTRO!$B768,"")</f>
        <v/>
      </c>
      <c r="C769" t="str">
        <f>IF($A769&lt;&gt;"",MAESTRO!$A768,"")</f>
        <v/>
      </c>
      <c r="D769" t="str">
        <f>IF($A769&lt;&gt;"",MAESTRO!$C768,"")</f>
        <v/>
      </c>
      <c r="E769" t="str">
        <f>IF($A769&lt;&gt;"",MAESTRO!$M768,"")</f>
        <v/>
      </c>
      <c r="F769" t="str">
        <f>IF($A769&lt;&gt;"",MAESTRO!$J768,"")</f>
        <v/>
      </c>
      <c r="G769" t="str">
        <f>IF($A769&lt;&gt;"",MAESTRO!$D768,"")</f>
        <v/>
      </c>
      <c r="H769" t="str">
        <f>IF($A769&lt;&gt;"",IF(TRIM(MAESTRO!$G768&amp;" "&amp;MAESTRO!$H768&amp;" "&amp;MAESTRO!$I768)="",MAESTRO!$F768,TRIM(MAESTRO!$G768&amp;" "&amp;MAESTRO!$H768&amp;" "&amp;MAESTRO!$I768)),"")</f>
        <v/>
      </c>
      <c r="I769" t="str">
        <f>IF($A769&lt;&gt;"",MAESTRO!$K768,"")</f>
        <v/>
      </c>
      <c r="J769" t="str">
        <f>IF($A769&lt;&gt;"",769,"")</f>
        <v/>
      </c>
    </row>
    <row r="770" spans="1:10" x14ac:dyDescent="0.2">
      <c r="A770" t="str">
        <f>IF(AND(UPPER(MAESTRO!$M769)="VIP",UPPER(MAESTRO!$J769)="SI",MAESTRO!$F769&lt;&gt;""),MAESTRO!$P769,"")</f>
        <v/>
      </c>
      <c r="B770" t="str">
        <f>IF($A770&lt;&gt;"",MAESTRO!$B769,"")</f>
        <v/>
      </c>
      <c r="C770" t="str">
        <f>IF($A770&lt;&gt;"",MAESTRO!$A769,"")</f>
        <v/>
      </c>
      <c r="D770" t="str">
        <f>IF($A770&lt;&gt;"",MAESTRO!$C769,"")</f>
        <v/>
      </c>
      <c r="E770" t="str">
        <f>IF($A770&lt;&gt;"",MAESTRO!$M769,"")</f>
        <v/>
      </c>
      <c r="F770" t="str">
        <f>IF($A770&lt;&gt;"",MAESTRO!$J769,"")</f>
        <v/>
      </c>
      <c r="G770" t="str">
        <f>IF($A770&lt;&gt;"",MAESTRO!$D769,"")</f>
        <v/>
      </c>
      <c r="H770" t="str">
        <f>IF($A770&lt;&gt;"",IF(TRIM(MAESTRO!$G769&amp;" "&amp;MAESTRO!$H769&amp;" "&amp;MAESTRO!$I769)="",MAESTRO!$F769,TRIM(MAESTRO!$G769&amp;" "&amp;MAESTRO!$H769&amp;" "&amp;MAESTRO!$I769)),"")</f>
        <v/>
      </c>
      <c r="I770" t="str">
        <f>IF($A770&lt;&gt;"",MAESTRO!$K769,"")</f>
        <v/>
      </c>
      <c r="J770" t="str">
        <f>IF($A770&lt;&gt;"",770,"")</f>
        <v/>
      </c>
    </row>
    <row r="771" spans="1:10" x14ac:dyDescent="0.2">
      <c r="A771" t="str">
        <f>IF(AND(UPPER(MAESTRO!$M770)="VIP",UPPER(MAESTRO!$J770)="SI",MAESTRO!$F770&lt;&gt;""),MAESTRO!$P770,"")</f>
        <v/>
      </c>
      <c r="B771" t="str">
        <f>IF($A771&lt;&gt;"",MAESTRO!$B770,"")</f>
        <v/>
      </c>
      <c r="C771" t="str">
        <f>IF($A771&lt;&gt;"",MAESTRO!$A770,"")</f>
        <v/>
      </c>
      <c r="D771" t="str">
        <f>IF($A771&lt;&gt;"",MAESTRO!$C770,"")</f>
        <v/>
      </c>
      <c r="E771" t="str">
        <f>IF($A771&lt;&gt;"",MAESTRO!$M770,"")</f>
        <v/>
      </c>
      <c r="F771" t="str">
        <f>IF($A771&lt;&gt;"",MAESTRO!$J770,"")</f>
        <v/>
      </c>
      <c r="G771" t="str">
        <f>IF($A771&lt;&gt;"",MAESTRO!$D770,"")</f>
        <v/>
      </c>
      <c r="H771" t="str">
        <f>IF($A771&lt;&gt;"",IF(TRIM(MAESTRO!$G770&amp;" "&amp;MAESTRO!$H770&amp;" "&amp;MAESTRO!$I770)="",MAESTRO!$F770,TRIM(MAESTRO!$G770&amp;" "&amp;MAESTRO!$H770&amp;" "&amp;MAESTRO!$I770)),"")</f>
        <v/>
      </c>
      <c r="I771" t="str">
        <f>IF($A771&lt;&gt;"",MAESTRO!$K770,"")</f>
        <v/>
      </c>
      <c r="J771" t="str">
        <f>IF($A771&lt;&gt;"",771,"")</f>
        <v/>
      </c>
    </row>
    <row r="772" spans="1:10" x14ac:dyDescent="0.2">
      <c r="A772" t="str">
        <f>IF(AND(UPPER(MAESTRO!$M771)="VIP",UPPER(MAESTRO!$J771)="SI",MAESTRO!$F771&lt;&gt;""),MAESTRO!$P771,"")</f>
        <v/>
      </c>
      <c r="B772" t="str">
        <f>IF($A772&lt;&gt;"",MAESTRO!$B771,"")</f>
        <v/>
      </c>
      <c r="C772" t="str">
        <f>IF($A772&lt;&gt;"",MAESTRO!$A771,"")</f>
        <v/>
      </c>
      <c r="D772" t="str">
        <f>IF($A772&lt;&gt;"",MAESTRO!$C771,"")</f>
        <v/>
      </c>
      <c r="E772" t="str">
        <f>IF($A772&lt;&gt;"",MAESTRO!$M771,"")</f>
        <v/>
      </c>
      <c r="F772" t="str">
        <f>IF($A772&lt;&gt;"",MAESTRO!$J771,"")</f>
        <v/>
      </c>
      <c r="G772" t="str">
        <f>IF($A772&lt;&gt;"",MAESTRO!$D771,"")</f>
        <v/>
      </c>
      <c r="H772" t="str">
        <f>IF($A772&lt;&gt;"",IF(TRIM(MAESTRO!$G771&amp;" "&amp;MAESTRO!$H771&amp;" "&amp;MAESTRO!$I771)="",MAESTRO!$F771,TRIM(MAESTRO!$G771&amp;" "&amp;MAESTRO!$H771&amp;" "&amp;MAESTRO!$I771)),"")</f>
        <v/>
      </c>
      <c r="I772" t="str">
        <f>IF($A772&lt;&gt;"",MAESTRO!$K771,"")</f>
        <v/>
      </c>
      <c r="J772" t="str">
        <f>IF($A772&lt;&gt;"",772,"")</f>
        <v/>
      </c>
    </row>
    <row r="773" spans="1:10" x14ac:dyDescent="0.2">
      <c r="A773" t="str">
        <f>IF(AND(UPPER(MAESTRO!$M772)="VIP",UPPER(MAESTRO!$J772)="SI",MAESTRO!$F772&lt;&gt;""),MAESTRO!$P772,"")</f>
        <v/>
      </c>
      <c r="B773" t="str">
        <f>IF($A773&lt;&gt;"",MAESTRO!$B772,"")</f>
        <v/>
      </c>
      <c r="C773" t="str">
        <f>IF($A773&lt;&gt;"",MAESTRO!$A772,"")</f>
        <v/>
      </c>
      <c r="D773" t="str">
        <f>IF($A773&lt;&gt;"",MAESTRO!$C772,"")</f>
        <v/>
      </c>
      <c r="E773" t="str">
        <f>IF($A773&lt;&gt;"",MAESTRO!$M772,"")</f>
        <v/>
      </c>
      <c r="F773" t="str">
        <f>IF($A773&lt;&gt;"",MAESTRO!$J772,"")</f>
        <v/>
      </c>
      <c r="G773" t="str">
        <f>IF($A773&lt;&gt;"",MAESTRO!$D772,"")</f>
        <v/>
      </c>
      <c r="H773" t="str">
        <f>IF($A773&lt;&gt;"",IF(TRIM(MAESTRO!$G772&amp;" "&amp;MAESTRO!$H772&amp;" "&amp;MAESTRO!$I772)="",MAESTRO!$F772,TRIM(MAESTRO!$G772&amp;" "&amp;MAESTRO!$H772&amp;" "&amp;MAESTRO!$I772)),"")</f>
        <v/>
      </c>
      <c r="I773" t="str">
        <f>IF($A773&lt;&gt;"",MAESTRO!$K772,"")</f>
        <v/>
      </c>
      <c r="J773" t="str">
        <f>IF($A773&lt;&gt;"",773,"")</f>
        <v/>
      </c>
    </row>
    <row r="774" spans="1:10" x14ac:dyDescent="0.2">
      <c r="A774" t="str">
        <f>IF(AND(UPPER(MAESTRO!$M773)="VIP",UPPER(MAESTRO!$J773)="SI",MAESTRO!$F773&lt;&gt;""),MAESTRO!$P773,"")</f>
        <v/>
      </c>
      <c r="B774" t="str">
        <f>IF($A774&lt;&gt;"",MAESTRO!$B773,"")</f>
        <v/>
      </c>
      <c r="C774" t="str">
        <f>IF($A774&lt;&gt;"",MAESTRO!$A773,"")</f>
        <v/>
      </c>
      <c r="D774" t="str">
        <f>IF($A774&lt;&gt;"",MAESTRO!$C773,"")</f>
        <v/>
      </c>
      <c r="E774" t="str">
        <f>IF($A774&lt;&gt;"",MAESTRO!$M773,"")</f>
        <v/>
      </c>
      <c r="F774" t="str">
        <f>IF($A774&lt;&gt;"",MAESTRO!$J773,"")</f>
        <v/>
      </c>
      <c r="G774" t="str">
        <f>IF($A774&lt;&gt;"",MAESTRO!$D773,"")</f>
        <v/>
      </c>
      <c r="H774" t="str">
        <f>IF($A774&lt;&gt;"",IF(TRIM(MAESTRO!$G773&amp;" "&amp;MAESTRO!$H773&amp;" "&amp;MAESTRO!$I773)="",MAESTRO!$F773,TRIM(MAESTRO!$G773&amp;" "&amp;MAESTRO!$H773&amp;" "&amp;MAESTRO!$I773)),"")</f>
        <v/>
      </c>
      <c r="I774" t="str">
        <f>IF($A774&lt;&gt;"",MAESTRO!$K773,"")</f>
        <v/>
      </c>
      <c r="J774" t="str">
        <f>IF($A774&lt;&gt;"",774,"")</f>
        <v/>
      </c>
    </row>
    <row r="775" spans="1:10" x14ac:dyDescent="0.2">
      <c r="A775" t="str">
        <f>IF(AND(UPPER(MAESTRO!$M774)="VIP",UPPER(MAESTRO!$J774)="SI",MAESTRO!$F774&lt;&gt;""),MAESTRO!$P774,"")</f>
        <v/>
      </c>
      <c r="B775" t="str">
        <f>IF($A775&lt;&gt;"",MAESTRO!$B774,"")</f>
        <v/>
      </c>
      <c r="C775" t="str">
        <f>IF($A775&lt;&gt;"",MAESTRO!$A774,"")</f>
        <v/>
      </c>
      <c r="D775" t="str">
        <f>IF($A775&lt;&gt;"",MAESTRO!$C774,"")</f>
        <v/>
      </c>
      <c r="E775" t="str">
        <f>IF($A775&lt;&gt;"",MAESTRO!$M774,"")</f>
        <v/>
      </c>
      <c r="F775" t="str">
        <f>IF($A775&lt;&gt;"",MAESTRO!$J774,"")</f>
        <v/>
      </c>
      <c r="G775" t="str">
        <f>IF($A775&lt;&gt;"",MAESTRO!$D774,"")</f>
        <v/>
      </c>
      <c r="H775" t="str">
        <f>IF($A775&lt;&gt;"",IF(TRIM(MAESTRO!$G774&amp;" "&amp;MAESTRO!$H774&amp;" "&amp;MAESTRO!$I774)="",MAESTRO!$F774,TRIM(MAESTRO!$G774&amp;" "&amp;MAESTRO!$H774&amp;" "&amp;MAESTRO!$I774)),"")</f>
        <v/>
      </c>
      <c r="I775" t="str">
        <f>IF($A775&lt;&gt;"",MAESTRO!$K774,"")</f>
        <v/>
      </c>
      <c r="J775" t="str">
        <f>IF($A775&lt;&gt;"",775,"")</f>
        <v/>
      </c>
    </row>
    <row r="776" spans="1:10" x14ac:dyDescent="0.2">
      <c r="A776" t="str">
        <f>IF(AND(UPPER(MAESTRO!$M775)="VIP",UPPER(MAESTRO!$J775)="SI",MAESTRO!$F775&lt;&gt;""),MAESTRO!$P775,"")</f>
        <v/>
      </c>
      <c r="B776" t="str">
        <f>IF($A776&lt;&gt;"",MAESTRO!$B775,"")</f>
        <v/>
      </c>
      <c r="C776" t="str">
        <f>IF($A776&lt;&gt;"",MAESTRO!$A775,"")</f>
        <v/>
      </c>
      <c r="D776" t="str">
        <f>IF($A776&lt;&gt;"",MAESTRO!$C775,"")</f>
        <v/>
      </c>
      <c r="E776" t="str">
        <f>IF($A776&lt;&gt;"",MAESTRO!$M775,"")</f>
        <v/>
      </c>
      <c r="F776" t="str">
        <f>IF($A776&lt;&gt;"",MAESTRO!$J775,"")</f>
        <v/>
      </c>
      <c r="G776" t="str">
        <f>IF($A776&lt;&gt;"",MAESTRO!$D775,"")</f>
        <v/>
      </c>
      <c r="H776" t="str">
        <f>IF($A776&lt;&gt;"",IF(TRIM(MAESTRO!$G775&amp;" "&amp;MAESTRO!$H775&amp;" "&amp;MAESTRO!$I775)="",MAESTRO!$F775,TRIM(MAESTRO!$G775&amp;" "&amp;MAESTRO!$H775&amp;" "&amp;MAESTRO!$I775)),"")</f>
        <v/>
      </c>
      <c r="I776" t="str">
        <f>IF($A776&lt;&gt;"",MAESTRO!$K775,"")</f>
        <v/>
      </c>
      <c r="J776" t="str">
        <f>IF($A776&lt;&gt;"",776,"")</f>
        <v/>
      </c>
    </row>
    <row r="777" spans="1:10" x14ac:dyDescent="0.2">
      <c r="A777" t="str">
        <f>IF(AND(UPPER(MAESTRO!$M776)="VIP",UPPER(MAESTRO!$J776)="SI",MAESTRO!$F776&lt;&gt;""),MAESTRO!$P776,"")</f>
        <v/>
      </c>
      <c r="B777" t="str">
        <f>IF($A777&lt;&gt;"",MAESTRO!$B776,"")</f>
        <v/>
      </c>
      <c r="C777" t="str">
        <f>IF($A777&lt;&gt;"",MAESTRO!$A776,"")</f>
        <v/>
      </c>
      <c r="D777" t="str">
        <f>IF($A777&lt;&gt;"",MAESTRO!$C776,"")</f>
        <v/>
      </c>
      <c r="E777" t="str">
        <f>IF($A777&lt;&gt;"",MAESTRO!$M776,"")</f>
        <v/>
      </c>
      <c r="F777" t="str">
        <f>IF($A777&lt;&gt;"",MAESTRO!$J776,"")</f>
        <v/>
      </c>
      <c r="G777" t="str">
        <f>IF($A777&lt;&gt;"",MAESTRO!$D776,"")</f>
        <v/>
      </c>
      <c r="H777" t="str">
        <f>IF($A777&lt;&gt;"",IF(TRIM(MAESTRO!$G776&amp;" "&amp;MAESTRO!$H776&amp;" "&amp;MAESTRO!$I776)="",MAESTRO!$F776,TRIM(MAESTRO!$G776&amp;" "&amp;MAESTRO!$H776&amp;" "&amp;MAESTRO!$I776)),"")</f>
        <v/>
      </c>
      <c r="I777" t="str">
        <f>IF($A777&lt;&gt;"",MAESTRO!$K776,"")</f>
        <v/>
      </c>
      <c r="J777" t="str">
        <f>IF($A777&lt;&gt;"",777,"")</f>
        <v/>
      </c>
    </row>
    <row r="778" spans="1:10" x14ac:dyDescent="0.2">
      <c r="A778" t="str">
        <f>IF(AND(UPPER(MAESTRO!$M777)="VIP",UPPER(MAESTRO!$J777)="SI",MAESTRO!$F777&lt;&gt;""),MAESTRO!$P777,"")</f>
        <v/>
      </c>
      <c r="B778" t="str">
        <f>IF($A778&lt;&gt;"",MAESTRO!$B777,"")</f>
        <v/>
      </c>
      <c r="C778" t="str">
        <f>IF($A778&lt;&gt;"",MAESTRO!$A777,"")</f>
        <v/>
      </c>
      <c r="D778" t="str">
        <f>IF($A778&lt;&gt;"",MAESTRO!$C777,"")</f>
        <v/>
      </c>
      <c r="E778" t="str">
        <f>IF($A778&lt;&gt;"",MAESTRO!$M777,"")</f>
        <v/>
      </c>
      <c r="F778" t="str">
        <f>IF($A778&lt;&gt;"",MAESTRO!$J777,"")</f>
        <v/>
      </c>
      <c r="G778" t="str">
        <f>IF($A778&lt;&gt;"",MAESTRO!$D777,"")</f>
        <v/>
      </c>
      <c r="H778" t="str">
        <f>IF($A778&lt;&gt;"",IF(TRIM(MAESTRO!$G777&amp;" "&amp;MAESTRO!$H777&amp;" "&amp;MAESTRO!$I777)="",MAESTRO!$F777,TRIM(MAESTRO!$G777&amp;" "&amp;MAESTRO!$H777&amp;" "&amp;MAESTRO!$I777)),"")</f>
        <v/>
      </c>
      <c r="I778" t="str">
        <f>IF($A778&lt;&gt;"",MAESTRO!$K777,"")</f>
        <v/>
      </c>
      <c r="J778" t="str">
        <f>IF($A778&lt;&gt;"",778,"")</f>
        <v/>
      </c>
    </row>
    <row r="779" spans="1:10" x14ac:dyDescent="0.2">
      <c r="A779" t="str">
        <f>IF(AND(UPPER(MAESTRO!$M778)="VIP",UPPER(MAESTRO!$J778)="SI",MAESTRO!$F778&lt;&gt;""),MAESTRO!$P778,"")</f>
        <v/>
      </c>
      <c r="B779" t="str">
        <f>IF($A779&lt;&gt;"",MAESTRO!$B778,"")</f>
        <v/>
      </c>
      <c r="C779" t="str">
        <f>IF($A779&lt;&gt;"",MAESTRO!$A778,"")</f>
        <v/>
      </c>
      <c r="D779" t="str">
        <f>IF($A779&lt;&gt;"",MAESTRO!$C778,"")</f>
        <v/>
      </c>
      <c r="E779" t="str">
        <f>IF($A779&lt;&gt;"",MAESTRO!$M778,"")</f>
        <v/>
      </c>
      <c r="F779" t="str">
        <f>IF($A779&lt;&gt;"",MAESTRO!$J778,"")</f>
        <v/>
      </c>
      <c r="G779" t="str">
        <f>IF($A779&lt;&gt;"",MAESTRO!$D778,"")</f>
        <v/>
      </c>
      <c r="H779" t="str">
        <f>IF($A779&lt;&gt;"",IF(TRIM(MAESTRO!$G778&amp;" "&amp;MAESTRO!$H778&amp;" "&amp;MAESTRO!$I778)="",MAESTRO!$F778,TRIM(MAESTRO!$G778&amp;" "&amp;MAESTRO!$H778&amp;" "&amp;MAESTRO!$I778)),"")</f>
        <v/>
      </c>
      <c r="I779" t="str">
        <f>IF($A779&lt;&gt;"",MAESTRO!$K778,"")</f>
        <v/>
      </c>
      <c r="J779" t="str">
        <f>IF($A779&lt;&gt;"",779,"")</f>
        <v/>
      </c>
    </row>
    <row r="780" spans="1:10" x14ac:dyDescent="0.2">
      <c r="A780" t="str">
        <f>IF(AND(UPPER(MAESTRO!$M779)="VIP",UPPER(MAESTRO!$J779)="SI",MAESTRO!$F779&lt;&gt;""),MAESTRO!$P779,"")</f>
        <v/>
      </c>
      <c r="B780" t="str">
        <f>IF($A780&lt;&gt;"",MAESTRO!$B779,"")</f>
        <v/>
      </c>
      <c r="C780" t="str">
        <f>IF($A780&lt;&gt;"",MAESTRO!$A779,"")</f>
        <v/>
      </c>
      <c r="D780" t="str">
        <f>IF($A780&lt;&gt;"",MAESTRO!$C779,"")</f>
        <v/>
      </c>
      <c r="E780" t="str">
        <f>IF($A780&lt;&gt;"",MAESTRO!$M779,"")</f>
        <v/>
      </c>
      <c r="F780" t="str">
        <f>IF($A780&lt;&gt;"",MAESTRO!$J779,"")</f>
        <v/>
      </c>
      <c r="G780" t="str">
        <f>IF($A780&lt;&gt;"",MAESTRO!$D779,"")</f>
        <v/>
      </c>
      <c r="H780" t="str">
        <f>IF($A780&lt;&gt;"",IF(TRIM(MAESTRO!$G779&amp;" "&amp;MAESTRO!$H779&amp;" "&amp;MAESTRO!$I779)="",MAESTRO!$F779,TRIM(MAESTRO!$G779&amp;" "&amp;MAESTRO!$H779&amp;" "&amp;MAESTRO!$I779)),"")</f>
        <v/>
      </c>
      <c r="I780" t="str">
        <f>IF($A780&lt;&gt;"",MAESTRO!$K779,"")</f>
        <v/>
      </c>
      <c r="J780" t="str">
        <f>IF($A780&lt;&gt;"",780,"")</f>
        <v/>
      </c>
    </row>
    <row r="781" spans="1:10" x14ac:dyDescent="0.2">
      <c r="A781" t="str">
        <f>IF(AND(UPPER(MAESTRO!$M780)="VIP",UPPER(MAESTRO!$J780)="SI",MAESTRO!$F780&lt;&gt;""),MAESTRO!$P780,"")</f>
        <v/>
      </c>
      <c r="B781" t="str">
        <f>IF($A781&lt;&gt;"",MAESTRO!$B780,"")</f>
        <v/>
      </c>
      <c r="C781" t="str">
        <f>IF($A781&lt;&gt;"",MAESTRO!$A780,"")</f>
        <v/>
      </c>
      <c r="D781" t="str">
        <f>IF($A781&lt;&gt;"",MAESTRO!$C780,"")</f>
        <v/>
      </c>
      <c r="E781" t="str">
        <f>IF($A781&lt;&gt;"",MAESTRO!$M780,"")</f>
        <v/>
      </c>
      <c r="F781" t="str">
        <f>IF($A781&lt;&gt;"",MAESTRO!$J780,"")</f>
        <v/>
      </c>
      <c r="G781" t="str">
        <f>IF($A781&lt;&gt;"",MAESTRO!$D780,"")</f>
        <v/>
      </c>
      <c r="H781" t="str">
        <f>IF($A781&lt;&gt;"",IF(TRIM(MAESTRO!$G780&amp;" "&amp;MAESTRO!$H780&amp;" "&amp;MAESTRO!$I780)="",MAESTRO!$F780,TRIM(MAESTRO!$G780&amp;" "&amp;MAESTRO!$H780&amp;" "&amp;MAESTRO!$I780)),"")</f>
        <v/>
      </c>
      <c r="I781" t="str">
        <f>IF($A781&lt;&gt;"",MAESTRO!$K780,"")</f>
        <v/>
      </c>
      <c r="J781" t="str">
        <f>IF($A781&lt;&gt;"",781,"")</f>
        <v/>
      </c>
    </row>
    <row r="782" spans="1:10" x14ac:dyDescent="0.2">
      <c r="A782" t="str">
        <f>IF(AND(UPPER(MAESTRO!$M781)="VIP",UPPER(MAESTRO!$J781)="SI",MAESTRO!$F781&lt;&gt;""),MAESTRO!$P781,"")</f>
        <v/>
      </c>
      <c r="B782" t="str">
        <f>IF($A782&lt;&gt;"",MAESTRO!$B781,"")</f>
        <v/>
      </c>
      <c r="C782" t="str">
        <f>IF($A782&lt;&gt;"",MAESTRO!$A781,"")</f>
        <v/>
      </c>
      <c r="D782" t="str">
        <f>IF($A782&lt;&gt;"",MAESTRO!$C781,"")</f>
        <v/>
      </c>
      <c r="E782" t="str">
        <f>IF($A782&lt;&gt;"",MAESTRO!$M781,"")</f>
        <v/>
      </c>
      <c r="F782" t="str">
        <f>IF($A782&lt;&gt;"",MAESTRO!$J781,"")</f>
        <v/>
      </c>
      <c r="G782" t="str">
        <f>IF($A782&lt;&gt;"",MAESTRO!$D781,"")</f>
        <v/>
      </c>
      <c r="H782" t="str">
        <f>IF($A782&lt;&gt;"",IF(TRIM(MAESTRO!$G781&amp;" "&amp;MAESTRO!$H781&amp;" "&amp;MAESTRO!$I781)="",MAESTRO!$F781,TRIM(MAESTRO!$G781&amp;" "&amp;MAESTRO!$H781&amp;" "&amp;MAESTRO!$I781)),"")</f>
        <v/>
      </c>
      <c r="I782" t="str">
        <f>IF($A782&lt;&gt;"",MAESTRO!$K781,"")</f>
        <v/>
      </c>
      <c r="J782" t="str">
        <f>IF($A782&lt;&gt;"",782,"")</f>
        <v/>
      </c>
    </row>
    <row r="783" spans="1:10" x14ac:dyDescent="0.2">
      <c r="A783" t="str">
        <f>IF(AND(UPPER(MAESTRO!$M782)="VIP",UPPER(MAESTRO!$J782)="SI",MAESTRO!$F782&lt;&gt;""),MAESTRO!$P782,"")</f>
        <v/>
      </c>
      <c r="B783" t="str">
        <f>IF($A783&lt;&gt;"",MAESTRO!$B782,"")</f>
        <v/>
      </c>
      <c r="C783" t="str">
        <f>IF($A783&lt;&gt;"",MAESTRO!$A782,"")</f>
        <v/>
      </c>
      <c r="D783" t="str">
        <f>IF($A783&lt;&gt;"",MAESTRO!$C782,"")</f>
        <v/>
      </c>
      <c r="E783" t="str">
        <f>IF($A783&lt;&gt;"",MAESTRO!$M782,"")</f>
        <v/>
      </c>
      <c r="F783" t="str">
        <f>IF($A783&lt;&gt;"",MAESTRO!$J782,"")</f>
        <v/>
      </c>
      <c r="G783" t="str">
        <f>IF($A783&lt;&gt;"",MAESTRO!$D782,"")</f>
        <v/>
      </c>
      <c r="H783" t="str">
        <f>IF($A783&lt;&gt;"",IF(TRIM(MAESTRO!$G782&amp;" "&amp;MAESTRO!$H782&amp;" "&amp;MAESTRO!$I782)="",MAESTRO!$F782,TRIM(MAESTRO!$G782&amp;" "&amp;MAESTRO!$H782&amp;" "&amp;MAESTRO!$I782)),"")</f>
        <v/>
      </c>
      <c r="I783" t="str">
        <f>IF($A783&lt;&gt;"",MAESTRO!$K782,"")</f>
        <v/>
      </c>
      <c r="J783" t="str">
        <f>IF($A783&lt;&gt;"",783,"")</f>
        <v/>
      </c>
    </row>
    <row r="784" spans="1:10" x14ac:dyDescent="0.2">
      <c r="A784" t="str">
        <f>IF(AND(UPPER(MAESTRO!$M783)="VIP",UPPER(MAESTRO!$J783)="SI",MAESTRO!$F783&lt;&gt;""),MAESTRO!$P783,"")</f>
        <v/>
      </c>
      <c r="B784" t="str">
        <f>IF($A784&lt;&gt;"",MAESTRO!$B783,"")</f>
        <v/>
      </c>
      <c r="C784" t="str">
        <f>IF($A784&lt;&gt;"",MAESTRO!$A783,"")</f>
        <v/>
      </c>
      <c r="D784" t="str">
        <f>IF($A784&lt;&gt;"",MAESTRO!$C783,"")</f>
        <v/>
      </c>
      <c r="E784" t="str">
        <f>IF($A784&lt;&gt;"",MAESTRO!$M783,"")</f>
        <v/>
      </c>
      <c r="F784" t="str">
        <f>IF($A784&lt;&gt;"",MAESTRO!$J783,"")</f>
        <v/>
      </c>
      <c r="G784" t="str">
        <f>IF($A784&lt;&gt;"",MAESTRO!$D783,"")</f>
        <v/>
      </c>
      <c r="H784" t="str">
        <f>IF($A784&lt;&gt;"",IF(TRIM(MAESTRO!$G783&amp;" "&amp;MAESTRO!$H783&amp;" "&amp;MAESTRO!$I783)="",MAESTRO!$F783,TRIM(MAESTRO!$G783&amp;" "&amp;MAESTRO!$H783&amp;" "&amp;MAESTRO!$I783)),"")</f>
        <v/>
      </c>
      <c r="I784" t="str">
        <f>IF($A784&lt;&gt;"",MAESTRO!$K783,"")</f>
        <v/>
      </c>
      <c r="J784" t="str">
        <f>IF($A784&lt;&gt;"",784,"")</f>
        <v/>
      </c>
    </row>
    <row r="785" spans="1:10" x14ac:dyDescent="0.2">
      <c r="A785" t="str">
        <f>IF(AND(UPPER(MAESTRO!$M784)="VIP",UPPER(MAESTRO!$J784)="SI",MAESTRO!$F784&lt;&gt;""),MAESTRO!$P784,"")</f>
        <v/>
      </c>
      <c r="B785" t="str">
        <f>IF($A785&lt;&gt;"",MAESTRO!$B784,"")</f>
        <v/>
      </c>
      <c r="C785" t="str">
        <f>IF($A785&lt;&gt;"",MAESTRO!$A784,"")</f>
        <v/>
      </c>
      <c r="D785" t="str">
        <f>IF($A785&lt;&gt;"",MAESTRO!$C784,"")</f>
        <v/>
      </c>
      <c r="E785" t="str">
        <f>IF($A785&lt;&gt;"",MAESTRO!$M784,"")</f>
        <v/>
      </c>
      <c r="F785" t="str">
        <f>IF($A785&lt;&gt;"",MAESTRO!$J784,"")</f>
        <v/>
      </c>
      <c r="G785" t="str">
        <f>IF($A785&lt;&gt;"",MAESTRO!$D784,"")</f>
        <v/>
      </c>
      <c r="H785" t="str">
        <f>IF($A785&lt;&gt;"",IF(TRIM(MAESTRO!$G784&amp;" "&amp;MAESTRO!$H784&amp;" "&amp;MAESTRO!$I784)="",MAESTRO!$F784,TRIM(MAESTRO!$G784&amp;" "&amp;MAESTRO!$H784&amp;" "&amp;MAESTRO!$I784)),"")</f>
        <v/>
      </c>
      <c r="I785" t="str">
        <f>IF($A785&lt;&gt;"",MAESTRO!$K784,"")</f>
        <v/>
      </c>
      <c r="J785" t="str">
        <f>IF($A785&lt;&gt;"",785,"")</f>
        <v/>
      </c>
    </row>
    <row r="786" spans="1:10" x14ac:dyDescent="0.2">
      <c r="A786" t="str">
        <f>IF(AND(UPPER(MAESTRO!$M785)="VIP",UPPER(MAESTRO!$J785)="SI",MAESTRO!$F785&lt;&gt;""),MAESTRO!$P785,"")</f>
        <v/>
      </c>
      <c r="B786" t="str">
        <f>IF($A786&lt;&gt;"",MAESTRO!$B785,"")</f>
        <v/>
      </c>
      <c r="C786" t="str">
        <f>IF($A786&lt;&gt;"",MAESTRO!$A785,"")</f>
        <v/>
      </c>
      <c r="D786" t="str">
        <f>IF($A786&lt;&gt;"",MAESTRO!$C785,"")</f>
        <v/>
      </c>
      <c r="E786" t="str">
        <f>IF($A786&lt;&gt;"",MAESTRO!$M785,"")</f>
        <v/>
      </c>
      <c r="F786" t="str">
        <f>IF($A786&lt;&gt;"",MAESTRO!$J785,"")</f>
        <v/>
      </c>
      <c r="G786" t="str">
        <f>IF($A786&lt;&gt;"",MAESTRO!$D785,"")</f>
        <v/>
      </c>
      <c r="H786" t="str">
        <f>IF($A786&lt;&gt;"",IF(TRIM(MAESTRO!$G785&amp;" "&amp;MAESTRO!$H785&amp;" "&amp;MAESTRO!$I785)="",MAESTRO!$F785,TRIM(MAESTRO!$G785&amp;" "&amp;MAESTRO!$H785&amp;" "&amp;MAESTRO!$I785)),"")</f>
        <v/>
      </c>
      <c r="I786" t="str">
        <f>IF($A786&lt;&gt;"",MAESTRO!$K785,"")</f>
        <v/>
      </c>
      <c r="J786" t="str">
        <f>IF($A786&lt;&gt;"",786,"")</f>
        <v/>
      </c>
    </row>
    <row r="787" spans="1:10" x14ac:dyDescent="0.2">
      <c r="A787" t="str">
        <f>IF(AND(UPPER(MAESTRO!$M786)="VIP",UPPER(MAESTRO!$J786)="SI",MAESTRO!$F786&lt;&gt;""),MAESTRO!$P786,"")</f>
        <v/>
      </c>
      <c r="B787" t="str">
        <f>IF($A787&lt;&gt;"",MAESTRO!$B786,"")</f>
        <v/>
      </c>
      <c r="C787" t="str">
        <f>IF($A787&lt;&gt;"",MAESTRO!$A786,"")</f>
        <v/>
      </c>
      <c r="D787" t="str">
        <f>IF($A787&lt;&gt;"",MAESTRO!$C786,"")</f>
        <v/>
      </c>
      <c r="E787" t="str">
        <f>IF($A787&lt;&gt;"",MAESTRO!$M786,"")</f>
        <v/>
      </c>
      <c r="F787" t="str">
        <f>IF($A787&lt;&gt;"",MAESTRO!$J786,"")</f>
        <v/>
      </c>
      <c r="G787" t="str">
        <f>IF($A787&lt;&gt;"",MAESTRO!$D786,"")</f>
        <v/>
      </c>
      <c r="H787" t="str">
        <f>IF($A787&lt;&gt;"",IF(TRIM(MAESTRO!$G786&amp;" "&amp;MAESTRO!$H786&amp;" "&amp;MAESTRO!$I786)="",MAESTRO!$F786,TRIM(MAESTRO!$G786&amp;" "&amp;MAESTRO!$H786&amp;" "&amp;MAESTRO!$I786)),"")</f>
        <v/>
      </c>
      <c r="I787" t="str">
        <f>IF($A787&lt;&gt;"",MAESTRO!$K786,"")</f>
        <v/>
      </c>
      <c r="J787" t="str">
        <f>IF($A787&lt;&gt;"",787,"")</f>
        <v/>
      </c>
    </row>
    <row r="788" spans="1:10" x14ac:dyDescent="0.2">
      <c r="A788" t="str">
        <f>IF(AND(UPPER(MAESTRO!$M787)="VIP",UPPER(MAESTRO!$J787)="SI",MAESTRO!$F787&lt;&gt;""),MAESTRO!$P787,"")</f>
        <v/>
      </c>
      <c r="B788" t="str">
        <f>IF($A788&lt;&gt;"",MAESTRO!$B787,"")</f>
        <v/>
      </c>
      <c r="C788" t="str">
        <f>IF($A788&lt;&gt;"",MAESTRO!$A787,"")</f>
        <v/>
      </c>
      <c r="D788" t="str">
        <f>IF($A788&lt;&gt;"",MAESTRO!$C787,"")</f>
        <v/>
      </c>
      <c r="E788" t="str">
        <f>IF($A788&lt;&gt;"",MAESTRO!$M787,"")</f>
        <v/>
      </c>
      <c r="F788" t="str">
        <f>IF($A788&lt;&gt;"",MAESTRO!$J787,"")</f>
        <v/>
      </c>
      <c r="G788" t="str">
        <f>IF($A788&lt;&gt;"",MAESTRO!$D787,"")</f>
        <v/>
      </c>
      <c r="H788" t="str">
        <f>IF($A788&lt;&gt;"",IF(TRIM(MAESTRO!$G787&amp;" "&amp;MAESTRO!$H787&amp;" "&amp;MAESTRO!$I787)="",MAESTRO!$F787,TRIM(MAESTRO!$G787&amp;" "&amp;MAESTRO!$H787&amp;" "&amp;MAESTRO!$I787)),"")</f>
        <v/>
      </c>
      <c r="I788" t="str">
        <f>IF($A788&lt;&gt;"",MAESTRO!$K787,"")</f>
        <v/>
      </c>
      <c r="J788" t="str">
        <f>IF($A788&lt;&gt;"",788,"")</f>
        <v/>
      </c>
    </row>
    <row r="789" spans="1:10" x14ac:dyDescent="0.2">
      <c r="A789" t="str">
        <f>IF(AND(UPPER(MAESTRO!$M788)="VIP",UPPER(MAESTRO!$J788)="SI",MAESTRO!$F788&lt;&gt;""),MAESTRO!$P788,"")</f>
        <v/>
      </c>
      <c r="B789" t="str">
        <f>IF($A789&lt;&gt;"",MAESTRO!$B788,"")</f>
        <v/>
      </c>
      <c r="C789" t="str">
        <f>IF($A789&lt;&gt;"",MAESTRO!$A788,"")</f>
        <v/>
      </c>
      <c r="D789" t="str">
        <f>IF($A789&lt;&gt;"",MAESTRO!$C788,"")</f>
        <v/>
      </c>
      <c r="E789" t="str">
        <f>IF($A789&lt;&gt;"",MAESTRO!$M788,"")</f>
        <v/>
      </c>
      <c r="F789" t="str">
        <f>IF($A789&lt;&gt;"",MAESTRO!$J788,"")</f>
        <v/>
      </c>
      <c r="G789" t="str">
        <f>IF($A789&lt;&gt;"",MAESTRO!$D788,"")</f>
        <v/>
      </c>
      <c r="H789" t="str">
        <f>IF($A789&lt;&gt;"",IF(TRIM(MAESTRO!$G788&amp;" "&amp;MAESTRO!$H788&amp;" "&amp;MAESTRO!$I788)="",MAESTRO!$F788,TRIM(MAESTRO!$G788&amp;" "&amp;MAESTRO!$H788&amp;" "&amp;MAESTRO!$I788)),"")</f>
        <v/>
      </c>
      <c r="I789" t="str">
        <f>IF($A789&lt;&gt;"",MAESTRO!$K788,"")</f>
        <v/>
      </c>
      <c r="J789" t="str">
        <f>IF($A789&lt;&gt;"",789,"")</f>
        <v/>
      </c>
    </row>
    <row r="790" spans="1:10" x14ac:dyDescent="0.2">
      <c r="A790" t="str">
        <f>IF(AND(UPPER(MAESTRO!$M789)="VIP",UPPER(MAESTRO!$J789)="SI",MAESTRO!$F789&lt;&gt;""),MAESTRO!$P789,"")</f>
        <v/>
      </c>
      <c r="B790" t="str">
        <f>IF($A790&lt;&gt;"",MAESTRO!$B789,"")</f>
        <v/>
      </c>
      <c r="C790" t="str">
        <f>IF($A790&lt;&gt;"",MAESTRO!$A789,"")</f>
        <v/>
      </c>
      <c r="D790" t="str">
        <f>IF($A790&lt;&gt;"",MAESTRO!$C789,"")</f>
        <v/>
      </c>
      <c r="E790" t="str">
        <f>IF($A790&lt;&gt;"",MAESTRO!$M789,"")</f>
        <v/>
      </c>
      <c r="F790" t="str">
        <f>IF($A790&lt;&gt;"",MAESTRO!$J789,"")</f>
        <v/>
      </c>
      <c r="G790" t="str">
        <f>IF($A790&lt;&gt;"",MAESTRO!$D789,"")</f>
        <v/>
      </c>
      <c r="H790" t="str">
        <f>IF($A790&lt;&gt;"",IF(TRIM(MAESTRO!$G789&amp;" "&amp;MAESTRO!$H789&amp;" "&amp;MAESTRO!$I789)="",MAESTRO!$F789,TRIM(MAESTRO!$G789&amp;" "&amp;MAESTRO!$H789&amp;" "&amp;MAESTRO!$I789)),"")</f>
        <v/>
      </c>
      <c r="I790" t="str">
        <f>IF($A790&lt;&gt;"",MAESTRO!$K789,"")</f>
        <v/>
      </c>
      <c r="J790" t="str">
        <f>IF($A790&lt;&gt;"",790,"")</f>
        <v/>
      </c>
    </row>
    <row r="791" spans="1:10" x14ac:dyDescent="0.2">
      <c r="A791" t="str">
        <f>IF(AND(UPPER(MAESTRO!$M790)="VIP",UPPER(MAESTRO!$J790)="SI",MAESTRO!$F790&lt;&gt;""),MAESTRO!$P790,"")</f>
        <v/>
      </c>
      <c r="B791" t="str">
        <f>IF($A791&lt;&gt;"",MAESTRO!$B790,"")</f>
        <v/>
      </c>
      <c r="C791" t="str">
        <f>IF($A791&lt;&gt;"",MAESTRO!$A790,"")</f>
        <v/>
      </c>
      <c r="D791" t="str">
        <f>IF($A791&lt;&gt;"",MAESTRO!$C790,"")</f>
        <v/>
      </c>
      <c r="E791" t="str">
        <f>IF($A791&lt;&gt;"",MAESTRO!$M790,"")</f>
        <v/>
      </c>
      <c r="F791" t="str">
        <f>IF($A791&lt;&gt;"",MAESTRO!$J790,"")</f>
        <v/>
      </c>
      <c r="G791" t="str">
        <f>IF($A791&lt;&gt;"",MAESTRO!$D790,"")</f>
        <v/>
      </c>
      <c r="H791" t="str">
        <f>IF($A791&lt;&gt;"",IF(TRIM(MAESTRO!$G790&amp;" "&amp;MAESTRO!$H790&amp;" "&amp;MAESTRO!$I790)="",MAESTRO!$F790,TRIM(MAESTRO!$G790&amp;" "&amp;MAESTRO!$H790&amp;" "&amp;MAESTRO!$I790)),"")</f>
        <v/>
      </c>
      <c r="I791" t="str">
        <f>IF($A791&lt;&gt;"",MAESTRO!$K790,"")</f>
        <v/>
      </c>
      <c r="J791" t="str">
        <f>IF($A791&lt;&gt;"",791,"")</f>
        <v/>
      </c>
    </row>
    <row r="792" spans="1:10" x14ac:dyDescent="0.2">
      <c r="A792" t="str">
        <f>IF(AND(UPPER(MAESTRO!$M791)="VIP",UPPER(MAESTRO!$J791)="SI",MAESTRO!$F791&lt;&gt;""),MAESTRO!$P791,"")</f>
        <v/>
      </c>
      <c r="B792" t="str">
        <f>IF($A792&lt;&gt;"",MAESTRO!$B791,"")</f>
        <v/>
      </c>
      <c r="C792" t="str">
        <f>IF($A792&lt;&gt;"",MAESTRO!$A791,"")</f>
        <v/>
      </c>
      <c r="D792" t="str">
        <f>IF($A792&lt;&gt;"",MAESTRO!$C791,"")</f>
        <v/>
      </c>
      <c r="E792" t="str">
        <f>IF($A792&lt;&gt;"",MAESTRO!$M791,"")</f>
        <v/>
      </c>
      <c r="F792" t="str">
        <f>IF($A792&lt;&gt;"",MAESTRO!$J791,"")</f>
        <v/>
      </c>
      <c r="G792" t="str">
        <f>IF($A792&lt;&gt;"",MAESTRO!$D791,"")</f>
        <v/>
      </c>
      <c r="H792" t="str">
        <f>IF($A792&lt;&gt;"",IF(TRIM(MAESTRO!$G791&amp;" "&amp;MAESTRO!$H791&amp;" "&amp;MAESTRO!$I791)="",MAESTRO!$F791,TRIM(MAESTRO!$G791&amp;" "&amp;MAESTRO!$H791&amp;" "&amp;MAESTRO!$I791)),"")</f>
        <v/>
      </c>
      <c r="I792" t="str">
        <f>IF($A792&lt;&gt;"",MAESTRO!$K791,"")</f>
        <v/>
      </c>
      <c r="J792" t="str">
        <f>IF($A792&lt;&gt;"",792,"")</f>
        <v/>
      </c>
    </row>
    <row r="793" spans="1:10" x14ac:dyDescent="0.2">
      <c r="A793" t="str">
        <f>IF(AND(UPPER(MAESTRO!$M792)="VIP",UPPER(MAESTRO!$J792)="SI",MAESTRO!$F792&lt;&gt;""),MAESTRO!$P792,"")</f>
        <v/>
      </c>
      <c r="B793" t="str">
        <f>IF($A793&lt;&gt;"",MAESTRO!$B792,"")</f>
        <v/>
      </c>
      <c r="C793" t="str">
        <f>IF($A793&lt;&gt;"",MAESTRO!$A792,"")</f>
        <v/>
      </c>
      <c r="D793" t="str">
        <f>IF($A793&lt;&gt;"",MAESTRO!$C792,"")</f>
        <v/>
      </c>
      <c r="E793" t="str">
        <f>IF($A793&lt;&gt;"",MAESTRO!$M792,"")</f>
        <v/>
      </c>
      <c r="F793" t="str">
        <f>IF($A793&lt;&gt;"",MAESTRO!$J792,"")</f>
        <v/>
      </c>
      <c r="G793" t="str">
        <f>IF($A793&lt;&gt;"",MAESTRO!$D792,"")</f>
        <v/>
      </c>
      <c r="H793" t="str">
        <f>IF($A793&lt;&gt;"",IF(TRIM(MAESTRO!$G792&amp;" "&amp;MAESTRO!$H792&amp;" "&amp;MAESTRO!$I792)="",MAESTRO!$F792,TRIM(MAESTRO!$G792&amp;" "&amp;MAESTRO!$H792&amp;" "&amp;MAESTRO!$I792)),"")</f>
        <v/>
      </c>
      <c r="I793" t="str">
        <f>IF($A793&lt;&gt;"",MAESTRO!$K792,"")</f>
        <v/>
      </c>
      <c r="J793" t="str">
        <f>IF($A793&lt;&gt;"",793,"")</f>
        <v/>
      </c>
    </row>
    <row r="794" spans="1:10" x14ac:dyDescent="0.2">
      <c r="A794" t="str">
        <f>IF(AND(UPPER(MAESTRO!$M793)="VIP",UPPER(MAESTRO!$J793)="SI",MAESTRO!$F793&lt;&gt;""),MAESTRO!$P793,"")</f>
        <v/>
      </c>
      <c r="B794" t="str">
        <f>IF($A794&lt;&gt;"",MAESTRO!$B793,"")</f>
        <v/>
      </c>
      <c r="C794" t="str">
        <f>IF($A794&lt;&gt;"",MAESTRO!$A793,"")</f>
        <v/>
      </c>
      <c r="D794" t="str">
        <f>IF($A794&lt;&gt;"",MAESTRO!$C793,"")</f>
        <v/>
      </c>
      <c r="E794" t="str">
        <f>IF($A794&lt;&gt;"",MAESTRO!$M793,"")</f>
        <v/>
      </c>
      <c r="F794" t="str">
        <f>IF($A794&lt;&gt;"",MAESTRO!$J793,"")</f>
        <v/>
      </c>
      <c r="G794" t="str">
        <f>IF($A794&lt;&gt;"",MAESTRO!$D793,"")</f>
        <v/>
      </c>
      <c r="H794" t="str">
        <f>IF($A794&lt;&gt;"",IF(TRIM(MAESTRO!$G793&amp;" "&amp;MAESTRO!$H793&amp;" "&amp;MAESTRO!$I793)="",MAESTRO!$F793,TRIM(MAESTRO!$G793&amp;" "&amp;MAESTRO!$H793&amp;" "&amp;MAESTRO!$I793)),"")</f>
        <v/>
      </c>
      <c r="I794" t="str">
        <f>IF($A794&lt;&gt;"",MAESTRO!$K793,"")</f>
        <v/>
      </c>
      <c r="J794" t="str">
        <f>IF($A794&lt;&gt;"",794,"")</f>
        <v/>
      </c>
    </row>
    <row r="795" spans="1:10" x14ac:dyDescent="0.2">
      <c r="A795" t="str">
        <f>IF(AND(UPPER(MAESTRO!$M794)="VIP",UPPER(MAESTRO!$J794)="SI",MAESTRO!$F794&lt;&gt;""),MAESTRO!$P794,"")</f>
        <v/>
      </c>
      <c r="B795" t="str">
        <f>IF($A795&lt;&gt;"",MAESTRO!$B794,"")</f>
        <v/>
      </c>
      <c r="C795" t="str">
        <f>IF($A795&lt;&gt;"",MAESTRO!$A794,"")</f>
        <v/>
      </c>
      <c r="D795" t="str">
        <f>IF($A795&lt;&gt;"",MAESTRO!$C794,"")</f>
        <v/>
      </c>
      <c r="E795" t="str">
        <f>IF($A795&lt;&gt;"",MAESTRO!$M794,"")</f>
        <v/>
      </c>
      <c r="F795" t="str">
        <f>IF($A795&lt;&gt;"",MAESTRO!$J794,"")</f>
        <v/>
      </c>
      <c r="G795" t="str">
        <f>IF($A795&lt;&gt;"",MAESTRO!$D794,"")</f>
        <v/>
      </c>
      <c r="H795" t="str">
        <f>IF($A795&lt;&gt;"",IF(TRIM(MAESTRO!$G794&amp;" "&amp;MAESTRO!$H794&amp;" "&amp;MAESTRO!$I794)="",MAESTRO!$F794,TRIM(MAESTRO!$G794&amp;" "&amp;MAESTRO!$H794&amp;" "&amp;MAESTRO!$I794)),"")</f>
        <v/>
      </c>
      <c r="I795" t="str">
        <f>IF($A795&lt;&gt;"",MAESTRO!$K794,"")</f>
        <v/>
      </c>
      <c r="J795" t="str">
        <f>IF($A795&lt;&gt;"",795,"")</f>
        <v/>
      </c>
    </row>
    <row r="796" spans="1:10" x14ac:dyDescent="0.2">
      <c r="A796" t="str">
        <f>IF(AND(UPPER(MAESTRO!$M795)="VIP",UPPER(MAESTRO!$J795)="SI",MAESTRO!$F795&lt;&gt;""),MAESTRO!$P795,"")</f>
        <v/>
      </c>
      <c r="B796" t="str">
        <f>IF($A796&lt;&gt;"",MAESTRO!$B795,"")</f>
        <v/>
      </c>
      <c r="C796" t="str">
        <f>IF($A796&lt;&gt;"",MAESTRO!$A795,"")</f>
        <v/>
      </c>
      <c r="D796" t="str">
        <f>IF($A796&lt;&gt;"",MAESTRO!$C795,"")</f>
        <v/>
      </c>
      <c r="E796" t="str">
        <f>IF($A796&lt;&gt;"",MAESTRO!$M795,"")</f>
        <v/>
      </c>
      <c r="F796" t="str">
        <f>IF($A796&lt;&gt;"",MAESTRO!$J795,"")</f>
        <v/>
      </c>
      <c r="G796" t="str">
        <f>IF($A796&lt;&gt;"",MAESTRO!$D795,"")</f>
        <v/>
      </c>
      <c r="H796" t="str">
        <f>IF($A796&lt;&gt;"",IF(TRIM(MAESTRO!$G795&amp;" "&amp;MAESTRO!$H795&amp;" "&amp;MAESTRO!$I795)="",MAESTRO!$F795,TRIM(MAESTRO!$G795&amp;" "&amp;MAESTRO!$H795&amp;" "&amp;MAESTRO!$I795)),"")</f>
        <v/>
      </c>
      <c r="I796" t="str">
        <f>IF($A796&lt;&gt;"",MAESTRO!$K795,"")</f>
        <v/>
      </c>
      <c r="J796" t="str">
        <f>IF($A796&lt;&gt;"",796,"")</f>
        <v/>
      </c>
    </row>
    <row r="797" spans="1:10" x14ac:dyDescent="0.2">
      <c r="A797" t="str">
        <f>IF(AND(UPPER(MAESTRO!$M796)="VIP",UPPER(MAESTRO!$J796)="SI",MAESTRO!$F796&lt;&gt;""),MAESTRO!$P796,"")</f>
        <v/>
      </c>
      <c r="B797" t="str">
        <f>IF($A797&lt;&gt;"",MAESTRO!$B796,"")</f>
        <v/>
      </c>
      <c r="C797" t="str">
        <f>IF($A797&lt;&gt;"",MAESTRO!$A796,"")</f>
        <v/>
      </c>
      <c r="D797" t="str">
        <f>IF($A797&lt;&gt;"",MAESTRO!$C796,"")</f>
        <v/>
      </c>
      <c r="E797" t="str">
        <f>IF($A797&lt;&gt;"",MAESTRO!$M796,"")</f>
        <v/>
      </c>
      <c r="F797" t="str">
        <f>IF($A797&lt;&gt;"",MAESTRO!$J796,"")</f>
        <v/>
      </c>
      <c r="G797" t="str">
        <f>IF($A797&lt;&gt;"",MAESTRO!$D796,"")</f>
        <v/>
      </c>
      <c r="H797" t="str">
        <f>IF($A797&lt;&gt;"",IF(TRIM(MAESTRO!$G796&amp;" "&amp;MAESTRO!$H796&amp;" "&amp;MAESTRO!$I796)="",MAESTRO!$F796,TRIM(MAESTRO!$G796&amp;" "&amp;MAESTRO!$H796&amp;" "&amp;MAESTRO!$I796)),"")</f>
        <v/>
      </c>
      <c r="I797" t="str">
        <f>IF($A797&lt;&gt;"",MAESTRO!$K796,"")</f>
        <v/>
      </c>
      <c r="J797" t="str">
        <f>IF($A797&lt;&gt;"",797,"")</f>
        <v/>
      </c>
    </row>
    <row r="798" spans="1:10" x14ac:dyDescent="0.2">
      <c r="A798" t="str">
        <f>IF(AND(UPPER(MAESTRO!$M797)="VIP",UPPER(MAESTRO!$J797)="SI",MAESTRO!$F797&lt;&gt;""),MAESTRO!$P797,"")</f>
        <v/>
      </c>
      <c r="B798" t="str">
        <f>IF($A798&lt;&gt;"",MAESTRO!$B797,"")</f>
        <v/>
      </c>
      <c r="C798" t="str">
        <f>IF($A798&lt;&gt;"",MAESTRO!$A797,"")</f>
        <v/>
      </c>
      <c r="D798" t="str">
        <f>IF($A798&lt;&gt;"",MAESTRO!$C797,"")</f>
        <v/>
      </c>
      <c r="E798" t="str">
        <f>IF($A798&lt;&gt;"",MAESTRO!$M797,"")</f>
        <v/>
      </c>
      <c r="F798" t="str">
        <f>IF($A798&lt;&gt;"",MAESTRO!$J797,"")</f>
        <v/>
      </c>
      <c r="G798" t="str">
        <f>IF($A798&lt;&gt;"",MAESTRO!$D797,"")</f>
        <v/>
      </c>
      <c r="H798" t="str">
        <f>IF($A798&lt;&gt;"",IF(TRIM(MAESTRO!$G797&amp;" "&amp;MAESTRO!$H797&amp;" "&amp;MAESTRO!$I797)="",MAESTRO!$F797,TRIM(MAESTRO!$G797&amp;" "&amp;MAESTRO!$H797&amp;" "&amp;MAESTRO!$I797)),"")</f>
        <v/>
      </c>
      <c r="I798" t="str">
        <f>IF($A798&lt;&gt;"",MAESTRO!$K797,"")</f>
        <v/>
      </c>
      <c r="J798" t="str">
        <f>IF($A798&lt;&gt;"",798,"")</f>
        <v/>
      </c>
    </row>
    <row r="799" spans="1:10" x14ac:dyDescent="0.2">
      <c r="A799" t="str">
        <f>IF(AND(UPPER(MAESTRO!$M798)="VIP",UPPER(MAESTRO!$J798)="SI",MAESTRO!$F798&lt;&gt;""),MAESTRO!$P798,"")</f>
        <v/>
      </c>
      <c r="B799" t="str">
        <f>IF($A799&lt;&gt;"",MAESTRO!$B798,"")</f>
        <v/>
      </c>
      <c r="C799" t="str">
        <f>IF($A799&lt;&gt;"",MAESTRO!$A798,"")</f>
        <v/>
      </c>
      <c r="D799" t="str">
        <f>IF($A799&lt;&gt;"",MAESTRO!$C798,"")</f>
        <v/>
      </c>
      <c r="E799" t="str">
        <f>IF($A799&lt;&gt;"",MAESTRO!$M798,"")</f>
        <v/>
      </c>
      <c r="F799" t="str">
        <f>IF($A799&lt;&gt;"",MAESTRO!$J798,"")</f>
        <v/>
      </c>
      <c r="G799" t="str">
        <f>IF($A799&lt;&gt;"",MAESTRO!$D798,"")</f>
        <v/>
      </c>
      <c r="H799" t="str">
        <f>IF($A799&lt;&gt;"",IF(TRIM(MAESTRO!$G798&amp;" "&amp;MAESTRO!$H798&amp;" "&amp;MAESTRO!$I798)="",MAESTRO!$F798,TRIM(MAESTRO!$G798&amp;" "&amp;MAESTRO!$H798&amp;" "&amp;MAESTRO!$I798)),"")</f>
        <v/>
      </c>
      <c r="I799" t="str">
        <f>IF($A799&lt;&gt;"",MAESTRO!$K798,"")</f>
        <v/>
      </c>
      <c r="J799" t="str">
        <f>IF($A799&lt;&gt;"",799,"")</f>
        <v/>
      </c>
    </row>
    <row r="800" spans="1:10" x14ac:dyDescent="0.2">
      <c r="A800" t="str">
        <f>IF(AND(UPPER(MAESTRO!$M799)="VIP",UPPER(MAESTRO!$J799)="SI",MAESTRO!$F799&lt;&gt;""),MAESTRO!$P799,"")</f>
        <v/>
      </c>
      <c r="B800" t="str">
        <f>IF($A800&lt;&gt;"",MAESTRO!$B799,"")</f>
        <v/>
      </c>
      <c r="C800" t="str">
        <f>IF($A800&lt;&gt;"",MAESTRO!$A799,"")</f>
        <v/>
      </c>
      <c r="D800" t="str">
        <f>IF($A800&lt;&gt;"",MAESTRO!$C799,"")</f>
        <v/>
      </c>
      <c r="E800" t="str">
        <f>IF($A800&lt;&gt;"",MAESTRO!$M799,"")</f>
        <v/>
      </c>
      <c r="F800" t="str">
        <f>IF($A800&lt;&gt;"",MAESTRO!$J799,"")</f>
        <v/>
      </c>
      <c r="G800" t="str">
        <f>IF($A800&lt;&gt;"",MAESTRO!$D799,"")</f>
        <v/>
      </c>
      <c r="H800" t="str">
        <f>IF($A800&lt;&gt;"",IF(TRIM(MAESTRO!$G799&amp;" "&amp;MAESTRO!$H799&amp;" "&amp;MAESTRO!$I799)="",MAESTRO!$F799,TRIM(MAESTRO!$G799&amp;" "&amp;MAESTRO!$H799&amp;" "&amp;MAESTRO!$I799)),"")</f>
        <v/>
      </c>
      <c r="I800" t="str">
        <f>IF($A800&lt;&gt;"",MAESTRO!$K799,"")</f>
        <v/>
      </c>
      <c r="J800" t="str">
        <f>IF($A800&lt;&gt;"",800,"")</f>
        <v/>
      </c>
    </row>
    <row r="801" spans="1:10" x14ac:dyDescent="0.2">
      <c r="A801" t="str">
        <f>IF(AND(UPPER(MAESTRO!$M800)="VIP",UPPER(MAESTRO!$J800)="SI",MAESTRO!$F800&lt;&gt;""),MAESTRO!$P800,"")</f>
        <v/>
      </c>
      <c r="B801" t="str">
        <f>IF($A801&lt;&gt;"",MAESTRO!$B800,"")</f>
        <v/>
      </c>
      <c r="C801" t="str">
        <f>IF($A801&lt;&gt;"",MAESTRO!$A800,"")</f>
        <v/>
      </c>
      <c r="D801" t="str">
        <f>IF($A801&lt;&gt;"",MAESTRO!$C800,"")</f>
        <v/>
      </c>
      <c r="E801" t="str">
        <f>IF($A801&lt;&gt;"",MAESTRO!$M800,"")</f>
        <v/>
      </c>
      <c r="F801" t="str">
        <f>IF($A801&lt;&gt;"",MAESTRO!$J800,"")</f>
        <v/>
      </c>
      <c r="G801" t="str">
        <f>IF($A801&lt;&gt;"",MAESTRO!$D800,"")</f>
        <v/>
      </c>
      <c r="H801" t="str">
        <f>IF($A801&lt;&gt;"",IF(TRIM(MAESTRO!$G800&amp;" "&amp;MAESTRO!$H800&amp;" "&amp;MAESTRO!$I800)="",MAESTRO!$F800,TRIM(MAESTRO!$G800&amp;" "&amp;MAESTRO!$H800&amp;" "&amp;MAESTRO!$I800)),"")</f>
        <v/>
      </c>
      <c r="I801" t="str">
        <f>IF($A801&lt;&gt;"",MAESTRO!$K800,"")</f>
        <v/>
      </c>
      <c r="J801" t="str">
        <f>IF($A801&lt;&gt;"",801,"")</f>
        <v/>
      </c>
    </row>
    <row r="802" spans="1:10" x14ac:dyDescent="0.2">
      <c r="A802" t="str">
        <f>IF(AND(UPPER(MAESTRO!$M801)="VIP",UPPER(MAESTRO!$J801)="SI",MAESTRO!$F801&lt;&gt;""),MAESTRO!$P801,"")</f>
        <v/>
      </c>
      <c r="B802" t="str">
        <f>IF($A802&lt;&gt;"",MAESTRO!$B801,"")</f>
        <v/>
      </c>
      <c r="C802" t="str">
        <f>IF($A802&lt;&gt;"",MAESTRO!$A801,"")</f>
        <v/>
      </c>
      <c r="D802" t="str">
        <f>IF($A802&lt;&gt;"",MAESTRO!$C801,"")</f>
        <v/>
      </c>
      <c r="E802" t="str">
        <f>IF($A802&lt;&gt;"",MAESTRO!$M801,"")</f>
        <v/>
      </c>
      <c r="F802" t="str">
        <f>IF($A802&lt;&gt;"",MAESTRO!$J801,"")</f>
        <v/>
      </c>
      <c r="G802" t="str">
        <f>IF($A802&lt;&gt;"",MAESTRO!$D801,"")</f>
        <v/>
      </c>
      <c r="H802" t="str">
        <f>IF($A802&lt;&gt;"",IF(TRIM(MAESTRO!$G801&amp;" "&amp;MAESTRO!$H801&amp;" "&amp;MAESTRO!$I801)="",MAESTRO!$F801,TRIM(MAESTRO!$G801&amp;" "&amp;MAESTRO!$H801&amp;" "&amp;MAESTRO!$I801)),"")</f>
        <v/>
      </c>
      <c r="I802" t="str">
        <f>IF($A802&lt;&gt;"",MAESTRO!$K801,"")</f>
        <v/>
      </c>
      <c r="J802" t="str">
        <f>IF($A802&lt;&gt;"",802,"")</f>
        <v/>
      </c>
    </row>
    <row r="803" spans="1:10" x14ac:dyDescent="0.2">
      <c r="A803" t="str">
        <f>IF(AND(UPPER(MAESTRO!$M802)="VIP",UPPER(MAESTRO!$J802)="SI",MAESTRO!$F802&lt;&gt;""),MAESTRO!$P802,"")</f>
        <v/>
      </c>
      <c r="B803" t="str">
        <f>IF($A803&lt;&gt;"",MAESTRO!$B802,"")</f>
        <v/>
      </c>
      <c r="C803" t="str">
        <f>IF($A803&lt;&gt;"",MAESTRO!$A802,"")</f>
        <v/>
      </c>
      <c r="D803" t="str">
        <f>IF($A803&lt;&gt;"",MAESTRO!$C802,"")</f>
        <v/>
      </c>
      <c r="E803" t="str">
        <f>IF($A803&lt;&gt;"",MAESTRO!$M802,"")</f>
        <v/>
      </c>
      <c r="F803" t="str">
        <f>IF($A803&lt;&gt;"",MAESTRO!$J802,"")</f>
        <v/>
      </c>
      <c r="G803" t="str">
        <f>IF($A803&lt;&gt;"",MAESTRO!$D802,"")</f>
        <v/>
      </c>
      <c r="H803" t="str">
        <f>IF($A803&lt;&gt;"",IF(TRIM(MAESTRO!$G802&amp;" "&amp;MAESTRO!$H802&amp;" "&amp;MAESTRO!$I802)="",MAESTRO!$F802,TRIM(MAESTRO!$G802&amp;" "&amp;MAESTRO!$H802&amp;" "&amp;MAESTRO!$I802)),"")</f>
        <v/>
      </c>
      <c r="I803" t="str">
        <f>IF($A803&lt;&gt;"",MAESTRO!$K802,"")</f>
        <v/>
      </c>
      <c r="J803" t="str">
        <f>IF($A803&lt;&gt;"",803,"")</f>
        <v/>
      </c>
    </row>
    <row r="804" spans="1:10" x14ac:dyDescent="0.2">
      <c r="A804" t="str">
        <f>IF(AND(UPPER(MAESTRO!$M803)="VIP",UPPER(MAESTRO!$J803)="SI",MAESTRO!$F803&lt;&gt;""),MAESTRO!$P803,"")</f>
        <v/>
      </c>
      <c r="B804" t="str">
        <f>IF($A804&lt;&gt;"",MAESTRO!$B803,"")</f>
        <v/>
      </c>
      <c r="C804" t="str">
        <f>IF($A804&lt;&gt;"",MAESTRO!$A803,"")</f>
        <v/>
      </c>
      <c r="D804" t="str">
        <f>IF($A804&lt;&gt;"",MAESTRO!$C803,"")</f>
        <v/>
      </c>
      <c r="E804" t="str">
        <f>IF($A804&lt;&gt;"",MAESTRO!$M803,"")</f>
        <v/>
      </c>
      <c r="F804" t="str">
        <f>IF($A804&lt;&gt;"",MAESTRO!$J803,"")</f>
        <v/>
      </c>
      <c r="G804" t="str">
        <f>IF($A804&lt;&gt;"",MAESTRO!$D803,"")</f>
        <v/>
      </c>
      <c r="H804" t="str">
        <f>IF($A804&lt;&gt;"",IF(TRIM(MAESTRO!$G803&amp;" "&amp;MAESTRO!$H803&amp;" "&amp;MAESTRO!$I803)="",MAESTRO!$F803,TRIM(MAESTRO!$G803&amp;" "&amp;MAESTRO!$H803&amp;" "&amp;MAESTRO!$I803)),"")</f>
        <v/>
      </c>
      <c r="I804" t="str">
        <f>IF($A804&lt;&gt;"",MAESTRO!$K803,"")</f>
        <v/>
      </c>
      <c r="J804" t="str">
        <f>IF($A804&lt;&gt;"",804,"")</f>
        <v/>
      </c>
    </row>
    <row r="805" spans="1:10" x14ac:dyDescent="0.2">
      <c r="A805" t="str">
        <f>IF(AND(UPPER(MAESTRO!$M804)="VIP",UPPER(MAESTRO!$J804)="SI",MAESTRO!$F804&lt;&gt;""),MAESTRO!$P804,"")</f>
        <v/>
      </c>
      <c r="B805" t="str">
        <f>IF($A805&lt;&gt;"",MAESTRO!$B804,"")</f>
        <v/>
      </c>
      <c r="C805" t="str">
        <f>IF($A805&lt;&gt;"",MAESTRO!$A804,"")</f>
        <v/>
      </c>
      <c r="D805" t="str">
        <f>IF($A805&lt;&gt;"",MAESTRO!$C804,"")</f>
        <v/>
      </c>
      <c r="E805" t="str">
        <f>IF($A805&lt;&gt;"",MAESTRO!$M804,"")</f>
        <v/>
      </c>
      <c r="F805" t="str">
        <f>IF($A805&lt;&gt;"",MAESTRO!$J804,"")</f>
        <v/>
      </c>
      <c r="G805" t="str">
        <f>IF($A805&lt;&gt;"",MAESTRO!$D804,"")</f>
        <v/>
      </c>
      <c r="H805" t="str">
        <f>IF($A805&lt;&gt;"",IF(TRIM(MAESTRO!$G804&amp;" "&amp;MAESTRO!$H804&amp;" "&amp;MAESTRO!$I804)="",MAESTRO!$F804,TRIM(MAESTRO!$G804&amp;" "&amp;MAESTRO!$H804&amp;" "&amp;MAESTRO!$I804)),"")</f>
        <v/>
      </c>
      <c r="I805" t="str">
        <f>IF($A805&lt;&gt;"",MAESTRO!$K804,"")</f>
        <v/>
      </c>
      <c r="J805" t="str">
        <f>IF($A805&lt;&gt;"",805,"")</f>
        <v/>
      </c>
    </row>
    <row r="806" spans="1:10" x14ac:dyDescent="0.2">
      <c r="A806" t="str">
        <f>IF(AND(UPPER(MAESTRO!$M805)="VIP",UPPER(MAESTRO!$J805)="SI",MAESTRO!$F805&lt;&gt;""),MAESTRO!$P805,"")</f>
        <v/>
      </c>
      <c r="B806" t="str">
        <f>IF($A806&lt;&gt;"",MAESTRO!$B805,"")</f>
        <v/>
      </c>
      <c r="C806" t="str">
        <f>IF($A806&lt;&gt;"",MAESTRO!$A805,"")</f>
        <v/>
      </c>
      <c r="D806" t="str">
        <f>IF($A806&lt;&gt;"",MAESTRO!$C805,"")</f>
        <v/>
      </c>
      <c r="E806" t="str">
        <f>IF($A806&lt;&gt;"",MAESTRO!$M805,"")</f>
        <v/>
      </c>
      <c r="F806" t="str">
        <f>IF($A806&lt;&gt;"",MAESTRO!$J805,"")</f>
        <v/>
      </c>
      <c r="G806" t="str">
        <f>IF($A806&lt;&gt;"",MAESTRO!$D805,"")</f>
        <v/>
      </c>
      <c r="H806" t="str">
        <f>IF($A806&lt;&gt;"",IF(TRIM(MAESTRO!$G805&amp;" "&amp;MAESTRO!$H805&amp;" "&amp;MAESTRO!$I805)="",MAESTRO!$F805,TRIM(MAESTRO!$G805&amp;" "&amp;MAESTRO!$H805&amp;" "&amp;MAESTRO!$I805)),"")</f>
        <v/>
      </c>
      <c r="I806" t="str">
        <f>IF($A806&lt;&gt;"",MAESTRO!$K805,"")</f>
        <v/>
      </c>
      <c r="J806" t="str">
        <f>IF($A806&lt;&gt;"",806,"")</f>
        <v/>
      </c>
    </row>
    <row r="807" spans="1:10" x14ac:dyDescent="0.2">
      <c r="A807" t="str">
        <f>IF(AND(UPPER(MAESTRO!$M806)="VIP",UPPER(MAESTRO!$J806)="SI",MAESTRO!$F806&lt;&gt;""),MAESTRO!$P806,"")</f>
        <v/>
      </c>
      <c r="B807" t="str">
        <f>IF($A807&lt;&gt;"",MAESTRO!$B806,"")</f>
        <v/>
      </c>
      <c r="C807" t="str">
        <f>IF($A807&lt;&gt;"",MAESTRO!$A806,"")</f>
        <v/>
      </c>
      <c r="D807" t="str">
        <f>IF($A807&lt;&gt;"",MAESTRO!$C806,"")</f>
        <v/>
      </c>
      <c r="E807" t="str">
        <f>IF($A807&lt;&gt;"",MAESTRO!$M806,"")</f>
        <v/>
      </c>
      <c r="F807" t="str">
        <f>IF($A807&lt;&gt;"",MAESTRO!$J806,"")</f>
        <v/>
      </c>
      <c r="G807" t="str">
        <f>IF($A807&lt;&gt;"",MAESTRO!$D806,"")</f>
        <v/>
      </c>
      <c r="H807" t="str">
        <f>IF($A807&lt;&gt;"",IF(TRIM(MAESTRO!$G806&amp;" "&amp;MAESTRO!$H806&amp;" "&amp;MAESTRO!$I806)="",MAESTRO!$F806,TRIM(MAESTRO!$G806&amp;" "&amp;MAESTRO!$H806&amp;" "&amp;MAESTRO!$I806)),"")</f>
        <v/>
      </c>
      <c r="I807" t="str">
        <f>IF($A807&lt;&gt;"",MAESTRO!$K806,"")</f>
        <v/>
      </c>
      <c r="J807" t="str">
        <f>IF($A807&lt;&gt;"",807,"")</f>
        <v/>
      </c>
    </row>
    <row r="808" spans="1:10" x14ac:dyDescent="0.2">
      <c r="A808" t="str">
        <f>IF(AND(UPPER(MAESTRO!$M807)="VIP",UPPER(MAESTRO!$J807)="SI",MAESTRO!$F807&lt;&gt;""),MAESTRO!$P807,"")</f>
        <v/>
      </c>
      <c r="B808" t="str">
        <f>IF($A808&lt;&gt;"",MAESTRO!$B807,"")</f>
        <v/>
      </c>
      <c r="C808" t="str">
        <f>IF($A808&lt;&gt;"",MAESTRO!$A807,"")</f>
        <v/>
      </c>
      <c r="D808" t="str">
        <f>IF($A808&lt;&gt;"",MAESTRO!$C807,"")</f>
        <v/>
      </c>
      <c r="E808" t="str">
        <f>IF($A808&lt;&gt;"",MAESTRO!$M807,"")</f>
        <v/>
      </c>
      <c r="F808" t="str">
        <f>IF($A808&lt;&gt;"",MAESTRO!$J807,"")</f>
        <v/>
      </c>
      <c r="G808" t="str">
        <f>IF($A808&lt;&gt;"",MAESTRO!$D807,"")</f>
        <v/>
      </c>
      <c r="H808" t="str">
        <f>IF($A808&lt;&gt;"",IF(TRIM(MAESTRO!$G807&amp;" "&amp;MAESTRO!$H807&amp;" "&amp;MAESTRO!$I807)="",MAESTRO!$F807,TRIM(MAESTRO!$G807&amp;" "&amp;MAESTRO!$H807&amp;" "&amp;MAESTRO!$I807)),"")</f>
        <v/>
      </c>
      <c r="I808" t="str">
        <f>IF($A808&lt;&gt;"",MAESTRO!$K807,"")</f>
        <v/>
      </c>
      <c r="J808" t="str">
        <f>IF($A808&lt;&gt;"",808,"")</f>
        <v/>
      </c>
    </row>
    <row r="809" spans="1:10" x14ac:dyDescent="0.2">
      <c r="A809" t="str">
        <f>IF(AND(UPPER(MAESTRO!$M808)="VIP",UPPER(MAESTRO!$J808)="SI",MAESTRO!$F808&lt;&gt;""),MAESTRO!$P808,"")</f>
        <v/>
      </c>
      <c r="B809" t="str">
        <f>IF($A809&lt;&gt;"",MAESTRO!$B808,"")</f>
        <v/>
      </c>
      <c r="C809" t="str">
        <f>IF($A809&lt;&gt;"",MAESTRO!$A808,"")</f>
        <v/>
      </c>
      <c r="D809" t="str">
        <f>IF($A809&lt;&gt;"",MAESTRO!$C808,"")</f>
        <v/>
      </c>
      <c r="E809" t="str">
        <f>IF($A809&lt;&gt;"",MAESTRO!$M808,"")</f>
        <v/>
      </c>
      <c r="F809" t="str">
        <f>IF($A809&lt;&gt;"",MAESTRO!$J808,"")</f>
        <v/>
      </c>
      <c r="G809" t="str">
        <f>IF($A809&lt;&gt;"",MAESTRO!$D808,"")</f>
        <v/>
      </c>
      <c r="H809" t="str">
        <f>IF($A809&lt;&gt;"",IF(TRIM(MAESTRO!$G808&amp;" "&amp;MAESTRO!$H808&amp;" "&amp;MAESTRO!$I808)="",MAESTRO!$F808,TRIM(MAESTRO!$G808&amp;" "&amp;MAESTRO!$H808&amp;" "&amp;MAESTRO!$I808)),"")</f>
        <v/>
      </c>
      <c r="I809" t="str">
        <f>IF($A809&lt;&gt;"",MAESTRO!$K808,"")</f>
        <v/>
      </c>
      <c r="J809" t="str">
        <f>IF($A809&lt;&gt;"",809,"")</f>
        <v/>
      </c>
    </row>
    <row r="810" spans="1:10" x14ac:dyDescent="0.2">
      <c r="A810" t="str">
        <f>IF(AND(UPPER(MAESTRO!$M809)="VIP",UPPER(MAESTRO!$J809)="SI",MAESTRO!$F809&lt;&gt;""),MAESTRO!$P809,"")</f>
        <v/>
      </c>
      <c r="B810" t="str">
        <f>IF($A810&lt;&gt;"",MAESTRO!$B809,"")</f>
        <v/>
      </c>
      <c r="C810" t="str">
        <f>IF($A810&lt;&gt;"",MAESTRO!$A809,"")</f>
        <v/>
      </c>
      <c r="D810" t="str">
        <f>IF($A810&lt;&gt;"",MAESTRO!$C809,"")</f>
        <v/>
      </c>
      <c r="E810" t="str">
        <f>IF($A810&lt;&gt;"",MAESTRO!$M809,"")</f>
        <v/>
      </c>
      <c r="F810" t="str">
        <f>IF($A810&lt;&gt;"",MAESTRO!$J809,"")</f>
        <v/>
      </c>
      <c r="G810" t="str">
        <f>IF($A810&lt;&gt;"",MAESTRO!$D809,"")</f>
        <v/>
      </c>
      <c r="H810" t="str">
        <f>IF($A810&lt;&gt;"",IF(TRIM(MAESTRO!$G809&amp;" "&amp;MAESTRO!$H809&amp;" "&amp;MAESTRO!$I809)="",MAESTRO!$F809,TRIM(MAESTRO!$G809&amp;" "&amp;MAESTRO!$H809&amp;" "&amp;MAESTRO!$I809)),"")</f>
        <v/>
      </c>
      <c r="I810" t="str">
        <f>IF($A810&lt;&gt;"",MAESTRO!$K809,"")</f>
        <v/>
      </c>
      <c r="J810" t="str">
        <f>IF($A810&lt;&gt;"",810,"")</f>
        <v/>
      </c>
    </row>
    <row r="811" spans="1:10" x14ac:dyDescent="0.2">
      <c r="A811" t="str">
        <f>IF(AND(UPPER(MAESTRO!$M810)="VIP",UPPER(MAESTRO!$J810)="SI",MAESTRO!$F810&lt;&gt;""),MAESTRO!$P810,"")</f>
        <v/>
      </c>
      <c r="B811" t="str">
        <f>IF($A811&lt;&gt;"",MAESTRO!$B810,"")</f>
        <v/>
      </c>
      <c r="C811" t="str">
        <f>IF($A811&lt;&gt;"",MAESTRO!$A810,"")</f>
        <v/>
      </c>
      <c r="D811" t="str">
        <f>IF($A811&lt;&gt;"",MAESTRO!$C810,"")</f>
        <v/>
      </c>
      <c r="E811" t="str">
        <f>IF($A811&lt;&gt;"",MAESTRO!$M810,"")</f>
        <v/>
      </c>
      <c r="F811" t="str">
        <f>IF($A811&lt;&gt;"",MAESTRO!$J810,"")</f>
        <v/>
      </c>
      <c r="G811" t="str">
        <f>IF($A811&lt;&gt;"",MAESTRO!$D810,"")</f>
        <v/>
      </c>
      <c r="H811" t="str">
        <f>IF($A811&lt;&gt;"",IF(TRIM(MAESTRO!$G810&amp;" "&amp;MAESTRO!$H810&amp;" "&amp;MAESTRO!$I810)="",MAESTRO!$F810,TRIM(MAESTRO!$G810&amp;" "&amp;MAESTRO!$H810&amp;" "&amp;MAESTRO!$I810)),"")</f>
        <v/>
      </c>
      <c r="I811" t="str">
        <f>IF($A811&lt;&gt;"",MAESTRO!$K810,"")</f>
        <v/>
      </c>
      <c r="J811" t="str">
        <f>IF($A811&lt;&gt;"",811,"")</f>
        <v/>
      </c>
    </row>
    <row r="812" spans="1:10" x14ac:dyDescent="0.2">
      <c r="A812" t="str">
        <f>IF(AND(UPPER(MAESTRO!$M811)="VIP",UPPER(MAESTRO!$J811)="SI",MAESTRO!$F811&lt;&gt;""),MAESTRO!$P811,"")</f>
        <v/>
      </c>
      <c r="B812" t="str">
        <f>IF($A812&lt;&gt;"",MAESTRO!$B811,"")</f>
        <v/>
      </c>
      <c r="C812" t="str">
        <f>IF($A812&lt;&gt;"",MAESTRO!$A811,"")</f>
        <v/>
      </c>
      <c r="D812" t="str">
        <f>IF($A812&lt;&gt;"",MAESTRO!$C811,"")</f>
        <v/>
      </c>
      <c r="E812" t="str">
        <f>IF($A812&lt;&gt;"",MAESTRO!$M811,"")</f>
        <v/>
      </c>
      <c r="F812" t="str">
        <f>IF($A812&lt;&gt;"",MAESTRO!$J811,"")</f>
        <v/>
      </c>
      <c r="G812" t="str">
        <f>IF($A812&lt;&gt;"",MAESTRO!$D811,"")</f>
        <v/>
      </c>
      <c r="H812" t="str">
        <f>IF($A812&lt;&gt;"",IF(TRIM(MAESTRO!$G811&amp;" "&amp;MAESTRO!$H811&amp;" "&amp;MAESTRO!$I811)="",MAESTRO!$F811,TRIM(MAESTRO!$G811&amp;" "&amp;MAESTRO!$H811&amp;" "&amp;MAESTRO!$I811)),"")</f>
        <v/>
      </c>
      <c r="I812" t="str">
        <f>IF($A812&lt;&gt;"",MAESTRO!$K811,"")</f>
        <v/>
      </c>
      <c r="J812" t="str">
        <f>IF($A812&lt;&gt;"",812,"")</f>
        <v/>
      </c>
    </row>
    <row r="813" spans="1:10" x14ac:dyDescent="0.2">
      <c r="A813" t="str">
        <f>IF(AND(UPPER(MAESTRO!$M812)="VIP",UPPER(MAESTRO!$J812)="SI",MAESTRO!$F812&lt;&gt;""),MAESTRO!$P812,"")</f>
        <v/>
      </c>
      <c r="B813" t="str">
        <f>IF($A813&lt;&gt;"",MAESTRO!$B812,"")</f>
        <v/>
      </c>
      <c r="C813" t="str">
        <f>IF($A813&lt;&gt;"",MAESTRO!$A812,"")</f>
        <v/>
      </c>
      <c r="D813" t="str">
        <f>IF($A813&lt;&gt;"",MAESTRO!$C812,"")</f>
        <v/>
      </c>
      <c r="E813" t="str">
        <f>IF($A813&lt;&gt;"",MAESTRO!$M812,"")</f>
        <v/>
      </c>
      <c r="F813" t="str">
        <f>IF($A813&lt;&gt;"",MAESTRO!$J812,"")</f>
        <v/>
      </c>
      <c r="G813" t="str">
        <f>IF($A813&lt;&gt;"",MAESTRO!$D812,"")</f>
        <v/>
      </c>
      <c r="H813" t="str">
        <f>IF($A813&lt;&gt;"",IF(TRIM(MAESTRO!$G812&amp;" "&amp;MAESTRO!$H812&amp;" "&amp;MAESTRO!$I812)="",MAESTRO!$F812,TRIM(MAESTRO!$G812&amp;" "&amp;MAESTRO!$H812&amp;" "&amp;MAESTRO!$I812)),"")</f>
        <v/>
      </c>
      <c r="I813" t="str">
        <f>IF($A813&lt;&gt;"",MAESTRO!$K812,"")</f>
        <v/>
      </c>
      <c r="J813" t="str">
        <f>IF($A813&lt;&gt;"",813,"")</f>
        <v/>
      </c>
    </row>
    <row r="814" spans="1:10" x14ac:dyDescent="0.2">
      <c r="A814" t="str">
        <f>IF(AND(UPPER(MAESTRO!$M813)="VIP",UPPER(MAESTRO!$J813)="SI",MAESTRO!$F813&lt;&gt;""),MAESTRO!$P813,"")</f>
        <v/>
      </c>
      <c r="B814" t="str">
        <f>IF($A814&lt;&gt;"",MAESTRO!$B813,"")</f>
        <v/>
      </c>
      <c r="C814" t="str">
        <f>IF($A814&lt;&gt;"",MAESTRO!$A813,"")</f>
        <v/>
      </c>
      <c r="D814" t="str">
        <f>IF($A814&lt;&gt;"",MAESTRO!$C813,"")</f>
        <v/>
      </c>
      <c r="E814" t="str">
        <f>IF($A814&lt;&gt;"",MAESTRO!$M813,"")</f>
        <v/>
      </c>
      <c r="F814" t="str">
        <f>IF($A814&lt;&gt;"",MAESTRO!$J813,"")</f>
        <v/>
      </c>
      <c r="G814" t="str">
        <f>IF($A814&lt;&gt;"",MAESTRO!$D813,"")</f>
        <v/>
      </c>
      <c r="H814" t="str">
        <f>IF($A814&lt;&gt;"",IF(TRIM(MAESTRO!$G813&amp;" "&amp;MAESTRO!$H813&amp;" "&amp;MAESTRO!$I813)="",MAESTRO!$F813,TRIM(MAESTRO!$G813&amp;" "&amp;MAESTRO!$H813&amp;" "&amp;MAESTRO!$I813)),"")</f>
        <v/>
      </c>
      <c r="I814" t="str">
        <f>IF($A814&lt;&gt;"",MAESTRO!$K813,"")</f>
        <v/>
      </c>
      <c r="J814" t="str">
        <f>IF($A814&lt;&gt;"",814,"")</f>
        <v/>
      </c>
    </row>
    <row r="815" spans="1:10" x14ac:dyDescent="0.2">
      <c r="A815" t="str">
        <f>IF(AND(UPPER(MAESTRO!$M814)="VIP",UPPER(MAESTRO!$J814)="SI",MAESTRO!$F814&lt;&gt;""),MAESTRO!$P814,"")</f>
        <v/>
      </c>
      <c r="B815" t="str">
        <f>IF($A815&lt;&gt;"",MAESTRO!$B814,"")</f>
        <v/>
      </c>
      <c r="C815" t="str">
        <f>IF($A815&lt;&gt;"",MAESTRO!$A814,"")</f>
        <v/>
      </c>
      <c r="D815" t="str">
        <f>IF($A815&lt;&gt;"",MAESTRO!$C814,"")</f>
        <v/>
      </c>
      <c r="E815" t="str">
        <f>IF($A815&lt;&gt;"",MAESTRO!$M814,"")</f>
        <v/>
      </c>
      <c r="F815" t="str">
        <f>IF($A815&lt;&gt;"",MAESTRO!$J814,"")</f>
        <v/>
      </c>
      <c r="G815" t="str">
        <f>IF($A815&lt;&gt;"",MAESTRO!$D814,"")</f>
        <v/>
      </c>
      <c r="H815" t="str">
        <f>IF($A815&lt;&gt;"",IF(TRIM(MAESTRO!$G814&amp;" "&amp;MAESTRO!$H814&amp;" "&amp;MAESTRO!$I814)="",MAESTRO!$F814,TRIM(MAESTRO!$G814&amp;" "&amp;MAESTRO!$H814&amp;" "&amp;MAESTRO!$I814)),"")</f>
        <v/>
      </c>
      <c r="I815" t="str">
        <f>IF($A815&lt;&gt;"",MAESTRO!$K814,"")</f>
        <v/>
      </c>
      <c r="J815" t="str">
        <f>IF($A815&lt;&gt;"",815,"")</f>
        <v/>
      </c>
    </row>
    <row r="816" spans="1:10" x14ac:dyDescent="0.2">
      <c r="A816" t="str">
        <f>IF(AND(UPPER(MAESTRO!$M815)="VIP",UPPER(MAESTRO!$J815)="SI",MAESTRO!$F815&lt;&gt;""),MAESTRO!$P815,"")</f>
        <v/>
      </c>
      <c r="B816" t="str">
        <f>IF($A816&lt;&gt;"",MAESTRO!$B815,"")</f>
        <v/>
      </c>
      <c r="C816" t="str">
        <f>IF($A816&lt;&gt;"",MAESTRO!$A815,"")</f>
        <v/>
      </c>
      <c r="D816" t="str">
        <f>IF($A816&lt;&gt;"",MAESTRO!$C815,"")</f>
        <v/>
      </c>
      <c r="E816" t="str">
        <f>IF($A816&lt;&gt;"",MAESTRO!$M815,"")</f>
        <v/>
      </c>
      <c r="F816" t="str">
        <f>IF($A816&lt;&gt;"",MAESTRO!$J815,"")</f>
        <v/>
      </c>
      <c r="G816" t="str">
        <f>IF($A816&lt;&gt;"",MAESTRO!$D815,"")</f>
        <v/>
      </c>
      <c r="H816" t="str">
        <f>IF($A816&lt;&gt;"",IF(TRIM(MAESTRO!$G815&amp;" "&amp;MAESTRO!$H815&amp;" "&amp;MAESTRO!$I815)="",MAESTRO!$F815,TRIM(MAESTRO!$G815&amp;" "&amp;MAESTRO!$H815&amp;" "&amp;MAESTRO!$I815)),"")</f>
        <v/>
      </c>
      <c r="I816" t="str">
        <f>IF($A816&lt;&gt;"",MAESTRO!$K815,"")</f>
        <v/>
      </c>
      <c r="J816" t="str">
        <f>IF($A816&lt;&gt;"",816,"")</f>
        <v/>
      </c>
    </row>
    <row r="817" spans="1:10" x14ac:dyDescent="0.2">
      <c r="A817" t="str">
        <f>IF(AND(UPPER(MAESTRO!$M816)="VIP",UPPER(MAESTRO!$J816)="SI",MAESTRO!$F816&lt;&gt;""),MAESTRO!$P816,"")</f>
        <v/>
      </c>
      <c r="B817" t="str">
        <f>IF($A817&lt;&gt;"",MAESTRO!$B816,"")</f>
        <v/>
      </c>
      <c r="C817" t="str">
        <f>IF($A817&lt;&gt;"",MAESTRO!$A816,"")</f>
        <v/>
      </c>
      <c r="D817" t="str">
        <f>IF($A817&lt;&gt;"",MAESTRO!$C816,"")</f>
        <v/>
      </c>
      <c r="E817" t="str">
        <f>IF($A817&lt;&gt;"",MAESTRO!$M816,"")</f>
        <v/>
      </c>
      <c r="F817" t="str">
        <f>IF($A817&lt;&gt;"",MAESTRO!$J816,"")</f>
        <v/>
      </c>
      <c r="G817" t="str">
        <f>IF($A817&lt;&gt;"",MAESTRO!$D816,"")</f>
        <v/>
      </c>
      <c r="H817" t="str">
        <f>IF($A817&lt;&gt;"",IF(TRIM(MAESTRO!$G816&amp;" "&amp;MAESTRO!$H816&amp;" "&amp;MAESTRO!$I816)="",MAESTRO!$F816,TRIM(MAESTRO!$G816&amp;" "&amp;MAESTRO!$H816&amp;" "&amp;MAESTRO!$I816)),"")</f>
        <v/>
      </c>
      <c r="I817" t="str">
        <f>IF($A817&lt;&gt;"",MAESTRO!$K816,"")</f>
        <v/>
      </c>
      <c r="J817" t="str">
        <f>IF($A817&lt;&gt;"",817,"")</f>
        <v/>
      </c>
    </row>
    <row r="818" spans="1:10" x14ac:dyDescent="0.2">
      <c r="A818" t="str">
        <f>IF(AND(UPPER(MAESTRO!$M817)="VIP",UPPER(MAESTRO!$J817)="SI",MAESTRO!$F817&lt;&gt;""),MAESTRO!$P817,"")</f>
        <v/>
      </c>
      <c r="B818" t="str">
        <f>IF($A818&lt;&gt;"",MAESTRO!$B817,"")</f>
        <v/>
      </c>
      <c r="C818" t="str">
        <f>IF($A818&lt;&gt;"",MAESTRO!$A817,"")</f>
        <v/>
      </c>
      <c r="D818" t="str">
        <f>IF($A818&lt;&gt;"",MAESTRO!$C817,"")</f>
        <v/>
      </c>
      <c r="E818" t="str">
        <f>IF($A818&lt;&gt;"",MAESTRO!$M817,"")</f>
        <v/>
      </c>
      <c r="F818" t="str">
        <f>IF($A818&lt;&gt;"",MAESTRO!$J817,"")</f>
        <v/>
      </c>
      <c r="G818" t="str">
        <f>IF($A818&lt;&gt;"",MAESTRO!$D817,"")</f>
        <v/>
      </c>
      <c r="H818" t="str">
        <f>IF($A818&lt;&gt;"",IF(TRIM(MAESTRO!$G817&amp;" "&amp;MAESTRO!$H817&amp;" "&amp;MAESTRO!$I817)="",MAESTRO!$F817,TRIM(MAESTRO!$G817&amp;" "&amp;MAESTRO!$H817&amp;" "&amp;MAESTRO!$I817)),"")</f>
        <v/>
      </c>
      <c r="I818" t="str">
        <f>IF($A818&lt;&gt;"",MAESTRO!$K817,"")</f>
        <v/>
      </c>
      <c r="J818" t="str">
        <f>IF($A818&lt;&gt;"",818,"")</f>
        <v/>
      </c>
    </row>
    <row r="819" spans="1:10" x14ac:dyDescent="0.2">
      <c r="A819" t="str">
        <f>IF(AND(UPPER(MAESTRO!$M818)="VIP",UPPER(MAESTRO!$J818)="SI",MAESTRO!$F818&lt;&gt;""),MAESTRO!$P818,"")</f>
        <v/>
      </c>
      <c r="B819" t="str">
        <f>IF($A819&lt;&gt;"",MAESTRO!$B818,"")</f>
        <v/>
      </c>
      <c r="C819" t="str">
        <f>IF($A819&lt;&gt;"",MAESTRO!$A818,"")</f>
        <v/>
      </c>
      <c r="D819" t="str">
        <f>IF($A819&lt;&gt;"",MAESTRO!$C818,"")</f>
        <v/>
      </c>
      <c r="E819" t="str">
        <f>IF($A819&lt;&gt;"",MAESTRO!$M818,"")</f>
        <v/>
      </c>
      <c r="F819" t="str">
        <f>IF($A819&lt;&gt;"",MAESTRO!$J818,"")</f>
        <v/>
      </c>
      <c r="G819" t="str">
        <f>IF($A819&lt;&gt;"",MAESTRO!$D818,"")</f>
        <v/>
      </c>
      <c r="H819" t="str">
        <f>IF($A819&lt;&gt;"",IF(TRIM(MAESTRO!$G818&amp;" "&amp;MAESTRO!$H818&amp;" "&amp;MAESTRO!$I818)="",MAESTRO!$F818,TRIM(MAESTRO!$G818&amp;" "&amp;MAESTRO!$H818&amp;" "&amp;MAESTRO!$I818)),"")</f>
        <v/>
      </c>
      <c r="I819" t="str">
        <f>IF($A819&lt;&gt;"",MAESTRO!$K818,"")</f>
        <v/>
      </c>
      <c r="J819" t="str">
        <f>IF($A819&lt;&gt;"",819,"")</f>
        <v/>
      </c>
    </row>
    <row r="820" spans="1:10" x14ac:dyDescent="0.2">
      <c r="A820" t="str">
        <f>IF(AND(UPPER(MAESTRO!$M819)="VIP",UPPER(MAESTRO!$J819)="SI",MAESTRO!$F819&lt;&gt;""),MAESTRO!$P819,"")</f>
        <v/>
      </c>
      <c r="B820" t="str">
        <f>IF($A820&lt;&gt;"",MAESTRO!$B819,"")</f>
        <v/>
      </c>
      <c r="C820" t="str">
        <f>IF($A820&lt;&gt;"",MAESTRO!$A819,"")</f>
        <v/>
      </c>
      <c r="D820" t="str">
        <f>IF($A820&lt;&gt;"",MAESTRO!$C819,"")</f>
        <v/>
      </c>
      <c r="E820" t="str">
        <f>IF($A820&lt;&gt;"",MAESTRO!$M819,"")</f>
        <v/>
      </c>
      <c r="F820" t="str">
        <f>IF($A820&lt;&gt;"",MAESTRO!$J819,"")</f>
        <v/>
      </c>
      <c r="G820" t="str">
        <f>IF($A820&lt;&gt;"",MAESTRO!$D819,"")</f>
        <v/>
      </c>
      <c r="H820" t="str">
        <f>IF($A820&lt;&gt;"",IF(TRIM(MAESTRO!$G819&amp;" "&amp;MAESTRO!$H819&amp;" "&amp;MAESTRO!$I819)="",MAESTRO!$F819,TRIM(MAESTRO!$G819&amp;" "&amp;MAESTRO!$H819&amp;" "&amp;MAESTRO!$I819)),"")</f>
        <v/>
      </c>
      <c r="I820" t="str">
        <f>IF($A820&lt;&gt;"",MAESTRO!$K819,"")</f>
        <v/>
      </c>
      <c r="J820" t="str">
        <f>IF($A820&lt;&gt;"",820,"")</f>
        <v/>
      </c>
    </row>
    <row r="821" spans="1:10" x14ac:dyDescent="0.2">
      <c r="A821" t="str">
        <f>IF(AND(UPPER(MAESTRO!$M820)="VIP",UPPER(MAESTRO!$J820)="SI",MAESTRO!$F820&lt;&gt;""),MAESTRO!$P820,"")</f>
        <v/>
      </c>
      <c r="B821" t="str">
        <f>IF($A821&lt;&gt;"",MAESTRO!$B820,"")</f>
        <v/>
      </c>
      <c r="C821" t="str">
        <f>IF($A821&lt;&gt;"",MAESTRO!$A820,"")</f>
        <v/>
      </c>
      <c r="D821" t="str">
        <f>IF($A821&lt;&gt;"",MAESTRO!$C820,"")</f>
        <v/>
      </c>
      <c r="E821" t="str">
        <f>IF($A821&lt;&gt;"",MAESTRO!$M820,"")</f>
        <v/>
      </c>
      <c r="F821" t="str">
        <f>IF($A821&lt;&gt;"",MAESTRO!$J820,"")</f>
        <v/>
      </c>
      <c r="G821" t="str">
        <f>IF($A821&lt;&gt;"",MAESTRO!$D820,"")</f>
        <v/>
      </c>
      <c r="H821" t="str">
        <f>IF($A821&lt;&gt;"",IF(TRIM(MAESTRO!$G820&amp;" "&amp;MAESTRO!$H820&amp;" "&amp;MAESTRO!$I820)="",MAESTRO!$F820,TRIM(MAESTRO!$G820&amp;" "&amp;MAESTRO!$H820&amp;" "&amp;MAESTRO!$I820)),"")</f>
        <v/>
      </c>
      <c r="I821" t="str">
        <f>IF($A821&lt;&gt;"",MAESTRO!$K820,"")</f>
        <v/>
      </c>
      <c r="J821" t="str">
        <f>IF($A821&lt;&gt;"",821,"")</f>
        <v/>
      </c>
    </row>
    <row r="822" spans="1:10" x14ac:dyDescent="0.2">
      <c r="A822" t="str">
        <f>IF(AND(UPPER(MAESTRO!$M821)="VIP",UPPER(MAESTRO!$J821)="SI",MAESTRO!$F821&lt;&gt;""),MAESTRO!$P821,"")</f>
        <v/>
      </c>
      <c r="B822" t="str">
        <f>IF($A822&lt;&gt;"",MAESTRO!$B821,"")</f>
        <v/>
      </c>
      <c r="C822" t="str">
        <f>IF($A822&lt;&gt;"",MAESTRO!$A821,"")</f>
        <v/>
      </c>
      <c r="D822" t="str">
        <f>IF($A822&lt;&gt;"",MAESTRO!$C821,"")</f>
        <v/>
      </c>
      <c r="E822" t="str">
        <f>IF($A822&lt;&gt;"",MAESTRO!$M821,"")</f>
        <v/>
      </c>
      <c r="F822" t="str">
        <f>IF($A822&lt;&gt;"",MAESTRO!$J821,"")</f>
        <v/>
      </c>
      <c r="G822" t="str">
        <f>IF($A822&lt;&gt;"",MAESTRO!$D821,"")</f>
        <v/>
      </c>
      <c r="H822" t="str">
        <f>IF($A822&lt;&gt;"",IF(TRIM(MAESTRO!$G821&amp;" "&amp;MAESTRO!$H821&amp;" "&amp;MAESTRO!$I821)="",MAESTRO!$F821,TRIM(MAESTRO!$G821&amp;" "&amp;MAESTRO!$H821&amp;" "&amp;MAESTRO!$I821)),"")</f>
        <v/>
      </c>
      <c r="I822" t="str">
        <f>IF($A822&lt;&gt;"",MAESTRO!$K821,"")</f>
        <v/>
      </c>
      <c r="J822" t="str">
        <f>IF($A822&lt;&gt;"",822,"")</f>
        <v/>
      </c>
    </row>
    <row r="823" spans="1:10" x14ac:dyDescent="0.2">
      <c r="A823" t="str">
        <f>IF(AND(UPPER(MAESTRO!$M822)="VIP",UPPER(MAESTRO!$J822)="SI",MAESTRO!$F822&lt;&gt;""),MAESTRO!$P822,"")</f>
        <v/>
      </c>
      <c r="B823" t="str">
        <f>IF($A823&lt;&gt;"",MAESTRO!$B822,"")</f>
        <v/>
      </c>
      <c r="C823" t="str">
        <f>IF($A823&lt;&gt;"",MAESTRO!$A822,"")</f>
        <v/>
      </c>
      <c r="D823" t="str">
        <f>IF($A823&lt;&gt;"",MAESTRO!$C822,"")</f>
        <v/>
      </c>
      <c r="E823" t="str">
        <f>IF($A823&lt;&gt;"",MAESTRO!$M822,"")</f>
        <v/>
      </c>
      <c r="F823" t="str">
        <f>IF($A823&lt;&gt;"",MAESTRO!$J822,"")</f>
        <v/>
      </c>
      <c r="G823" t="str">
        <f>IF($A823&lt;&gt;"",MAESTRO!$D822,"")</f>
        <v/>
      </c>
      <c r="H823" t="str">
        <f>IF($A823&lt;&gt;"",IF(TRIM(MAESTRO!$G822&amp;" "&amp;MAESTRO!$H822&amp;" "&amp;MAESTRO!$I822)="",MAESTRO!$F822,TRIM(MAESTRO!$G822&amp;" "&amp;MAESTRO!$H822&amp;" "&amp;MAESTRO!$I822)),"")</f>
        <v/>
      </c>
      <c r="I823" t="str">
        <f>IF($A823&lt;&gt;"",MAESTRO!$K822,"")</f>
        <v/>
      </c>
      <c r="J823" t="str">
        <f>IF($A823&lt;&gt;"",823,"")</f>
        <v/>
      </c>
    </row>
    <row r="824" spans="1:10" x14ac:dyDescent="0.2">
      <c r="A824" t="str">
        <f>IF(AND(UPPER(MAESTRO!$M823)="VIP",UPPER(MAESTRO!$J823)="SI",MAESTRO!$F823&lt;&gt;""),MAESTRO!$P823,"")</f>
        <v/>
      </c>
      <c r="B824" t="str">
        <f>IF($A824&lt;&gt;"",MAESTRO!$B823,"")</f>
        <v/>
      </c>
      <c r="C824" t="str">
        <f>IF($A824&lt;&gt;"",MAESTRO!$A823,"")</f>
        <v/>
      </c>
      <c r="D824" t="str">
        <f>IF($A824&lt;&gt;"",MAESTRO!$C823,"")</f>
        <v/>
      </c>
      <c r="E824" t="str">
        <f>IF($A824&lt;&gt;"",MAESTRO!$M823,"")</f>
        <v/>
      </c>
      <c r="F824" t="str">
        <f>IF($A824&lt;&gt;"",MAESTRO!$J823,"")</f>
        <v/>
      </c>
      <c r="G824" t="str">
        <f>IF($A824&lt;&gt;"",MAESTRO!$D823,"")</f>
        <v/>
      </c>
      <c r="H824" t="str">
        <f>IF($A824&lt;&gt;"",IF(TRIM(MAESTRO!$G823&amp;" "&amp;MAESTRO!$H823&amp;" "&amp;MAESTRO!$I823)="",MAESTRO!$F823,TRIM(MAESTRO!$G823&amp;" "&amp;MAESTRO!$H823&amp;" "&amp;MAESTRO!$I823)),"")</f>
        <v/>
      </c>
      <c r="I824" t="str">
        <f>IF($A824&lt;&gt;"",MAESTRO!$K823,"")</f>
        <v/>
      </c>
      <c r="J824" t="str">
        <f>IF($A824&lt;&gt;"",824,"")</f>
        <v/>
      </c>
    </row>
    <row r="825" spans="1:10" x14ac:dyDescent="0.2">
      <c r="A825" t="str">
        <f>IF(AND(UPPER(MAESTRO!$M824)="VIP",UPPER(MAESTRO!$J824)="SI",MAESTRO!$F824&lt;&gt;""),MAESTRO!$P824,"")</f>
        <v/>
      </c>
      <c r="B825" t="str">
        <f>IF($A825&lt;&gt;"",MAESTRO!$B824,"")</f>
        <v/>
      </c>
      <c r="C825" t="str">
        <f>IF($A825&lt;&gt;"",MAESTRO!$A824,"")</f>
        <v/>
      </c>
      <c r="D825" t="str">
        <f>IF($A825&lt;&gt;"",MAESTRO!$C824,"")</f>
        <v/>
      </c>
      <c r="E825" t="str">
        <f>IF($A825&lt;&gt;"",MAESTRO!$M824,"")</f>
        <v/>
      </c>
      <c r="F825" t="str">
        <f>IF($A825&lt;&gt;"",MAESTRO!$J824,"")</f>
        <v/>
      </c>
      <c r="G825" t="str">
        <f>IF($A825&lt;&gt;"",MAESTRO!$D824,"")</f>
        <v/>
      </c>
      <c r="H825" t="str">
        <f>IF($A825&lt;&gt;"",IF(TRIM(MAESTRO!$G824&amp;" "&amp;MAESTRO!$H824&amp;" "&amp;MAESTRO!$I824)="",MAESTRO!$F824,TRIM(MAESTRO!$G824&amp;" "&amp;MAESTRO!$H824&amp;" "&amp;MAESTRO!$I824)),"")</f>
        <v/>
      </c>
      <c r="I825" t="str">
        <f>IF($A825&lt;&gt;"",MAESTRO!$K824,"")</f>
        <v/>
      </c>
      <c r="J825" t="str">
        <f>IF($A825&lt;&gt;"",825,"")</f>
        <v/>
      </c>
    </row>
    <row r="826" spans="1:10" x14ac:dyDescent="0.2">
      <c r="A826" t="str">
        <f>IF(AND(UPPER(MAESTRO!$M825)="VIP",UPPER(MAESTRO!$J825)="SI",MAESTRO!$F825&lt;&gt;""),MAESTRO!$P825,"")</f>
        <v/>
      </c>
      <c r="B826" t="str">
        <f>IF($A826&lt;&gt;"",MAESTRO!$B825,"")</f>
        <v/>
      </c>
      <c r="C826" t="str">
        <f>IF($A826&lt;&gt;"",MAESTRO!$A825,"")</f>
        <v/>
      </c>
      <c r="D826" t="str">
        <f>IF($A826&lt;&gt;"",MAESTRO!$C825,"")</f>
        <v/>
      </c>
      <c r="E826" t="str">
        <f>IF($A826&lt;&gt;"",MAESTRO!$M825,"")</f>
        <v/>
      </c>
      <c r="F826" t="str">
        <f>IF($A826&lt;&gt;"",MAESTRO!$J825,"")</f>
        <v/>
      </c>
      <c r="G826" t="str">
        <f>IF($A826&lt;&gt;"",MAESTRO!$D825,"")</f>
        <v/>
      </c>
      <c r="H826" t="str">
        <f>IF($A826&lt;&gt;"",IF(TRIM(MAESTRO!$G825&amp;" "&amp;MAESTRO!$H825&amp;" "&amp;MAESTRO!$I825)="",MAESTRO!$F825,TRIM(MAESTRO!$G825&amp;" "&amp;MAESTRO!$H825&amp;" "&amp;MAESTRO!$I825)),"")</f>
        <v/>
      </c>
      <c r="I826" t="str">
        <f>IF($A826&lt;&gt;"",MAESTRO!$K825,"")</f>
        <v/>
      </c>
      <c r="J826" t="str">
        <f>IF($A826&lt;&gt;"",826,"")</f>
        <v/>
      </c>
    </row>
    <row r="827" spans="1:10" x14ac:dyDescent="0.2">
      <c r="A827" t="str">
        <f>IF(AND(UPPER(MAESTRO!$M826)="VIP",UPPER(MAESTRO!$J826)="SI",MAESTRO!$F826&lt;&gt;""),MAESTRO!$P826,"")</f>
        <v/>
      </c>
      <c r="B827" t="str">
        <f>IF($A827&lt;&gt;"",MAESTRO!$B826,"")</f>
        <v/>
      </c>
      <c r="C827" t="str">
        <f>IF($A827&lt;&gt;"",MAESTRO!$A826,"")</f>
        <v/>
      </c>
      <c r="D827" t="str">
        <f>IF($A827&lt;&gt;"",MAESTRO!$C826,"")</f>
        <v/>
      </c>
      <c r="E827" t="str">
        <f>IF($A827&lt;&gt;"",MAESTRO!$M826,"")</f>
        <v/>
      </c>
      <c r="F827" t="str">
        <f>IF($A827&lt;&gt;"",MAESTRO!$J826,"")</f>
        <v/>
      </c>
      <c r="G827" t="str">
        <f>IF($A827&lt;&gt;"",MAESTRO!$D826,"")</f>
        <v/>
      </c>
      <c r="H827" t="str">
        <f>IF($A827&lt;&gt;"",IF(TRIM(MAESTRO!$G826&amp;" "&amp;MAESTRO!$H826&amp;" "&amp;MAESTRO!$I826)="",MAESTRO!$F826,TRIM(MAESTRO!$G826&amp;" "&amp;MAESTRO!$H826&amp;" "&amp;MAESTRO!$I826)),"")</f>
        <v/>
      </c>
      <c r="I827" t="str">
        <f>IF($A827&lt;&gt;"",MAESTRO!$K826,"")</f>
        <v/>
      </c>
      <c r="J827" t="str">
        <f>IF($A827&lt;&gt;"",827,"")</f>
        <v/>
      </c>
    </row>
    <row r="828" spans="1:10" x14ac:dyDescent="0.2">
      <c r="A828" t="str">
        <f>IF(AND(UPPER(MAESTRO!$M827)="VIP",UPPER(MAESTRO!$J827)="SI",MAESTRO!$F827&lt;&gt;""),MAESTRO!$P827,"")</f>
        <v/>
      </c>
      <c r="B828" t="str">
        <f>IF($A828&lt;&gt;"",MAESTRO!$B827,"")</f>
        <v/>
      </c>
      <c r="C828" t="str">
        <f>IF($A828&lt;&gt;"",MAESTRO!$A827,"")</f>
        <v/>
      </c>
      <c r="D828" t="str">
        <f>IF($A828&lt;&gt;"",MAESTRO!$C827,"")</f>
        <v/>
      </c>
      <c r="E828" t="str">
        <f>IF($A828&lt;&gt;"",MAESTRO!$M827,"")</f>
        <v/>
      </c>
      <c r="F828" t="str">
        <f>IF($A828&lt;&gt;"",MAESTRO!$J827,"")</f>
        <v/>
      </c>
      <c r="G828" t="str">
        <f>IF($A828&lt;&gt;"",MAESTRO!$D827,"")</f>
        <v/>
      </c>
      <c r="H828" t="str">
        <f>IF($A828&lt;&gt;"",IF(TRIM(MAESTRO!$G827&amp;" "&amp;MAESTRO!$H827&amp;" "&amp;MAESTRO!$I827)="",MAESTRO!$F827,TRIM(MAESTRO!$G827&amp;" "&amp;MAESTRO!$H827&amp;" "&amp;MAESTRO!$I827)),"")</f>
        <v/>
      </c>
      <c r="I828" t="str">
        <f>IF($A828&lt;&gt;"",MAESTRO!$K827,"")</f>
        <v/>
      </c>
      <c r="J828" t="str">
        <f>IF($A828&lt;&gt;"",828,"")</f>
        <v/>
      </c>
    </row>
    <row r="829" spans="1:10" x14ac:dyDescent="0.2">
      <c r="A829" t="str">
        <f>IF(AND(UPPER(MAESTRO!$M828)="VIP",UPPER(MAESTRO!$J828)="SI",MAESTRO!$F828&lt;&gt;""),MAESTRO!$P828,"")</f>
        <v/>
      </c>
      <c r="B829" t="str">
        <f>IF($A829&lt;&gt;"",MAESTRO!$B828,"")</f>
        <v/>
      </c>
      <c r="C829" t="str">
        <f>IF($A829&lt;&gt;"",MAESTRO!$A828,"")</f>
        <v/>
      </c>
      <c r="D829" t="str">
        <f>IF($A829&lt;&gt;"",MAESTRO!$C828,"")</f>
        <v/>
      </c>
      <c r="E829" t="str">
        <f>IF($A829&lt;&gt;"",MAESTRO!$M828,"")</f>
        <v/>
      </c>
      <c r="F829" t="str">
        <f>IF($A829&lt;&gt;"",MAESTRO!$J828,"")</f>
        <v/>
      </c>
      <c r="G829" t="str">
        <f>IF($A829&lt;&gt;"",MAESTRO!$D828,"")</f>
        <v/>
      </c>
      <c r="H829" t="str">
        <f>IF($A829&lt;&gt;"",IF(TRIM(MAESTRO!$G828&amp;" "&amp;MAESTRO!$H828&amp;" "&amp;MAESTRO!$I828)="",MAESTRO!$F828,TRIM(MAESTRO!$G828&amp;" "&amp;MAESTRO!$H828&amp;" "&amp;MAESTRO!$I828)),"")</f>
        <v/>
      </c>
      <c r="I829" t="str">
        <f>IF($A829&lt;&gt;"",MAESTRO!$K828,"")</f>
        <v/>
      </c>
      <c r="J829" t="str">
        <f>IF($A829&lt;&gt;"",829,"")</f>
        <v/>
      </c>
    </row>
    <row r="830" spans="1:10" x14ac:dyDescent="0.2">
      <c r="A830" t="str">
        <f>IF(AND(UPPER(MAESTRO!$M829)="VIP",UPPER(MAESTRO!$J829)="SI",MAESTRO!$F829&lt;&gt;""),MAESTRO!$P829,"")</f>
        <v/>
      </c>
      <c r="B830" t="str">
        <f>IF($A830&lt;&gt;"",MAESTRO!$B829,"")</f>
        <v/>
      </c>
      <c r="C830" t="str">
        <f>IF($A830&lt;&gt;"",MAESTRO!$A829,"")</f>
        <v/>
      </c>
      <c r="D830" t="str">
        <f>IF($A830&lt;&gt;"",MAESTRO!$C829,"")</f>
        <v/>
      </c>
      <c r="E830" t="str">
        <f>IF($A830&lt;&gt;"",MAESTRO!$M829,"")</f>
        <v/>
      </c>
      <c r="F830" t="str">
        <f>IF($A830&lt;&gt;"",MAESTRO!$J829,"")</f>
        <v/>
      </c>
      <c r="G830" t="str">
        <f>IF($A830&lt;&gt;"",MAESTRO!$D829,"")</f>
        <v/>
      </c>
      <c r="H830" t="str">
        <f>IF($A830&lt;&gt;"",IF(TRIM(MAESTRO!$G829&amp;" "&amp;MAESTRO!$H829&amp;" "&amp;MAESTRO!$I829)="",MAESTRO!$F829,TRIM(MAESTRO!$G829&amp;" "&amp;MAESTRO!$H829&amp;" "&amp;MAESTRO!$I829)),"")</f>
        <v/>
      </c>
      <c r="I830" t="str">
        <f>IF($A830&lt;&gt;"",MAESTRO!$K829,"")</f>
        <v/>
      </c>
      <c r="J830" t="str">
        <f>IF($A830&lt;&gt;"",830,"")</f>
        <v/>
      </c>
    </row>
    <row r="831" spans="1:10" x14ac:dyDescent="0.2">
      <c r="A831" t="str">
        <f>IF(AND(UPPER(MAESTRO!$M830)="VIP",UPPER(MAESTRO!$J830)="SI",MAESTRO!$F830&lt;&gt;""),MAESTRO!$P830,"")</f>
        <v/>
      </c>
      <c r="B831" t="str">
        <f>IF($A831&lt;&gt;"",MAESTRO!$B830,"")</f>
        <v/>
      </c>
      <c r="C831" t="str">
        <f>IF($A831&lt;&gt;"",MAESTRO!$A830,"")</f>
        <v/>
      </c>
      <c r="D831" t="str">
        <f>IF($A831&lt;&gt;"",MAESTRO!$C830,"")</f>
        <v/>
      </c>
      <c r="E831" t="str">
        <f>IF($A831&lt;&gt;"",MAESTRO!$M830,"")</f>
        <v/>
      </c>
      <c r="F831" t="str">
        <f>IF($A831&lt;&gt;"",MAESTRO!$J830,"")</f>
        <v/>
      </c>
      <c r="G831" t="str">
        <f>IF($A831&lt;&gt;"",MAESTRO!$D830,"")</f>
        <v/>
      </c>
      <c r="H831" t="str">
        <f>IF($A831&lt;&gt;"",IF(TRIM(MAESTRO!$G830&amp;" "&amp;MAESTRO!$H830&amp;" "&amp;MAESTRO!$I830)="",MAESTRO!$F830,TRIM(MAESTRO!$G830&amp;" "&amp;MAESTRO!$H830&amp;" "&amp;MAESTRO!$I830)),"")</f>
        <v/>
      </c>
      <c r="I831" t="str">
        <f>IF($A831&lt;&gt;"",MAESTRO!$K830,"")</f>
        <v/>
      </c>
      <c r="J831" t="str">
        <f>IF($A831&lt;&gt;"",831,"")</f>
        <v/>
      </c>
    </row>
    <row r="832" spans="1:10" x14ac:dyDescent="0.2">
      <c r="A832" t="str">
        <f>IF(AND(UPPER(MAESTRO!$M831)="VIP",UPPER(MAESTRO!$J831)="SI",MAESTRO!$F831&lt;&gt;""),MAESTRO!$P831,"")</f>
        <v/>
      </c>
      <c r="B832" t="str">
        <f>IF($A832&lt;&gt;"",MAESTRO!$B831,"")</f>
        <v/>
      </c>
      <c r="C832" t="str">
        <f>IF($A832&lt;&gt;"",MAESTRO!$A831,"")</f>
        <v/>
      </c>
      <c r="D832" t="str">
        <f>IF($A832&lt;&gt;"",MAESTRO!$C831,"")</f>
        <v/>
      </c>
      <c r="E832" t="str">
        <f>IF($A832&lt;&gt;"",MAESTRO!$M831,"")</f>
        <v/>
      </c>
      <c r="F832" t="str">
        <f>IF($A832&lt;&gt;"",MAESTRO!$J831,"")</f>
        <v/>
      </c>
      <c r="G832" t="str">
        <f>IF($A832&lt;&gt;"",MAESTRO!$D831,"")</f>
        <v/>
      </c>
      <c r="H832" t="str">
        <f>IF($A832&lt;&gt;"",IF(TRIM(MAESTRO!$G831&amp;" "&amp;MAESTRO!$H831&amp;" "&amp;MAESTRO!$I831)="",MAESTRO!$F831,TRIM(MAESTRO!$G831&amp;" "&amp;MAESTRO!$H831&amp;" "&amp;MAESTRO!$I831)),"")</f>
        <v/>
      </c>
      <c r="I832" t="str">
        <f>IF($A832&lt;&gt;"",MAESTRO!$K831,"")</f>
        <v/>
      </c>
      <c r="J832" t="str">
        <f>IF($A832&lt;&gt;"",832,"")</f>
        <v/>
      </c>
    </row>
    <row r="833" spans="1:10" x14ac:dyDescent="0.2">
      <c r="A833" t="str">
        <f>IF(AND(UPPER(MAESTRO!$M832)="VIP",UPPER(MAESTRO!$J832)="SI",MAESTRO!$F832&lt;&gt;""),MAESTRO!$P832,"")</f>
        <v/>
      </c>
      <c r="B833" t="str">
        <f>IF($A833&lt;&gt;"",MAESTRO!$B832,"")</f>
        <v/>
      </c>
      <c r="C833" t="str">
        <f>IF($A833&lt;&gt;"",MAESTRO!$A832,"")</f>
        <v/>
      </c>
      <c r="D833" t="str">
        <f>IF($A833&lt;&gt;"",MAESTRO!$C832,"")</f>
        <v/>
      </c>
      <c r="E833" t="str">
        <f>IF($A833&lt;&gt;"",MAESTRO!$M832,"")</f>
        <v/>
      </c>
      <c r="F833" t="str">
        <f>IF($A833&lt;&gt;"",MAESTRO!$J832,"")</f>
        <v/>
      </c>
      <c r="G833" t="str">
        <f>IF($A833&lt;&gt;"",MAESTRO!$D832,"")</f>
        <v/>
      </c>
      <c r="H833" t="str">
        <f>IF($A833&lt;&gt;"",IF(TRIM(MAESTRO!$G832&amp;" "&amp;MAESTRO!$H832&amp;" "&amp;MAESTRO!$I832)="",MAESTRO!$F832,TRIM(MAESTRO!$G832&amp;" "&amp;MAESTRO!$H832&amp;" "&amp;MAESTRO!$I832)),"")</f>
        <v/>
      </c>
      <c r="I833" t="str">
        <f>IF($A833&lt;&gt;"",MAESTRO!$K832,"")</f>
        <v/>
      </c>
      <c r="J833" t="str">
        <f>IF($A833&lt;&gt;"",833,"")</f>
        <v/>
      </c>
    </row>
    <row r="834" spans="1:10" x14ac:dyDescent="0.2">
      <c r="A834" t="str">
        <f>IF(AND(UPPER(MAESTRO!$M833)="VIP",UPPER(MAESTRO!$J833)="SI",MAESTRO!$F833&lt;&gt;""),MAESTRO!$P833,"")</f>
        <v/>
      </c>
      <c r="B834" t="str">
        <f>IF($A834&lt;&gt;"",MAESTRO!$B833,"")</f>
        <v/>
      </c>
      <c r="C834" t="str">
        <f>IF($A834&lt;&gt;"",MAESTRO!$A833,"")</f>
        <v/>
      </c>
      <c r="D834" t="str">
        <f>IF($A834&lt;&gt;"",MAESTRO!$C833,"")</f>
        <v/>
      </c>
      <c r="E834" t="str">
        <f>IF($A834&lt;&gt;"",MAESTRO!$M833,"")</f>
        <v/>
      </c>
      <c r="F834" t="str">
        <f>IF($A834&lt;&gt;"",MAESTRO!$J833,"")</f>
        <v/>
      </c>
      <c r="G834" t="str">
        <f>IF($A834&lt;&gt;"",MAESTRO!$D833,"")</f>
        <v/>
      </c>
      <c r="H834" t="str">
        <f>IF($A834&lt;&gt;"",IF(TRIM(MAESTRO!$G833&amp;" "&amp;MAESTRO!$H833&amp;" "&amp;MAESTRO!$I833)="",MAESTRO!$F833,TRIM(MAESTRO!$G833&amp;" "&amp;MAESTRO!$H833&amp;" "&amp;MAESTRO!$I833)),"")</f>
        <v/>
      </c>
      <c r="I834" t="str">
        <f>IF($A834&lt;&gt;"",MAESTRO!$K833,"")</f>
        <v/>
      </c>
      <c r="J834" t="str">
        <f>IF($A834&lt;&gt;"",834,"")</f>
        <v/>
      </c>
    </row>
    <row r="835" spans="1:10" x14ac:dyDescent="0.2">
      <c r="A835" t="str">
        <f>IF(AND(UPPER(MAESTRO!$M834)="VIP",UPPER(MAESTRO!$J834)="SI",MAESTRO!$F834&lt;&gt;""),MAESTRO!$P834,"")</f>
        <v/>
      </c>
      <c r="B835" t="str">
        <f>IF($A835&lt;&gt;"",MAESTRO!$B834,"")</f>
        <v/>
      </c>
      <c r="C835" t="str">
        <f>IF($A835&lt;&gt;"",MAESTRO!$A834,"")</f>
        <v/>
      </c>
      <c r="D835" t="str">
        <f>IF($A835&lt;&gt;"",MAESTRO!$C834,"")</f>
        <v/>
      </c>
      <c r="E835" t="str">
        <f>IF($A835&lt;&gt;"",MAESTRO!$M834,"")</f>
        <v/>
      </c>
      <c r="F835" t="str">
        <f>IF($A835&lt;&gt;"",MAESTRO!$J834,"")</f>
        <v/>
      </c>
      <c r="G835" t="str">
        <f>IF($A835&lt;&gt;"",MAESTRO!$D834,"")</f>
        <v/>
      </c>
      <c r="H835" t="str">
        <f>IF($A835&lt;&gt;"",IF(TRIM(MAESTRO!$G834&amp;" "&amp;MAESTRO!$H834&amp;" "&amp;MAESTRO!$I834)="",MAESTRO!$F834,TRIM(MAESTRO!$G834&amp;" "&amp;MAESTRO!$H834&amp;" "&amp;MAESTRO!$I834)),"")</f>
        <v/>
      </c>
      <c r="I835" t="str">
        <f>IF($A835&lt;&gt;"",MAESTRO!$K834,"")</f>
        <v/>
      </c>
      <c r="J835" t="str">
        <f>IF($A835&lt;&gt;"",835,"")</f>
        <v/>
      </c>
    </row>
    <row r="836" spans="1:10" x14ac:dyDescent="0.2">
      <c r="A836" t="str">
        <f>IF(AND(UPPER(MAESTRO!$M835)="VIP",UPPER(MAESTRO!$J835)="SI",MAESTRO!$F835&lt;&gt;""),MAESTRO!$P835,"")</f>
        <v/>
      </c>
      <c r="B836" t="str">
        <f>IF($A836&lt;&gt;"",MAESTRO!$B835,"")</f>
        <v/>
      </c>
      <c r="C836" t="str">
        <f>IF($A836&lt;&gt;"",MAESTRO!$A835,"")</f>
        <v/>
      </c>
      <c r="D836" t="str">
        <f>IF($A836&lt;&gt;"",MAESTRO!$C835,"")</f>
        <v/>
      </c>
      <c r="E836" t="str">
        <f>IF($A836&lt;&gt;"",MAESTRO!$M835,"")</f>
        <v/>
      </c>
      <c r="F836" t="str">
        <f>IF($A836&lt;&gt;"",MAESTRO!$J835,"")</f>
        <v/>
      </c>
      <c r="G836" t="str">
        <f>IF($A836&lt;&gt;"",MAESTRO!$D835,"")</f>
        <v/>
      </c>
      <c r="H836" t="str">
        <f>IF($A836&lt;&gt;"",IF(TRIM(MAESTRO!$G835&amp;" "&amp;MAESTRO!$H835&amp;" "&amp;MAESTRO!$I835)="",MAESTRO!$F835,TRIM(MAESTRO!$G835&amp;" "&amp;MAESTRO!$H835&amp;" "&amp;MAESTRO!$I835)),"")</f>
        <v/>
      </c>
      <c r="I836" t="str">
        <f>IF($A836&lt;&gt;"",MAESTRO!$K835,"")</f>
        <v/>
      </c>
      <c r="J836" t="str">
        <f>IF($A836&lt;&gt;"",836,"")</f>
        <v/>
      </c>
    </row>
    <row r="837" spans="1:10" x14ac:dyDescent="0.2">
      <c r="A837" t="str">
        <f>IF(AND(UPPER(MAESTRO!$M836)="VIP",UPPER(MAESTRO!$J836)="SI",MAESTRO!$F836&lt;&gt;""),MAESTRO!$P836,"")</f>
        <v/>
      </c>
      <c r="B837" t="str">
        <f>IF($A837&lt;&gt;"",MAESTRO!$B836,"")</f>
        <v/>
      </c>
      <c r="C837" t="str">
        <f>IF($A837&lt;&gt;"",MAESTRO!$A836,"")</f>
        <v/>
      </c>
      <c r="D837" t="str">
        <f>IF($A837&lt;&gt;"",MAESTRO!$C836,"")</f>
        <v/>
      </c>
      <c r="E837" t="str">
        <f>IF($A837&lt;&gt;"",MAESTRO!$M836,"")</f>
        <v/>
      </c>
      <c r="F837" t="str">
        <f>IF($A837&lt;&gt;"",MAESTRO!$J836,"")</f>
        <v/>
      </c>
      <c r="G837" t="str">
        <f>IF($A837&lt;&gt;"",MAESTRO!$D836,"")</f>
        <v/>
      </c>
      <c r="H837" t="str">
        <f>IF($A837&lt;&gt;"",IF(TRIM(MAESTRO!$G836&amp;" "&amp;MAESTRO!$H836&amp;" "&amp;MAESTRO!$I836)="",MAESTRO!$F836,TRIM(MAESTRO!$G836&amp;" "&amp;MAESTRO!$H836&amp;" "&amp;MAESTRO!$I836)),"")</f>
        <v/>
      </c>
      <c r="I837" t="str">
        <f>IF($A837&lt;&gt;"",MAESTRO!$K836,"")</f>
        <v/>
      </c>
      <c r="J837" t="str">
        <f>IF($A837&lt;&gt;"",837,"")</f>
        <v/>
      </c>
    </row>
    <row r="838" spans="1:10" x14ac:dyDescent="0.2">
      <c r="A838" t="str">
        <f>IF(AND(UPPER(MAESTRO!$M837)="VIP",UPPER(MAESTRO!$J837)="SI",MAESTRO!$F837&lt;&gt;""),MAESTRO!$P837,"")</f>
        <v/>
      </c>
      <c r="B838" t="str">
        <f>IF($A838&lt;&gt;"",MAESTRO!$B837,"")</f>
        <v/>
      </c>
      <c r="C838" t="str">
        <f>IF($A838&lt;&gt;"",MAESTRO!$A837,"")</f>
        <v/>
      </c>
      <c r="D838" t="str">
        <f>IF($A838&lt;&gt;"",MAESTRO!$C837,"")</f>
        <v/>
      </c>
      <c r="E838" t="str">
        <f>IF($A838&lt;&gt;"",MAESTRO!$M837,"")</f>
        <v/>
      </c>
      <c r="F838" t="str">
        <f>IF($A838&lt;&gt;"",MAESTRO!$J837,"")</f>
        <v/>
      </c>
      <c r="G838" t="str">
        <f>IF($A838&lt;&gt;"",MAESTRO!$D837,"")</f>
        <v/>
      </c>
      <c r="H838" t="str">
        <f>IF($A838&lt;&gt;"",IF(TRIM(MAESTRO!$G837&amp;" "&amp;MAESTRO!$H837&amp;" "&amp;MAESTRO!$I837)="",MAESTRO!$F837,TRIM(MAESTRO!$G837&amp;" "&amp;MAESTRO!$H837&amp;" "&amp;MAESTRO!$I837)),"")</f>
        <v/>
      </c>
      <c r="I838" t="str">
        <f>IF($A838&lt;&gt;"",MAESTRO!$K837,"")</f>
        <v/>
      </c>
      <c r="J838" t="str">
        <f>IF($A838&lt;&gt;"",838,"")</f>
        <v/>
      </c>
    </row>
    <row r="839" spans="1:10" x14ac:dyDescent="0.2">
      <c r="A839" t="str">
        <f>IF(AND(UPPER(MAESTRO!$M838)="VIP",UPPER(MAESTRO!$J838)="SI",MAESTRO!$F838&lt;&gt;""),MAESTRO!$P838,"")</f>
        <v/>
      </c>
      <c r="B839" t="str">
        <f>IF($A839&lt;&gt;"",MAESTRO!$B838,"")</f>
        <v/>
      </c>
      <c r="C839" t="str">
        <f>IF($A839&lt;&gt;"",MAESTRO!$A838,"")</f>
        <v/>
      </c>
      <c r="D839" t="str">
        <f>IF($A839&lt;&gt;"",MAESTRO!$C838,"")</f>
        <v/>
      </c>
      <c r="E839" t="str">
        <f>IF($A839&lt;&gt;"",MAESTRO!$M838,"")</f>
        <v/>
      </c>
      <c r="F839" t="str">
        <f>IF($A839&lt;&gt;"",MAESTRO!$J838,"")</f>
        <v/>
      </c>
      <c r="G839" t="str">
        <f>IF($A839&lt;&gt;"",MAESTRO!$D838,"")</f>
        <v/>
      </c>
      <c r="H839" t="str">
        <f>IF($A839&lt;&gt;"",IF(TRIM(MAESTRO!$G838&amp;" "&amp;MAESTRO!$H838&amp;" "&amp;MAESTRO!$I838)="",MAESTRO!$F838,TRIM(MAESTRO!$G838&amp;" "&amp;MAESTRO!$H838&amp;" "&amp;MAESTRO!$I838)),"")</f>
        <v/>
      </c>
      <c r="I839" t="str">
        <f>IF($A839&lt;&gt;"",MAESTRO!$K838,"")</f>
        <v/>
      </c>
      <c r="J839" t="str">
        <f>IF($A839&lt;&gt;"",839,"")</f>
        <v/>
      </c>
    </row>
    <row r="840" spans="1:10" x14ac:dyDescent="0.2">
      <c r="A840" t="str">
        <f>IF(AND(UPPER(MAESTRO!$M839)="VIP",UPPER(MAESTRO!$J839)="SI",MAESTRO!$F839&lt;&gt;""),MAESTRO!$P839,"")</f>
        <v/>
      </c>
      <c r="B840" t="str">
        <f>IF($A840&lt;&gt;"",MAESTRO!$B839,"")</f>
        <v/>
      </c>
      <c r="C840" t="str">
        <f>IF($A840&lt;&gt;"",MAESTRO!$A839,"")</f>
        <v/>
      </c>
      <c r="D840" t="str">
        <f>IF($A840&lt;&gt;"",MAESTRO!$C839,"")</f>
        <v/>
      </c>
      <c r="E840" t="str">
        <f>IF($A840&lt;&gt;"",MAESTRO!$M839,"")</f>
        <v/>
      </c>
      <c r="F840" t="str">
        <f>IF($A840&lt;&gt;"",MAESTRO!$J839,"")</f>
        <v/>
      </c>
      <c r="G840" t="str">
        <f>IF($A840&lt;&gt;"",MAESTRO!$D839,"")</f>
        <v/>
      </c>
      <c r="H840" t="str">
        <f>IF($A840&lt;&gt;"",IF(TRIM(MAESTRO!$G839&amp;" "&amp;MAESTRO!$H839&amp;" "&amp;MAESTRO!$I839)="",MAESTRO!$F839,TRIM(MAESTRO!$G839&amp;" "&amp;MAESTRO!$H839&amp;" "&amp;MAESTRO!$I839)),"")</f>
        <v/>
      </c>
      <c r="I840" t="str">
        <f>IF($A840&lt;&gt;"",MAESTRO!$K839,"")</f>
        <v/>
      </c>
      <c r="J840" t="str">
        <f>IF($A840&lt;&gt;"",840,"")</f>
        <v/>
      </c>
    </row>
    <row r="841" spans="1:10" x14ac:dyDescent="0.2">
      <c r="A841" t="str">
        <f>IF(AND(UPPER(MAESTRO!$M840)="VIP",UPPER(MAESTRO!$J840)="SI",MAESTRO!$F840&lt;&gt;""),MAESTRO!$P840,"")</f>
        <v/>
      </c>
      <c r="B841" t="str">
        <f>IF($A841&lt;&gt;"",MAESTRO!$B840,"")</f>
        <v/>
      </c>
      <c r="C841" t="str">
        <f>IF($A841&lt;&gt;"",MAESTRO!$A840,"")</f>
        <v/>
      </c>
      <c r="D841" t="str">
        <f>IF($A841&lt;&gt;"",MAESTRO!$C840,"")</f>
        <v/>
      </c>
      <c r="E841" t="str">
        <f>IF($A841&lt;&gt;"",MAESTRO!$M840,"")</f>
        <v/>
      </c>
      <c r="F841" t="str">
        <f>IF($A841&lt;&gt;"",MAESTRO!$J840,"")</f>
        <v/>
      </c>
      <c r="G841" t="str">
        <f>IF($A841&lt;&gt;"",MAESTRO!$D840,"")</f>
        <v/>
      </c>
      <c r="H841" t="str">
        <f>IF($A841&lt;&gt;"",IF(TRIM(MAESTRO!$G840&amp;" "&amp;MAESTRO!$H840&amp;" "&amp;MAESTRO!$I840)="",MAESTRO!$F840,TRIM(MAESTRO!$G840&amp;" "&amp;MAESTRO!$H840&amp;" "&amp;MAESTRO!$I840)),"")</f>
        <v/>
      </c>
      <c r="I841" t="str">
        <f>IF($A841&lt;&gt;"",MAESTRO!$K840,"")</f>
        <v/>
      </c>
      <c r="J841" t="str">
        <f>IF($A841&lt;&gt;"",841,"")</f>
        <v/>
      </c>
    </row>
    <row r="842" spans="1:10" x14ac:dyDescent="0.2">
      <c r="A842" t="str">
        <f>IF(AND(UPPER(MAESTRO!$M841)="VIP",UPPER(MAESTRO!$J841)="SI",MAESTRO!$F841&lt;&gt;""),MAESTRO!$P841,"")</f>
        <v/>
      </c>
      <c r="B842" t="str">
        <f>IF($A842&lt;&gt;"",MAESTRO!$B841,"")</f>
        <v/>
      </c>
      <c r="C842" t="str">
        <f>IF($A842&lt;&gt;"",MAESTRO!$A841,"")</f>
        <v/>
      </c>
      <c r="D842" t="str">
        <f>IF($A842&lt;&gt;"",MAESTRO!$C841,"")</f>
        <v/>
      </c>
      <c r="E842" t="str">
        <f>IF($A842&lt;&gt;"",MAESTRO!$M841,"")</f>
        <v/>
      </c>
      <c r="F842" t="str">
        <f>IF($A842&lt;&gt;"",MAESTRO!$J841,"")</f>
        <v/>
      </c>
      <c r="G842" t="str">
        <f>IF($A842&lt;&gt;"",MAESTRO!$D841,"")</f>
        <v/>
      </c>
      <c r="H842" t="str">
        <f>IF($A842&lt;&gt;"",IF(TRIM(MAESTRO!$G841&amp;" "&amp;MAESTRO!$H841&amp;" "&amp;MAESTRO!$I841)="",MAESTRO!$F841,TRIM(MAESTRO!$G841&amp;" "&amp;MAESTRO!$H841&amp;" "&amp;MAESTRO!$I841)),"")</f>
        <v/>
      </c>
      <c r="I842" t="str">
        <f>IF($A842&lt;&gt;"",MAESTRO!$K841,"")</f>
        <v/>
      </c>
      <c r="J842" t="str">
        <f>IF($A842&lt;&gt;"",842,"")</f>
        <v/>
      </c>
    </row>
    <row r="843" spans="1:10" x14ac:dyDescent="0.2">
      <c r="A843" t="str">
        <f>IF(AND(UPPER(MAESTRO!$M842)="VIP",UPPER(MAESTRO!$J842)="SI",MAESTRO!$F842&lt;&gt;""),MAESTRO!$P842,"")</f>
        <v/>
      </c>
      <c r="B843" t="str">
        <f>IF($A843&lt;&gt;"",MAESTRO!$B842,"")</f>
        <v/>
      </c>
      <c r="C843" t="str">
        <f>IF($A843&lt;&gt;"",MAESTRO!$A842,"")</f>
        <v/>
      </c>
      <c r="D843" t="str">
        <f>IF($A843&lt;&gt;"",MAESTRO!$C842,"")</f>
        <v/>
      </c>
      <c r="E843" t="str">
        <f>IF($A843&lt;&gt;"",MAESTRO!$M842,"")</f>
        <v/>
      </c>
      <c r="F843" t="str">
        <f>IF($A843&lt;&gt;"",MAESTRO!$J842,"")</f>
        <v/>
      </c>
      <c r="G843" t="str">
        <f>IF($A843&lt;&gt;"",MAESTRO!$D842,"")</f>
        <v/>
      </c>
      <c r="H843" t="str">
        <f>IF($A843&lt;&gt;"",IF(TRIM(MAESTRO!$G842&amp;" "&amp;MAESTRO!$H842&amp;" "&amp;MAESTRO!$I842)="",MAESTRO!$F842,TRIM(MAESTRO!$G842&amp;" "&amp;MAESTRO!$H842&amp;" "&amp;MAESTRO!$I842)),"")</f>
        <v/>
      </c>
      <c r="I843" t="str">
        <f>IF($A843&lt;&gt;"",MAESTRO!$K842,"")</f>
        <v/>
      </c>
      <c r="J843" t="str">
        <f>IF($A843&lt;&gt;"",843,"")</f>
        <v/>
      </c>
    </row>
    <row r="844" spans="1:10" x14ac:dyDescent="0.2">
      <c r="A844" t="str">
        <f>IF(AND(UPPER(MAESTRO!$M843)="VIP",UPPER(MAESTRO!$J843)="SI",MAESTRO!$F843&lt;&gt;""),MAESTRO!$P843,"")</f>
        <v/>
      </c>
      <c r="B844" t="str">
        <f>IF($A844&lt;&gt;"",MAESTRO!$B843,"")</f>
        <v/>
      </c>
      <c r="C844" t="str">
        <f>IF($A844&lt;&gt;"",MAESTRO!$A843,"")</f>
        <v/>
      </c>
      <c r="D844" t="str">
        <f>IF($A844&lt;&gt;"",MAESTRO!$C843,"")</f>
        <v/>
      </c>
      <c r="E844" t="str">
        <f>IF($A844&lt;&gt;"",MAESTRO!$M843,"")</f>
        <v/>
      </c>
      <c r="F844" t="str">
        <f>IF($A844&lt;&gt;"",MAESTRO!$J843,"")</f>
        <v/>
      </c>
      <c r="G844" t="str">
        <f>IF($A844&lt;&gt;"",MAESTRO!$D843,"")</f>
        <v/>
      </c>
      <c r="H844" t="str">
        <f>IF($A844&lt;&gt;"",IF(TRIM(MAESTRO!$G843&amp;" "&amp;MAESTRO!$H843&amp;" "&amp;MAESTRO!$I843)="",MAESTRO!$F843,TRIM(MAESTRO!$G843&amp;" "&amp;MAESTRO!$H843&amp;" "&amp;MAESTRO!$I843)),"")</f>
        <v/>
      </c>
      <c r="I844" t="str">
        <f>IF($A844&lt;&gt;"",MAESTRO!$K843,"")</f>
        <v/>
      </c>
      <c r="J844" t="str">
        <f>IF($A844&lt;&gt;"",844,"")</f>
        <v/>
      </c>
    </row>
    <row r="845" spans="1:10" x14ac:dyDescent="0.2">
      <c r="A845" t="str">
        <f>IF(AND(UPPER(MAESTRO!$M844)="VIP",UPPER(MAESTRO!$J844)="SI",MAESTRO!$F844&lt;&gt;""),MAESTRO!$P844,"")</f>
        <v/>
      </c>
      <c r="B845" t="str">
        <f>IF($A845&lt;&gt;"",MAESTRO!$B844,"")</f>
        <v/>
      </c>
      <c r="C845" t="str">
        <f>IF($A845&lt;&gt;"",MAESTRO!$A844,"")</f>
        <v/>
      </c>
      <c r="D845" t="str">
        <f>IF($A845&lt;&gt;"",MAESTRO!$C844,"")</f>
        <v/>
      </c>
      <c r="E845" t="str">
        <f>IF($A845&lt;&gt;"",MAESTRO!$M844,"")</f>
        <v/>
      </c>
      <c r="F845" t="str">
        <f>IF($A845&lt;&gt;"",MAESTRO!$J844,"")</f>
        <v/>
      </c>
      <c r="G845" t="str">
        <f>IF($A845&lt;&gt;"",MAESTRO!$D844,"")</f>
        <v/>
      </c>
      <c r="H845" t="str">
        <f>IF($A845&lt;&gt;"",IF(TRIM(MAESTRO!$G844&amp;" "&amp;MAESTRO!$H844&amp;" "&amp;MAESTRO!$I844)="",MAESTRO!$F844,TRIM(MAESTRO!$G844&amp;" "&amp;MAESTRO!$H844&amp;" "&amp;MAESTRO!$I844)),"")</f>
        <v/>
      </c>
      <c r="I845" t="str">
        <f>IF($A845&lt;&gt;"",MAESTRO!$K844,"")</f>
        <v/>
      </c>
      <c r="J845" t="str">
        <f>IF($A845&lt;&gt;"",845,"")</f>
        <v/>
      </c>
    </row>
    <row r="846" spans="1:10" x14ac:dyDescent="0.2">
      <c r="A846" t="str">
        <f>IF(AND(UPPER(MAESTRO!$M845)="VIP",UPPER(MAESTRO!$J845)="SI",MAESTRO!$F845&lt;&gt;""),MAESTRO!$P845,"")</f>
        <v/>
      </c>
      <c r="B846" t="str">
        <f>IF($A846&lt;&gt;"",MAESTRO!$B845,"")</f>
        <v/>
      </c>
      <c r="C846" t="str">
        <f>IF($A846&lt;&gt;"",MAESTRO!$A845,"")</f>
        <v/>
      </c>
      <c r="D846" t="str">
        <f>IF($A846&lt;&gt;"",MAESTRO!$C845,"")</f>
        <v/>
      </c>
      <c r="E846" t="str">
        <f>IF($A846&lt;&gt;"",MAESTRO!$M845,"")</f>
        <v/>
      </c>
      <c r="F846" t="str">
        <f>IF($A846&lt;&gt;"",MAESTRO!$J845,"")</f>
        <v/>
      </c>
      <c r="G846" t="str">
        <f>IF($A846&lt;&gt;"",MAESTRO!$D845,"")</f>
        <v/>
      </c>
      <c r="H846" t="str">
        <f>IF($A846&lt;&gt;"",IF(TRIM(MAESTRO!$G845&amp;" "&amp;MAESTRO!$H845&amp;" "&amp;MAESTRO!$I845)="",MAESTRO!$F845,TRIM(MAESTRO!$G845&amp;" "&amp;MAESTRO!$H845&amp;" "&amp;MAESTRO!$I845)),"")</f>
        <v/>
      </c>
      <c r="I846" t="str">
        <f>IF($A846&lt;&gt;"",MAESTRO!$K845,"")</f>
        <v/>
      </c>
      <c r="J846" t="str">
        <f>IF($A846&lt;&gt;"",846,"")</f>
        <v/>
      </c>
    </row>
    <row r="847" spans="1:10" x14ac:dyDescent="0.2">
      <c r="A847" t="str">
        <f>IF(AND(UPPER(MAESTRO!$M846)="VIP",UPPER(MAESTRO!$J846)="SI",MAESTRO!$F846&lt;&gt;""),MAESTRO!$P846,"")</f>
        <v/>
      </c>
      <c r="B847" t="str">
        <f>IF($A847&lt;&gt;"",MAESTRO!$B846,"")</f>
        <v/>
      </c>
      <c r="C847" t="str">
        <f>IF($A847&lt;&gt;"",MAESTRO!$A846,"")</f>
        <v/>
      </c>
      <c r="D847" t="str">
        <f>IF($A847&lt;&gt;"",MAESTRO!$C846,"")</f>
        <v/>
      </c>
      <c r="E847" t="str">
        <f>IF($A847&lt;&gt;"",MAESTRO!$M846,"")</f>
        <v/>
      </c>
      <c r="F847" t="str">
        <f>IF($A847&lt;&gt;"",MAESTRO!$J846,"")</f>
        <v/>
      </c>
      <c r="G847" t="str">
        <f>IF($A847&lt;&gt;"",MAESTRO!$D846,"")</f>
        <v/>
      </c>
      <c r="H847" t="str">
        <f>IF($A847&lt;&gt;"",IF(TRIM(MAESTRO!$G846&amp;" "&amp;MAESTRO!$H846&amp;" "&amp;MAESTRO!$I846)="",MAESTRO!$F846,TRIM(MAESTRO!$G846&amp;" "&amp;MAESTRO!$H846&amp;" "&amp;MAESTRO!$I846)),"")</f>
        <v/>
      </c>
      <c r="I847" t="str">
        <f>IF($A847&lt;&gt;"",MAESTRO!$K846,"")</f>
        <v/>
      </c>
      <c r="J847" t="str">
        <f>IF($A847&lt;&gt;"",847,"")</f>
        <v/>
      </c>
    </row>
    <row r="848" spans="1:10" x14ac:dyDescent="0.2">
      <c r="A848" t="str">
        <f>IF(AND(UPPER(MAESTRO!$M847)="VIP",UPPER(MAESTRO!$J847)="SI",MAESTRO!$F847&lt;&gt;""),MAESTRO!$P847,"")</f>
        <v/>
      </c>
      <c r="B848" t="str">
        <f>IF($A848&lt;&gt;"",MAESTRO!$B847,"")</f>
        <v/>
      </c>
      <c r="C848" t="str">
        <f>IF($A848&lt;&gt;"",MAESTRO!$A847,"")</f>
        <v/>
      </c>
      <c r="D848" t="str">
        <f>IF($A848&lt;&gt;"",MAESTRO!$C847,"")</f>
        <v/>
      </c>
      <c r="E848" t="str">
        <f>IF($A848&lt;&gt;"",MAESTRO!$M847,"")</f>
        <v/>
      </c>
      <c r="F848" t="str">
        <f>IF($A848&lt;&gt;"",MAESTRO!$J847,"")</f>
        <v/>
      </c>
      <c r="G848" t="str">
        <f>IF($A848&lt;&gt;"",MAESTRO!$D847,"")</f>
        <v/>
      </c>
      <c r="H848" t="str">
        <f>IF($A848&lt;&gt;"",IF(TRIM(MAESTRO!$G847&amp;" "&amp;MAESTRO!$H847&amp;" "&amp;MAESTRO!$I847)="",MAESTRO!$F847,TRIM(MAESTRO!$G847&amp;" "&amp;MAESTRO!$H847&amp;" "&amp;MAESTRO!$I847)),"")</f>
        <v/>
      </c>
      <c r="I848" t="str">
        <f>IF($A848&lt;&gt;"",MAESTRO!$K847,"")</f>
        <v/>
      </c>
      <c r="J848" t="str">
        <f>IF($A848&lt;&gt;"",848,"")</f>
        <v/>
      </c>
    </row>
    <row r="849" spans="1:10" x14ac:dyDescent="0.2">
      <c r="A849" t="str">
        <f>IF(AND(UPPER(MAESTRO!$M848)="VIP",UPPER(MAESTRO!$J848)="SI",MAESTRO!$F848&lt;&gt;""),MAESTRO!$P848,"")</f>
        <v/>
      </c>
      <c r="B849" t="str">
        <f>IF($A849&lt;&gt;"",MAESTRO!$B848,"")</f>
        <v/>
      </c>
      <c r="C849" t="str">
        <f>IF($A849&lt;&gt;"",MAESTRO!$A848,"")</f>
        <v/>
      </c>
      <c r="D849" t="str">
        <f>IF($A849&lt;&gt;"",MAESTRO!$C848,"")</f>
        <v/>
      </c>
      <c r="E849" t="str">
        <f>IF($A849&lt;&gt;"",MAESTRO!$M848,"")</f>
        <v/>
      </c>
      <c r="F849" t="str">
        <f>IF($A849&lt;&gt;"",MAESTRO!$J848,"")</f>
        <v/>
      </c>
      <c r="G849" t="str">
        <f>IF($A849&lt;&gt;"",MAESTRO!$D848,"")</f>
        <v/>
      </c>
      <c r="H849" t="str">
        <f>IF($A849&lt;&gt;"",IF(TRIM(MAESTRO!$G848&amp;" "&amp;MAESTRO!$H848&amp;" "&amp;MAESTRO!$I848)="",MAESTRO!$F848,TRIM(MAESTRO!$G848&amp;" "&amp;MAESTRO!$H848&amp;" "&amp;MAESTRO!$I848)),"")</f>
        <v/>
      </c>
      <c r="I849" t="str">
        <f>IF($A849&lt;&gt;"",MAESTRO!$K848,"")</f>
        <v/>
      </c>
      <c r="J849" t="str">
        <f>IF($A849&lt;&gt;"",849,"")</f>
        <v/>
      </c>
    </row>
    <row r="850" spans="1:10" x14ac:dyDescent="0.2">
      <c r="A850" t="str">
        <f>IF(AND(UPPER(MAESTRO!$M849)="VIP",UPPER(MAESTRO!$J849)="SI",MAESTRO!$F849&lt;&gt;""),MAESTRO!$P849,"")</f>
        <v/>
      </c>
      <c r="B850" t="str">
        <f>IF($A850&lt;&gt;"",MAESTRO!$B849,"")</f>
        <v/>
      </c>
      <c r="C850" t="str">
        <f>IF($A850&lt;&gt;"",MAESTRO!$A849,"")</f>
        <v/>
      </c>
      <c r="D850" t="str">
        <f>IF($A850&lt;&gt;"",MAESTRO!$C849,"")</f>
        <v/>
      </c>
      <c r="E850" t="str">
        <f>IF($A850&lt;&gt;"",MAESTRO!$M849,"")</f>
        <v/>
      </c>
      <c r="F850" t="str">
        <f>IF($A850&lt;&gt;"",MAESTRO!$J849,"")</f>
        <v/>
      </c>
      <c r="G850" t="str">
        <f>IF($A850&lt;&gt;"",MAESTRO!$D849,"")</f>
        <v/>
      </c>
      <c r="H850" t="str">
        <f>IF($A850&lt;&gt;"",IF(TRIM(MAESTRO!$G849&amp;" "&amp;MAESTRO!$H849&amp;" "&amp;MAESTRO!$I849)="",MAESTRO!$F849,TRIM(MAESTRO!$G849&amp;" "&amp;MAESTRO!$H849&amp;" "&amp;MAESTRO!$I849)),"")</f>
        <v/>
      </c>
      <c r="I850" t="str">
        <f>IF($A850&lt;&gt;"",MAESTRO!$K849,"")</f>
        <v/>
      </c>
      <c r="J850" t="str">
        <f>IF($A850&lt;&gt;"",850,"")</f>
        <v/>
      </c>
    </row>
    <row r="851" spans="1:10" x14ac:dyDescent="0.2">
      <c r="A851" t="str">
        <f>IF(AND(UPPER(MAESTRO!$M850)="VIP",UPPER(MAESTRO!$J850)="SI",MAESTRO!$F850&lt;&gt;""),MAESTRO!$P850,"")</f>
        <v/>
      </c>
      <c r="B851" t="str">
        <f>IF($A851&lt;&gt;"",MAESTRO!$B850,"")</f>
        <v/>
      </c>
      <c r="C851" t="str">
        <f>IF($A851&lt;&gt;"",MAESTRO!$A850,"")</f>
        <v/>
      </c>
      <c r="D851" t="str">
        <f>IF($A851&lt;&gt;"",MAESTRO!$C850,"")</f>
        <v/>
      </c>
      <c r="E851" t="str">
        <f>IF($A851&lt;&gt;"",MAESTRO!$M850,"")</f>
        <v/>
      </c>
      <c r="F851" t="str">
        <f>IF($A851&lt;&gt;"",MAESTRO!$J850,"")</f>
        <v/>
      </c>
      <c r="G851" t="str">
        <f>IF($A851&lt;&gt;"",MAESTRO!$D850,"")</f>
        <v/>
      </c>
      <c r="H851" t="str">
        <f>IF($A851&lt;&gt;"",IF(TRIM(MAESTRO!$G850&amp;" "&amp;MAESTRO!$H850&amp;" "&amp;MAESTRO!$I850)="",MAESTRO!$F850,TRIM(MAESTRO!$G850&amp;" "&amp;MAESTRO!$H850&amp;" "&amp;MAESTRO!$I850)),"")</f>
        <v/>
      </c>
      <c r="I851" t="str">
        <f>IF($A851&lt;&gt;"",MAESTRO!$K850,"")</f>
        <v/>
      </c>
      <c r="J851" t="str">
        <f>IF($A851&lt;&gt;"",851,"")</f>
        <v/>
      </c>
    </row>
    <row r="852" spans="1:10" x14ac:dyDescent="0.2">
      <c r="A852" t="str">
        <f>IF(AND(UPPER(MAESTRO!$M851)="VIP",UPPER(MAESTRO!$J851)="SI",MAESTRO!$F851&lt;&gt;""),MAESTRO!$P851,"")</f>
        <v/>
      </c>
      <c r="B852" t="str">
        <f>IF($A852&lt;&gt;"",MAESTRO!$B851,"")</f>
        <v/>
      </c>
      <c r="C852" t="str">
        <f>IF($A852&lt;&gt;"",MAESTRO!$A851,"")</f>
        <v/>
      </c>
      <c r="D852" t="str">
        <f>IF($A852&lt;&gt;"",MAESTRO!$C851,"")</f>
        <v/>
      </c>
      <c r="E852" t="str">
        <f>IF($A852&lt;&gt;"",MAESTRO!$M851,"")</f>
        <v/>
      </c>
      <c r="F852" t="str">
        <f>IF($A852&lt;&gt;"",MAESTRO!$J851,"")</f>
        <v/>
      </c>
      <c r="G852" t="str">
        <f>IF($A852&lt;&gt;"",MAESTRO!$D851,"")</f>
        <v/>
      </c>
      <c r="H852" t="str">
        <f>IF($A852&lt;&gt;"",IF(TRIM(MAESTRO!$G851&amp;" "&amp;MAESTRO!$H851&amp;" "&amp;MAESTRO!$I851)="",MAESTRO!$F851,TRIM(MAESTRO!$G851&amp;" "&amp;MAESTRO!$H851&amp;" "&amp;MAESTRO!$I851)),"")</f>
        <v/>
      </c>
      <c r="I852" t="str">
        <f>IF($A852&lt;&gt;"",MAESTRO!$K851,"")</f>
        <v/>
      </c>
      <c r="J852" t="str">
        <f>IF($A852&lt;&gt;"",852,"")</f>
        <v/>
      </c>
    </row>
    <row r="853" spans="1:10" x14ac:dyDescent="0.2">
      <c r="A853" t="str">
        <f>IF(AND(UPPER(MAESTRO!$M852)="VIP",UPPER(MAESTRO!$J852)="SI",MAESTRO!$F852&lt;&gt;""),MAESTRO!$P852,"")</f>
        <v/>
      </c>
      <c r="B853" t="str">
        <f>IF($A853&lt;&gt;"",MAESTRO!$B852,"")</f>
        <v/>
      </c>
      <c r="C853" t="str">
        <f>IF($A853&lt;&gt;"",MAESTRO!$A852,"")</f>
        <v/>
      </c>
      <c r="D853" t="str">
        <f>IF($A853&lt;&gt;"",MAESTRO!$C852,"")</f>
        <v/>
      </c>
      <c r="E853" t="str">
        <f>IF($A853&lt;&gt;"",MAESTRO!$M852,"")</f>
        <v/>
      </c>
      <c r="F853" t="str">
        <f>IF($A853&lt;&gt;"",MAESTRO!$J852,"")</f>
        <v/>
      </c>
      <c r="G853" t="str">
        <f>IF($A853&lt;&gt;"",MAESTRO!$D852,"")</f>
        <v/>
      </c>
      <c r="H853" t="str">
        <f>IF($A853&lt;&gt;"",IF(TRIM(MAESTRO!$G852&amp;" "&amp;MAESTRO!$H852&amp;" "&amp;MAESTRO!$I852)="",MAESTRO!$F852,TRIM(MAESTRO!$G852&amp;" "&amp;MAESTRO!$H852&amp;" "&amp;MAESTRO!$I852)),"")</f>
        <v/>
      </c>
      <c r="I853" t="str">
        <f>IF($A853&lt;&gt;"",MAESTRO!$K852,"")</f>
        <v/>
      </c>
      <c r="J853" t="str">
        <f>IF($A853&lt;&gt;"",853,"")</f>
        <v/>
      </c>
    </row>
    <row r="854" spans="1:10" x14ac:dyDescent="0.2">
      <c r="A854" t="str">
        <f>IF(AND(UPPER(MAESTRO!$M853)="VIP",UPPER(MAESTRO!$J853)="SI",MAESTRO!$F853&lt;&gt;""),MAESTRO!$P853,"")</f>
        <v/>
      </c>
      <c r="B854" t="str">
        <f>IF($A854&lt;&gt;"",MAESTRO!$B853,"")</f>
        <v/>
      </c>
      <c r="C854" t="str">
        <f>IF($A854&lt;&gt;"",MAESTRO!$A853,"")</f>
        <v/>
      </c>
      <c r="D854" t="str">
        <f>IF($A854&lt;&gt;"",MAESTRO!$C853,"")</f>
        <v/>
      </c>
      <c r="E854" t="str">
        <f>IF($A854&lt;&gt;"",MAESTRO!$M853,"")</f>
        <v/>
      </c>
      <c r="F854" t="str">
        <f>IF($A854&lt;&gt;"",MAESTRO!$J853,"")</f>
        <v/>
      </c>
      <c r="G854" t="str">
        <f>IF($A854&lt;&gt;"",MAESTRO!$D853,"")</f>
        <v/>
      </c>
      <c r="H854" t="str">
        <f>IF($A854&lt;&gt;"",IF(TRIM(MAESTRO!$G853&amp;" "&amp;MAESTRO!$H853&amp;" "&amp;MAESTRO!$I853)="",MAESTRO!$F853,TRIM(MAESTRO!$G853&amp;" "&amp;MAESTRO!$H853&amp;" "&amp;MAESTRO!$I853)),"")</f>
        <v/>
      </c>
      <c r="I854" t="str">
        <f>IF($A854&lt;&gt;"",MAESTRO!$K853,"")</f>
        <v/>
      </c>
      <c r="J854" t="str">
        <f>IF($A854&lt;&gt;"",854,"")</f>
        <v/>
      </c>
    </row>
    <row r="855" spans="1:10" x14ac:dyDescent="0.2">
      <c r="A855" t="str">
        <f>IF(AND(UPPER(MAESTRO!$M854)="VIP",UPPER(MAESTRO!$J854)="SI",MAESTRO!$F854&lt;&gt;""),MAESTRO!$P854,"")</f>
        <v/>
      </c>
      <c r="B855" t="str">
        <f>IF($A855&lt;&gt;"",MAESTRO!$B854,"")</f>
        <v/>
      </c>
      <c r="C855" t="str">
        <f>IF($A855&lt;&gt;"",MAESTRO!$A854,"")</f>
        <v/>
      </c>
      <c r="D855" t="str">
        <f>IF($A855&lt;&gt;"",MAESTRO!$C854,"")</f>
        <v/>
      </c>
      <c r="E855" t="str">
        <f>IF($A855&lt;&gt;"",MAESTRO!$M854,"")</f>
        <v/>
      </c>
      <c r="F855" t="str">
        <f>IF($A855&lt;&gt;"",MAESTRO!$J854,"")</f>
        <v/>
      </c>
      <c r="G855" t="str">
        <f>IF($A855&lt;&gt;"",MAESTRO!$D854,"")</f>
        <v/>
      </c>
      <c r="H855" t="str">
        <f>IF($A855&lt;&gt;"",IF(TRIM(MAESTRO!$G854&amp;" "&amp;MAESTRO!$H854&amp;" "&amp;MAESTRO!$I854)="",MAESTRO!$F854,TRIM(MAESTRO!$G854&amp;" "&amp;MAESTRO!$H854&amp;" "&amp;MAESTRO!$I854)),"")</f>
        <v/>
      </c>
      <c r="I855" t="str">
        <f>IF($A855&lt;&gt;"",MAESTRO!$K854,"")</f>
        <v/>
      </c>
      <c r="J855" t="str">
        <f>IF($A855&lt;&gt;"",855,"")</f>
        <v/>
      </c>
    </row>
    <row r="856" spans="1:10" x14ac:dyDescent="0.2">
      <c r="A856" t="str">
        <f>IF(AND(UPPER(MAESTRO!$M855)="VIP",UPPER(MAESTRO!$J855)="SI",MAESTRO!$F855&lt;&gt;""),MAESTRO!$P855,"")</f>
        <v/>
      </c>
      <c r="B856" t="str">
        <f>IF($A856&lt;&gt;"",MAESTRO!$B855,"")</f>
        <v/>
      </c>
      <c r="C856" t="str">
        <f>IF($A856&lt;&gt;"",MAESTRO!$A855,"")</f>
        <v/>
      </c>
      <c r="D856" t="str">
        <f>IF($A856&lt;&gt;"",MAESTRO!$C855,"")</f>
        <v/>
      </c>
      <c r="E856" t="str">
        <f>IF($A856&lt;&gt;"",MAESTRO!$M855,"")</f>
        <v/>
      </c>
      <c r="F856" t="str">
        <f>IF($A856&lt;&gt;"",MAESTRO!$J855,"")</f>
        <v/>
      </c>
      <c r="G856" t="str">
        <f>IF($A856&lt;&gt;"",MAESTRO!$D855,"")</f>
        <v/>
      </c>
      <c r="H856" t="str">
        <f>IF($A856&lt;&gt;"",IF(TRIM(MAESTRO!$G855&amp;" "&amp;MAESTRO!$H855&amp;" "&amp;MAESTRO!$I855)="",MAESTRO!$F855,TRIM(MAESTRO!$G855&amp;" "&amp;MAESTRO!$H855&amp;" "&amp;MAESTRO!$I855)),"")</f>
        <v/>
      </c>
      <c r="I856" t="str">
        <f>IF($A856&lt;&gt;"",MAESTRO!$K855,"")</f>
        <v/>
      </c>
      <c r="J856" t="str">
        <f>IF($A856&lt;&gt;"",856,"")</f>
        <v/>
      </c>
    </row>
    <row r="857" spans="1:10" x14ac:dyDescent="0.2">
      <c r="A857" t="str">
        <f>IF(AND(UPPER(MAESTRO!$M856)="VIP",UPPER(MAESTRO!$J856)="SI",MAESTRO!$F856&lt;&gt;""),MAESTRO!$P856,"")</f>
        <v/>
      </c>
      <c r="B857" t="str">
        <f>IF($A857&lt;&gt;"",MAESTRO!$B856,"")</f>
        <v/>
      </c>
      <c r="C857" t="str">
        <f>IF($A857&lt;&gt;"",MAESTRO!$A856,"")</f>
        <v/>
      </c>
      <c r="D857" t="str">
        <f>IF($A857&lt;&gt;"",MAESTRO!$C856,"")</f>
        <v/>
      </c>
      <c r="E857" t="str">
        <f>IF($A857&lt;&gt;"",MAESTRO!$M856,"")</f>
        <v/>
      </c>
      <c r="F857" t="str">
        <f>IF($A857&lt;&gt;"",MAESTRO!$J856,"")</f>
        <v/>
      </c>
      <c r="G857" t="str">
        <f>IF($A857&lt;&gt;"",MAESTRO!$D856,"")</f>
        <v/>
      </c>
      <c r="H857" t="str">
        <f>IF($A857&lt;&gt;"",IF(TRIM(MAESTRO!$G856&amp;" "&amp;MAESTRO!$H856&amp;" "&amp;MAESTRO!$I856)="",MAESTRO!$F856,TRIM(MAESTRO!$G856&amp;" "&amp;MAESTRO!$H856&amp;" "&amp;MAESTRO!$I856)),"")</f>
        <v/>
      </c>
      <c r="I857" t="str">
        <f>IF($A857&lt;&gt;"",MAESTRO!$K856,"")</f>
        <v/>
      </c>
      <c r="J857" t="str">
        <f>IF($A857&lt;&gt;"",857,"")</f>
        <v/>
      </c>
    </row>
    <row r="858" spans="1:10" x14ac:dyDescent="0.2">
      <c r="A858" t="str">
        <f>IF(AND(UPPER(MAESTRO!$M857)="VIP",UPPER(MAESTRO!$J857)="SI",MAESTRO!$F857&lt;&gt;""),MAESTRO!$P857,"")</f>
        <v/>
      </c>
      <c r="B858" t="str">
        <f>IF($A858&lt;&gt;"",MAESTRO!$B857,"")</f>
        <v/>
      </c>
      <c r="C858" t="str">
        <f>IF($A858&lt;&gt;"",MAESTRO!$A857,"")</f>
        <v/>
      </c>
      <c r="D858" t="str">
        <f>IF($A858&lt;&gt;"",MAESTRO!$C857,"")</f>
        <v/>
      </c>
      <c r="E858" t="str">
        <f>IF($A858&lt;&gt;"",MAESTRO!$M857,"")</f>
        <v/>
      </c>
      <c r="F858" t="str">
        <f>IF($A858&lt;&gt;"",MAESTRO!$J857,"")</f>
        <v/>
      </c>
      <c r="G858" t="str">
        <f>IF($A858&lt;&gt;"",MAESTRO!$D857,"")</f>
        <v/>
      </c>
      <c r="H858" t="str">
        <f>IF($A858&lt;&gt;"",IF(TRIM(MAESTRO!$G857&amp;" "&amp;MAESTRO!$H857&amp;" "&amp;MAESTRO!$I857)="",MAESTRO!$F857,TRIM(MAESTRO!$G857&amp;" "&amp;MAESTRO!$H857&amp;" "&amp;MAESTRO!$I857)),"")</f>
        <v/>
      </c>
      <c r="I858" t="str">
        <f>IF($A858&lt;&gt;"",MAESTRO!$K857,"")</f>
        <v/>
      </c>
      <c r="J858" t="str">
        <f>IF($A858&lt;&gt;"",858,"")</f>
        <v/>
      </c>
    </row>
    <row r="859" spans="1:10" x14ac:dyDescent="0.2">
      <c r="A859" t="str">
        <f>IF(AND(UPPER(MAESTRO!$M858)="VIP",UPPER(MAESTRO!$J858)="SI",MAESTRO!$F858&lt;&gt;""),MAESTRO!$P858,"")</f>
        <v/>
      </c>
      <c r="B859" t="str">
        <f>IF($A859&lt;&gt;"",MAESTRO!$B858,"")</f>
        <v/>
      </c>
      <c r="C859" t="str">
        <f>IF($A859&lt;&gt;"",MAESTRO!$A858,"")</f>
        <v/>
      </c>
      <c r="D859" t="str">
        <f>IF($A859&lt;&gt;"",MAESTRO!$C858,"")</f>
        <v/>
      </c>
      <c r="E859" t="str">
        <f>IF($A859&lt;&gt;"",MAESTRO!$M858,"")</f>
        <v/>
      </c>
      <c r="F859" t="str">
        <f>IF($A859&lt;&gt;"",MAESTRO!$J858,"")</f>
        <v/>
      </c>
      <c r="G859" t="str">
        <f>IF($A859&lt;&gt;"",MAESTRO!$D858,"")</f>
        <v/>
      </c>
      <c r="H859" t="str">
        <f>IF($A859&lt;&gt;"",IF(TRIM(MAESTRO!$G858&amp;" "&amp;MAESTRO!$H858&amp;" "&amp;MAESTRO!$I858)="",MAESTRO!$F858,TRIM(MAESTRO!$G858&amp;" "&amp;MAESTRO!$H858&amp;" "&amp;MAESTRO!$I858)),"")</f>
        <v/>
      </c>
      <c r="I859" t="str">
        <f>IF($A859&lt;&gt;"",MAESTRO!$K858,"")</f>
        <v/>
      </c>
      <c r="J859" t="str">
        <f>IF($A859&lt;&gt;"",859,"")</f>
        <v/>
      </c>
    </row>
    <row r="860" spans="1:10" x14ac:dyDescent="0.2">
      <c r="A860" t="str">
        <f>IF(AND(UPPER(MAESTRO!$M859)="VIP",UPPER(MAESTRO!$J859)="SI",MAESTRO!$F859&lt;&gt;""),MAESTRO!$P859,"")</f>
        <v/>
      </c>
      <c r="B860" t="str">
        <f>IF($A860&lt;&gt;"",MAESTRO!$B859,"")</f>
        <v/>
      </c>
      <c r="C860" t="str">
        <f>IF($A860&lt;&gt;"",MAESTRO!$A859,"")</f>
        <v/>
      </c>
      <c r="D860" t="str">
        <f>IF($A860&lt;&gt;"",MAESTRO!$C859,"")</f>
        <v/>
      </c>
      <c r="E860" t="str">
        <f>IF($A860&lt;&gt;"",MAESTRO!$M859,"")</f>
        <v/>
      </c>
      <c r="F860" t="str">
        <f>IF($A860&lt;&gt;"",MAESTRO!$J859,"")</f>
        <v/>
      </c>
      <c r="G860" t="str">
        <f>IF($A860&lt;&gt;"",MAESTRO!$D859,"")</f>
        <v/>
      </c>
      <c r="H860" t="str">
        <f>IF($A860&lt;&gt;"",IF(TRIM(MAESTRO!$G859&amp;" "&amp;MAESTRO!$H859&amp;" "&amp;MAESTRO!$I859)="",MAESTRO!$F859,TRIM(MAESTRO!$G859&amp;" "&amp;MAESTRO!$H859&amp;" "&amp;MAESTRO!$I859)),"")</f>
        <v/>
      </c>
      <c r="I860" t="str">
        <f>IF($A860&lt;&gt;"",MAESTRO!$K859,"")</f>
        <v/>
      </c>
      <c r="J860" t="str">
        <f>IF($A860&lt;&gt;"",860,"")</f>
        <v/>
      </c>
    </row>
    <row r="861" spans="1:10" x14ac:dyDescent="0.2">
      <c r="A861" t="str">
        <f>IF(AND(UPPER(MAESTRO!$M860)="VIP",UPPER(MAESTRO!$J860)="SI",MAESTRO!$F860&lt;&gt;""),MAESTRO!$P860,"")</f>
        <v/>
      </c>
      <c r="B861" t="str">
        <f>IF($A861&lt;&gt;"",MAESTRO!$B860,"")</f>
        <v/>
      </c>
      <c r="C861" t="str">
        <f>IF($A861&lt;&gt;"",MAESTRO!$A860,"")</f>
        <v/>
      </c>
      <c r="D861" t="str">
        <f>IF($A861&lt;&gt;"",MAESTRO!$C860,"")</f>
        <v/>
      </c>
      <c r="E861" t="str">
        <f>IF($A861&lt;&gt;"",MAESTRO!$M860,"")</f>
        <v/>
      </c>
      <c r="F861" t="str">
        <f>IF($A861&lt;&gt;"",MAESTRO!$J860,"")</f>
        <v/>
      </c>
      <c r="G861" t="str">
        <f>IF($A861&lt;&gt;"",MAESTRO!$D860,"")</f>
        <v/>
      </c>
      <c r="H861" t="str">
        <f>IF($A861&lt;&gt;"",IF(TRIM(MAESTRO!$G860&amp;" "&amp;MAESTRO!$H860&amp;" "&amp;MAESTRO!$I860)="",MAESTRO!$F860,TRIM(MAESTRO!$G860&amp;" "&amp;MAESTRO!$H860&amp;" "&amp;MAESTRO!$I860)),"")</f>
        <v/>
      </c>
      <c r="I861" t="str">
        <f>IF($A861&lt;&gt;"",MAESTRO!$K860,"")</f>
        <v/>
      </c>
      <c r="J861" t="str">
        <f>IF($A861&lt;&gt;"",861,"")</f>
        <v/>
      </c>
    </row>
    <row r="862" spans="1:10" x14ac:dyDescent="0.2">
      <c r="A862" t="str">
        <f>IF(AND(UPPER(MAESTRO!$M861)="VIP",UPPER(MAESTRO!$J861)="SI",MAESTRO!$F861&lt;&gt;""),MAESTRO!$P861,"")</f>
        <v/>
      </c>
      <c r="B862" t="str">
        <f>IF($A862&lt;&gt;"",MAESTRO!$B861,"")</f>
        <v/>
      </c>
      <c r="C862" t="str">
        <f>IF($A862&lt;&gt;"",MAESTRO!$A861,"")</f>
        <v/>
      </c>
      <c r="D862" t="str">
        <f>IF($A862&lt;&gt;"",MAESTRO!$C861,"")</f>
        <v/>
      </c>
      <c r="E862" t="str">
        <f>IF($A862&lt;&gt;"",MAESTRO!$M861,"")</f>
        <v/>
      </c>
      <c r="F862" t="str">
        <f>IF($A862&lt;&gt;"",MAESTRO!$J861,"")</f>
        <v/>
      </c>
      <c r="G862" t="str">
        <f>IF($A862&lt;&gt;"",MAESTRO!$D861,"")</f>
        <v/>
      </c>
      <c r="H862" t="str">
        <f>IF($A862&lt;&gt;"",IF(TRIM(MAESTRO!$G861&amp;" "&amp;MAESTRO!$H861&amp;" "&amp;MAESTRO!$I861)="",MAESTRO!$F861,TRIM(MAESTRO!$G861&amp;" "&amp;MAESTRO!$H861&amp;" "&amp;MAESTRO!$I861)),"")</f>
        <v/>
      </c>
      <c r="I862" t="str">
        <f>IF($A862&lt;&gt;"",MAESTRO!$K861,"")</f>
        <v/>
      </c>
      <c r="J862" t="str">
        <f>IF($A862&lt;&gt;"",862,"")</f>
        <v/>
      </c>
    </row>
    <row r="863" spans="1:10" x14ac:dyDescent="0.2">
      <c r="A863" t="str">
        <f>IF(AND(UPPER(MAESTRO!$M862)="VIP",UPPER(MAESTRO!$J862)="SI",MAESTRO!$F862&lt;&gt;""),MAESTRO!$P862,"")</f>
        <v/>
      </c>
      <c r="B863" t="str">
        <f>IF($A863&lt;&gt;"",MAESTRO!$B862,"")</f>
        <v/>
      </c>
      <c r="C863" t="str">
        <f>IF($A863&lt;&gt;"",MAESTRO!$A862,"")</f>
        <v/>
      </c>
      <c r="D863" t="str">
        <f>IF($A863&lt;&gt;"",MAESTRO!$C862,"")</f>
        <v/>
      </c>
      <c r="E863" t="str">
        <f>IF($A863&lt;&gt;"",MAESTRO!$M862,"")</f>
        <v/>
      </c>
      <c r="F863" t="str">
        <f>IF($A863&lt;&gt;"",MAESTRO!$J862,"")</f>
        <v/>
      </c>
      <c r="G863" t="str">
        <f>IF($A863&lt;&gt;"",MAESTRO!$D862,"")</f>
        <v/>
      </c>
      <c r="H863" t="str">
        <f>IF($A863&lt;&gt;"",IF(TRIM(MAESTRO!$G862&amp;" "&amp;MAESTRO!$H862&amp;" "&amp;MAESTRO!$I862)="",MAESTRO!$F862,TRIM(MAESTRO!$G862&amp;" "&amp;MAESTRO!$H862&amp;" "&amp;MAESTRO!$I862)),"")</f>
        <v/>
      </c>
      <c r="I863" t="str">
        <f>IF($A863&lt;&gt;"",MAESTRO!$K862,"")</f>
        <v/>
      </c>
      <c r="J863" t="str">
        <f>IF($A863&lt;&gt;"",863,"")</f>
        <v/>
      </c>
    </row>
    <row r="864" spans="1:10" x14ac:dyDescent="0.2">
      <c r="A864" t="str">
        <f>IF(AND(UPPER(MAESTRO!$M863)="VIP",UPPER(MAESTRO!$J863)="SI",MAESTRO!$F863&lt;&gt;""),MAESTRO!$P863,"")</f>
        <v/>
      </c>
      <c r="B864" t="str">
        <f>IF($A864&lt;&gt;"",MAESTRO!$B863,"")</f>
        <v/>
      </c>
      <c r="C864" t="str">
        <f>IF($A864&lt;&gt;"",MAESTRO!$A863,"")</f>
        <v/>
      </c>
      <c r="D864" t="str">
        <f>IF($A864&lt;&gt;"",MAESTRO!$C863,"")</f>
        <v/>
      </c>
      <c r="E864" t="str">
        <f>IF($A864&lt;&gt;"",MAESTRO!$M863,"")</f>
        <v/>
      </c>
      <c r="F864" t="str">
        <f>IF($A864&lt;&gt;"",MAESTRO!$J863,"")</f>
        <v/>
      </c>
      <c r="G864" t="str">
        <f>IF($A864&lt;&gt;"",MAESTRO!$D863,"")</f>
        <v/>
      </c>
      <c r="H864" t="str">
        <f>IF($A864&lt;&gt;"",IF(TRIM(MAESTRO!$G863&amp;" "&amp;MAESTRO!$H863&amp;" "&amp;MAESTRO!$I863)="",MAESTRO!$F863,TRIM(MAESTRO!$G863&amp;" "&amp;MAESTRO!$H863&amp;" "&amp;MAESTRO!$I863)),"")</f>
        <v/>
      </c>
      <c r="I864" t="str">
        <f>IF($A864&lt;&gt;"",MAESTRO!$K863,"")</f>
        <v/>
      </c>
      <c r="J864" t="str">
        <f>IF($A864&lt;&gt;"",864,"")</f>
        <v/>
      </c>
    </row>
    <row r="865" spans="1:10" x14ac:dyDescent="0.2">
      <c r="A865" t="str">
        <f>IF(AND(UPPER(MAESTRO!$M864)="VIP",UPPER(MAESTRO!$J864)="SI",MAESTRO!$F864&lt;&gt;""),MAESTRO!$P864,"")</f>
        <v/>
      </c>
      <c r="B865" t="str">
        <f>IF($A865&lt;&gt;"",MAESTRO!$B864,"")</f>
        <v/>
      </c>
      <c r="C865" t="str">
        <f>IF($A865&lt;&gt;"",MAESTRO!$A864,"")</f>
        <v/>
      </c>
      <c r="D865" t="str">
        <f>IF($A865&lt;&gt;"",MAESTRO!$C864,"")</f>
        <v/>
      </c>
      <c r="E865" t="str">
        <f>IF($A865&lt;&gt;"",MAESTRO!$M864,"")</f>
        <v/>
      </c>
      <c r="F865" t="str">
        <f>IF($A865&lt;&gt;"",MAESTRO!$J864,"")</f>
        <v/>
      </c>
      <c r="G865" t="str">
        <f>IF($A865&lt;&gt;"",MAESTRO!$D864,"")</f>
        <v/>
      </c>
      <c r="H865" t="str">
        <f>IF($A865&lt;&gt;"",IF(TRIM(MAESTRO!$G864&amp;" "&amp;MAESTRO!$H864&amp;" "&amp;MAESTRO!$I864)="",MAESTRO!$F864,TRIM(MAESTRO!$G864&amp;" "&amp;MAESTRO!$H864&amp;" "&amp;MAESTRO!$I864)),"")</f>
        <v/>
      </c>
      <c r="I865" t="str">
        <f>IF($A865&lt;&gt;"",MAESTRO!$K864,"")</f>
        <v/>
      </c>
      <c r="J865" t="str">
        <f>IF($A865&lt;&gt;"",865,"")</f>
        <v/>
      </c>
    </row>
    <row r="866" spans="1:10" x14ac:dyDescent="0.2">
      <c r="A866" t="str">
        <f>IF(AND(UPPER(MAESTRO!$M865)="VIP",UPPER(MAESTRO!$J865)="SI",MAESTRO!$F865&lt;&gt;""),MAESTRO!$P865,"")</f>
        <v/>
      </c>
      <c r="B866" t="str">
        <f>IF($A866&lt;&gt;"",MAESTRO!$B865,"")</f>
        <v/>
      </c>
      <c r="C866" t="str">
        <f>IF($A866&lt;&gt;"",MAESTRO!$A865,"")</f>
        <v/>
      </c>
      <c r="D866" t="str">
        <f>IF($A866&lt;&gt;"",MAESTRO!$C865,"")</f>
        <v/>
      </c>
      <c r="E866" t="str">
        <f>IF($A866&lt;&gt;"",MAESTRO!$M865,"")</f>
        <v/>
      </c>
      <c r="F866" t="str">
        <f>IF($A866&lt;&gt;"",MAESTRO!$J865,"")</f>
        <v/>
      </c>
      <c r="G866" t="str">
        <f>IF($A866&lt;&gt;"",MAESTRO!$D865,"")</f>
        <v/>
      </c>
      <c r="H866" t="str">
        <f>IF($A866&lt;&gt;"",IF(TRIM(MAESTRO!$G865&amp;" "&amp;MAESTRO!$H865&amp;" "&amp;MAESTRO!$I865)="",MAESTRO!$F865,TRIM(MAESTRO!$G865&amp;" "&amp;MAESTRO!$H865&amp;" "&amp;MAESTRO!$I865)),"")</f>
        <v/>
      </c>
      <c r="I866" t="str">
        <f>IF($A866&lt;&gt;"",MAESTRO!$K865,"")</f>
        <v/>
      </c>
      <c r="J866" t="str">
        <f>IF($A866&lt;&gt;"",866,"")</f>
        <v/>
      </c>
    </row>
    <row r="867" spans="1:10" x14ac:dyDescent="0.2">
      <c r="A867" t="str">
        <f>IF(AND(UPPER(MAESTRO!$M866)="VIP",UPPER(MAESTRO!$J866)="SI",MAESTRO!$F866&lt;&gt;""),MAESTRO!$P866,"")</f>
        <v/>
      </c>
      <c r="B867" t="str">
        <f>IF($A867&lt;&gt;"",MAESTRO!$B866,"")</f>
        <v/>
      </c>
      <c r="C867" t="str">
        <f>IF($A867&lt;&gt;"",MAESTRO!$A866,"")</f>
        <v/>
      </c>
      <c r="D867" t="str">
        <f>IF($A867&lt;&gt;"",MAESTRO!$C866,"")</f>
        <v/>
      </c>
      <c r="E867" t="str">
        <f>IF($A867&lt;&gt;"",MAESTRO!$M866,"")</f>
        <v/>
      </c>
      <c r="F867" t="str">
        <f>IF($A867&lt;&gt;"",MAESTRO!$J866,"")</f>
        <v/>
      </c>
      <c r="G867" t="str">
        <f>IF($A867&lt;&gt;"",MAESTRO!$D866,"")</f>
        <v/>
      </c>
      <c r="H867" t="str">
        <f>IF($A867&lt;&gt;"",IF(TRIM(MAESTRO!$G866&amp;" "&amp;MAESTRO!$H866&amp;" "&amp;MAESTRO!$I866)="",MAESTRO!$F866,TRIM(MAESTRO!$G866&amp;" "&amp;MAESTRO!$H866&amp;" "&amp;MAESTRO!$I866)),"")</f>
        <v/>
      </c>
      <c r="I867" t="str">
        <f>IF($A867&lt;&gt;"",MAESTRO!$K866,"")</f>
        <v/>
      </c>
      <c r="J867" t="str">
        <f>IF($A867&lt;&gt;"",867,"")</f>
        <v/>
      </c>
    </row>
    <row r="868" spans="1:10" x14ac:dyDescent="0.2">
      <c r="A868" t="str">
        <f>IF(AND(UPPER(MAESTRO!$M867)="VIP",UPPER(MAESTRO!$J867)="SI",MAESTRO!$F867&lt;&gt;""),MAESTRO!$P867,"")</f>
        <v/>
      </c>
      <c r="B868" t="str">
        <f>IF($A868&lt;&gt;"",MAESTRO!$B867,"")</f>
        <v/>
      </c>
      <c r="C868" t="str">
        <f>IF($A868&lt;&gt;"",MAESTRO!$A867,"")</f>
        <v/>
      </c>
      <c r="D868" t="str">
        <f>IF($A868&lt;&gt;"",MAESTRO!$C867,"")</f>
        <v/>
      </c>
      <c r="E868" t="str">
        <f>IF($A868&lt;&gt;"",MAESTRO!$M867,"")</f>
        <v/>
      </c>
      <c r="F868" t="str">
        <f>IF($A868&lt;&gt;"",MAESTRO!$J867,"")</f>
        <v/>
      </c>
      <c r="G868" t="str">
        <f>IF($A868&lt;&gt;"",MAESTRO!$D867,"")</f>
        <v/>
      </c>
      <c r="H868" t="str">
        <f>IF($A868&lt;&gt;"",IF(TRIM(MAESTRO!$G867&amp;" "&amp;MAESTRO!$H867&amp;" "&amp;MAESTRO!$I867)="",MAESTRO!$F867,TRIM(MAESTRO!$G867&amp;" "&amp;MAESTRO!$H867&amp;" "&amp;MAESTRO!$I867)),"")</f>
        <v/>
      </c>
      <c r="I868" t="str">
        <f>IF($A868&lt;&gt;"",MAESTRO!$K867,"")</f>
        <v/>
      </c>
      <c r="J868" t="str">
        <f>IF($A868&lt;&gt;"",868,"")</f>
        <v/>
      </c>
    </row>
    <row r="869" spans="1:10" x14ac:dyDescent="0.2">
      <c r="A869" t="str">
        <f>IF(AND(UPPER(MAESTRO!$M868)="VIP",UPPER(MAESTRO!$J868)="SI",MAESTRO!$F868&lt;&gt;""),MAESTRO!$P868,"")</f>
        <v/>
      </c>
      <c r="B869" t="str">
        <f>IF($A869&lt;&gt;"",MAESTRO!$B868,"")</f>
        <v/>
      </c>
      <c r="C869" t="str">
        <f>IF($A869&lt;&gt;"",MAESTRO!$A868,"")</f>
        <v/>
      </c>
      <c r="D869" t="str">
        <f>IF($A869&lt;&gt;"",MAESTRO!$C868,"")</f>
        <v/>
      </c>
      <c r="E869" t="str">
        <f>IF($A869&lt;&gt;"",MAESTRO!$M868,"")</f>
        <v/>
      </c>
      <c r="F869" t="str">
        <f>IF($A869&lt;&gt;"",MAESTRO!$J868,"")</f>
        <v/>
      </c>
      <c r="G869" t="str">
        <f>IF($A869&lt;&gt;"",MAESTRO!$D868,"")</f>
        <v/>
      </c>
      <c r="H869" t="str">
        <f>IF($A869&lt;&gt;"",IF(TRIM(MAESTRO!$G868&amp;" "&amp;MAESTRO!$H868&amp;" "&amp;MAESTRO!$I868)="",MAESTRO!$F868,TRIM(MAESTRO!$G868&amp;" "&amp;MAESTRO!$H868&amp;" "&amp;MAESTRO!$I868)),"")</f>
        <v/>
      </c>
      <c r="I869" t="str">
        <f>IF($A869&lt;&gt;"",MAESTRO!$K868,"")</f>
        <v/>
      </c>
      <c r="J869" t="str">
        <f>IF($A869&lt;&gt;"",869,"")</f>
        <v/>
      </c>
    </row>
    <row r="870" spans="1:10" x14ac:dyDescent="0.2">
      <c r="A870" t="str">
        <f>IF(AND(UPPER(MAESTRO!$M869)="VIP",UPPER(MAESTRO!$J869)="SI",MAESTRO!$F869&lt;&gt;""),MAESTRO!$P869,"")</f>
        <v/>
      </c>
      <c r="B870" t="str">
        <f>IF($A870&lt;&gt;"",MAESTRO!$B869,"")</f>
        <v/>
      </c>
      <c r="C870" t="str">
        <f>IF($A870&lt;&gt;"",MAESTRO!$A869,"")</f>
        <v/>
      </c>
      <c r="D870" t="str">
        <f>IF($A870&lt;&gt;"",MAESTRO!$C869,"")</f>
        <v/>
      </c>
      <c r="E870" t="str">
        <f>IF($A870&lt;&gt;"",MAESTRO!$M869,"")</f>
        <v/>
      </c>
      <c r="F870" t="str">
        <f>IF($A870&lt;&gt;"",MAESTRO!$J869,"")</f>
        <v/>
      </c>
      <c r="G870" t="str">
        <f>IF($A870&lt;&gt;"",MAESTRO!$D869,"")</f>
        <v/>
      </c>
      <c r="H870" t="str">
        <f>IF($A870&lt;&gt;"",IF(TRIM(MAESTRO!$G869&amp;" "&amp;MAESTRO!$H869&amp;" "&amp;MAESTRO!$I869)="",MAESTRO!$F869,TRIM(MAESTRO!$G869&amp;" "&amp;MAESTRO!$H869&amp;" "&amp;MAESTRO!$I869)),"")</f>
        <v/>
      </c>
      <c r="I870" t="str">
        <f>IF($A870&lt;&gt;"",MAESTRO!$K869,"")</f>
        <v/>
      </c>
      <c r="J870" t="str">
        <f>IF($A870&lt;&gt;"",870,"")</f>
        <v/>
      </c>
    </row>
    <row r="871" spans="1:10" x14ac:dyDescent="0.2">
      <c r="A871" t="str">
        <f>IF(AND(UPPER(MAESTRO!$M870)="VIP",UPPER(MAESTRO!$J870)="SI",MAESTRO!$F870&lt;&gt;""),MAESTRO!$P870,"")</f>
        <v/>
      </c>
      <c r="B871" t="str">
        <f>IF($A871&lt;&gt;"",MAESTRO!$B870,"")</f>
        <v/>
      </c>
      <c r="C871" t="str">
        <f>IF($A871&lt;&gt;"",MAESTRO!$A870,"")</f>
        <v/>
      </c>
      <c r="D871" t="str">
        <f>IF($A871&lt;&gt;"",MAESTRO!$C870,"")</f>
        <v/>
      </c>
      <c r="E871" t="str">
        <f>IF($A871&lt;&gt;"",MAESTRO!$M870,"")</f>
        <v/>
      </c>
      <c r="F871" t="str">
        <f>IF($A871&lt;&gt;"",MAESTRO!$J870,"")</f>
        <v/>
      </c>
      <c r="G871" t="str">
        <f>IF($A871&lt;&gt;"",MAESTRO!$D870,"")</f>
        <v/>
      </c>
      <c r="H871" t="str">
        <f>IF($A871&lt;&gt;"",IF(TRIM(MAESTRO!$G870&amp;" "&amp;MAESTRO!$H870&amp;" "&amp;MAESTRO!$I870)="",MAESTRO!$F870,TRIM(MAESTRO!$G870&amp;" "&amp;MAESTRO!$H870&amp;" "&amp;MAESTRO!$I870)),"")</f>
        <v/>
      </c>
      <c r="I871" t="str">
        <f>IF($A871&lt;&gt;"",MAESTRO!$K870,"")</f>
        <v/>
      </c>
      <c r="J871" t="str">
        <f>IF($A871&lt;&gt;"",871,"")</f>
        <v/>
      </c>
    </row>
    <row r="872" spans="1:10" x14ac:dyDescent="0.2">
      <c r="A872" t="str">
        <f>IF(AND(UPPER(MAESTRO!$M871)="VIP",UPPER(MAESTRO!$J871)="SI",MAESTRO!$F871&lt;&gt;""),MAESTRO!$P871,"")</f>
        <v/>
      </c>
      <c r="B872" t="str">
        <f>IF($A872&lt;&gt;"",MAESTRO!$B871,"")</f>
        <v/>
      </c>
      <c r="C872" t="str">
        <f>IF($A872&lt;&gt;"",MAESTRO!$A871,"")</f>
        <v/>
      </c>
      <c r="D872" t="str">
        <f>IF($A872&lt;&gt;"",MAESTRO!$C871,"")</f>
        <v/>
      </c>
      <c r="E872" t="str">
        <f>IF($A872&lt;&gt;"",MAESTRO!$M871,"")</f>
        <v/>
      </c>
      <c r="F872" t="str">
        <f>IF($A872&lt;&gt;"",MAESTRO!$J871,"")</f>
        <v/>
      </c>
      <c r="G872" t="str">
        <f>IF($A872&lt;&gt;"",MAESTRO!$D871,"")</f>
        <v/>
      </c>
      <c r="H872" t="str">
        <f>IF($A872&lt;&gt;"",IF(TRIM(MAESTRO!$G871&amp;" "&amp;MAESTRO!$H871&amp;" "&amp;MAESTRO!$I871)="",MAESTRO!$F871,TRIM(MAESTRO!$G871&amp;" "&amp;MAESTRO!$H871&amp;" "&amp;MAESTRO!$I871)),"")</f>
        <v/>
      </c>
      <c r="I872" t="str">
        <f>IF($A872&lt;&gt;"",MAESTRO!$K871,"")</f>
        <v/>
      </c>
      <c r="J872" t="str">
        <f>IF($A872&lt;&gt;"",872,"")</f>
        <v/>
      </c>
    </row>
    <row r="873" spans="1:10" x14ac:dyDescent="0.2">
      <c r="A873" t="str">
        <f>IF(AND(UPPER(MAESTRO!$M872)="VIP",UPPER(MAESTRO!$J872)="SI",MAESTRO!$F872&lt;&gt;""),MAESTRO!$P872,"")</f>
        <v/>
      </c>
      <c r="B873" t="str">
        <f>IF($A873&lt;&gt;"",MAESTRO!$B872,"")</f>
        <v/>
      </c>
      <c r="C873" t="str">
        <f>IF($A873&lt;&gt;"",MAESTRO!$A872,"")</f>
        <v/>
      </c>
      <c r="D873" t="str">
        <f>IF($A873&lt;&gt;"",MAESTRO!$C872,"")</f>
        <v/>
      </c>
      <c r="E873" t="str">
        <f>IF($A873&lt;&gt;"",MAESTRO!$M872,"")</f>
        <v/>
      </c>
      <c r="F873" t="str">
        <f>IF($A873&lt;&gt;"",MAESTRO!$J872,"")</f>
        <v/>
      </c>
      <c r="G873" t="str">
        <f>IF($A873&lt;&gt;"",MAESTRO!$D872,"")</f>
        <v/>
      </c>
      <c r="H873" t="str">
        <f>IF($A873&lt;&gt;"",IF(TRIM(MAESTRO!$G872&amp;" "&amp;MAESTRO!$H872&amp;" "&amp;MAESTRO!$I872)="",MAESTRO!$F872,TRIM(MAESTRO!$G872&amp;" "&amp;MAESTRO!$H872&amp;" "&amp;MAESTRO!$I872)),"")</f>
        <v/>
      </c>
      <c r="I873" t="str">
        <f>IF($A873&lt;&gt;"",MAESTRO!$K872,"")</f>
        <v/>
      </c>
      <c r="J873" t="str">
        <f>IF($A873&lt;&gt;"",873,"")</f>
        <v/>
      </c>
    </row>
    <row r="874" spans="1:10" x14ac:dyDescent="0.2">
      <c r="A874" t="str">
        <f>IF(AND(UPPER(MAESTRO!$M873)="VIP",UPPER(MAESTRO!$J873)="SI",MAESTRO!$F873&lt;&gt;""),MAESTRO!$P873,"")</f>
        <v/>
      </c>
      <c r="B874" t="str">
        <f>IF($A874&lt;&gt;"",MAESTRO!$B873,"")</f>
        <v/>
      </c>
      <c r="C874" t="str">
        <f>IF($A874&lt;&gt;"",MAESTRO!$A873,"")</f>
        <v/>
      </c>
      <c r="D874" t="str">
        <f>IF($A874&lt;&gt;"",MAESTRO!$C873,"")</f>
        <v/>
      </c>
      <c r="E874" t="str">
        <f>IF($A874&lt;&gt;"",MAESTRO!$M873,"")</f>
        <v/>
      </c>
      <c r="F874" t="str">
        <f>IF($A874&lt;&gt;"",MAESTRO!$J873,"")</f>
        <v/>
      </c>
      <c r="G874" t="str">
        <f>IF($A874&lt;&gt;"",MAESTRO!$D873,"")</f>
        <v/>
      </c>
      <c r="H874" t="str">
        <f>IF($A874&lt;&gt;"",IF(TRIM(MAESTRO!$G873&amp;" "&amp;MAESTRO!$H873&amp;" "&amp;MAESTRO!$I873)="",MAESTRO!$F873,TRIM(MAESTRO!$G873&amp;" "&amp;MAESTRO!$H873&amp;" "&amp;MAESTRO!$I873)),"")</f>
        <v/>
      </c>
      <c r="I874" t="str">
        <f>IF($A874&lt;&gt;"",MAESTRO!$K873,"")</f>
        <v/>
      </c>
      <c r="J874" t="str">
        <f>IF($A874&lt;&gt;"",874,"")</f>
        <v/>
      </c>
    </row>
    <row r="875" spans="1:10" x14ac:dyDescent="0.2">
      <c r="A875" t="str">
        <f>IF(AND(UPPER(MAESTRO!$M874)="VIP",UPPER(MAESTRO!$J874)="SI",MAESTRO!$F874&lt;&gt;""),MAESTRO!$P874,"")</f>
        <v/>
      </c>
      <c r="B875" t="str">
        <f>IF($A875&lt;&gt;"",MAESTRO!$B874,"")</f>
        <v/>
      </c>
      <c r="C875" t="str">
        <f>IF($A875&lt;&gt;"",MAESTRO!$A874,"")</f>
        <v/>
      </c>
      <c r="D875" t="str">
        <f>IF($A875&lt;&gt;"",MAESTRO!$C874,"")</f>
        <v/>
      </c>
      <c r="E875" t="str">
        <f>IF($A875&lt;&gt;"",MAESTRO!$M874,"")</f>
        <v/>
      </c>
      <c r="F875" t="str">
        <f>IF($A875&lt;&gt;"",MAESTRO!$J874,"")</f>
        <v/>
      </c>
      <c r="G875" t="str">
        <f>IF($A875&lt;&gt;"",MAESTRO!$D874,"")</f>
        <v/>
      </c>
      <c r="H875" t="str">
        <f>IF($A875&lt;&gt;"",IF(TRIM(MAESTRO!$G874&amp;" "&amp;MAESTRO!$H874&amp;" "&amp;MAESTRO!$I874)="",MAESTRO!$F874,TRIM(MAESTRO!$G874&amp;" "&amp;MAESTRO!$H874&amp;" "&amp;MAESTRO!$I874)),"")</f>
        <v/>
      </c>
      <c r="I875" t="str">
        <f>IF($A875&lt;&gt;"",MAESTRO!$K874,"")</f>
        <v/>
      </c>
      <c r="J875" t="str">
        <f>IF($A875&lt;&gt;"",875,"")</f>
        <v/>
      </c>
    </row>
    <row r="876" spans="1:10" x14ac:dyDescent="0.2">
      <c r="A876" t="str">
        <f>IF(AND(UPPER(MAESTRO!$M875)="VIP",UPPER(MAESTRO!$J875)="SI",MAESTRO!$F875&lt;&gt;""),MAESTRO!$P875,"")</f>
        <v/>
      </c>
      <c r="B876" t="str">
        <f>IF($A876&lt;&gt;"",MAESTRO!$B875,"")</f>
        <v/>
      </c>
      <c r="C876" t="str">
        <f>IF($A876&lt;&gt;"",MAESTRO!$A875,"")</f>
        <v/>
      </c>
      <c r="D876" t="str">
        <f>IF($A876&lt;&gt;"",MAESTRO!$C875,"")</f>
        <v/>
      </c>
      <c r="E876" t="str">
        <f>IF($A876&lt;&gt;"",MAESTRO!$M875,"")</f>
        <v/>
      </c>
      <c r="F876" t="str">
        <f>IF($A876&lt;&gt;"",MAESTRO!$J875,"")</f>
        <v/>
      </c>
      <c r="G876" t="str">
        <f>IF($A876&lt;&gt;"",MAESTRO!$D875,"")</f>
        <v/>
      </c>
      <c r="H876" t="str">
        <f>IF($A876&lt;&gt;"",IF(TRIM(MAESTRO!$G875&amp;" "&amp;MAESTRO!$H875&amp;" "&amp;MAESTRO!$I875)="",MAESTRO!$F875,TRIM(MAESTRO!$G875&amp;" "&amp;MAESTRO!$H875&amp;" "&amp;MAESTRO!$I875)),"")</f>
        <v/>
      </c>
      <c r="I876" t="str">
        <f>IF($A876&lt;&gt;"",MAESTRO!$K875,"")</f>
        <v/>
      </c>
      <c r="J876" t="str">
        <f>IF($A876&lt;&gt;"",876,"")</f>
        <v/>
      </c>
    </row>
    <row r="877" spans="1:10" x14ac:dyDescent="0.2">
      <c r="A877" t="str">
        <f>IF(AND(UPPER(MAESTRO!$M876)="VIP",UPPER(MAESTRO!$J876)="SI",MAESTRO!$F876&lt;&gt;""),MAESTRO!$P876,"")</f>
        <v/>
      </c>
      <c r="B877" t="str">
        <f>IF($A877&lt;&gt;"",MAESTRO!$B876,"")</f>
        <v/>
      </c>
      <c r="C877" t="str">
        <f>IF($A877&lt;&gt;"",MAESTRO!$A876,"")</f>
        <v/>
      </c>
      <c r="D877" t="str">
        <f>IF($A877&lt;&gt;"",MAESTRO!$C876,"")</f>
        <v/>
      </c>
      <c r="E877" t="str">
        <f>IF($A877&lt;&gt;"",MAESTRO!$M876,"")</f>
        <v/>
      </c>
      <c r="F877" t="str">
        <f>IF($A877&lt;&gt;"",MAESTRO!$J876,"")</f>
        <v/>
      </c>
      <c r="G877" t="str">
        <f>IF($A877&lt;&gt;"",MAESTRO!$D876,"")</f>
        <v/>
      </c>
      <c r="H877" t="str">
        <f>IF($A877&lt;&gt;"",IF(TRIM(MAESTRO!$G876&amp;" "&amp;MAESTRO!$H876&amp;" "&amp;MAESTRO!$I876)="",MAESTRO!$F876,TRIM(MAESTRO!$G876&amp;" "&amp;MAESTRO!$H876&amp;" "&amp;MAESTRO!$I876)),"")</f>
        <v/>
      </c>
      <c r="I877" t="str">
        <f>IF($A877&lt;&gt;"",MAESTRO!$K876,"")</f>
        <v/>
      </c>
      <c r="J877" t="str">
        <f>IF($A877&lt;&gt;"",877,"")</f>
        <v/>
      </c>
    </row>
    <row r="878" spans="1:10" x14ac:dyDescent="0.2">
      <c r="A878" t="str">
        <f>IF(AND(UPPER(MAESTRO!$M877)="VIP",UPPER(MAESTRO!$J877)="SI",MAESTRO!$F877&lt;&gt;""),MAESTRO!$P877,"")</f>
        <v/>
      </c>
      <c r="B878" t="str">
        <f>IF($A878&lt;&gt;"",MAESTRO!$B877,"")</f>
        <v/>
      </c>
      <c r="C878" t="str">
        <f>IF($A878&lt;&gt;"",MAESTRO!$A877,"")</f>
        <v/>
      </c>
      <c r="D878" t="str">
        <f>IF($A878&lt;&gt;"",MAESTRO!$C877,"")</f>
        <v/>
      </c>
      <c r="E878" t="str">
        <f>IF($A878&lt;&gt;"",MAESTRO!$M877,"")</f>
        <v/>
      </c>
      <c r="F878" t="str">
        <f>IF($A878&lt;&gt;"",MAESTRO!$J877,"")</f>
        <v/>
      </c>
      <c r="G878" t="str">
        <f>IF($A878&lt;&gt;"",MAESTRO!$D877,"")</f>
        <v/>
      </c>
      <c r="H878" t="str">
        <f>IF($A878&lt;&gt;"",IF(TRIM(MAESTRO!$G877&amp;" "&amp;MAESTRO!$H877&amp;" "&amp;MAESTRO!$I877)="",MAESTRO!$F877,TRIM(MAESTRO!$G877&amp;" "&amp;MAESTRO!$H877&amp;" "&amp;MAESTRO!$I877)),"")</f>
        <v/>
      </c>
      <c r="I878" t="str">
        <f>IF($A878&lt;&gt;"",MAESTRO!$K877,"")</f>
        <v/>
      </c>
      <c r="J878" t="str">
        <f>IF($A878&lt;&gt;"",878,"")</f>
        <v/>
      </c>
    </row>
    <row r="879" spans="1:10" x14ac:dyDescent="0.2">
      <c r="A879" t="str">
        <f>IF(AND(UPPER(MAESTRO!$M878)="VIP",UPPER(MAESTRO!$J878)="SI",MAESTRO!$F878&lt;&gt;""),MAESTRO!$P878,"")</f>
        <v/>
      </c>
      <c r="B879" t="str">
        <f>IF($A879&lt;&gt;"",MAESTRO!$B878,"")</f>
        <v/>
      </c>
      <c r="C879" t="str">
        <f>IF($A879&lt;&gt;"",MAESTRO!$A878,"")</f>
        <v/>
      </c>
      <c r="D879" t="str">
        <f>IF($A879&lt;&gt;"",MAESTRO!$C878,"")</f>
        <v/>
      </c>
      <c r="E879" t="str">
        <f>IF($A879&lt;&gt;"",MAESTRO!$M878,"")</f>
        <v/>
      </c>
      <c r="F879" t="str">
        <f>IF($A879&lt;&gt;"",MAESTRO!$J878,"")</f>
        <v/>
      </c>
      <c r="G879" t="str">
        <f>IF($A879&lt;&gt;"",MAESTRO!$D878,"")</f>
        <v/>
      </c>
      <c r="H879" t="str">
        <f>IF($A879&lt;&gt;"",IF(TRIM(MAESTRO!$G878&amp;" "&amp;MAESTRO!$H878&amp;" "&amp;MAESTRO!$I878)="",MAESTRO!$F878,TRIM(MAESTRO!$G878&amp;" "&amp;MAESTRO!$H878&amp;" "&amp;MAESTRO!$I878)),"")</f>
        <v/>
      </c>
      <c r="I879" t="str">
        <f>IF($A879&lt;&gt;"",MAESTRO!$K878,"")</f>
        <v/>
      </c>
      <c r="J879" t="str">
        <f>IF($A879&lt;&gt;"",879,"")</f>
        <v/>
      </c>
    </row>
    <row r="880" spans="1:10" x14ac:dyDescent="0.2">
      <c r="A880" t="str">
        <f>IF(AND(UPPER(MAESTRO!$M879)="VIP",UPPER(MAESTRO!$J879)="SI",MAESTRO!$F879&lt;&gt;""),MAESTRO!$P879,"")</f>
        <v/>
      </c>
      <c r="B880" t="str">
        <f>IF($A880&lt;&gt;"",MAESTRO!$B879,"")</f>
        <v/>
      </c>
      <c r="C880" t="str">
        <f>IF($A880&lt;&gt;"",MAESTRO!$A879,"")</f>
        <v/>
      </c>
      <c r="D880" t="str">
        <f>IF($A880&lt;&gt;"",MAESTRO!$C879,"")</f>
        <v/>
      </c>
      <c r="E880" t="str">
        <f>IF($A880&lt;&gt;"",MAESTRO!$M879,"")</f>
        <v/>
      </c>
      <c r="F880" t="str">
        <f>IF($A880&lt;&gt;"",MAESTRO!$J879,"")</f>
        <v/>
      </c>
      <c r="G880" t="str">
        <f>IF($A880&lt;&gt;"",MAESTRO!$D879,"")</f>
        <v/>
      </c>
      <c r="H880" t="str">
        <f>IF($A880&lt;&gt;"",IF(TRIM(MAESTRO!$G879&amp;" "&amp;MAESTRO!$H879&amp;" "&amp;MAESTRO!$I879)="",MAESTRO!$F879,TRIM(MAESTRO!$G879&amp;" "&amp;MAESTRO!$H879&amp;" "&amp;MAESTRO!$I879)),"")</f>
        <v/>
      </c>
      <c r="I880" t="str">
        <f>IF($A880&lt;&gt;"",MAESTRO!$K879,"")</f>
        <v/>
      </c>
      <c r="J880" t="str">
        <f>IF($A880&lt;&gt;"",880,"")</f>
        <v/>
      </c>
    </row>
    <row r="881" spans="1:10" x14ac:dyDescent="0.2">
      <c r="A881" t="str">
        <f>IF(AND(UPPER(MAESTRO!$M880)="VIP",UPPER(MAESTRO!$J880)="SI",MAESTRO!$F880&lt;&gt;""),MAESTRO!$P880,"")</f>
        <v/>
      </c>
      <c r="B881" t="str">
        <f>IF($A881&lt;&gt;"",MAESTRO!$B880,"")</f>
        <v/>
      </c>
      <c r="C881" t="str">
        <f>IF($A881&lt;&gt;"",MAESTRO!$A880,"")</f>
        <v/>
      </c>
      <c r="D881" t="str">
        <f>IF($A881&lt;&gt;"",MAESTRO!$C880,"")</f>
        <v/>
      </c>
      <c r="E881" t="str">
        <f>IF($A881&lt;&gt;"",MAESTRO!$M880,"")</f>
        <v/>
      </c>
      <c r="F881" t="str">
        <f>IF($A881&lt;&gt;"",MAESTRO!$J880,"")</f>
        <v/>
      </c>
      <c r="G881" t="str">
        <f>IF($A881&lt;&gt;"",MAESTRO!$D880,"")</f>
        <v/>
      </c>
      <c r="H881" t="str">
        <f>IF($A881&lt;&gt;"",IF(TRIM(MAESTRO!$G880&amp;" "&amp;MAESTRO!$H880&amp;" "&amp;MAESTRO!$I880)="",MAESTRO!$F880,TRIM(MAESTRO!$G880&amp;" "&amp;MAESTRO!$H880&amp;" "&amp;MAESTRO!$I880)),"")</f>
        <v/>
      </c>
      <c r="I881" t="str">
        <f>IF($A881&lt;&gt;"",MAESTRO!$K880,"")</f>
        <v/>
      </c>
      <c r="J881" t="str">
        <f>IF($A881&lt;&gt;"",881,"")</f>
        <v/>
      </c>
    </row>
    <row r="882" spans="1:10" x14ac:dyDescent="0.2">
      <c r="A882" t="str">
        <f>IF(AND(UPPER(MAESTRO!$M881)="VIP",UPPER(MAESTRO!$J881)="SI",MAESTRO!$F881&lt;&gt;""),MAESTRO!$P881,"")</f>
        <v/>
      </c>
      <c r="B882" t="str">
        <f>IF($A882&lt;&gt;"",MAESTRO!$B881,"")</f>
        <v/>
      </c>
      <c r="C882" t="str">
        <f>IF($A882&lt;&gt;"",MAESTRO!$A881,"")</f>
        <v/>
      </c>
      <c r="D882" t="str">
        <f>IF($A882&lt;&gt;"",MAESTRO!$C881,"")</f>
        <v/>
      </c>
      <c r="E882" t="str">
        <f>IF($A882&lt;&gt;"",MAESTRO!$M881,"")</f>
        <v/>
      </c>
      <c r="F882" t="str">
        <f>IF($A882&lt;&gt;"",MAESTRO!$J881,"")</f>
        <v/>
      </c>
      <c r="G882" t="str">
        <f>IF($A882&lt;&gt;"",MAESTRO!$D881,"")</f>
        <v/>
      </c>
      <c r="H882" t="str">
        <f>IF($A882&lt;&gt;"",IF(TRIM(MAESTRO!$G881&amp;" "&amp;MAESTRO!$H881&amp;" "&amp;MAESTRO!$I881)="",MAESTRO!$F881,TRIM(MAESTRO!$G881&amp;" "&amp;MAESTRO!$H881&amp;" "&amp;MAESTRO!$I881)),"")</f>
        <v/>
      </c>
      <c r="I882" t="str">
        <f>IF($A882&lt;&gt;"",MAESTRO!$K881,"")</f>
        <v/>
      </c>
      <c r="J882" t="str">
        <f>IF($A882&lt;&gt;"",882,"")</f>
        <v/>
      </c>
    </row>
    <row r="883" spans="1:10" x14ac:dyDescent="0.2">
      <c r="A883" t="str">
        <f>IF(AND(UPPER(MAESTRO!$M882)="VIP",UPPER(MAESTRO!$J882)="SI",MAESTRO!$F882&lt;&gt;""),MAESTRO!$P882,"")</f>
        <v/>
      </c>
      <c r="B883" t="str">
        <f>IF($A883&lt;&gt;"",MAESTRO!$B882,"")</f>
        <v/>
      </c>
      <c r="C883" t="str">
        <f>IF($A883&lt;&gt;"",MAESTRO!$A882,"")</f>
        <v/>
      </c>
      <c r="D883" t="str">
        <f>IF($A883&lt;&gt;"",MAESTRO!$C882,"")</f>
        <v/>
      </c>
      <c r="E883" t="str">
        <f>IF($A883&lt;&gt;"",MAESTRO!$M882,"")</f>
        <v/>
      </c>
      <c r="F883" t="str">
        <f>IF($A883&lt;&gt;"",MAESTRO!$J882,"")</f>
        <v/>
      </c>
      <c r="G883" t="str">
        <f>IF($A883&lt;&gt;"",MAESTRO!$D882,"")</f>
        <v/>
      </c>
      <c r="H883" t="str">
        <f>IF($A883&lt;&gt;"",IF(TRIM(MAESTRO!$G882&amp;" "&amp;MAESTRO!$H882&amp;" "&amp;MAESTRO!$I882)="",MAESTRO!$F882,TRIM(MAESTRO!$G882&amp;" "&amp;MAESTRO!$H882&amp;" "&amp;MAESTRO!$I882)),"")</f>
        <v/>
      </c>
      <c r="I883" t="str">
        <f>IF($A883&lt;&gt;"",MAESTRO!$K882,"")</f>
        <v/>
      </c>
      <c r="J883" t="str">
        <f>IF($A883&lt;&gt;"",883,"")</f>
        <v/>
      </c>
    </row>
    <row r="884" spans="1:10" x14ac:dyDescent="0.2">
      <c r="A884" t="str">
        <f>IF(AND(UPPER(MAESTRO!$M883)="VIP",UPPER(MAESTRO!$J883)="SI",MAESTRO!$F883&lt;&gt;""),MAESTRO!$P883,"")</f>
        <v/>
      </c>
      <c r="B884" t="str">
        <f>IF($A884&lt;&gt;"",MAESTRO!$B883,"")</f>
        <v/>
      </c>
      <c r="C884" t="str">
        <f>IF($A884&lt;&gt;"",MAESTRO!$A883,"")</f>
        <v/>
      </c>
      <c r="D884" t="str">
        <f>IF($A884&lt;&gt;"",MAESTRO!$C883,"")</f>
        <v/>
      </c>
      <c r="E884" t="str">
        <f>IF($A884&lt;&gt;"",MAESTRO!$M883,"")</f>
        <v/>
      </c>
      <c r="F884" t="str">
        <f>IF($A884&lt;&gt;"",MAESTRO!$J883,"")</f>
        <v/>
      </c>
      <c r="G884" t="str">
        <f>IF($A884&lt;&gt;"",MAESTRO!$D883,"")</f>
        <v/>
      </c>
      <c r="H884" t="str">
        <f>IF($A884&lt;&gt;"",IF(TRIM(MAESTRO!$G883&amp;" "&amp;MAESTRO!$H883&amp;" "&amp;MAESTRO!$I883)="",MAESTRO!$F883,TRIM(MAESTRO!$G883&amp;" "&amp;MAESTRO!$H883&amp;" "&amp;MAESTRO!$I883)),"")</f>
        <v/>
      </c>
      <c r="I884" t="str">
        <f>IF($A884&lt;&gt;"",MAESTRO!$K883,"")</f>
        <v/>
      </c>
      <c r="J884" t="str">
        <f>IF($A884&lt;&gt;"",884,"")</f>
        <v/>
      </c>
    </row>
    <row r="885" spans="1:10" x14ac:dyDescent="0.2">
      <c r="A885" t="str">
        <f>IF(AND(UPPER(MAESTRO!$M884)="VIP",UPPER(MAESTRO!$J884)="SI",MAESTRO!$F884&lt;&gt;""),MAESTRO!$P884,"")</f>
        <v/>
      </c>
      <c r="B885" t="str">
        <f>IF($A885&lt;&gt;"",MAESTRO!$B884,"")</f>
        <v/>
      </c>
      <c r="C885" t="str">
        <f>IF($A885&lt;&gt;"",MAESTRO!$A884,"")</f>
        <v/>
      </c>
      <c r="D885" t="str">
        <f>IF($A885&lt;&gt;"",MAESTRO!$C884,"")</f>
        <v/>
      </c>
      <c r="E885" t="str">
        <f>IF($A885&lt;&gt;"",MAESTRO!$M884,"")</f>
        <v/>
      </c>
      <c r="F885" t="str">
        <f>IF($A885&lt;&gt;"",MAESTRO!$J884,"")</f>
        <v/>
      </c>
      <c r="G885" t="str">
        <f>IF($A885&lt;&gt;"",MAESTRO!$D884,"")</f>
        <v/>
      </c>
      <c r="H885" t="str">
        <f>IF($A885&lt;&gt;"",IF(TRIM(MAESTRO!$G884&amp;" "&amp;MAESTRO!$H884&amp;" "&amp;MAESTRO!$I884)="",MAESTRO!$F884,TRIM(MAESTRO!$G884&amp;" "&amp;MAESTRO!$H884&amp;" "&amp;MAESTRO!$I884)),"")</f>
        <v/>
      </c>
      <c r="I885" t="str">
        <f>IF($A885&lt;&gt;"",MAESTRO!$K884,"")</f>
        <v/>
      </c>
      <c r="J885" t="str">
        <f>IF($A885&lt;&gt;"",885,"")</f>
        <v/>
      </c>
    </row>
    <row r="886" spans="1:10" x14ac:dyDescent="0.2">
      <c r="A886" t="str">
        <f>IF(AND(UPPER(MAESTRO!$M885)="VIP",UPPER(MAESTRO!$J885)="SI",MAESTRO!$F885&lt;&gt;""),MAESTRO!$P885,"")</f>
        <v/>
      </c>
      <c r="B886" t="str">
        <f>IF($A886&lt;&gt;"",MAESTRO!$B885,"")</f>
        <v/>
      </c>
      <c r="C886" t="str">
        <f>IF($A886&lt;&gt;"",MAESTRO!$A885,"")</f>
        <v/>
      </c>
      <c r="D886" t="str">
        <f>IF($A886&lt;&gt;"",MAESTRO!$C885,"")</f>
        <v/>
      </c>
      <c r="E886" t="str">
        <f>IF($A886&lt;&gt;"",MAESTRO!$M885,"")</f>
        <v/>
      </c>
      <c r="F886" t="str">
        <f>IF($A886&lt;&gt;"",MAESTRO!$J885,"")</f>
        <v/>
      </c>
      <c r="G886" t="str">
        <f>IF($A886&lt;&gt;"",MAESTRO!$D885,"")</f>
        <v/>
      </c>
      <c r="H886" t="str">
        <f>IF($A886&lt;&gt;"",IF(TRIM(MAESTRO!$G885&amp;" "&amp;MAESTRO!$H885&amp;" "&amp;MAESTRO!$I885)="",MAESTRO!$F885,TRIM(MAESTRO!$G885&amp;" "&amp;MAESTRO!$H885&amp;" "&amp;MAESTRO!$I885)),"")</f>
        <v/>
      </c>
      <c r="I886" t="str">
        <f>IF($A886&lt;&gt;"",MAESTRO!$K885,"")</f>
        <v/>
      </c>
      <c r="J886" t="str">
        <f>IF($A886&lt;&gt;"",886,"")</f>
        <v/>
      </c>
    </row>
    <row r="887" spans="1:10" x14ac:dyDescent="0.2">
      <c r="A887" t="str">
        <f>IF(AND(UPPER(MAESTRO!$M886)="VIP",UPPER(MAESTRO!$J886)="SI",MAESTRO!$F886&lt;&gt;""),MAESTRO!$P886,"")</f>
        <v/>
      </c>
      <c r="B887" t="str">
        <f>IF($A887&lt;&gt;"",MAESTRO!$B886,"")</f>
        <v/>
      </c>
      <c r="C887" t="str">
        <f>IF($A887&lt;&gt;"",MAESTRO!$A886,"")</f>
        <v/>
      </c>
      <c r="D887" t="str">
        <f>IF($A887&lt;&gt;"",MAESTRO!$C886,"")</f>
        <v/>
      </c>
      <c r="E887" t="str">
        <f>IF($A887&lt;&gt;"",MAESTRO!$M886,"")</f>
        <v/>
      </c>
      <c r="F887" t="str">
        <f>IF($A887&lt;&gt;"",MAESTRO!$J886,"")</f>
        <v/>
      </c>
      <c r="G887" t="str">
        <f>IF($A887&lt;&gt;"",MAESTRO!$D886,"")</f>
        <v/>
      </c>
      <c r="H887" t="str">
        <f>IF($A887&lt;&gt;"",IF(TRIM(MAESTRO!$G886&amp;" "&amp;MAESTRO!$H886&amp;" "&amp;MAESTRO!$I886)="",MAESTRO!$F886,TRIM(MAESTRO!$G886&amp;" "&amp;MAESTRO!$H886&amp;" "&amp;MAESTRO!$I886)),"")</f>
        <v/>
      </c>
      <c r="I887" t="str">
        <f>IF($A887&lt;&gt;"",MAESTRO!$K886,"")</f>
        <v/>
      </c>
      <c r="J887" t="str">
        <f>IF($A887&lt;&gt;"",887,"")</f>
        <v/>
      </c>
    </row>
    <row r="888" spans="1:10" x14ac:dyDescent="0.2">
      <c r="A888" t="str">
        <f>IF(AND(UPPER(MAESTRO!$M887)="VIP",UPPER(MAESTRO!$J887)="SI",MAESTRO!$F887&lt;&gt;""),MAESTRO!$P887,"")</f>
        <v/>
      </c>
      <c r="B888" t="str">
        <f>IF($A888&lt;&gt;"",MAESTRO!$B887,"")</f>
        <v/>
      </c>
      <c r="C888" t="str">
        <f>IF($A888&lt;&gt;"",MAESTRO!$A887,"")</f>
        <v/>
      </c>
      <c r="D888" t="str">
        <f>IF($A888&lt;&gt;"",MAESTRO!$C887,"")</f>
        <v/>
      </c>
      <c r="E888" t="str">
        <f>IF($A888&lt;&gt;"",MAESTRO!$M887,"")</f>
        <v/>
      </c>
      <c r="F888" t="str">
        <f>IF($A888&lt;&gt;"",MAESTRO!$J887,"")</f>
        <v/>
      </c>
      <c r="G888" t="str">
        <f>IF($A888&lt;&gt;"",MAESTRO!$D887,"")</f>
        <v/>
      </c>
      <c r="H888" t="str">
        <f>IF($A888&lt;&gt;"",IF(TRIM(MAESTRO!$G887&amp;" "&amp;MAESTRO!$H887&amp;" "&amp;MAESTRO!$I887)="",MAESTRO!$F887,TRIM(MAESTRO!$G887&amp;" "&amp;MAESTRO!$H887&amp;" "&amp;MAESTRO!$I887)),"")</f>
        <v/>
      </c>
      <c r="I888" t="str">
        <f>IF($A888&lt;&gt;"",MAESTRO!$K887,"")</f>
        <v/>
      </c>
      <c r="J888" t="str">
        <f>IF($A888&lt;&gt;"",888,"")</f>
        <v/>
      </c>
    </row>
    <row r="889" spans="1:10" x14ac:dyDescent="0.2">
      <c r="A889" t="str">
        <f>IF(AND(UPPER(MAESTRO!$M888)="VIP",UPPER(MAESTRO!$J888)="SI",MAESTRO!$F888&lt;&gt;""),MAESTRO!$P888,"")</f>
        <v/>
      </c>
      <c r="B889" t="str">
        <f>IF($A889&lt;&gt;"",MAESTRO!$B888,"")</f>
        <v/>
      </c>
      <c r="C889" t="str">
        <f>IF($A889&lt;&gt;"",MAESTRO!$A888,"")</f>
        <v/>
      </c>
      <c r="D889" t="str">
        <f>IF($A889&lt;&gt;"",MAESTRO!$C888,"")</f>
        <v/>
      </c>
      <c r="E889" t="str">
        <f>IF($A889&lt;&gt;"",MAESTRO!$M888,"")</f>
        <v/>
      </c>
      <c r="F889" t="str">
        <f>IF($A889&lt;&gt;"",MAESTRO!$J888,"")</f>
        <v/>
      </c>
      <c r="G889" t="str">
        <f>IF($A889&lt;&gt;"",MAESTRO!$D888,"")</f>
        <v/>
      </c>
      <c r="H889" t="str">
        <f>IF($A889&lt;&gt;"",IF(TRIM(MAESTRO!$G888&amp;" "&amp;MAESTRO!$H888&amp;" "&amp;MAESTRO!$I888)="",MAESTRO!$F888,TRIM(MAESTRO!$G888&amp;" "&amp;MAESTRO!$H888&amp;" "&amp;MAESTRO!$I888)),"")</f>
        <v/>
      </c>
      <c r="I889" t="str">
        <f>IF($A889&lt;&gt;"",MAESTRO!$K888,"")</f>
        <v/>
      </c>
      <c r="J889" t="str">
        <f>IF($A889&lt;&gt;"",889,"")</f>
        <v/>
      </c>
    </row>
    <row r="890" spans="1:10" x14ac:dyDescent="0.2">
      <c r="A890" t="str">
        <f>IF(AND(UPPER(MAESTRO!$M889)="VIP",UPPER(MAESTRO!$J889)="SI",MAESTRO!$F889&lt;&gt;""),MAESTRO!$P889,"")</f>
        <v/>
      </c>
      <c r="B890" t="str">
        <f>IF($A890&lt;&gt;"",MAESTRO!$B889,"")</f>
        <v/>
      </c>
      <c r="C890" t="str">
        <f>IF($A890&lt;&gt;"",MAESTRO!$A889,"")</f>
        <v/>
      </c>
      <c r="D890" t="str">
        <f>IF($A890&lt;&gt;"",MAESTRO!$C889,"")</f>
        <v/>
      </c>
      <c r="E890" t="str">
        <f>IF($A890&lt;&gt;"",MAESTRO!$M889,"")</f>
        <v/>
      </c>
      <c r="F890" t="str">
        <f>IF($A890&lt;&gt;"",MAESTRO!$J889,"")</f>
        <v/>
      </c>
      <c r="G890" t="str">
        <f>IF($A890&lt;&gt;"",MAESTRO!$D889,"")</f>
        <v/>
      </c>
      <c r="H890" t="str">
        <f>IF($A890&lt;&gt;"",IF(TRIM(MAESTRO!$G889&amp;" "&amp;MAESTRO!$H889&amp;" "&amp;MAESTRO!$I889)="",MAESTRO!$F889,TRIM(MAESTRO!$G889&amp;" "&amp;MAESTRO!$H889&amp;" "&amp;MAESTRO!$I889)),"")</f>
        <v/>
      </c>
      <c r="I890" t="str">
        <f>IF($A890&lt;&gt;"",MAESTRO!$K889,"")</f>
        <v/>
      </c>
      <c r="J890" t="str">
        <f>IF($A890&lt;&gt;"",890,"")</f>
        <v/>
      </c>
    </row>
    <row r="891" spans="1:10" x14ac:dyDescent="0.2">
      <c r="A891" t="str">
        <f>IF(AND(UPPER(MAESTRO!$M890)="VIP",UPPER(MAESTRO!$J890)="SI",MAESTRO!$F890&lt;&gt;""),MAESTRO!$P890,"")</f>
        <v/>
      </c>
      <c r="B891" t="str">
        <f>IF($A891&lt;&gt;"",MAESTRO!$B890,"")</f>
        <v/>
      </c>
      <c r="C891" t="str">
        <f>IF($A891&lt;&gt;"",MAESTRO!$A890,"")</f>
        <v/>
      </c>
      <c r="D891" t="str">
        <f>IF($A891&lt;&gt;"",MAESTRO!$C890,"")</f>
        <v/>
      </c>
      <c r="E891" t="str">
        <f>IF($A891&lt;&gt;"",MAESTRO!$M890,"")</f>
        <v/>
      </c>
      <c r="F891" t="str">
        <f>IF($A891&lt;&gt;"",MAESTRO!$J890,"")</f>
        <v/>
      </c>
      <c r="G891" t="str">
        <f>IF($A891&lt;&gt;"",MAESTRO!$D890,"")</f>
        <v/>
      </c>
      <c r="H891" t="str">
        <f>IF($A891&lt;&gt;"",IF(TRIM(MAESTRO!$G890&amp;" "&amp;MAESTRO!$H890&amp;" "&amp;MAESTRO!$I890)="",MAESTRO!$F890,TRIM(MAESTRO!$G890&amp;" "&amp;MAESTRO!$H890&amp;" "&amp;MAESTRO!$I890)),"")</f>
        <v/>
      </c>
      <c r="I891" t="str">
        <f>IF($A891&lt;&gt;"",MAESTRO!$K890,"")</f>
        <v/>
      </c>
      <c r="J891" t="str">
        <f>IF($A891&lt;&gt;"",891,"")</f>
        <v/>
      </c>
    </row>
    <row r="892" spans="1:10" x14ac:dyDescent="0.2">
      <c r="A892" t="str">
        <f>IF(AND(UPPER(MAESTRO!$M891)="VIP",UPPER(MAESTRO!$J891)="SI",MAESTRO!$F891&lt;&gt;""),MAESTRO!$P891,"")</f>
        <v/>
      </c>
      <c r="B892" t="str">
        <f>IF($A892&lt;&gt;"",MAESTRO!$B891,"")</f>
        <v/>
      </c>
      <c r="C892" t="str">
        <f>IF($A892&lt;&gt;"",MAESTRO!$A891,"")</f>
        <v/>
      </c>
      <c r="D892" t="str">
        <f>IF($A892&lt;&gt;"",MAESTRO!$C891,"")</f>
        <v/>
      </c>
      <c r="E892" t="str">
        <f>IF($A892&lt;&gt;"",MAESTRO!$M891,"")</f>
        <v/>
      </c>
      <c r="F892" t="str">
        <f>IF($A892&lt;&gt;"",MAESTRO!$J891,"")</f>
        <v/>
      </c>
      <c r="G892" t="str">
        <f>IF($A892&lt;&gt;"",MAESTRO!$D891,"")</f>
        <v/>
      </c>
      <c r="H892" t="str">
        <f>IF($A892&lt;&gt;"",IF(TRIM(MAESTRO!$G891&amp;" "&amp;MAESTRO!$H891&amp;" "&amp;MAESTRO!$I891)="",MAESTRO!$F891,TRIM(MAESTRO!$G891&amp;" "&amp;MAESTRO!$H891&amp;" "&amp;MAESTRO!$I891)),"")</f>
        <v/>
      </c>
      <c r="I892" t="str">
        <f>IF($A892&lt;&gt;"",MAESTRO!$K891,"")</f>
        <v/>
      </c>
      <c r="J892" t="str">
        <f>IF($A892&lt;&gt;"",892,"")</f>
        <v/>
      </c>
    </row>
    <row r="893" spans="1:10" x14ac:dyDescent="0.2">
      <c r="A893" t="str">
        <f>IF(AND(UPPER(MAESTRO!$M892)="VIP",UPPER(MAESTRO!$J892)="SI",MAESTRO!$F892&lt;&gt;""),MAESTRO!$P892,"")</f>
        <v/>
      </c>
      <c r="B893" t="str">
        <f>IF($A893&lt;&gt;"",MAESTRO!$B892,"")</f>
        <v/>
      </c>
      <c r="C893" t="str">
        <f>IF($A893&lt;&gt;"",MAESTRO!$A892,"")</f>
        <v/>
      </c>
      <c r="D893" t="str">
        <f>IF($A893&lt;&gt;"",MAESTRO!$C892,"")</f>
        <v/>
      </c>
      <c r="E893" t="str">
        <f>IF($A893&lt;&gt;"",MAESTRO!$M892,"")</f>
        <v/>
      </c>
      <c r="F893" t="str">
        <f>IF($A893&lt;&gt;"",MAESTRO!$J892,"")</f>
        <v/>
      </c>
      <c r="G893" t="str">
        <f>IF($A893&lt;&gt;"",MAESTRO!$D892,"")</f>
        <v/>
      </c>
      <c r="H893" t="str">
        <f>IF($A893&lt;&gt;"",IF(TRIM(MAESTRO!$G892&amp;" "&amp;MAESTRO!$H892&amp;" "&amp;MAESTRO!$I892)="",MAESTRO!$F892,TRIM(MAESTRO!$G892&amp;" "&amp;MAESTRO!$H892&amp;" "&amp;MAESTRO!$I892)),"")</f>
        <v/>
      </c>
      <c r="I893" t="str">
        <f>IF($A893&lt;&gt;"",MAESTRO!$K892,"")</f>
        <v/>
      </c>
      <c r="J893" t="str">
        <f>IF($A893&lt;&gt;"",893,"")</f>
        <v/>
      </c>
    </row>
    <row r="894" spans="1:10" x14ac:dyDescent="0.2">
      <c r="A894" t="str">
        <f>IF(AND(UPPER(MAESTRO!$M893)="VIP",UPPER(MAESTRO!$J893)="SI",MAESTRO!$F893&lt;&gt;""),MAESTRO!$P893,"")</f>
        <v/>
      </c>
      <c r="B894" t="str">
        <f>IF($A894&lt;&gt;"",MAESTRO!$B893,"")</f>
        <v/>
      </c>
      <c r="C894" t="str">
        <f>IF($A894&lt;&gt;"",MAESTRO!$A893,"")</f>
        <v/>
      </c>
      <c r="D894" t="str">
        <f>IF($A894&lt;&gt;"",MAESTRO!$C893,"")</f>
        <v/>
      </c>
      <c r="E894" t="str">
        <f>IF($A894&lt;&gt;"",MAESTRO!$M893,"")</f>
        <v/>
      </c>
      <c r="F894" t="str">
        <f>IF($A894&lt;&gt;"",MAESTRO!$J893,"")</f>
        <v/>
      </c>
      <c r="G894" t="str">
        <f>IF($A894&lt;&gt;"",MAESTRO!$D893,"")</f>
        <v/>
      </c>
      <c r="H894" t="str">
        <f>IF($A894&lt;&gt;"",IF(TRIM(MAESTRO!$G893&amp;" "&amp;MAESTRO!$H893&amp;" "&amp;MAESTRO!$I893)="",MAESTRO!$F893,TRIM(MAESTRO!$G893&amp;" "&amp;MAESTRO!$H893&amp;" "&amp;MAESTRO!$I893)),"")</f>
        <v/>
      </c>
      <c r="I894" t="str">
        <f>IF($A894&lt;&gt;"",MAESTRO!$K893,"")</f>
        <v/>
      </c>
      <c r="J894" t="str">
        <f>IF($A894&lt;&gt;"",894,"")</f>
        <v/>
      </c>
    </row>
    <row r="895" spans="1:10" x14ac:dyDescent="0.2">
      <c r="A895" t="str">
        <f>IF(AND(UPPER(MAESTRO!$M894)="VIP",UPPER(MAESTRO!$J894)="SI",MAESTRO!$F894&lt;&gt;""),MAESTRO!$P894,"")</f>
        <v/>
      </c>
      <c r="B895" t="str">
        <f>IF($A895&lt;&gt;"",MAESTRO!$B894,"")</f>
        <v/>
      </c>
      <c r="C895" t="str">
        <f>IF($A895&lt;&gt;"",MAESTRO!$A894,"")</f>
        <v/>
      </c>
      <c r="D895" t="str">
        <f>IF($A895&lt;&gt;"",MAESTRO!$C894,"")</f>
        <v/>
      </c>
      <c r="E895" t="str">
        <f>IF($A895&lt;&gt;"",MAESTRO!$M894,"")</f>
        <v/>
      </c>
      <c r="F895" t="str">
        <f>IF($A895&lt;&gt;"",MAESTRO!$J894,"")</f>
        <v/>
      </c>
      <c r="G895" t="str">
        <f>IF($A895&lt;&gt;"",MAESTRO!$D894,"")</f>
        <v/>
      </c>
      <c r="H895" t="str">
        <f>IF($A895&lt;&gt;"",IF(TRIM(MAESTRO!$G894&amp;" "&amp;MAESTRO!$H894&amp;" "&amp;MAESTRO!$I894)="",MAESTRO!$F894,TRIM(MAESTRO!$G894&amp;" "&amp;MAESTRO!$H894&amp;" "&amp;MAESTRO!$I894)),"")</f>
        <v/>
      </c>
      <c r="I895" t="str">
        <f>IF($A895&lt;&gt;"",MAESTRO!$K894,"")</f>
        <v/>
      </c>
      <c r="J895" t="str">
        <f>IF($A895&lt;&gt;"",895,"")</f>
        <v/>
      </c>
    </row>
    <row r="896" spans="1:10" x14ac:dyDescent="0.2">
      <c r="A896" t="str">
        <f>IF(AND(UPPER(MAESTRO!$M895)="VIP",UPPER(MAESTRO!$J895)="SI",MAESTRO!$F895&lt;&gt;""),MAESTRO!$P895,"")</f>
        <v/>
      </c>
      <c r="B896" t="str">
        <f>IF($A896&lt;&gt;"",MAESTRO!$B895,"")</f>
        <v/>
      </c>
      <c r="C896" t="str">
        <f>IF($A896&lt;&gt;"",MAESTRO!$A895,"")</f>
        <v/>
      </c>
      <c r="D896" t="str">
        <f>IF($A896&lt;&gt;"",MAESTRO!$C895,"")</f>
        <v/>
      </c>
      <c r="E896" t="str">
        <f>IF($A896&lt;&gt;"",MAESTRO!$M895,"")</f>
        <v/>
      </c>
      <c r="F896" t="str">
        <f>IF($A896&lt;&gt;"",MAESTRO!$J895,"")</f>
        <v/>
      </c>
      <c r="G896" t="str">
        <f>IF($A896&lt;&gt;"",MAESTRO!$D895,"")</f>
        <v/>
      </c>
      <c r="H896" t="str">
        <f>IF($A896&lt;&gt;"",IF(TRIM(MAESTRO!$G895&amp;" "&amp;MAESTRO!$H895&amp;" "&amp;MAESTRO!$I895)="",MAESTRO!$F895,TRIM(MAESTRO!$G895&amp;" "&amp;MAESTRO!$H895&amp;" "&amp;MAESTRO!$I895)),"")</f>
        <v/>
      </c>
      <c r="I896" t="str">
        <f>IF($A896&lt;&gt;"",MAESTRO!$K895,"")</f>
        <v/>
      </c>
      <c r="J896" t="str">
        <f>IF($A896&lt;&gt;"",896,"")</f>
        <v/>
      </c>
    </row>
    <row r="897" spans="1:10" x14ac:dyDescent="0.2">
      <c r="A897" t="str">
        <f>IF(AND(UPPER(MAESTRO!$M896)="VIP",UPPER(MAESTRO!$J896)="SI",MAESTRO!$F896&lt;&gt;""),MAESTRO!$P896,"")</f>
        <v/>
      </c>
      <c r="B897" t="str">
        <f>IF($A897&lt;&gt;"",MAESTRO!$B896,"")</f>
        <v/>
      </c>
      <c r="C897" t="str">
        <f>IF($A897&lt;&gt;"",MAESTRO!$A896,"")</f>
        <v/>
      </c>
      <c r="D897" t="str">
        <f>IF($A897&lt;&gt;"",MAESTRO!$C896,"")</f>
        <v/>
      </c>
      <c r="E897" t="str">
        <f>IF($A897&lt;&gt;"",MAESTRO!$M896,"")</f>
        <v/>
      </c>
      <c r="F897" t="str">
        <f>IF($A897&lt;&gt;"",MAESTRO!$J896,"")</f>
        <v/>
      </c>
      <c r="G897" t="str">
        <f>IF($A897&lt;&gt;"",MAESTRO!$D896,"")</f>
        <v/>
      </c>
      <c r="H897" t="str">
        <f>IF($A897&lt;&gt;"",IF(TRIM(MAESTRO!$G896&amp;" "&amp;MAESTRO!$H896&amp;" "&amp;MAESTRO!$I896)="",MAESTRO!$F896,TRIM(MAESTRO!$G896&amp;" "&amp;MAESTRO!$H896&amp;" "&amp;MAESTRO!$I896)),"")</f>
        <v/>
      </c>
      <c r="I897" t="str">
        <f>IF($A897&lt;&gt;"",MAESTRO!$K896,"")</f>
        <v/>
      </c>
      <c r="J897" t="str">
        <f>IF($A897&lt;&gt;"",897,"")</f>
        <v/>
      </c>
    </row>
    <row r="898" spans="1:10" x14ac:dyDescent="0.2">
      <c r="A898" t="str">
        <f>IF(AND(UPPER(MAESTRO!$M897)="VIP",UPPER(MAESTRO!$J897)="SI",MAESTRO!$F897&lt;&gt;""),MAESTRO!$P897,"")</f>
        <v/>
      </c>
      <c r="B898" t="str">
        <f>IF($A898&lt;&gt;"",MAESTRO!$B897,"")</f>
        <v/>
      </c>
      <c r="C898" t="str">
        <f>IF($A898&lt;&gt;"",MAESTRO!$A897,"")</f>
        <v/>
      </c>
      <c r="D898" t="str">
        <f>IF($A898&lt;&gt;"",MAESTRO!$C897,"")</f>
        <v/>
      </c>
      <c r="E898" t="str">
        <f>IF($A898&lt;&gt;"",MAESTRO!$M897,"")</f>
        <v/>
      </c>
      <c r="F898" t="str">
        <f>IF($A898&lt;&gt;"",MAESTRO!$J897,"")</f>
        <v/>
      </c>
      <c r="G898" t="str">
        <f>IF($A898&lt;&gt;"",MAESTRO!$D897,"")</f>
        <v/>
      </c>
      <c r="H898" t="str">
        <f>IF($A898&lt;&gt;"",IF(TRIM(MAESTRO!$G897&amp;" "&amp;MAESTRO!$H897&amp;" "&amp;MAESTRO!$I897)="",MAESTRO!$F897,TRIM(MAESTRO!$G897&amp;" "&amp;MAESTRO!$H897&amp;" "&amp;MAESTRO!$I897)),"")</f>
        <v/>
      </c>
      <c r="I898" t="str">
        <f>IF($A898&lt;&gt;"",MAESTRO!$K897,"")</f>
        <v/>
      </c>
      <c r="J898" t="str">
        <f>IF($A898&lt;&gt;"",898,"")</f>
        <v/>
      </c>
    </row>
    <row r="899" spans="1:10" x14ac:dyDescent="0.2">
      <c r="A899" t="str">
        <f>IF(AND(UPPER(MAESTRO!$M898)="VIP",UPPER(MAESTRO!$J898)="SI",MAESTRO!$F898&lt;&gt;""),MAESTRO!$P898,"")</f>
        <v/>
      </c>
      <c r="B899" t="str">
        <f>IF($A899&lt;&gt;"",MAESTRO!$B898,"")</f>
        <v/>
      </c>
      <c r="C899" t="str">
        <f>IF($A899&lt;&gt;"",MAESTRO!$A898,"")</f>
        <v/>
      </c>
      <c r="D899" t="str">
        <f>IF($A899&lt;&gt;"",MAESTRO!$C898,"")</f>
        <v/>
      </c>
      <c r="E899" t="str">
        <f>IF($A899&lt;&gt;"",MAESTRO!$M898,"")</f>
        <v/>
      </c>
      <c r="F899" t="str">
        <f>IF($A899&lt;&gt;"",MAESTRO!$J898,"")</f>
        <v/>
      </c>
      <c r="G899" t="str">
        <f>IF($A899&lt;&gt;"",MAESTRO!$D898,"")</f>
        <v/>
      </c>
      <c r="H899" t="str">
        <f>IF($A899&lt;&gt;"",IF(TRIM(MAESTRO!$G898&amp;" "&amp;MAESTRO!$H898&amp;" "&amp;MAESTRO!$I898)="",MAESTRO!$F898,TRIM(MAESTRO!$G898&amp;" "&amp;MAESTRO!$H898&amp;" "&amp;MAESTRO!$I898)),"")</f>
        <v/>
      </c>
      <c r="I899" t="str">
        <f>IF($A899&lt;&gt;"",MAESTRO!$K898,"")</f>
        <v/>
      </c>
      <c r="J899" t="str">
        <f>IF($A899&lt;&gt;"",899,"")</f>
        <v/>
      </c>
    </row>
    <row r="900" spans="1:10" x14ac:dyDescent="0.2">
      <c r="A900" t="str">
        <f>IF(AND(UPPER(MAESTRO!$M899)="VIP",UPPER(MAESTRO!$J899)="SI",MAESTRO!$F899&lt;&gt;""),MAESTRO!$P899,"")</f>
        <v/>
      </c>
      <c r="B900" t="str">
        <f>IF($A900&lt;&gt;"",MAESTRO!$B899,"")</f>
        <v/>
      </c>
      <c r="C900" t="str">
        <f>IF($A900&lt;&gt;"",MAESTRO!$A899,"")</f>
        <v/>
      </c>
      <c r="D900" t="str">
        <f>IF($A900&lt;&gt;"",MAESTRO!$C899,"")</f>
        <v/>
      </c>
      <c r="E900" t="str">
        <f>IF($A900&lt;&gt;"",MAESTRO!$M899,"")</f>
        <v/>
      </c>
      <c r="F900" t="str">
        <f>IF($A900&lt;&gt;"",MAESTRO!$J899,"")</f>
        <v/>
      </c>
      <c r="G900" t="str">
        <f>IF($A900&lt;&gt;"",MAESTRO!$D899,"")</f>
        <v/>
      </c>
      <c r="H900" t="str">
        <f>IF($A900&lt;&gt;"",IF(TRIM(MAESTRO!$G899&amp;" "&amp;MAESTRO!$H899&amp;" "&amp;MAESTRO!$I899)="",MAESTRO!$F899,TRIM(MAESTRO!$G899&amp;" "&amp;MAESTRO!$H899&amp;" "&amp;MAESTRO!$I899)),"")</f>
        <v/>
      </c>
      <c r="I900" t="str">
        <f>IF($A900&lt;&gt;"",MAESTRO!$K899,"")</f>
        <v/>
      </c>
      <c r="J900" t="str">
        <f>IF($A900&lt;&gt;"",900,"")</f>
        <v/>
      </c>
    </row>
    <row r="901" spans="1:10" x14ac:dyDescent="0.2">
      <c r="A901" t="str">
        <f>IF(AND(UPPER(MAESTRO!$M900)="VIP",UPPER(MAESTRO!$J900)="SI",MAESTRO!$F900&lt;&gt;""),MAESTRO!$P900,"")</f>
        <v/>
      </c>
      <c r="B901" t="str">
        <f>IF($A901&lt;&gt;"",MAESTRO!$B900,"")</f>
        <v/>
      </c>
      <c r="C901" t="str">
        <f>IF($A901&lt;&gt;"",MAESTRO!$A900,"")</f>
        <v/>
      </c>
      <c r="D901" t="str">
        <f>IF($A901&lt;&gt;"",MAESTRO!$C900,"")</f>
        <v/>
      </c>
      <c r="E901" t="str">
        <f>IF($A901&lt;&gt;"",MAESTRO!$M900,"")</f>
        <v/>
      </c>
      <c r="F901" t="str">
        <f>IF($A901&lt;&gt;"",MAESTRO!$J900,"")</f>
        <v/>
      </c>
      <c r="G901" t="str">
        <f>IF($A901&lt;&gt;"",MAESTRO!$D900,"")</f>
        <v/>
      </c>
      <c r="H901" t="str">
        <f>IF($A901&lt;&gt;"",IF(TRIM(MAESTRO!$G900&amp;" "&amp;MAESTRO!$H900&amp;" "&amp;MAESTRO!$I900)="",MAESTRO!$F900,TRIM(MAESTRO!$G900&amp;" "&amp;MAESTRO!$H900&amp;" "&amp;MAESTRO!$I900)),"")</f>
        <v/>
      </c>
      <c r="I901" t="str">
        <f>IF($A901&lt;&gt;"",MAESTRO!$K900,"")</f>
        <v/>
      </c>
      <c r="J901" t="str">
        <f>IF($A901&lt;&gt;"",901,"")</f>
        <v/>
      </c>
    </row>
    <row r="902" spans="1:10" x14ac:dyDescent="0.2">
      <c r="A902" t="str">
        <f>IF(AND(UPPER(MAESTRO!$M901)="VIP",UPPER(MAESTRO!$J901)="SI",MAESTRO!$F901&lt;&gt;""),MAESTRO!$P901,"")</f>
        <v/>
      </c>
      <c r="B902" t="str">
        <f>IF($A902&lt;&gt;"",MAESTRO!$B901,"")</f>
        <v/>
      </c>
      <c r="C902" t="str">
        <f>IF($A902&lt;&gt;"",MAESTRO!$A901,"")</f>
        <v/>
      </c>
      <c r="D902" t="str">
        <f>IF($A902&lt;&gt;"",MAESTRO!$C901,"")</f>
        <v/>
      </c>
      <c r="E902" t="str">
        <f>IF($A902&lt;&gt;"",MAESTRO!$M901,"")</f>
        <v/>
      </c>
      <c r="F902" t="str">
        <f>IF($A902&lt;&gt;"",MAESTRO!$J901,"")</f>
        <v/>
      </c>
      <c r="G902" t="str">
        <f>IF($A902&lt;&gt;"",MAESTRO!$D901,"")</f>
        <v/>
      </c>
      <c r="H902" t="str">
        <f>IF($A902&lt;&gt;"",IF(TRIM(MAESTRO!$G901&amp;" "&amp;MAESTRO!$H901&amp;" "&amp;MAESTRO!$I901)="",MAESTRO!$F901,TRIM(MAESTRO!$G901&amp;" "&amp;MAESTRO!$H901&amp;" "&amp;MAESTRO!$I901)),"")</f>
        <v/>
      </c>
      <c r="I902" t="str">
        <f>IF($A902&lt;&gt;"",MAESTRO!$K901,"")</f>
        <v/>
      </c>
      <c r="J902" t="str">
        <f>IF($A902&lt;&gt;"",902,"")</f>
        <v/>
      </c>
    </row>
    <row r="903" spans="1:10" x14ac:dyDescent="0.2">
      <c r="A903" t="str">
        <f>IF(AND(UPPER(MAESTRO!$M902)="VIP",UPPER(MAESTRO!$J902)="SI",MAESTRO!$F902&lt;&gt;""),MAESTRO!$P902,"")</f>
        <v/>
      </c>
      <c r="B903" t="str">
        <f>IF($A903&lt;&gt;"",MAESTRO!$B902,"")</f>
        <v/>
      </c>
      <c r="C903" t="str">
        <f>IF($A903&lt;&gt;"",MAESTRO!$A902,"")</f>
        <v/>
      </c>
      <c r="D903" t="str">
        <f>IF($A903&lt;&gt;"",MAESTRO!$C902,"")</f>
        <v/>
      </c>
      <c r="E903" t="str">
        <f>IF($A903&lt;&gt;"",MAESTRO!$M902,"")</f>
        <v/>
      </c>
      <c r="F903" t="str">
        <f>IF($A903&lt;&gt;"",MAESTRO!$J902,"")</f>
        <v/>
      </c>
      <c r="G903" t="str">
        <f>IF($A903&lt;&gt;"",MAESTRO!$D902,"")</f>
        <v/>
      </c>
      <c r="H903" t="str">
        <f>IF($A903&lt;&gt;"",IF(TRIM(MAESTRO!$G902&amp;" "&amp;MAESTRO!$H902&amp;" "&amp;MAESTRO!$I902)="",MAESTRO!$F902,TRIM(MAESTRO!$G902&amp;" "&amp;MAESTRO!$H902&amp;" "&amp;MAESTRO!$I902)),"")</f>
        <v/>
      </c>
      <c r="I903" t="str">
        <f>IF($A903&lt;&gt;"",MAESTRO!$K902,"")</f>
        <v/>
      </c>
      <c r="J903" t="str">
        <f>IF($A903&lt;&gt;"",903,"")</f>
        <v/>
      </c>
    </row>
    <row r="904" spans="1:10" x14ac:dyDescent="0.2">
      <c r="A904" t="str">
        <f>IF(AND(UPPER(MAESTRO!$M903)="VIP",UPPER(MAESTRO!$J903)="SI",MAESTRO!$F903&lt;&gt;""),MAESTRO!$P903,"")</f>
        <v/>
      </c>
      <c r="B904" t="str">
        <f>IF($A904&lt;&gt;"",MAESTRO!$B903,"")</f>
        <v/>
      </c>
      <c r="C904" t="str">
        <f>IF($A904&lt;&gt;"",MAESTRO!$A903,"")</f>
        <v/>
      </c>
      <c r="D904" t="str">
        <f>IF($A904&lt;&gt;"",MAESTRO!$C903,"")</f>
        <v/>
      </c>
      <c r="E904" t="str">
        <f>IF($A904&lt;&gt;"",MAESTRO!$M903,"")</f>
        <v/>
      </c>
      <c r="F904" t="str">
        <f>IF($A904&lt;&gt;"",MAESTRO!$J903,"")</f>
        <v/>
      </c>
      <c r="G904" t="str">
        <f>IF($A904&lt;&gt;"",MAESTRO!$D903,"")</f>
        <v/>
      </c>
      <c r="H904" t="str">
        <f>IF($A904&lt;&gt;"",IF(TRIM(MAESTRO!$G903&amp;" "&amp;MAESTRO!$H903&amp;" "&amp;MAESTRO!$I903)="",MAESTRO!$F903,TRIM(MAESTRO!$G903&amp;" "&amp;MAESTRO!$H903&amp;" "&amp;MAESTRO!$I903)),"")</f>
        <v/>
      </c>
      <c r="I904" t="str">
        <f>IF($A904&lt;&gt;"",MAESTRO!$K903,"")</f>
        <v/>
      </c>
      <c r="J904" t="str">
        <f>IF($A904&lt;&gt;"",904,"")</f>
        <v/>
      </c>
    </row>
    <row r="905" spans="1:10" x14ac:dyDescent="0.2">
      <c r="A905" t="str">
        <f>IF(AND(UPPER(MAESTRO!$M904)="VIP",UPPER(MAESTRO!$J904)="SI",MAESTRO!$F904&lt;&gt;""),MAESTRO!$P904,"")</f>
        <v/>
      </c>
      <c r="B905" t="str">
        <f>IF($A905&lt;&gt;"",MAESTRO!$B904,"")</f>
        <v/>
      </c>
      <c r="C905" t="str">
        <f>IF($A905&lt;&gt;"",MAESTRO!$A904,"")</f>
        <v/>
      </c>
      <c r="D905" t="str">
        <f>IF($A905&lt;&gt;"",MAESTRO!$C904,"")</f>
        <v/>
      </c>
      <c r="E905" t="str">
        <f>IF($A905&lt;&gt;"",MAESTRO!$M904,"")</f>
        <v/>
      </c>
      <c r="F905" t="str">
        <f>IF($A905&lt;&gt;"",MAESTRO!$J904,"")</f>
        <v/>
      </c>
      <c r="G905" t="str">
        <f>IF($A905&lt;&gt;"",MAESTRO!$D904,"")</f>
        <v/>
      </c>
      <c r="H905" t="str">
        <f>IF($A905&lt;&gt;"",IF(TRIM(MAESTRO!$G904&amp;" "&amp;MAESTRO!$H904&amp;" "&amp;MAESTRO!$I904)="",MAESTRO!$F904,TRIM(MAESTRO!$G904&amp;" "&amp;MAESTRO!$H904&amp;" "&amp;MAESTRO!$I904)),"")</f>
        <v/>
      </c>
      <c r="I905" t="str">
        <f>IF($A905&lt;&gt;"",MAESTRO!$K904,"")</f>
        <v/>
      </c>
      <c r="J905" t="str">
        <f>IF($A905&lt;&gt;"",905,"")</f>
        <v/>
      </c>
    </row>
    <row r="906" spans="1:10" x14ac:dyDescent="0.2">
      <c r="A906" t="str">
        <f>IF(AND(UPPER(MAESTRO!$M905)="VIP",UPPER(MAESTRO!$J905)="SI",MAESTRO!$F905&lt;&gt;""),MAESTRO!$P905,"")</f>
        <v/>
      </c>
      <c r="B906" t="str">
        <f>IF($A906&lt;&gt;"",MAESTRO!$B905,"")</f>
        <v/>
      </c>
      <c r="C906" t="str">
        <f>IF($A906&lt;&gt;"",MAESTRO!$A905,"")</f>
        <v/>
      </c>
      <c r="D906" t="str">
        <f>IF($A906&lt;&gt;"",MAESTRO!$C905,"")</f>
        <v/>
      </c>
      <c r="E906" t="str">
        <f>IF($A906&lt;&gt;"",MAESTRO!$M905,"")</f>
        <v/>
      </c>
      <c r="F906" t="str">
        <f>IF($A906&lt;&gt;"",MAESTRO!$J905,"")</f>
        <v/>
      </c>
      <c r="G906" t="str">
        <f>IF($A906&lt;&gt;"",MAESTRO!$D905,"")</f>
        <v/>
      </c>
      <c r="H906" t="str">
        <f>IF($A906&lt;&gt;"",IF(TRIM(MAESTRO!$G905&amp;" "&amp;MAESTRO!$H905&amp;" "&amp;MAESTRO!$I905)="",MAESTRO!$F905,TRIM(MAESTRO!$G905&amp;" "&amp;MAESTRO!$H905&amp;" "&amp;MAESTRO!$I905)),"")</f>
        <v/>
      </c>
      <c r="I906" t="str">
        <f>IF($A906&lt;&gt;"",MAESTRO!$K905,"")</f>
        <v/>
      </c>
      <c r="J906" t="str">
        <f>IF($A906&lt;&gt;"",906,"")</f>
        <v/>
      </c>
    </row>
    <row r="907" spans="1:10" x14ac:dyDescent="0.2">
      <c r="A907" t="str">
        <f>IF(AND(UPPER(MAESTRO!$M906)="VIP",UPPER(MAESTRO!$J906)="SI",MAESTRO!$F906&lt;&gt;""),MAESTRO!$P906,"")</f>
        <v/>
      </c>
      <c r="B907" t="str">
        <f>IF($A907&lt;&gt;"",MAESTRO!$B906,"")</f>
        <v/>
      </c>
      <c r="C907" t="str">
        <f>IF($A907&lt;&gt;"",MAESTRO!$A906,"")</f>
        <v/>
      </c>
      <c r="D907" t="str">
        <f>IF($A907&lt;&gt;"",MAESTRO!$C906,"")</f>
        <v/>
      </c>
      <c r="E907" t="str">
        <f>IF($A907&lt;&gt;"",MAESTRO!$M906,"")</f>
        <v/>
      </c>
      <c r="F907" t="str">
        <f>IF($A907&lt;&gt;"",MAESTRO!$J906,"")</f>
        <v/>
      </c>
      <c r="G907" t="str">
        <f>IF($A907&lt;&gt;"",MAESTRO!$D906,"")</f>
        <v/>
      </c>
      <c r="H907" t="str">
        <f>IF($A907&lt;&gt;"",IF(TRIM(MAESTRO!$G906&amp;" "&amp;MAESTRO!$H906&amp;" "&amp;MAESTRO!$I906)="",MAESTRO!$F906,TRIM(MAESTRO!$G906&amp;" "&amp;MAESTRO!$H906&amp;" "&amp;MAESTRO!$I906)),"")</f>
        <v/>
      </c>
      <c r="I907" t="str">
        <f>IF($A907&lt;&gt;"",MAESTRO!$K906,"")</f>
        <v/>
      </c>
      <c r="J907" t="str">
        <f>IF($A907&lt;&gt;"",907,"")</f>
        <v/>
      </c>
    </row>
    <row r="908" spans="1:10" x14ac:dyDescent="0.2">
      <c r="A908" t="str">
        <f>IF(AND(UPPER(MAESTRO!$M907)="VIP",UPPER(MAESTRO!$J907)="SI",MAESTRO!$F907&lt;&gt;""),MAESTRO!$P907,"")</f>
        <v/>
      </c>
      <c r="B908" t="str">
        <f>IF($A908&lt;&gt;"",MAESTRO!$B907,"")</f>
        <v/>
      </c>
      <c r="C908" t="str">
        <f>IF($A908&lt;&gt;"",MAESTRO!$A907,"")</f>
        <v/>
      </c>
      <c r="D908" t="str">
        <f>IF($A908&lt;&gt;"",MAESTRO!$C907,"")</f>
        <v/>
      </c>
      <c r="E908" t="str">
        <f>IF($A908&lt;&gt;"",MAESTRO!$M907,"")</f>
        <v/>
      </c>
      <c r="F908" t="str">
        <f>IF($A908&lt;&gt;"",MAESTRO!$J907,"")</f>
        <v/>
      </c>
      <c r="G908" t="str">
        <f>IF($A908&lt;&gt;"",MAESTRO!$D907,"")</f>
        <v/>
      </c>
      <c r="H908" t="str">
        <f>IF($A908&lt;&gt;"",IF(TRIM(MAESTRO!$G907&amp;" "&amp;MAESTRO!$H907&amp;" "&amp;MAESTRO!$I907)="",MAESTRO!$F907,TRIM(MAESTRO!$G907&amp;" "&amp;MAESTRO!$H907&amp;" "&amp;MAESTRO!$I907)),"")</f>
        <v/>
      </c>
      <c r="I908" t="str">
        <f>IF($A908&lt;&gt;"",MAESTRO!$K907,"")</f>
        <v/>
      </c>
      <c r="J908" t="str">
        <f>IF($A908&lt;&gt;"",908,"")</f>
        <v/>
      </c>
    </row>
    <row r="909" spans="1:10" x14ac:dyDescent="0.2">
      <c r="A909" t="str">
        <f>IF(AND(UPPER(MAESTRO!$M908)="VIP",UPPER(MAESTRO!$J908)="SI",MAESTRO!$F908&lt;&gt;""),MAESTRO!$P908,"")</f>
        <v/>
      </c>
      <c r="B909" t="str">
        <f>IF($A909&lt;&gt;"",MAESTRO!$B908,"")</f>
        <v/>
      </c>
      <c r="C909" t="str">
        <f>IF($A909&lt;&gt;"",MAESTRO!$A908,"")</f>
        <v/>
      </c>
      <c r="D909" t="str">
        <f>IF($A909&lt;&gt;"",MAESTRO!$C908,"")</f>
        <v/>
      </c>
      <c r="E909" t="str">
        <f>IF($A909&lt;&gt;"",MAESTRO!$M908,"")</f>
        <v/>
      </c>
      <c r="F909" t="str">
        <f>IF($A909&lt;&gt;"",MAESTRO!$J908,"")</f>
        <v/>
      </c>
      <c r="G909" t="str">
        <f>IF($A909&lt;&gt;"",MAESTRO!$D908,"")</f>
        <v/>
      </c>
      <c r="H909" t="str">
        <f>IF($A909&lt;&gt;"",IF(TRIM(MAESTRO!$G908&amp;" "&amp;MAESTRO!$H908&amp;" "&amp;MAESTRO!$I908)="",MAESTRO!$F908,TRIM(MAESTRO!$G908&amp;" "&amp;MAESTRO!$H908&amp;" "&amp;MAESTRO!$I908)),"")</f>
        <v/>
      </c>
      <c r="I909" t="str">
        <f>IF($A909&lt;&gt;"",MAESTRO!$K908,"")</f>
        <v/>
      </c>
      <c r="J909" t="str">
        <f>IF($A909&lt;&gt;"",909,"")</f>
        <v/>
      </c>
    </row>
    <row r="910" spans="1:10" x14ac:dyDescent="0.2">
      <c r="A910" t="str">
        <f>IF(AND(UPPER(MAESTRO!$M909)="VIP",UPPER(MAESTRO!$J909)="SI",MAESTRO!$F909&lt;&gt;""),MAESTRO!$P909,"")</f>
        <v/>
      </c>
      <c r="B910" t="str">
        <f>IF($A910&lt;&gt;"",MAESTRO!$B909,"")</f>
        <v/>
      </c>
      <c r="C910" t="str">
        <f>IF($A910&lt;&gt;"",MAESTRO!$A909,"")</f>
        <v/>
      </c>
      <c r="D910" t="str">
        <f>IF($A910&lt;&gt;"",MAESTRO!$C909,"")</f>
        <v/>
      </c>
      <c r="E910" t="str">
        <f>IF($A910&lt;&gt;"",MAESTRO!$M909,"")</f>
        <v/>
      </c>
      <c r="F910" t="str">
        <f>IF($A910&lt;&gt;"",MAESTRO!$J909,"")</f>
        <v/>
      </c>
      <c r="G910" t="str">
        <f>IF($A910&lt;&gt;"",MAESTRO!$D909,"")</f>
        <v/>
      </c>
      <c r="H910" t="str">
        <f>IF($A910&lt;&gt;"",IF(TRIM(MAESTRO!$G909&amp;" "&amp;MAESTRO!$H909&amp;" "&amp;MAESTRO!$I909)="",MAESTRO!$F909,TRIM(MAESTRO!$G909&amp;" "&amp;MAESTRO!$H909&amp;" "&amp;MAESTRO!$I909)),"")</f>
        <v/>
      </c>
      <c r="I910" t="str">
        <f>IF($A910&lt;&gt;"",MAESTRO!$K909,"")</f>
        <v/>
      </c>
      <c r="J910" t="str">
        <f>IF($A910&lt;&gt;"",910,"")</f>
        <v/>
      </c>
    </row>
    <row r="911" spans="1:10" x14ac:dyDescent="0.2">
      <c r="A911" t="str">
        <f>IF(AND(UPPER(MAESTRO!$M910)="VIP",UPPER(MAESTRO!$J910)="SI",MAESTRO!$F910&lt;&gt;""),MAESTRO!$P910,"")</f>
        <v/>
      </c>
      <c r="B911" t="str">
        <f>IF($A911&lt;&gt;"",MAESTRO!$B910,"")</f>
        <v/>
      </c>
      <c r="C911" t="str">
        <f>IF($A911&lt;&gt;"",MAESTRO!$A910,"")</f>
        <v/>
      </c>
      <c r="D911" t="str">
        <f>IF($A911&lt;&gt;"",MAESTRO!$C910,"")</f>
        <v/>
      </c>
      <c r="E911" t="str">
        <f>IF($A911&lt;&gt;"",MAESTRO!$M910,"")</f>
        <v/>
      </c>
      <c r="F911" t="str">
        <f>IF($A911&lt;&gt;"",MAESTRO!$J910,"")</f>
        <v/>
      </c>
      <c r="G911" t="str">
        <f>IF($A911&lt;&gt;"",MAESTRO!$D910,"")</f>
        <v/>
      </c>
      <c r="H911" t="str">
        <f>IF($A911&lt;&gt;"",IF(TRIM(MAESTRO!$G910&amp;" "&amp;MAESTRO!$H910&amp;" "&amp;MAESTRO!$I910)="",MAESTRO!$F910,TRIM(MAESTRO!$G910&amp;" "&amp;MAESTRO!$H910&amp;" "&amp;MAESTRO!$I910)),"")</f>
        <v/>
      </c>
      <c r="I911" t="str">
        <f>IF($A911&lt;&gt;"",MAESTRO!$K910,"")</f>
        <v/>
      </c>
      <c r="J911" t="str">
        <f>IF($A911&lt;&gt;"",911,"")</f>
        <v/>
      </c>
    </row>
    <row r="912" spans="1:10" x14ac:dyDescent="0.2">
      <c r="A912" t="str">
        <f>IF(AND(UPPER(MAESTRO!$M911)="VIP",UPPER(MAESTRO!$J911)="SI",MAESTRO!$F911&lt;&gt;""),MAESTRO!$P911,"")</f>
        <v/>
      </c>
      <c r="B912" t="str">
        <f>IF($A912&lt;&gt;"",MAESTRO!$B911,"")</f>
        <v/>
      </c>
      <c r="C912" t="str">
        <f>IF($A912&lt;&gt;"",MAESTRO!$A911,"")</f>
        <v/>
      </c>
      <c r="D912" t="str">
        <f>IF($A912&lt;&gt;"",MAESTRO!$C911,"")</f>
        <v/>
      </c>
      <c r="E912" t="str">
        <f>IF($A912&lt;&gt;"",MAESTRO!$M911,"")</f>
        <v/>
      </c>
      <c r="F912" t="str">
        <f>IF($A912&lt;&gt;"",MAESTRO!$J911,"")</f>
        <v/>
      </c>
      <c r="G912" t="str">
        <f>IF($A912&lt;&gt;"",MAESTRO!$D911,"")</f>
        <v/>
      </c>
      <c r="H912" t="str">
        <f>IF($A912&lt;&gt;"",IF(TRIM(MAESTRO!$G911&amp;" "&amp;MAESTRO!$H911&amp;" "&amp;MAESTRO!$I911)="",MAESTRO!$F911,TRIM(MAESTRO!$G911&amp;" "&amp;MAESTRO!$H911&amp;" "&amp;MAESTRO!$I911)),"")</f>
        <v/>
      </c>
      <c r="I912" t="str">
        <f>IF($A912&lt;&gt;"",MAESTRO!$K911,"")</f>
        <v/>
      </c>
      <c r="J912" t="str">
        <f>IF($A912&lt;&gt;"",912,"")</f>
        <v/>
      </c>
    </row>
    <row r="913" spans="1:10" x14ac:dyDescent="0.2">
      <c r="A913" t="str">
        <f>IF(AND(UPPER(MAESTRO!$M912)="VIP",UPPER(MAESTRO!$J912)="SI",MAESTRO!$F912&lt;&gt;""),MAESTRO!$P912,"")</f>
        <v/>
      </c>
      <c r="B913" t="str">
        <f>IF($A913&lt;&gt;"",MAESTRO!$B912,"")</f>
        <v/>
      </c>
      <c r="C913" t="str">
        <f>IF($A913&lt;&gt;"",MAESTRO!$A912,"")</f>
        <v/>
      </c>
      <c r="D913" t="str">
        <f>IF($A913&lt;&gt;"",MAESTRO!$C912,"")</f>
        <v/>
      </c>
      <c r="E913" t="str">
        <f>IF($A913&lt;&gt;"",MAESTRO!$M912,"")</f>
        <v/>
      </c>
      <c r="F913" t="str">
        <f>IF($A913&lt;&gt;"",MAESTRO!$J912,"")</f>
        <v/>
      </c>
      <c r="G913" t="str">
        <f>IF($A913&lt;&gt;"",MAESTRO!$D912,"")</f>
        <v/>
      </c>
      <c r="H913" t="str">
        <f>IF($A913&lt;&gt;"",IF(TRIM(MAESTRO!$G912&amp;" "&amp;MAESTRO!$H912&amp;" "&amp;MAESTRO!$I912)="",MAESTRO!$F912,TRIM(MAESTRO!$G912&amp;" "&amp;MAESTRO!$H912&amp;" "&amp;MAESTRO!$I912)),"")</f>
        <v/>
      </c>
      <c r="I913" t="str">
        <f>IF($A913&lt;&gt;"",MAESTRO!$K912,"")</f>
        <v/>
      </c>
      <c r="J913" t="str">
        <f>IF($A913&lt;&gt;"",913,"")</f>
        <v/>
      </c>
    </row>
    <row r="914" spans="1:10" x14ac:dyDescent="0.2">
      <c r="A914" t="str">
        <f>IF(AND(UPPER(MAESTRO!$M913)="VIP",UPPER(MAESTRO!$J913)="SI",MAESTRO!$F913&lt;&gt;""),MAESTRO!$P913,"")</f>
        <v/>
      </c>
      <c r="B914" t="str">
        <f>IF($A914&lt;&gt;"",MAESTRO!$B913,"")</f>
        <v/>
      </c>
      <c r="C914" t="str">
        <f>IF($A914&lt;&gt;"",MAESTRO!$A913,"")</f>
        <v/>
      </c>
      <c r="D914" t="str">
        <f>IF($A914&lt;&gt;"",MAESTRO!$C913,"")</f>
        <v/>
      </c>
      <c r="E914" t="str">
        <f>IF($A914&lt;&gt;"",MAESTRO!$M913,"")</f>
        <v/>
      </c>
      <c r="F914" t="str">
        <f>IF($A914&lt;&gt;"",MAESTRO!$J913,"")</f>
        <v/>
      </c>
      <c r="G914" t="str">
        <f>IF($A914&lt;&gt;"",MAESTRO!$D913,"")</f>
        <v/>
      </c>
      <c r="H914" t="str">
        <f>IF($A914&lt;&gt;"",IF(TRIM(MAESTRO!$G913&amp;" "&amp;MAESTRO!$H913&amp;" "&amp;MAESTRO!$I913)="",MAESTRO!$F913,TRIM(MAESTRO!$G913&amp;" "&amp;MAESTRO!$H913&amp;" "&amp;MAESTRO!$I913)),"")</f>
        <v/>
      </c>
      <c r="I914" t="str">
        <f>IF($A914&lt;&gt;"",MAESTRO!$K913,"")</f>
        <v/>
      </c>
      <c r="J914" t="str">
        <f>IF($A914&lt;&gt;"",914,"")</f>
        <v/>
      </c>
    </row>
    <row r="915" spans="1:10" x14ac:dyDescent="0.2">
      <c r="A915" t="str">
        <f>IF(AND(UPPER(MAESTRO!$M914)="VIP",UPPER(MAESTRO!$J914)="SI",MAESTRO!$F914&lt;&gt;""),MAESTRO!$P914,"")</f>
        <v/>
      </c>
      <c r="B915" t="str">
        <f>IF($A915&lt;&gt;"",MAESTRO!$B914,"")</f>
        <v/>
      </c>
      <c r="C915" t="str">
        <f>IF($A915&lt;&gt;"",MAESTRO!$A914,"")</f>
        <v/>
      </c>
      <c r="D915" t="str">
        <f>IF($A915&lt;&gt;"",MAESTRO!$C914,"")</f>
        <v/>
      </c>
      <c r="E915" t="str">
        <f>IF($A915&lt;&gt;"",MAESTRO!$M914,"")</f>
        <v/>
      </c>
      <c r="F915" t="str">
        <f>IF($A915&lt;&gt;"",MAESTRO!$J914,"")</f>
        <v/>
      </c>
      <c r="G915" t="str">
        <f>IF($A915&lt;&gt;"",MAESTRO!$D914,"")</f>
        <v/>
      </c>
      <c r="H915" t="str">
        <f>IF($A915&lt;&gt;"",IF(TRIM(MAESTRO!$G914&amp;" "&amp;MAESTRO!$H914&amp;" "&amp;MAESTRO!$I914)="",MAESTRO!$F914,TRIM(MAESTRO!$G914&amp;" "&amp;MAESTRO!$H914&amp;" "&amp;MAESTRO!$I914)),"")</f>
        <v/>
      </c>
      <c r="I915" t="str">
        <f>IF($A915&lt;&gt;"",MAESTRO!$K914,"")</f>
        <v/>
      </c>
      <c r="J915" t="str">
        <f>IF($A915&lt;&gt;"",915,"")</f>
        <v/>
      </c>
    </row>
    <row r="916" spans="1:10" x14ac:dyDescent="0.2">
      <c r="A916" t="str">
        <f>IF(AND(UPPER(MAESTRO!$M915)="VIP",UPPER(MAESTRO!$J915)="SI",MAESTRO!$F915&lt;&gt;""),MAESTRO!$P915,"")</f>
        <v/>
      </c>
      <c r="B916" t="str">
        <f>IF($A916&lt;&gt;"",MAESTRO!$B915,"")</f>
        <v/>
      </c>
      <c r="C916" t="str">
        <f>IF($A916&lt;&gt;"",MAESTRO!$A915,"")</f>
        <v/>
      </c>
      <c r="D916" t="str">
        <f>IF($A916&lt;&gt;"",MAESTRO!$C915,"")</f>
        <v/>
      </c>
      <c r="E916" t="str">
        <f>IF($A916&lt;&gt;"",MAESTRO!$M915,"")</f>
        <v/>
      </c>
      <c r="F916" t="str">
        <f>IF($A916&lt;&gt;"",MAESTRO!$J915,"")</f>
        <v/>
      </c>
      <c r="G916" t="str">
        <f>IF($A916&lt;&gt;"",MAESTRO!$D915,"")</f>
        <v/>
      </c>
      <c r="H916" t="str">
        <f>IF($A916&lt;&gt;"",IF(TRIM(MAESTRO!$G915&amp;" "&amp;MAESTRO!$H915&amp;" "&amp;MAESTRO!$I915)="",MAESTRO!$F915,TRIM(MAESTRO!$G915&amp;" "&amp;MAESTRO!$H915&amp;" "&amp;MAESTRO!$I915)),"")</f>
        <v/>
      </c>
      <c r="I916" t="str">
        <f>IF($A916&lt;&gt;"",MAESTRO!$K915,"")</f>
        <v/>
      </c>
      <c r="J916" t="str">
        <f>IF($A916&lt;&gt;"",916,"")</f>
        <v/>
      </c>
    </row>
    <row r="917" spans="1:10" x14ac:dyDescent="0.2">
      <c r="A917" t="str">
        <f>IF(AND(UPPER(MAESTRO!$M916)="VIP",UPPER(MAESTRO!$J916)="SI",MAESTRO!$F916&lt;&gt;""),MAESTRO!$P916,"")</f>
        <v/>
      </c>
      <c r="B917" t="str">
        <f>IF($A917&lt;&gt;"",MAESTRO!$B916,"")</f>
        <v/>
      </c>
      <c r="C917" t="str">
        <f>IF($A917&lt;&gt;"",MAESTRO!$A916,"")</f>
        <v/>
      </c>
      <c r="D917" t="str">
        <f>IF($A917&lt;&gt;"",MAESTRO!$C916,"")</f>
        <v/>
      </c>
      <c r="E917" t="str">
        <f>IF($A917&lt;&gt;"",MAESTRO!$M916,"")</f>
        <v/>
      </c>
      <c r="F917" t="str">
        <f>IF($A917&lt;&gt;"",MAESTRO!$J916,"")</f>
        <v/>
      </c>
      <c r="G917" t="str">
        <f>IF($A917&lt;&gt;"",MAESTRO!$D916,"")</f>
        <v/>
      </c>
      <c r="H917" t="str">
        <f>IF($A917&lt;&gt;"",IF(TRIM(MAESTRO!$G916&amp;" "&amp;MAESTRO!$H916&amp;" "&amp;MAESTRO!$I916)="",MAESTRO!$F916,TRIM(MAESTRO!$G916&amp;" "&amp;MAESTRO!$H916&amp;" "&amp;MAESTRO!$I916)),"")</f>
        <v/>
      </c>
      <c r="I917" t="str">
        <f>IF($A917&lt;&gt;"",MAESTRO!$K916,"")</f>
        <v/>
      </c>
      <c r="J917" t="str">
        <f>IF($A917&lt;&gt;"",917,"")</f>
        <v/>
      </c>
    </row>
    <row r="918" spans="1:10" x14ac:dyDescent="0.2">
      <c r="A918" t="str">
        <f>IF(AND(UPPER(MAESTRO!$M917)="VIP",UPPER(MAESTRO!$J917)="SI",MAESTRO!$F917&lt;&gt;""),MAESTRO!$P917,"")</f>
        <v/>
      </c>
      <c r="B918" t="str">
        <f>IF($A918&lt;&gt;"",MAESTRO!$B917,"")</f>
        <v/>
      </c>
      <c r="C918" t="str">
        <f>IF($A918&lt;&gt;"",MAESTRO!$A917,"")</f>
        <v/>
      </c>
      <c r="D918" t="str">
        <f>IF($A918&lt;&gt;"",MAESTRO!$C917,"")</f>
        <v/>
      </c>
      <c r="E918" t="str">
        <f>IF($A918&lt;&gt;"",MAESTRO!$M917,"")</f>
        <v/>
      </c>
      <c r="F918" t="str">
        <f>IF($A918&lt;&gt;"",MAESTRO!$J917,"")</f>
        <v/>
      </c>
      <c r="G918" t="str">
        <f>IF($A918&lt;&gt;"",MAESTRO!$D917,"")</f>
        <v/>
      </c>
      <c r="H918" t="str">
        <f>IF($A918&lt;&gt;"",IF(TRIM(MAESTRO!$G917&amp;" "&amp;MAESTRO!$H917&amp;" "&amp;MAESTRO!$I917)="",MAESTRO!$F917,TRIM(MAESTRO!$G917&amp;" "&amp;MAESTRO!$H917&amp;" "&amp;MAESTRO!$I917)),"")</f>
        <v/>
      </c>
      <c r="I918" t="str">
        <f>IF($A918&lt;&gt;"",MAESTRO!$K917,"")</f>
        <v/>
      </c>
      <c r="J918" t="str">
        <f>IF($A918&lt;&gt;"",918,"")</f>
        <v/>
      </c>
    </row>
    <row r="919" spans="1:10" x14ac:dyDescent="0.2">
      <c r="A919" t="str">
        <f>IF(AND(UPPER(MAESTRO!$M918)="VIP",UPPER(MAESTRO!$J918)="SI",MAESTRO!$F918&lt;&gt;""),MAESTRO!$P918,"")</f>
        <v/>
      </c>
      <c r="B919" t="str">
        <f>IF($A919&lt;&gt;"",MAESTRO!$B918,"")</f>
        <v/>
      </c>
      <c r="C919" t="str">
        <f>IF($A919&lt;&gt;"",MAESTRO!$A918,"")</f>
        <v/>
      </c>
      <c r="D919" t="str">
        <f>IF($A919&lt;&gt;"",MAESTRO!$C918,"")</f>
        <v/>
      </c>
      <c r="E919" t="str">
        <f>IF($A919&lt;&gt;"",MAESTRO!$M918,"")</f>
        <v/>
      </c>
      <c r="F919" t="str">
        <f>IF($A919&lt;&gt;"",MAESTRO!$J918,"")</f>
        <v/>
      </c>
      <c r="G919" t="str">
        <f>IF($A919&lt;&gt;"",MAESTRO!$D918,"")</f>
        <v/>
      </c>
      <c r="H919" t="str">
        <f>IF($A919&lt;&gt;"",IF(TRIM(MAESTRO!$G918&amp;" "&amp;MAESTRO!$H918&amp;" "&amp;MAESTRO!$I918)="",MAESTRO!$F918,TRIM(MAESTRO!$G918&amp;" "&amp;MAESTRO!$H918&amp;" "&amp;MAESTRO!$I918)),"")</f>
        <v/>
      </c>
      <c r="I919" t="str">
        <f>IF($A919&lt;&gt;"",MAESTRO!$K918,"")</f>
        <v/>
      </c>
      <c r="J919" t="str">
        <f>IF($A919&lt;&gt;"",919,"")</f>
        <v/>
      </c>
    </row>
    <row r="920" spans="1:10" x14ac:dyDescent="0.2">
      <c r="A920" t="str">
        <f>IF(AND(UPPER(MAESTRO!$M919)="VIP",UPPER(MAESTRO!$J919)="SI",MAESTRO!$F919&lt;&gt;""),MAESTRO!$P919,"")</f>
        <v/>
      </c>
      <c r="B920" t="str">
        <f>IF($A920&lt;&gt;"",MAESTRO!$B919,"")</f>
        <v/>
      </c>
      <c r="C920" t="str">
        <f>IF($A920&lt;&gt;"",MAESTRO!$A919,"")</f>
        <v/>
      </c>
      <c r="D920" t="str">
        <f>IF($A920&lt;&gt;"",MAESTRO!$C919,"")</f>
        <v/>
      </c>
      <c r="E920" t="str">
        <f>IF($A920&lt;&gt;"",MAESTRO!$M919,"")</f>
        <v/>
      </c>
      <c r="F920" t="str">
        <f>IF($A920&lt;&gt;"",MAESTRO!$J919,"")</f>
        <v/>
      </c>
      <c r="G920" t="str">
        <f>IF($A920&lt;&gt;"",MAESTRO!$D919,"")</f>
        <v/>
      </c>
      <c r="H920" t="str">
        <f>IF($A920&lt;&gt;"",IF(TRIM(MAESTRO!$G919&amp;" "&amp;MAESTRO!$H919&amp;" "&amp;MAESTRO!$I919)="",MAESTRO!$F919,TRIM(MAESTRO!$G919&amp;" "&amp;MAESTRO!$H919&amp;" "&amp;MAESTRO!$I919)),"")</f>
        <v/>
      </c>
      <c r="I920" t="str">
        <f>IF($A920&lt;&gt;"",MAESTRO!$K919,"")</f>
        <v/>
      </c>
      <c r="J920" t="str">
        <f>IF($A920&lt;&gt;"",920,"")</f>
        <v/>
      </c>
    </row>
    <row r="921" spans="1:10" x14ac:dyDescent="0.2">
      <c r="A921" t="str">
        <f>IF(AND(UPPER(MAESTRO!$M920)="VIP",UPPER(MAESTRO!$J920)="SI",MAESTRO!$F920&lt;&gt;""),MAESTRO!$P920,"")</f>
        <v/>
      </c>
      <c r="B921" t="str">
        <f>IF($A921&lt;&gt;"",MAESTRO!$B920,"")</f>
        <v/>
      </c>
      <c r="C921" t="str">
        <f>IF($A921&lt;&gt;"",MAESTRO!$A920,"")</f>
        <v/>
      </c>
      <c r="D921" t="str">
        <f>IF($A921&lt;&gt;"",MAESTRO!$C920,"")</f>
        <v/>
      </c>
      <c r="E921" t="str">
        <f>IF($A921&lt;&gt;"",MAESTRO!$M920,"")</f>
        <v/>
      </c>
      <c r="F921" t="str">
        <f>IF($A921&lt;&gt;"",MAESTRO!$J920,"")</f>
        <v/>
      </c>
      <c r="G921" t="str">
        <f>IF($A921&lt;&gt;"",MAESTRO!$D920,"")</f>
        <v/>
      </c>
      <c r="H921" t="str">
        <f>IF($A921&lt;&gt;"",IF(TRIM(MAESTRO!$G920&amp;" "&amp;MAESTRO!$H920&amp;" "&amp;MAESTRO!$I920)="",MAESTRO!$F920,TRIM(MAESTRO!$G920&amp;" "&amp;MAESTRO!$H920&amp;" "&amp;MAESTRO!$I920)),"")</f>
        <v/>
      </c>
      <c r="I921" t="str">
        <f>IF($A921&lt;&gt;"",MAESTRO!$K920,"")</f>
        <v/>
      </c>
      <c r="J921" t="str">
        <f>IF($A921&lt;&gt;"",921,"")</f>
        <v/>
      </c>
    </row>
    <row r="922" spans="1:10" x14ac:dyDescent="0.2">
      <c r="A922" t="str">
        <f>IF(AND(UPPER(MAESTRO!$M921)="VIP",UPPER(MAESTRO!$J921)="SI",MAESTRO!$F921&lt;&gt;""),MAESTRO!$P921,"")</f>
        <v/>
      </c>
      <c r="B922" t="str">
        <f>IF($A922&lt;&gt;"",MAESTRO!$B921,"")</f>
        <v/>
      </c>
      <c r="C922" t="str">
        <f>IF($A922&lt;&gt;"",MAESTRO!$A921,"")</f>
        <v/>
      </c>
      <c r="D922" t="str">
        <f>IF($A922&lt;&gt;"",MAESTRO!$C921,"")</f>
        <v/>
      </c>
      <c r="E922" t="str">
        <f>IF($A922&lt;&gt;"",MAESTRO!$M921,"")</f>
        <v/>
      </c>
      <c r="F922" t="str">
        <f>IF($A922&lt;&gt;"",MAESTRO!$J921,"")</f>
        <v/>
      </c>
      <c r="G922" t="str">
        <f>IF($A922&lt;&gt;"",MAESTRO!$D921,"")</f>
        <v/>
      </c>
      <c r="H922" t="str">
        <f>IF($A922&lt;&gt;"",IF(TRIM(MAESTRO!$G921&amp;" "&amp;MAESTRO!$H921&amp;" "&amp;MAESTRO!$I921)="",MAESTRO!$F921,TRIM(MAESTRO!$G921&amp;" "&amp;MAESTRO!$H921&amp;" "&amp;MAESTRO!$I921)),"")</f>
        <v/>
      </c>
      <c r="I922" t="str">
        <f>IF($A922&lt;&gt;"",MAESTRO!$K921,"")</f>
        <v/>
      </c>
      <c r="J922" t="str">
        <f>IF($A922&lt;&gt;"",922,"")</f>
        <v/>
      </c>
    </row>
    <row r="923" spans="1:10" x14ac:dyDescent="0.2">
      <c r="A923" t="str">
        <f>IF(AND(UPPER(MAESTRO!$M922)="VIP",UPPER(MAESTRO!$J922)="SI",MAESTRO!$F922&lt;&gt;""),MAESTRO!$P922,"")</f>
        <v/>
      </c>
      <c r="B923" t="str">
        <f>IF($A923&lt;&gt;"",MAESTRO!$B922,"")</f>
        <v/>
      </c>
      <c r="C923" t="str">
        <f>IF($A923&lt;&gt;"",MAESTRO!$A922,"")</f>
        <v/>
      </c>
      <c r="D923" t="str">
        <f>IF($A923&lt;&gt;"",MAESTRO!$C922,"")</f>
        <v/>
      </c>
      <c r="E923" t="str">
        <f>IF($A923&lt;&gt;"",MAESTRO!$M922,"")</f>
        <v/>
      </c>
      <c r="F923" t="str">
        <f>IF($A923&lt;&gt;"",MAESTRO!$J922,"")</f>
        <v/>
      </c>
      <c r="G923" t="str">
        <f>IF($A923&lt;&gt;"",MAESTRO!$D922,"")</f>
        <v/>
      </c>
      <c r="H923" t="str">
        <f>IF($A923&lt;&gt;"",IF(TRIM(MAESTRO!$G922&amp;" "&amp;MAESTRO!$H922&amp;" "&amp;MAESTRO!$I922)="",MAESTRO!$F922,TRIM(MAESTRO!$G922&amp;" "&amp;MAESTRO!$H922&amp;" "&amp;MAESTRO!$I922)),"")</f>
        <v/>
      </c>
      <c r="I923" t="str">
        <f>IF($A923&lt;&gt;"",MAESTRO!$K922,"")</f>
        <v/>
      </c>
      <c r="J923" t="str">
        <f>IF($A923&lt;&gt;"",923,"")</f>
        <v/>
      </c>
    </row>
    <row r="924" spans="1:10" x14ac:dyDescent="0.2">
      <c r="A924" t="str">
        <f>IF(AND(UPPER(MAESTRO!$M923)="VIP",UPPER(MAESTRO!$J923)="SI",MAESTRO!$F923&lt;&gt;""),MAESTRO!$P923,"")</f>
        <v/>
      </c>
      <c r="B924" t="str">
        <f>IF($A924&lt;&gt;"",MAESTRO!$B923,"")</f>
        <v/>
      </c>
      <c r="C924" t="str">
        <f>IF($A924&lt;&gt;"",MAESTRO!$A923,"")</f>
        <v/>
      </c>
      <c r="D924" t="str">
        <f>IF($A924&lt;&gt;"",MAESTRO!$C923,"")</f>
        <v/>
      </c>
      <c r="E924" t="str">
        <f>IF($A924&lt;&gt;"",MAESTRO!$M923,"")</f>
        <v/>
      </c>
      <c r="F924" t="str">
        <f>IF($A924&lt;&gt;"",MAESTRO!$J923,"")</f>
        <v/>
      </c>
      <c r="G924" t="str">
        <f>IF($A924&lt;&gt;"",MAESTRO!$D923,"")</f>
        <v/>
      </c>
      <c r="H924" t="str">
        <f>IF($A924&lt;&gt;"",IF(TRIM(MAESTRO!$G923&amp;" "&amp;MAESTRO!$H923&amp;" "&amp;MAESTRO!$I923)="",MAESTRO!$F923,TRIM(MAESTRO!$G923&amp;" "&amp;MAESTRO!$H923&amp;" "&amp;MAESTRO!$I923)),"")</f>
        <v/>
      </c>
      <c r="I924" t="str">
        <f>IF($A924&lt;&gt;"",MAESTRO!$K923,"")</f>
        <v/>
      </c>
      <c r="J924" t="str">
        <f>IF($A924&lt;&gt;"",924,"")</f>
        <v/>
      </c>
    </row>
    <row r="925" spans="1:10" x14ac:dyDescent="0.2">
      <c r="A925" t="str">
        <f>IF(AND(UPPER(MAESTRO!$M924)="VIP",UPPER(MAESTRO!$J924)="SI",MAESTRO!$F924&lt;&gt;""),MAESTRO!$P924,"")</f>
        <v/>
      </c>
      <c r="B925" t="str">
        <f>IF($A925&lt;&gt;"",MAESTRO!$B924,"")</f>
        <v/>
      </c>
      <c r="C925" t="str">
        <f>IF($A925&lt;&gt;"",MAESTRO!$A924,"")</f>
        <v/>
      </c>
      <c r="D925" t="str">
        <f>IF($A925&lt;&gt;"",MAESTRO!$C924,"")</f>
        <v/>
      </c>
      <c r="E925" t="str">
        <f>IF($A925&lt;&gt;"",MAESTRO!$M924,"")</f>
        <v/>
      </c>
      <c r="F925" t="str">
        <f>IF($A925&lt;&gt;"",MAESTRO!$J924,"")</f>
        <v/>
      </c>
      <c r="G925" t="str">
        <f>IF($A925&lt;&gt;"",MAESTRO!$D924,"")</f>
        <v/>
      </c>
      <c r="H925" t="str">
        <f>IF($A925&lt;&gt;"",IF(TRIM(MAESTRO!$G924&amp;" "&amp;MAESTRO!$H924&amp;" "&amp;MAESTRO!$I924)="",MAESTRO!$F924,TRIM(MAESTRO!$G924&amp;" "&amp;MAESTRO!$H924&amp;" "&amp;MAESTRO!$I924)),"")</f>
        <v/>
      </c>
      <c r="I925" t="str">
        <f>IF($A925&lt;&gt;"",MAESTRO!$K924,"")</f>
        <v/>
      </c>
      <c r="J925" t="str">
        <f>IF($A925&lt;&gt;"",925,"")</f>
        <v/>
      </c>
    </row>
    <row r="926" spans="1:10" x14ac:dyDescent="0.2">
      <c r="A926" t="str">
        <f>IF(AND(UPPER(MAESTRO!$M925)="VIP",UPPER(MAESTRO!$J925)="SI",MAESTRO!$F925&lt;&gt;""),MAESTRO!$P925,"")</f>
        <v/>
      </c>
      <c r="B926" t="str">
        <f>IF($A926&lt;&gt;"",MAESTRO!$B925,"")</f>
        <v/>
      </c>
      <c r="C926" t="str">
        <f>IF($A926&lt;&gt;"",MAESTRO!$A925,"")</f>
        <v/>
      </c>
      <c r="D926" t="str">
        <f>IF($A926&lt;&gt;"",MAESTRO!$C925,"")</f>
        <v/>
      </c>
      <c r="E926" t="str">
        <f>IF($A926&lt;&gt;"",MAESTRO!$M925,"")</f>
        <v/>
      </c>
      <c r="F926" t="str">
        <f>IF($A926&lt;&gt;"",MAESTRO!$J925,"")</f>
        <v/>
      </c>
      <c r="G926" t="str">
        <f>IF($A926&lt;&gt;"",MAESTRO!$D925,"")</f>
        <v/>
      </c>
      <c r="H926" t="str">
        <f>IF($A926&lt;&gt;"",IF(TRIM(MAESTRO!$G925&amp;" "&amp;MAESTRO!$H925&amp;" "&amp;MAESTRO!$I925)="",MAESTRO!$F925,TRIM(MAESTRO!$G925&amp;" "&amp;MAESTRO!$H925&amp;" "&amp;MAESTRO!$I925)),"")</f>
        <v/>
      </c>
      <c r="I926" t="str">
        <f>IF($A926&lt;&gt;"",MAESTRO!$K925,"")</f>
        <v/>
      </c>
      <c r="J926" t="str">
        <f>IF($A926&lt;&gt;"",926,"")</f>
        <v/>
      </c>
    </row>
    <row r="927" spans="1:10" x14ac:dyDescent="0.2">
      <c r="A927" t="str">
        <f>IF(AND(UPPER(MAESTRO!$M926)="VIP",UPPER(MAESTRO!$J926)="SI",MAESTRO!$F926&lt;&gt;""),MAESTRO!$P926,"")</f>
        <v/>
      </c>
      <c r="B927" t="str">
        <f>IF($A927&lt;&gt;"",MAESTRO!$B926,"")</f>
        <v/>
      </c>
      <c r="C927" t="str">
        <f>IF($A927&lt;&gt;"",MAESTRO!$A926,"")</f>
        <v/>
      </c>
      <c r="D927" t="str">
        <f>IF($A927&lt;&gt;"",MAESTRO!$C926,"")</f>
        <v/>
      </c>
      <c r="E927" t="str">
        <f>IF($A927&lt;&gt;"",MAESTRO!$M926,"")</f>
        <v/>
      </c>
      <c r="F927" t="str">
        <f>IF($A927&lt;&gt;"",MAESTRO!$J926,"")</f>
        <v/>
      </c>
      <c r="G927" t="str">
        <f>IF($A927&lt;&gt;"",MAESTRO!$D926,"")</f>
        <v/>
      </c>
      <c r="H927" t="str">
        <f>IF($A927&lt;&gt;"",IF(TRIM(MAESTRO!$G926&amp;" "&amp;MAESTRO!$H926&amp;" "&amp;MAESTRO!$I926)="",MAESTRO!$F926,TRIM(MAESTRO!$G926&amp;" "&amp;MAESTRO!$H926&amp;" "&amp;MAESTRO!$I926)),"")</f>
        <v/>
      </c>
      <c r="I927" t="str">
        <f>IF($A927&lt;&gt;"",MAESTRO!$K926,"")</f>
        <v/>
      </c>
      <c r="J927" t="str">
        <f>IF($A927&lt;&gt;"",927,"")</f>
        <v/>
      </c>
    </row>
    <row r="928" spans="1:10" x14ac:dyDescent="0.2">
      <c r="A928" t="str">
        <f>IF(AND(UPPER(MAESTRO!$M927)="VIP",UPPER(MAESTRO!$J927)="SI",MAESTRO!$F927&lt;&gt;""),MAESTRO!$P927,"")</f>
        <v/>
      </c>
      <c r="B928" t="str">
        <f>IF($A928&lt;&gt;"",MAESTRO!$B927,"")</f>
        <v/>
      </c>
      <c r="C928" t="str">
        <f>IF($A928&lt;&gt;"",MAESTRO!$A927,"")</f>
        <v/>
      </c>
      <c r="D928" t="str">
        <f>IF($A928&lt;&gt;"",MAESTRO!$C927,"")</f>
        <v/>
      </c>
      <c r="E928" t="str">
        <f>IF($A928&lt;&gt;"",MAESTRO!$M927,"")</f>
        <v/>
      </c>
      <c r="F928" t="str">
        <f>IF($A928&lt;&gt;"",MAESTRO!$J927,"")</f>
        <v/>
      </c>
      <c r="G928" t="str">
        <f>IF($A928&lt;&gt;"",MAESTRO!$D927,"")</f>
        <v/>
      </c>
      <c r="H928" t="str">
        <f>IF($A928&lt;&gt;"",IF(TRIM(MAESTRO!$G927&amp;" "&amp;MAESTRO!$H927&amp;" "&amp;MAESTRO!$I927)="",MAESTRO!$F927,TRIM(MAESTRO!$G927&amp;" "&amp;MAESTRO!$H927&amp;" "&amp;MAESTRO!$I927)),"")</f>
        <v/>
      </c>
      <c r="I928" t="str">
        <f>IF($A928&lt;&gt;"",MAESTRO!$K927,"")</f>
        <v/>
      </c>
      <c r="J928" t="str">
        <f>IF($A928&lt;&gt;"",928,"")</f>
        <v/>
      </c>
    </row>
    <row r="929" spans="1:10" x14ac:dyDescent="0.2">
      <c r="A929" t="str">
        <f>IF(AND(UPPER(MAESTRO!$M928)="VIP",UPPER(MAESTRO!$J928)="SI",MAESTRO!$F928&lt;&gt;""),MAESTRO!$P928,"")</f>
        <v/>
      </c>
      <c r="B929" t="str">
        <f>IF($A929&lt;&gt;"",MAESTRO!$B928,"")</f>
        <v/>
      </c>
      <c r="C929" t="str">
        <f>IF($A929&lt;&gt;"",MAESTRO!$A928,"")</f>
        <v/>
      </c>
      <c r="D929" t="str">
        <f>IF($A929&lt;&gt;"",MAESTRO!$C928,"")</f>
        <v/>
      </c>
      <c r="E929" t="str">
        <f>IF($A929&lt;&gt;"",MAESTRO!$M928,"")</f>
        <v/>
      </c>
      <c r="F929" t="str">
        <f>IF($A929&lt;&gt;"",MAESTRO!$J928,"")</f>
        <v/>
      </c>
      <c r="G929" t="str">
        <f>IF($A929&lt;&gt;"",MAESTRO!$D928,"")</f>
        <v/>
      </c>
      <c r="H929" t="str">
        <f>IF($A929&lt;&gt;"",IF(TRIM(MAESTRO!$G928&amp;" "&amp;MAESTRO!$H928&amp;" "&amp;MAESTRO!$I928)="",MAESTRO!$F928,TRIM(MAESTRO!$G928&amp;" "&amp;MAESTRO!$H928&amp;" "&amp;MAESTRO!$I928)),"")</f>
        <v/>
      </c>
      <c r="I929" t="str">
        <f>IF($A929&lt;&gt;"",MAESTRO!$K928,"")</f>
        <v/>
      </c>
      <c r="J929" t="str">
        <f>IF($A929&lt;&gt;"",929,"")</f>
        <v/>
      </c>
    </row>
    <row r="930" spans="1:10" x14ac:dyDescent="0.2">
      <c r="A930" t="str">
        <f>IF(AND(UPPER(MAESTRO!$M929)="VIP",UPPER(MAESTRO!$J929)="SI",MAESTRO!$F929&lt;&gt;""),MAESTRO!$P929,"")</f>
        <v/>
      </c>
      <c r="B930" t="str">
        <f>IF($A930&lt;&gt;"",MAESTRO!$B929,"")</f>
        <v/>
      </c>
      <c r="C930" t="str">
        <f>IF($A930&lt;&gt;"",MAESTRO!$A929,"")</f>
        <v/>
      </c>
      <c r="D930" t="str">
        <f>IF($A930&lt;&gt;"",MAESTRO!$C929,"")</f>
        <v/>
      </c>
      <c r="E930" t="str">
        <f>IF($A930&lt;&gt;"",MAESTRO!$M929,"")</f>
        <v/>
      </c>
      <c r="F930" t="str">
        <f>IF($A930&lt;&gt;"",MAESTRO!$J929,"")</f>
        <v/>
      </c>
      <c r="G930" t="str">
        <f>IF($A930&lt;&gt;"",MAESTRO!$D929,"")</f>
        <v/>
      </c>
      <c r="H930" t="str">
        <f>IF($A930&lt;&gt;"",IF(TRIM(MAESTRO!$G929&amp;" "&amp;MAESTRO!$H929&amp;" "&amp;MAESTRO!$I929)="",MAESTRO!$F929,TRIM(MAESTRO!$G929&amp;" "&amp;MAESTRO!$H929&amp;" "&amp;MAESTRO!$I929)),"")</f>
        <v/>
      </c>
      <c r="I930" t="str">
        <f>IF($A930&lt;&gt;"",MAESTRO!$K929,"")</f>
        <v/>
      </c>
      <c r="J930" t="str">
        <f>IF($A930&lt;&gt;"",930,"")</f>
        <v/>
      </c>
    </row>
    <row r="931" spans="1:10" x14ac:dyDescent="0.2">
      <c r="A931" t="str">
        <f>IF(AND(UPPER(MAESTRO!$M930)="VIP",UPPER(MAESTRO!$J930)="SI",MAESTRO!$F930&lt;&gt;""),MAESTRO!$P930,"")</f>
        <v/>
      </c>
      <c r="B931" t="str">
        <f>IF($A931&lt;&gt;"",MAESTRO!$B930,"")</f>
        <v/>
      </c>
      <c r="C931" t="str">
        <f>IF($A931&lt;&gt;"",MAESTRO!$A930,"")</f>
        <v/>
      </c>
      <c r="D931" t="str">
        <f>IF($A931&lt;&gt;"",MAESTRO!$C930,"")</f>
        <v/>
      </c>
      <c r="E931" t="str">
        <f>IF($A931&lt;&gt;"",MAESTRO!$M930,"")</f>
        <v/>
      </c>
      <c r="F931" t="str">
        <f>IF($A931&lt;&gt;"",MAESTRO!$J930,"")</f>
        <v/>
      </c>
      <c r="G931" t="str">
        <f>IF($A931&lt;&gt;"",MAESTRO!$D930,"")</f>
        <v/>
      </c>
      <c r="H931" t="str">
        <f>IF($A931&lt;&gt;"",IF(TRIM(MAESTRO!$G930&amp;" "&amp;MAESTRO!$H930&amp;" "&amp;MAESTRO!$I930)="",MAESTRO!$F930,TRIM(MAESTRO!$G930&amp;" "&amp;MAESTRO!$H930&amp;" "&amp;MAESTRO!$I930)),"")</f>
        <v/>
      </c>
      <c r="I931" t="str">
        <f>IF($A931&lt;&gt;"",MAESTRO!$K930,"")</f>
        <v/>
      </c>
      <c r="J931" t="str">
        <f>IF($A931&lt;&gt;"",931,"")</f>
        <v/>
      </c>
    </row>
    <row r="932" spans="1:10" x14ac:dyDescent="0.2">
      <c r="A932" t="str">
        <f>IF(AND(UPPER(MAESTRO!$M931)="VIP",UPPER(MAESTRO!$J931)="SI",MAESTRO!$F931&lt;&gt;""),MAESTRO!$P931,"")</f>
        <v/>
      </c>
      <c r="B932" t="str">
        <f>IF($A932&lt;&gt;"",MAESTRO!$B931,"")</f>
        <v/>
      </c>
      <c r="C932" t="str">
        <f>IF($A932&lt;&gt;"",MAESTRO!$A931,"")</f>
        <v/>
      </c>
      <c r="D932" t="str">
        <f>IF($A932&lt;&gt;"",MAESTRO!$C931,"")</f>
        <v/>
      </c>
      <c r="E932" t="str">
        <f>IF($A932&lt;&gt;"",MAESTRO!$M931,"")</f>
        <v/>
      </c>
      <c r="F932" t="str">
        <f>IF($A932&lt;&gt;"",MAESTRO!$J931,"")</f>
        <v/>
      </c>
      <c r="G932" t="str">
        <f>IF($A932&lt;&gt;"",MAESTRO!$D931,"")</f>
        <v/>
      </c>
      <c r="H932" t="str">
        <f>IF($A932&lt;&gt;"",IF(TRIM(MAESTRO!$G931&amp;" "&amp;MAESTRO!$H931&amp;" "&amp;MAESTRO!$I931)="",MAESTRO!$F931,TRIM(MAESTRO!$G931&amp;" "&amp;MAESTRO!$H931&amp;" "&amp;MAESTRO!$I931)),"")</f>
        <v/>
      </c>
      <c r="I932" t="str">
        <f>IF($A932&lt;&gt;"",MAESTRO!$K931,"")</f>
        <v/>
      </c>
      <c r="J932" t="str">
        <f>IF($A932&lt;&gt;"",932,"")</f>
        <v/>
      </c>
    </row>
    <row r="933" spans="1:10" x14ac:dyDescent="0.2">
      <c r="A933" t="str">
        <f>IF(AND(UPPER(MAESTRO!$M932)="VIP",UPPER(MAESTRO!$J932)="SI",MAESTRO!$F932&lt;&gt;""),MAESTRO!$P932,"")</f>
        <v/>
      </c>
      <c r="B933" t="str">
        <f>IF($A933&lt;&gt;"",MAESTRO!$B932,"")</f>
        <v/>
      </c>
      <c r="C933" t="str">
        <f>IF($A933&lt;&gt;"",MAESTRO!$A932,"")</f>
        <v/>
      </c>
      <c r="D933" t="str">
        <f>IF($A933&lt;&gt;"",MAESTRO!$C932,"")</f>
        <v/>
      </c>
      <c r="E933" t="str">
        <f>IF($A933&lt;&gt;"",MAESTRO!$M932,"")</f>
        <v/>
      </c>
      <c r="F933" t="str">
        <f>IF($A933&lt;&gt;"",MAESTRO!$J932,"")</f>
        <v/>
      </c>
      <c r="G933" t="str">
        <f>IF($A933&lt;&gt;"",MAESTRO!$D932,"")</f>
        <v/>
      </c>
      <c r="H933" t="str">
        <f>IF($A933&lt;&gt;"",IF(TRIM(MAESTRO!$G932&amp;" "&amp;MAESTRO!$H932&amp;" "&amp;MAESTRO!$I932)="",MAESTRO!$F932,TRIM(MAESTRO!$G932&amp;" "&amp;MAESTRO!$H932&amp;" "&amp;MAESTRO!$I932)),"")</f>
        <v/>
      </c>
      <c r="I933" t="str">
        <f>IF($A933&lt;&gt;"",MAESTRO!$K932,"")</f>
        <v/>
      </c>
      <c r="J933" t="str">
        <f>IF($A933&lt;&gt;"",933,"")</f>
        <v/>
      </c>
    </row>
    <row r="934" spans="1:10" x14ac:dyDescent="0.2">
      <c r="A934" t="str">
        <f>IF(AND(UPPER(MAESTRO!$M933)="VIP",UPPER(MAESTRO!$J933)="SI",MAESTRO!$F933&lt;&gt;""),MAESTRO!$P933,"")</f>
        <v/>
      </c>
      <c r="B934" t="str">
        <f>IF($A934&lt;&gt;"",MAESTRO!$B933,"")</f>
        <v/>
      </c>
      <c r="C934" t="str">
        <f>IF($A934&lt;&gt;"",MAESTRO!$A933,"")</f>
        <v/>
      </c>
      <c r="D934" t="str">
        <f>IF($A934&lt;&gt;"",MAESTRO!$C933,"")</f>
        <v/>
      </c>
      <c r="E934" t="str">
        <f>IF($A934&lt;&gt;"",MAESTRO!$M933,"")</f>
        <v/>
      </c>
      <c r="F934" t="str">
        <f>IF($A934&lt;&gt;"",MAESTRO!$J933,"")</f>
        <v/>
      </c>
      <c r="G934" t="str">
        <f>IF($A934&lt;&gt;"",MAESTRO!$D933,"")</f>
        <v/>
      </c>
      <c r="H934" t="str">
        <f>IF($A934&lt;&gt;"",IF(TRIM(MAESTRO!$G933&amp;" "&amp;MAESTRO!$H933&amp;" "&amp;MAESTRO!$I933)="",MAESTRO!$F933,TRIM(MAESTRO!$G933&amp;" "&amp;MAESTRO!$H933&amp;" "&amp;MAESTRO!$I933)),"")</f>
        <v/>
      </c>
      <c r="I934" t="str">
        <f>IF($A934&lt;&gt;"",MAESTRO!$K933,"")</f>
        <v/>
      </c>
      <c r="J934" t="str">
        <f>IF($A934&lt;&gt;"",934,"")</f>
        <v/>
      </c>
    </row>
    <row r="935" spans="1:10" x14ac:dyDescent="0.2">
      <c r="A935" t="str">
        <f>IF(AND(UPPER(MAESTRO!$M934)="VIP",UPPER(MAESTRO!$J934)="SI",MAESTRO!$F934&lt;&gt;""),MAESTRO!$P934,"")</f>
        <v/>
      </c>
      <c r="B935" t="str">
        <f>IF($A935&lt;&gt;"",MAESTRO!$B934,"")</f>
        <v/>
      </c>
      <c r="C935" t="str">
        <f>IF($A935&lt;&gt;"",MAESTRO!$A934,"")</f>
        <v/>
      </c>
      <c r="D935" t="str">
        <f>IF($A935&lt;&gt;"",MAESTRO!$C934,"")</f>
        <v/>
      </c>
      <c r="E935" t="str">
        <f>IF($A935&lt;&gt;"",MAESTRO!$M934,"")</f>
        <v/>
      </c>
      <c r="F935" t="str">
        <f>IF($A935&lt;&gt;"",MAESTRO!$J934,"")</f>
        <v/>
      </c>
      <c r="G935" t="str">
        <f>IF($A935&lt;&gt;"",MAESTRO!$D934,"")</f>
        <v/>
      </c>
      <c r="H935" t="str">
        <f>IF($A935&lt;&gt;"",IF(TRIM(MAESTRO!$G934&amp;" "&amp;MAESTRO!$H934&amp;" "&amp;MAESTRO!$I934)="",MAESTRO!$F934,TRIM(MAESTRO!$G934&amp;" "&amp;MAESTRO!$H934&amp;" "&amp;MAESTRO!$I934)),"")</f>
        <v/>
      </c>
      <c r="I935" t="str">
        <f>IF($A935&lt;&gt;"",MAESTRO!$K934,"")</f>
        <v/>
      </c>
      <c r="J935" t="str">
        <f>IF($A935&lt;&gt;"",935,"")</f>
        <v/>
      </c>
    </row>
    <row r="936" spans="1:10" x14ac:dyDescent="0.2">
      <c r="A936" t="str">
        <f>IF(AND(UPPER(MAESTRO!$M935)="VIP",UPPER(MAESTRO!$J935)="SI",MAESTRO!$F935&lt;&gt;""),MAESTRO!$P935,"")</f>
        <v/>
      </c>
      <c r="B936" t="str">
        <f>IF($A936&lt;&gt;"",MAESTRO!$B935,"")</f>
        <v/>
      </c>
      <c r="C936" t="str">
        <f>IF($A936&lt;&gt;"",MAESTRO!$A935,"")</f>
        <v/>
      </c>
      <c r="D936" t="str">
        <f>IF($A936&lt;&gt;"",MAESTRO!$C935,"")</f>
        <v/>
      </c>
      <c r="E936" t="str">
        <f>IF($A936&lt;&gt;"",MAESTRO!$M935,"")</f>
        <v/>
      </c>
      <c r="F936" t="str">
        <f>IF($A936&lt;&gt;"",MAESTRO!$J935,"")</f>
        <v/>
      </c>
      <c r="G936" t="str">
        <f>IF($A936&lt;&gt;"",MAESTRO!$D935,"")</f>
        <v/>
      </c>
      <c r="H936" t="str">
        <f>IF($A936&lt;&gt;"",IF(TRIM(MAESTRO!$G935&amp;" "&amp;MAESTRO!$H935&amp;" "&amp;MAESTRO!$I935)="",MAESTRO!$F935,TRIM(MAESTRO!$G935&amp;" "&amp;MAESTRO!$H935&amp;" "&amp;MAESTRO!$I935)),"")</f>
        <v/>
      </c>
      <c r="I936" t="str">
        <f>IF($A936&lt;&gt;"",MAESTRO!$K935,"")</f>
        <v/>
      </c>
      <c r="J936" t="str">
        <f>IF($A936&lt;&gt;"",936,"")</f>
        <v/>
      </c>
    </row>
    <row r="937" spans="1:10" x14ac:dyDescent="0.2">
      <c r="A937" t="str">
        <f>IF(AND(UPPER(MAESTRO!$M936)="VIP",UPPER(MAESTRO!$J936)="SI",MAESTRO!$F936&lt;&gt;""),MAESTRO!$P936,"")</f>
        <v/>
      </c>
      <c r="B937" t="str">
        <f>IF($A937&lt;&gt;"",MAESTRO!$B936,"")</f>
        <v/>
      </c>
      <c r="C937" t="str">
        <f>IF($A937&lt;&gt;"",MAESTRO!$A936,"")</f>
        <v/>
      </c>
      <c r="D937" t="str">
        <f>IF($A937&lt;&gt;"",MAESTRO!$C936,"")</f>
        <v/>
      </c>
      <c r="E937" t="str">
        <f>IF($A937&lt;&gt;"",MAESTRO!$M936,"")</f>
        <v/>
      </c>
      <c r="F937" t="str">
        <f>IF($A937&lt;&gt;"",MAESTRO!$J936,"")</f>
        <v/>
      </c>
      <c r="G937" t="str">
        <f>IF($A937&lt;&gt;"",MAESTRO!$D936,"")</f>
        <v/>
      </c>
      <c r="H937" t="str">
        <f>IF($A937&lt;&gt;"",IF(TRIM(MAESTRO!$G936&amp;" "&amp;MAESTRO!$H936&amp;" "&amp;MAESTRO!$I936)="",MAESTRO!$F936,TRIM(MAESTRO!$G936&amp;" "&amp;MAESTRO!$H936&amp;" "&amp;MAESTRO!$I936)),"")</f>
        <v/>
      </c>
      <c r="I937" t="str">
        <f>IF($A937&lt;&gt;"",MAESTRO!$K936,"")</f>
        <v/>
      </c>
      <c r="J937" t="str">
        <f>IF($A937&lt;&gt;"",937,"")</f>
        <v/>
      </c>
    </row>
    <row r="938" spans="1:10" x14ac:dyDescent="0.2">
      <c r="A938" t="str">
        <f>IF(AND(UPPER(MAESTRO!$M937)="VIP",UPPER(MAESTRO!$J937)="SI",MAESTRO!$F937&lt;&gt;""),MAESTRO!$P937,"")</f>
        <v/>
      </c>
      <c r="B938" t="str">
        <f>IF($A938&lt;&gt;"",MAESTRO!$B937,"")</f>
        <v/>
      </c>
      <c r="C938" t="str">
        <f>IF($A938&lt;&gt;"",MAESTRO!$A937,"")</f>
        <v/>
      </c>
      <c r="D938" t="str">
        <f>IF($A938&lt;&gt;"",MAESTRO!$C937,"")</f>
        <v/>
      </c>
      <c r="E938" t="str">
        <f>IF($A938&lt;&gt;"",MAESTRO!$M937,"")</f>
        <v/>
      </c>
      <c r="F938" t="str">
        <f>IF($A938&lt;&gt;"",MAESTRO!$J937,"")</f>
        <v/>
      </c>
      <c r="G938" t="str">
        <f>IF($A938&lt;&gt;"",MAESTRO!$D937,"")</f>
        <v/>
      </c>
      <c r="H938" t="str">
        <f>IF($A938&lt;&gt;"",IF(TRIM(MAESTRO!$G937&amp;" "&amp;MAESTRO!$H937&amp;" "&amp;MAESTRO!$I937)="",MAESTRO!$F937,TRIM(MAESTRO!$G937&amp;" "&amp;MAESTRO!$H937&amp;" "&amp;MAESTRO!$I937)),"")</f>
        <v/>
      </c>
      <c r="I938" t="str">
        <f>IF($A938&lt;&gt;"",MAESTRO!$K937,"")</f>
        <v/>
      </c>
      <c r="J938" t="str">
        <f>IF($A938&lt;&gt;"",938,"")</f>
        <v/>
      </c>
    </row>
    <row r="939" spans="1:10" x14ac:dyDescent="0.2">
      <c r="A939" t="str">
        <f>IF(AND(UPPER(MAESTRO!$M938)="VIP",UPPER(MAESTRO!$J938)="SI",MAESTRO!$F938&lt;&gt;""),MAESTRO!$P938,"")</f>
        <v/>
      </c>
      <c r="B939" t="str">
        <f>IF($A939&lt;&gt;"",MAESTRO!$B938,"")</f>
        <v/>
      </c>
      <c r="C939" t="str">
        <f>IF($A939&lt;&gt;"",MAESTRO!$A938,"")</f>
        <v/>
      </c>
      <c r="D939" t="str">
        <f>IF($A939&lt;&gt;"",MAESTRO!$C938,"")</f>
        <v/>
      </c>
      <c r="E939" t="str">
        <f>IF($A939&lt;&gt;"",MAESTRO!$M938,"")</f>
        <v/>
      </c>
      <c r="F939" t="str">
        <f>IF($A939&lt;&gt;"",MAESTRO!$J938,"")</f>
        <v/>
      </c>
      <c r="G939" t="str">
        <f>IF($A939&lt;&gt;"",MAESTRO!$D938,"")</f>
        <v/>
      </c>
      <c r="H939" t="str">
        <f>IF($A939&lt;&gt;"",IF(TRIM(MAESTRO!$G938&amp;" "&amp;MAESTRO!$H938&amp;" "&amp;MAESTRO!$I938)="",MAESTRO!$F938,TRIM(MAESTRO!$G938&amp;" "&amp;MAESTRO!$H938&amp;" "&amp;MAESTRO!$I938)),"")</f>
        <v/>
      </c>
      <c r="I939" t="str">
        <f>IF($A939&lt;&gt;"",MAESTRO!$K938,"")</f>
        <v/>
      </c>
      <c r="J939" t="str">
        <f>IF($A939&lt;&gt;"",939,"")</f>
        <v/>
      </c>
    </row>
    <row r="940" spans="1:10" x14ac:dyDescent="0.2">
      <c r="A940" t="str">
        <f>IF(AND(UPPER(MAESTRO!$M939)="VIP",UPPER(MAESTRO!$J939)="SI",MAESTRO!$F939&lt;&gt;""),MAESTRO!$P939,"")</f>
        <v/>
      </c>
      <c r="B940" t="str">
        <f>IF($A940&lt;&gt;"",MAESTRO!$B939,"")</f>
        <v/>
      </c>
      <c r="C940" t="str">
        <f>IF($A940&lt;&gt;"",MAESTRO!$A939,"")</f>
        <v/>
      </c>
      <c r="D940" t="str">
        <f>IF($A940&lt;&gt;"",MAESTRO!$C939,"")</f>
        <v/>
      </c>
      <c r="E940" t="str">
        <f>IF($A940&lt;&gt;"",MAESTRO!$M939,"")</f>
        <v/>
      </c>
      <c r="F940" t="str">
        <f>IF($A940&lt;&gt;"",MAESTRO!$J939,"")</f>
        <v/>
      </c>
      <c r="G940" t="str">
        <f>IF($A940&lt;&gt;"",MAESTRO!$D939,"")</f>
        <v/>
      </c>
      <c r="H940" t="str">
        <f>IF($A940&lt;&gt;"",IF(TRIM(MAESTRO!$G939&amp;" "&amp;MAESTRO!$H939&amp;" "&amp;MAESTRO!$I939)="",MAESTRO!$F939,TRIM(MAESTRO!$G939&amp;" "&amp;MAESTRO!$H939&amp;" "&amp;MAESTRO!$I939)),"")</f>
        <v/>
      </c>
      <c r="I940" t="str">
        <f>IF($A940&lt;&gt;"",MAESTRO!$K939,"")</f>
        <v/>
      </c>
      <c r="J940" t="str">
        <f>IF($A940&lt;&gt;"",940,"")</f>
        <v/>
      </c>
    </row>
    <row r="941" spans="1:10" x14ac:dyDescent="0.2">
      <c r="A941" t="str">
        <f>IF(AND(UPPER(MAESTRO!$M940)="VIP",UPPER(MAESTRO!$J940)="SI",MAESTRO!$F940&lt;&gt;""),MAESTRO!$P940,"")</f>
        <v/>
      </c>
      <c r="B941" t="str">
        <f>IF($A941&lt;&gt;"",MAESTRO!$B940,"")</f>
        <v/>
      </c>
      <c r="C941" t="str">
        <f>IF($A941&lt;&gt;"",MAESTRO!$A940,"")</f>
        <v/>
      </c>
      <c r="D941" t="str">
        <f>IF($A941&lt;&gt;"",MAESTRO!$C940,"")</f>
        <v/>
      </c>
      <c r="E941" t="str">
        <f>IF($A941&lt;&gt;"",MAESTRO!$M940,"")</f>
        <v/>
      </c>
      <c r="F941" t="str">
        <f>IF($A941&lt;&gt;"",MAESTRO!$J940,"")</f>
        <v/>
      </c>
      <c r="G941" t="str">
        <f>IF($A941&lt;&gt;"",MAESTRO!$D940,"")</f>
        <v/>
      </c>
      <c r="H941" t="str">
        <f>IF($A941&lt;&gt;"",IF(TRIM(MAESTRO!$G940&amp;" "&amp;MAESTRO!$H940&amp;" "&amp;MAESTRO!$I940)="",MAESTRO!$F940,TRIM(MAESTRO!$G940&amp;" "&amp;MAESTRO!$H940&amp;" "&amp;MAESTRO!$I940)),"")</f>
        <v/>
      </c>
      <c r="I941" t="str">
        <f>IF($A941&lt;&gt;"",MAESTRO!$K940,"")</f>
        <v/>
      </c>
      <c r="J941" t="str">
        <f>IF($A941&lt;&gt;"",941,"")</f>
        <v/>
      </c>
    </row>
    <row r="942" spans="1:10" x14ac:dyDescent="0.2">
      <c r="A942" t="str">
        <f>IF(AND(UPPER(MAESTRO!$M941)="VIP",UPPER(MAESTRO!$J941)="SI",MAESTRO!$F941&lt;&gt;""),MAESTRO!$P941,"")</f>
        <v/>
      </c>
      <c r="B942" t="str">
        <f>IF($A942&lt;&gt;"",MAESTRO!$B941,"")</f>
        <v/>
      </c>
      <c r="C942" t="str">
        <f>IF($A942&lt;&gt;"",MAESTRO!$A941,"")</f>
        <v/>
      </c>
      <c r="D942" t="str">
        <f>IF($A942&lt;&gt;"",MAESTRO!$C941,"")</f>
        <v/>
      </c>
      <c r="E942" t="str">
        <f>IF($A942&lt;&gt;"",MAESTRO!$M941,"")</f>
        <v/>
      </c>
      <c r="F942" t="str">
        <f>IF($A942&lt;&gt;"",MAESTRO!$J941,"")</f>
        <v/>
      </c>
      <c r="G942" t="str">
        <f>IF($A942&lt;&gt;"",MAESTRO!$D941,"")</f>
        <v/>
      </c>
      <c r="H942" t="str">
        <f>IF($A942&lt;&gt;"",IF(TRIM(MAESTRO!$G941&amp;" "&amp;MAESTRO!$H941&amp;" "&amp;MAESTRO!$I941)="",MAESTRO!$F941,TRIM(MAESTRO!$G941&amp;" "&amp;MAESTRO!$H941&amp;" "&amp;MAESTRO!$I941)),"")</f>
        <v/>
      </c>
      <c r="I942" t="str">
        <f>IF($A942&lt;&gt;"",MAESTRO!$K941,"")</f>
        <v/>
      </c>
      <c r="J942" t="str">
        <f>IF($A942&lt;&gt;"",942,"")</f>
        <v/>
      </c>
    </row>
    <row r="943" spans="1:10" x14ac:dyDescent="0.2">
      <c r="A943" t="str">
        <f>IF(AND(UPPER(MAESTRO!$M942)="VIP",UPPER(MAESTRO!$J942)="SI",MAESTRO!$F942&lt;&gt;""),MAESTRO!$P942,"")</f>
        <v/>
      </c>
      <c r="B943" t="str">
        <f>IF($A943&lt;&gt;"",MAESTRO!$B942,"")</f>
        <v/>
      </c>
      <c r="C943" t="str">
        <f>IF($A943&lt;&gt;"",MAESTRO!$A942,"")</f>
        <v/>
      </c>
      <c r="D943" t="str">
        <f>IF($A943&lt;&gt;"",MAESTRO!$C942,"")</f>
        <v/>
      </c>
      <c r="E943" t="str">
        <f>IF($A943&lt;&gt;"",MAESTRO!$M942,"")</f>
        <v/>
      </c>
      <c r="F943" t="str">
        <f>IF($A943&lt;&gt;"",MAESTRO!$J942,"")</f>
        <v/>
      </c>
      <c r="G943" t="str">
        <f>IF($A943&lt;&gt;"",MAESTRO!$D942,"")</f>
        <v/>
      </c>
      <c r="H943" t="str">
        <f>IF($A943&lt;&gt;"",IF(TRIM(MAESTRO!$G942&amp;" "&amp;MAESTRO!$H942&amp;" "&amp;MAESTRO!$I942)="",MAESTRO!$F942,TRIM(MAESTRO!$G942&amp;" "&amp;MAESTRO!$H942&amp;" "&amp;MAESTRO!$I942)),"")</f>
        <v/>
      </c>
      <c r="I943" t="str">
        <f>IF($A943&lt;&gt;"",MAESTRO!$K942,"")</f>
        <v/>
      </c>
      <c r="J943" t="str">
        <f>IF($A943&lt;&gt;"",943,"")</f>
        <v/>
      </c>
    </row>
    <row r="944" spans="1:10" x14ac:dyDescent="0.2">
      <c r="A944" t="str">
        <f>IF(AND(UPPER(MAESTRO!$M943)="VIP",UPPER(MAESTRO!$J943)="SI",MAESTRO!$F943&lt;&gt;""),MAESTRO!$P943,"")</f>
        <v/>
      </c>
      <c r="B944" t="str">
        <f>IF($A944&lt;&gt;"",MAESTRO!$B943,"")</f>
        <v/>
      </c>
      <c r="C944" t="str">
        <f>IF($A944&lt;&gt;"",MAESTRO!$A943,"")</f>
        <v/>
      </c>
      <c r="D944" t="str">
        <f>IF($A944&lt;&gt;"",MAESTRO!$C943,"")</f>
        <v/>
      </c>
      <c r="E944" t="str">
        <f>IF($A944&lt;&gt;"",MAESTRO!$M943,"")</f>
        <v/>
      </c>
      <c r="F944" t="str">
        <f>IF($A944&lt;&gt;"",MAESTRO!$J943,"")</f>
        <v/>
      </c>
      <c r="G944" t="str">
        <f>IF($A944&lt;&gt;"",MAESTRO!$D943,"")</f>
        <v/>
      </c>
      <c r="H944" t="str">
        <f>IF($A944&lt;&gt;"",IF(TRIM(MAESTRO!$G943&amp;" "&amp;MAESTRO!$H943&amp;" "&amp;MAESTRO!$I943)="",MAESTRO!$F943,TRIM(MAESTRO!$G943&amp;" "&amp;MAESTRO!$H943&amp;" "&amp;MAESTRO!$I943)),"")</f>
        <v/>
      </c>
      <c r="I944" t="str">
        <f>IF($A944&lt;&gt;"",MAESTRO!$K943,"")</f>
        <v/>
      </c>
      <c r="J944" t="str">
        <f>IF($A944&lt;&gt;"",944,"")</f>
        <v/>
      </c>
    </row>
    <row r="945" spans="1:10" x14ac:dyDescent="0.2">
      <c r="A945" t="str">
        <f>IF(AND(UPPER(MAESTRO!$M944)="VIP",UPPER(MAESTRO!$J944)="SI",MAESTRO!$F944&lt;&gt;""),MAESTRO!$P944,"")</f>
        <v/>
      </c>
      <c r="B945" t="str">
        <f>IF($A945&lt;&gt;"",MAESTRO!$B944,"")</f>
        <v/>
      </c>
      <c r="C945" t="str">
        <f>IF($A945&lt;&gt;"",MAESTRO!$A944,"")</f>
        <v/>
      </c>
      <c r="D945" t="str">
        <f>IF($A945&lt;&gt;"",MAESTRO!$C944,"")</f>
        <v/>
      </c>
      <c r="E945" t="str">
        <f>IF($A945&lt;&gt;"",MAESTRO!$M944,"")</f>
        <v/>
      </c>
      <c r="F945" t="str">
        <f>IF($A945&lt;&gt;"",MAESTRO!$J944,"")</f>
        <v/>
      </c>
      <c r="G945" t="str">
        <f>IF($A945&lt;&gt;"",MAESTRO!$D944,"")</f>
        <v/>
      </c>
      <c r="H945" t="str">
        <f>IF($A945&lt;&gt;"",IF(TRIM(MAESTRO!$G944&amp;" "&amp;MAESTRO!$H944&amp;" "&amp;MAESTRO!$I944)="",MAESTRO!$F944,TRIM(MAESTRO!$G944&amp;" "&amp;MAESTRO!$H944&amp;" "&amp;MAESTRO!$I944)),"")</f>
        <v/>
      </c>
      <c r="I945" t="str">
        <f>IF($A945&lt;&gt;"",MAESTRO!$K944,"")</f>
        <v/>
      </c>
      <c r="J945" t="str">
        <f>IF($A945&lt;&gt;"",945,"")</f>
        <v/>
      </c>
    </row>
    <row r="946" spans="1:10" x14ac:dyDescent="0.2">
      <c r="A946" t="str">
        <f>IF(AND(UPPER(MAESTRO!$M945)="VIP",UPPER(MAESTRO!$J945)="SI",MAESTRO!$F945&lt;&gt;""),MAESTRO!$P945,"")</f>
        <v/>
      </c>
      <c r="B946" t="str">
        <f>IF($A946&lt;&gt;"",MAESTRO!$B945,"")</f>
        <v/>
      </c>
      <c r="C946" t="str">
        <f>IF($A946&lt;&gt;"",MAESTRO!$A945,"")</f>
        <v/>
      </c>
      <c r="D946" t="str">
        <f>IF($A946&lt;&gt;"",MAESTRO!$C945,"")</f>
        <v/>
      </c>
      <c r="E946" t="str">
        <f>IF($A946&lt;&gt;"",MAESTRO!$M945,"")</f>
        <v/>
      </c>
      <c r="F946" t="str">
        <f>IF($A946&lt;&gt;"",MAESTRO!$J945,"")</f>
        <v/>
      </c>
      <c r="G946" t="str">
        <f>IF($A946&lt;&gt;"",MAESTRO!$D945,"")</f>
        <v/>
      </c>
      <c r="H946" t="str">
        <f>IF($A946&lt;&gt;"",IF(TRIM(MAESTRO!$G945&amp;" "&amp;MAESTRO!$H945&amp;" "&amp;MAESTRO!$I945)="",MAESTRO!$F945,TRIM(MAESTRO!$G945&amp;" "&amp;MAESTRO!$H945&amp;" "&amp;MAESTRO!$I945)),"")</f>
        <v/>
      </c>
      <c r="I946" t="str">
        <f>IF($A946&lt;&gt;"",MAESTRO!$K945,"")</f>
        <v/>
      </c>
      <c r="J946" t="str">
        <f>IF($A946&lt;&gt;"",946,"")</f>
        <v/>
      </c>
    </row>
    <row r="947" spans="1:10" x14ac:dyDescent="0.2">
      <c r="A947" t="str">
        <f>IF(AND(UPPER(MAESTRO!$M946)="VIP",UPPER(MAESTRO!$J946)="SI",MAESTRO!$F946&lt;&gt;""),MAESTRO!$P946,"")</f>
        <v/>
      </c>
      <c r="B947" t="str">
        <f>IF($A947&lt;&gt;"",MAESTRO!$B946,"")</f>
        <v/>
      </c>
      <c r="C947" t="str">
        <f>IF($A947&lt;&gt;"",MAESTRO!$A946,"")</f>
        <v/>
      </c>
      <c r="D947" t="str">
        <f>IF($A947&lt;&gt;"",MAESTRO!$C946,"")</f>
        <v/>
      </c>
      <c r="E947" t="str">
        <f>IF($A947&lt;&gt;"",MAESTRO!$M946,"")</f>
        <v/>
      </c>
      <c r="F947" t="str">
        <f>IF($A947&lt;&gt;"",MAESTRO!$J946,"")</f>
        <v/>
      </c>
      <c r="G947" t="str">
        <f>IF($A947&lt;&gt;"",MAESTRO!$D946,"")</f>
        <v/>
      </c>
      <c r="H947" t="str">
        <f>IF($A947&lt;&gt;"",IF(TRIM(MAESTRO!$G946&amp;" "&amp;MAESTRO!$H946&amp;" "&amp;MAESTRO!$I946)="",MAESTRO!$F946,TRIM(MAESTRO!$G946&amp;" "&amp;MAESTRO!$H946&amp;" "&amp;MAESTRO!$I946)),"")</f>
        <v/>
      </c>
      <c r="I947" t="str">
        <f>IF($A947&lt;&gt;"",MAESTRO!$K946,"")</f>
        <v/>
      </c>
      <c r="J947" t="str">
        <f>IF($A947&lt;&gt;"",947,"")</f>
        <v/>
      </c>
    </row>
    <row r="948" spans="1:10" x14ac:dyDescent="0.2">
      <c r="A948" t="str">
        <f>IF(AND(UPPER(MAESTRO!$M947)="VIP",UPPER(MAESTRO!$J947)="SI",MAESTRO!$F947&lt;&gt;""),MAESTRO!$P947,"")</f>
        <v/>
      </c>
      <c r="B948" t="str">
        <f>IF($A948&lt;&gt;"",MAESTRO!$B947,"")</f>
        <v/>
      </c>
      <c r="C948" t="str">
        <f>IF($A948&lt;&gt;"",MAESTRO!$A947,"")</f>
        <v/>
      </c>
      <c r="D948" t="str">
        <f>IF($A948&lt;&gt;"",MAESTRO!$C947,"")</f>
        <v/>
      </c>
      <c r="E948" t="str">
        <f>IF($A948&lt;&gt;"",MAESTRO!$M947,"")</f>
        <v/>
      </c>
      <c r="F948" t="str">
        <f>IF($A948&lt;&gt;"",MAESTRO!$J947,"")</f>
        <v/>
      </c>
      <c r="G948" t="str">
        <f>IF($A948&lt;&gt;"",MAESTRO!$D947,"")</f>
        <v/>
      </c>
      <c r="H948" t="str">
        <f>IF($A948&lt;&gt;"",IF(TRIM(MAESTRO!$G947&amp;" "&amp;MAESTRO!$H947&amp;" "&amp;MAESTRO!$I947)="",MAESTRO!$F947,TRIM(MAESTRO!$G947&amp;" "&amp;MAESTRO!$H947&amp;" "&amp;MAESTRO!$I947)),"")</f>
        <v/>
      </c>
      <c r="I948" t="str">
        <f>IF($A948&lt;&gt;"",MAESTRO!$K947,"")</f>
        <v/>
      </c>
      <c r="J948" t="str">
        <f>IF($A948&lt;&gt;"",948,"")</f>
        <v/>
      </c>
    </row>
    <row r="949" spans="1:10" x14ac:dyDescent="0.2">
      <c r="A949" t="str">
        <f>IF(AND(UPPER(MAESTRO!$M948)="VIP",UPPER(MAESTRO!$J948)="SI",MAESTRO!$F948&lt;&gt;""),MAESTRO!$P948,"")</f>
        <v/>
      </c>
      <c r="B949" t="str">
        <f>IF($A949&lt;&gt;"",MAESTRO!$B948,"")</f>
        <v/>
      </c>
      <c r="C949" t="str">
        <f>IF($A949&lt;&gt;"",MAESTRO!$A948,"")</f>
        <v/>
      </c>
      <c r="D949" t="str">
        <f>IF($A949&lt;&gt;"",MAESTRO!$C948,"")</f>
        <v/>
      </c>
      <c r="E949" t="str">
        <f>IF($A949&lt;&gt;"",MAESTRO!$M948,"")</f>
        <v/>
      </c>
      <c r="F949" t="str">
        <f>IF($A949&lt;&gt;"",MAESTRO!$J948,"")</f>
        <v/>
      </c>
      <c r="G949" t="str">
        <f>IF($A949&lt;&gt;"",MAESTRO!$D948,"")</f>
        <v/>
      </c>
      <c r="H949" t="str">
        <f>IF($A949&lt;&gt;"",IF(TRIM(MAESTRO!$G948&amp;" "&amp;MAESTRO!$H948&amp;" "&amp;MAESTRO!$I948)="",MAESTRO!$F948,TRIM(MAESTRO!$G948&amp;" "&amp;MAESTRO!$H948&amp;" "&amp;MAESTRO!$I948)),"")</f>
        <v/>
      </c>
      <c r="I949" t="str">
        <f>IF($A949&lt;&gt;"",MAESTRO!$K948,"")</f>
        <v/>
      </c>
      <c r="J949" t="str">
        <f>IF($A949&lt;&gt;"",949,"")</f>
        <v/>
      </c>
    </row>
    <row r="950" spans="1:10" x14ac:dyDescent="0.2">
      <c r="A950" t="str">
        <f>IF(AND(UPPER(MAESTRO!$M949)="VIP",UPPER(MAESTRO!$J949)="SI",MAESTRO!$F949&lt;&gt;""),MAESTRO!$P949,"")</f>
        <v/>
      </c>
      <c r="B950" t="str">
        <f>IF($A950&lt;&gt;"",MAESTRO!$B949,"")</f>
        <v/>
      </c>
      <c r="C950" t="str">
        <f>IF($A950&lt;&gt;"",MAESTRO!$A949,"")</f>
        <v/>
      </c>
      <c r="D950" t="str">
        <f>IF($A950&lt;&gt;"",MAESTRO!$C949,"")</f>
        <v/>
      </c>
      <c r="E950" t="str">
        <f>IF($A950&lt;&gt;"",MAESTRO!$M949,"")</f>
        <v/>
      </c>
      <c r="F950" t="str">
        <f>IF($A950&lt;&gt;"",MAESTRO!$J949,"")</f>
        <v/>
      </c>
      <c r="G950" t="str">
        <f>IF($A950&lt;&gt;"",MAESTRO!$D949,"")</f>
        <v/>
      </c>
      <c r="H950" t="str">
        <f>IF($A950&lt;&gt;"",IF(TRIM(MAESTRO!$G949&amp;" "&amp;MAESTRO!$H949&amp;" "&amp;MAESTRO!$I949)="",MAESTRO!$F949,TRIM(MAESTRO!$G949&amp;" "&amp;MAESTRO!$H949&amp;" "&amp;MAESTRO!$I949)),"")</f>
        <v/>
      </c>
      <c r="I950" t="str">
        <f>IF($A950&lt;&gt;"",MAESTRO!$K949,"")</f>
        <v/>
      </c>
      <c r="J950" t="str">
        <f>IF($A950&lt;&gt;"",950,"")</f>
        <v/>
      </c>
    </row>
    <row r="951" spans="1:10" x14ac:dyDescent="0.2">
      <c r="A951" t="str">
        <f>IF(AND(UPPER(MAESTRO!$M950)="VIP",UPPER(MAESTRO!$J950)="SI",MAESTRO!$F950&lt;&gt;""),MAESTRO!$P950,"")</f>
        <v/>
      </c>
      <c r="B951" t="str">
        <f>IF($A951&lt;&gt;"",MAESTRO!$B950,"")</f>
        <v/>
      </c>
      <c r="C951" t="str">
        <f>IF($A951&lt;&gt;"",MAESTRO!$A950,"")</f>
        <v/>
      </c>
      <c r="D951" t="str">
        <f>IF($A951&lt;&gt;"",MAESTRO!$C950,"")</f>
        <v/>
      </c>
      <c r="E951" t="str">
        <f>IF($A951&lt;&gt;"",MAESTRO!$M950,"")</f>
        <v/>
      </c>
      <c r="F951" t="str">
        <f>IF($A951&lt;&gt;"",MAESTRO!$J950,"")</f>
        <v/>
      </c>
      <c r="G951" t="str">
        <f>IF($A951&lt;&gt;"",MAESTRO!$D950,"")</f>
        <v/>
      </c>
      <c r="H951" t="str">
        <f>IF($A951&lt;&gt;"",IF(TRIM(MAESTRO!$G950&amp;" "&amp;MAESTRO!$H950&amp;" "&amp;MAESTRO!$I950)="",MAESTRO!$F950,TRIM(MAESTRO!$G950&amp;" "&amp;MAESTRO!$H950&amp;" "&amp;MAESTRO!$I950)),"")</f>
        <v/>
      </c>
      <c r="I951" t="str">
        <f>IF($A951&lt;&gt;"",MAESTRO!$K950,"")</f>
        <v/>
      </c>
      <c r="J951" t="str">
        <f>IF($A951&lt;&gt;"",951,"")</f>
        <v/>
      </c>
    </row>
    <row r="952" spans="1:10" x14ac:dyDescent="0.2">
      <c r="A952" t="str">
        <f>IF(AND(UPPER(MAESTRO!$M951)="VIP",UPPER(MAESTRO!$J951)="SI",MAESTRO!$F951&lt;&gt;""),MAESTRO!$P951,"")</f>
        <v/>
      </c>
      <c r="B952" t="str">
        <f>IF($A952&lt;&gt;"",MAESTRO!$B951,"")</f>
        <v/>
      </c>
      <c r="C952" t="str">
        <f>IF($A952&lt;&gt;"",MAESTRO!$A951,"")</f>
        <v/>
      </c>
      <c r="D952" t="str">
        <f>IF($A952&lt;&gt;"",MAESTRO!$C951,"")</f>
        <v/>
      </c>
      <c r="E952" t="str">
        <f>IF($A952&lt;&gt;"",MAESTRO!$M951,"")</f>
        <v/>
      </c>
      <c r="F952" t="str">
        <f>IF($A952&lt;&gt;"",MAESTRO!$J951,"")</f>
        <v/>
      </c>
      <c r="G952" t="str">
        <f>IF($A952&lt;&gt;"",MAESTRO!$D951,"")</f>
        <v/>
      </c>
      <c r="H952" t="str">
        <f>IF($A952&lt;&gt;"",IF(TRIM(MAESTRO!$G951&amp;" "&amp;MAESTRO!$H951&amp;" "&amp;MAESTRO!$I951)="",MAESTRO!$F951,TRIM(MAESTRO!$G951&amp;" "&amp;MAESTRO!$H951&amp;" "&amp;MAESTRO!$I951)),"")</f>
        <v/>
      </c>
      <c r="I952" t="str">
        <f>IF($A952&lt;&gt;"",MAESTRO!$K951,"")</f>
        <v/>
      </c>
      <c r="J952" t="str">
        <f>IF($A952&lt;&gt;"",952,"")</f>
        <v/>
      </c>
    </row>
    <row r="953" spans="1:10" x14ac:dyDescent="0.2">
      <c r="A953" t="str">
        <f>IF(AND(UPPER(MAESTRO!$M952)="VIP",UPPER(MAESTRO!$J952)="SI",MAESTRO!$F952&lt;&gt;""),MAESTRO!$P952,"")</f>
        <v/>
      </c>
      <c r="B953" t="str">
        <f>IF($A953&lt;&gt;"",MAESTRO!$B952,"")</f>
        <v/>
      </c>
      <c r="C953" t="str">
        <f>IF($A953&lt;&gt;"",MAESTRO!$A952,"")</f>
        <v/>
      </c>
      <c r="D953" t="str">
        <f>IF($A953&lt;&gt;"",MAESTRO!$C952,"")</f>
        <v/>
      </c>
      <c r="E953" t="str">
        <f>IF($A953&lt;&gt;"",MAESTRO!$M952,"")</f>
        <v/>
      </c>
      <c r="F953" t="str">
        <f>IF($A953&lt;&gt;"",MAESTRO!$J952,"")</f>
        <v/>
      </c>
      <c r="G953" t="str">
        <f>IF($A953&lt;&gt;"",MAESTRO!$D952,"")</f>
        <v/>
      </c>
      <c r="H953" t="str">
        <f>IF($A953&lt;&gt;"",IF(TRIM(MAESTRO!$G952&amp;" "&amp;MAESTRO!$H952&amp;" "&amp;MAESTRO!$I952)="",MAESTRO!$F952,TRIM(MAESTRO!$G952&amp;" "&amp;MAESTRO!$H952&amp;" "&amp;MAESTRO!$I952)),"")</f>
        <v/>
      </c>
      <c r="I953" t="str">
        <f>IF($A953&lt;&gt;"",MAESTRO!$K952,"")</f>
        <v/>
      </c>
      <c r="J953" t="str">
        <f>IF($A953&lt;&gt;"",953,"")</f>
        <v/>
      </c>
    </row>
    <row r="954" spans="1:10" x14ac:dyDescent="0.2">
      <c r="A954" t="str">
        <f>IF(AND(UPPER(MAESTRO!$M953)="VIP",UPPER(MAESTRO!$J953)="SI",MAESTRO!$F953&lt;&gt;""),MAESTRO!$P953,"")</f>
        <v/>
      </c>
      <c r="B954" t="str">
        <f>IF($A954&lt;&gt;"",MAESTRO!$B953,"")</f>
        <v/>
      </c>
      <c r="C954" t="str">
        <f>IF($A954&lt;&gt;"",MAESTRO!$A953,"")</f>
        <v/>
      </c>
      <c r="D954" t="str">
        <f>IF($A954&lt;&gt;"",MAESTRO!$C953,"")</f>
        <v/>
      </c>
      <c r="E954" t="str">
        <f>IF($A954&lt;&gt;"",MAESTRO!$M953,"")</f>
        <v/>
      </c>
      <c r="F954" t="str">
        <f>IF($A954&lt;&gt;"",MAESTRO!$J953,"")</f>
        <v/>
      </c>
      <c r="G954" t="str">
        <f>IF($A954&lt;&gt;"",MAESTRO!$D953,"")</f>
        <v/>
      </c>
      <c r="H954" t="str">
        <f>IF($A954&lt;&gt;"",IF(TRIM(MAESTRO!$G953&amp;" "&amp;MAESTRO!$H953&amp;" "&amp;MAESTRO!$I953)="",MAESTRO!$F953,TRIM(MAESTRO!$G953&amp;" "&amp;MAESTRO!$H953&amp;" "&amp;MAESTRO!$I953)),"")</f>
        <v/>
      </c>
      <c r="I954" t="str">
        <f>IF($A954&lt;&gt;"",MAESTRO!$K953,"")</f>
        <v/>
      </c>
      <c r="J954" t="str">
        <f>IF($A954&lt;&gt;"",954,"")</f>
        <v/>
      </c>
    </row>
    <row r="955" spans="1:10" x14ac:dyDescent="0.2">
      <c r="A955" t="str">
        <f>IF(AND(UPPER(MAESTRO!$M954)="VIP",UPPER(MAESTRO!$J954)="SI",MAESTRO!$F954&lt;&gt;""),MAESTRO!$P954,"")</f>
        <v/>
      </c>
      <c r="B955" t="str">
        <f>IF($A955&lt;&gt;"",MAESTRO!$B954,"")</f>
        <v/>
      </c>
      <c r="C955" t="str">
        <f>IF($A955&lt;&gt;"",MAESTRO!$A954,"")</f>
        <v/>
      </c>
      <c r="D955" t="str">
        <f>IF($A955&lt;&gt;"",MAESTRO!$C954,"")</f>
        <v/>
      </c>
      <c r="E955" t="str">
        <f>IF($A955&lt;&gt;"",MAESTRO!$M954,"")</f>
        <v/>
      </c>
      <c r="F955" t="str">
        <f>IF($A955&lt;&gt;"",MAESTRO!$J954,"")</f>
        <v/>
      </c>
      <c r="G955" t="str">
        <f>IF($A955&lt;&gt;"",MAESTRO!$D954,"")</f>
        <v/>
      </c>
      <c r="H955" t="str">
        <f>IF($A955&lt;&gt;"",IF(TRIM(MAESTRO!$G954&amp;" "&amp;MAESTRO!$H954&amp;" "&amp;MAESTRO!$I954)="",MAESTRO!$F954,TRIM(MAESTRO!$G954&amp;" "&amp;MAESTRO!$H954&amp;" "&amp;MAESTRO!$I954)),"")</f>
        <v/>
      </c>
      <c r="I955" t="str">
        <f>IF($A955&lt;&gt;"",MAESTRO!$K954,"")</f>
        <v/>
      </c>
      <c r="J955" t="str">
        <f>IF($A955&lt;&gt;"",955,"")</f>
        <v/>
      </c>
    </row>
    <row r="956" spans="1:10" x14ac:dyDescent="0.2">
      <c r="A956" t="str">
        <f>IF(AND(UPPER(MAESTRO!$M955)="VIP",UPPER(MAESTRO!$J955)="SI",MAESTRO!$F955&lt;&gt;""),MAESTRO!$P955,"")</f>
        <v/>
      </c>
      <c r="B956" t="str">
        <f>IF($A956&lt;&gt;"",MAESTRO!$B955,"")</f>
        <v/>
      </c>
      <c r="C956" t="str">
        <f>IF($A956&lt;&gt;"",MAESTRO!$A955,"")</f>
        <v/>
      </c>
      <c r="D956" t="str">
        <f>IF($A956&lt;&gt;"",MAESTRO!$C955,"")</f>
        <v/>
      </c>
      <c r="E956" t="str">
        <f>IF($A956&lt;&gt;"",MAESTRO!$M955,"")</f>
        <v/>
      </c>
      <c r="F956" t="str">
        <f>IF($A956&lt;&gt;"",MAESTRO!$J955,"")</f>
        <v/>
      </c>
      <c r="G956" t="str">
        <f>IF($A956&lt;&gt;"",MAESTRO!$D955,"")</f>
        <v/>
      </c>
      <c r="H956" t="str">
        <f>IF($A956&lt;&gt;"",IF(TRIM(MAESTRO!$G955&amp;" "&amp;MAESTRO!$H955&amp;" "&amp;MAESTRO!$I955)="",MAESTRO!$F955,TRIM(MAESTRO!$G955&amp;" "&amp;MAESTRO!$H955&amp;" "&amp;MAESTRO!$I955)),"")</f>
        <v/>
      </c>
      <c r="I956" t="str">
        <f>IF($A956&lt;&gt;"",MAESTRO!$K955,"")</f>
        <v/>
      </c>
      <c r="J956" t="str">
        <f>IF($A956&lt;&gt;"",956,"")</f>
        <v/>
      </c>
    </row>
    <row r="957" spans="1:10" x14ac:dyDescent="0.2">
      <c r="A957" t="str">
        <f>IF(AND(UPPER(MAESTRO!$M956)="VIP",UPPER(MAESTRO!$J956)="SI",MAESTRO!$F956&lt;&gt;""),MAESTRO!$P956,"")</f>
        <v/>
      </c>
      <c r="B957" t="str">
        <f>IF($A957&lt;&gt;"",MAESTRO!$B956,"")</f>
        <v/>
      </c>
      <c r="C957" t="str">
        <f>IF($A957&lt;&gt;"",MAESTRO!$A956,"")</f>
        <v/>
      </c>
      <c r="D957" t="str">
        <f>IF($A957&lt;&gt;"",MAESTRO!$C956,"")</f>
        <v/>
      </c>
      <c r="E957" t="str">
        <f>IF($A957&lt;&gt;"",MAESTRO!$M956,"")</f>
        <v/>
      </c>
      <c r="F957" t="str">
        <f>IF($A957&lt;&gt;"",MAESTRO!$J956,"")</f>
        <v/>
      </c>
      <c r="G957" t="str">
        <f>IF($A957&lt;&gt;"",MAESTRO!$D956,"")</f>
        <v/>
      </c>
      <c r="H957" t="str">
        <f>IF($A957&lt;&gt;"",IF(TRIM(MAESTRO!$G956&amp;" "&amp;MAESTRO!$H956&amp;" "&amp;MAESTRO!$I956)="",MAESTRO!$F956,TRIM(MAESTRO!$G956&amp;" "&amp;MAESTRO!$H956&amp;" "&amp;MAESTRO!$I956)),"")</f>
        <v/>
      </c>
      <c r="I957" t="str">
        <f>IF($A957&lt;&gt;"",MAESTRO!$K956,"")</f>
        <v/>
      </c>
      <c r="J957" t="str">
        <f>IF($A957&lt;&gt;"",957,"")</f>
        <v/>
      </c>
    </row>
    <row r="958" spans="1:10" x14ac:dyDescent="0.2">
      <c r="A958" t="str">
        <f>IF(AND(UPPER(MAESTRO!$M957)="VIP",UPPER(MAESTRO!$J957)="SI",MAESTRO!$F957&lt;&gt;""),MAESTRO!$P957,"")</f>
        <v/>
      </c>
      <c r="B958" t="str">
        <f>IF($A958&lt;&gt;"",MAESTRO!$B957,"")</f>
        <v/>
      </c>
      <c r="C958" t="str">
        <f>IF($A958&lt;&gt;"",MAESTRO!$A957,"")</f>
        <v/>
      </c>
      <c r="D958" t="str">
        <f>IF($A958&lt;&gt;"",MAESTRO!$C957,"")</f>
        <v/>
      </c>
      <c r="E958" t="str">
        <f>IF($A958&lt;&gt;"",MAESTRO!$M957,"")</f>
        <v/>
      </c>
      <c r="F958" t="str">
        <f>IF($A958&lt;&gt;"",MAESTRO!$J957,"")</f>
        <v/>
      </c>
      <c r="G958" t="str">
        <f>IF($A958&lt;&gt;"",MAESTRO!$D957,"")</f>
        <v/>
      </c>
      <c r="H958" t="str">
        <f>IF($A958&lt;&gt;"",IF(TRIM(MAESTRO!$G957&amp;" "&amp;MAESTRO!$H957&amp;" "&amp;MAESTRO!$I957)="",MAESTRO!$F957,TRIM(MAESTRO!$G957&amp;" "&amp;MAESTRO!$H957&amp;" "&amp;MAESTRO!$I957)),"")</f>
        <v/>
      </c>
      <c r="I958" t="str">
        <f>IF($A958&lt;&gt;"",MAESTRO!$K957,"")</f>
        <v/>
      </c>
      <c r="J958" t="str">
        <f>IF($A958&lt;&gt;"",958,"")</f>
        <v/>
      </c>
    </row>
    <row r="959" spans="1:10" x14ac:dyDescent="0.2">
      <c r="A959" t="str">
        <f>IF(AND(UPPER(MAESTRO!$M958)="VIP",UPPER(MAESTRO!$J958)="SI",MAESTRO!$F958&lt;&gt;""),MAESTRO!$P958,"")</f>
        <v/>
      </c>
      <c r="B959" t="str">
        <f>IF($A959&lt;&gt;"",MAESTRO!$B958,"")</f>
        <v/>
      </c>
      <c r="C959" t="str">
        <f>IF($A959&lt;&gt;"",MAESTRO!$A958,"")</f>
        <v/>
      </c>
      <c r="D959" t="str">
        <f>IF($A959&lt;&gt;"",MAESTRO!$C958,"")</f>
        <v/>
      </c>
      <c r="E959" t="str">
        <f>IF($A959&lt;&gt;"",MAESTRO!$M958,"")</f>
        <v/>
      </c>
      <c r="F959" t="str">
        <f>IF($A959&lt;&gt;"",MAESTRO!$J958,"")</f>
        <v/>
      </c>
      <c r="G959" t="str">
        <f>IF($A959&lt;&gt;"",MAESTRO!$D958,"")</f>
        <v/>
      </c>
      <c r="H959" t="str">
        <f>IF($A959&lt;&gt;"",IF(TRIM(MAESTRO!$G958&amp;" "&amp;MAESTRO!$H958&amp;" "&amp;MAESTRO!$I958)="",MAESTRO!$F958,TRIM(MAESTRO!$G958&amp;" "&amp;MAESTRO!$H958&amp;" "&amp;MAESTRO!$I958)),"")</f>
        <v/>
      </c>
      <c r="I959" t="str">
        <f>IF($A959&lt;&gt;"",MAESTRO!$K958,"")</f>
        <v/>
      </c>
      <c r="J959" t="str">
        <f>IF($A959&lt;&gt;"",959,"")</f>
        <v/>
      </c>
    </row>
    <row r="960" spans="1:10" x14ac:dyDescent="0.2">
      <c r="A960" t="str">
        <f>IF(AND(UPPER(MAESTRO!$M959)="VIP",UPPER(MAESTRO!$J959)="SI",MAESTRO!$F959&lt;&gt;""),MAESTRO!$P959,"")</f>
        <v/>
      </c>
      <c r="B960" t="str">
        <f>IF($A960&lt;&gt;"",MAESTRO!$B959,"")</f>
        <v/>
      </c>
      <c r="C960" t="str">
        <f>IF($A960&lt;&gt;"",MAESTRO!$A959,"")</f>
        <v/>
      </c>
      <c r="D960" t="str">
        <f>IF($A960&lt;&gt;"",MAESTRO!$C959,"")</f>
        <v/>
      </c>
      <c r="E960" t="str">
        <f>IF($A960&lt;&gt;"",MAESTRO!$M959,"")</f>
        <v/>
      </c>
      <c r="F960" t="str">
        <f>IF($A960&lt;&gt;"",MAESTRO!$J959,"")</f>
        <v/>
      </c>
      <c r="G960" t="str">
        <f>IF($A960&lt;&gt;"",MAESTRO!$D959,"")</f>
        <v/>
      </c>
      <c r="H960" t="str">
        <f>IF($A960&lt;&gt;"",IF(TRIM(MAESTRO!$G959&amp;" "&amp;MAESTRO!$H959&amp;" "&amp;MAESTRO!$I959)="",MAESTRO!$F959,TRIM(MAESTRO!$G959&amp;" "&amp;MAESTRO!$H959&amp;" "&amp;MAESTRO!$I959)),"")</f>
        <v/>
      </c>
      <c r="I960" t="str">
        <f>IF($A960&lt;&gt;"",MAESTRO!$K959,"")</f>
        <v/>
      </c>
      <c r="J960" t="str">
        <f>IF($A960&lt;&gt;"",960,"")</f>
        <v/>
      </c>
    </row>
    <row r="961" spans="1:10" x14ac:dyDescent="0.2">
      <c r="A961" t="str">
        <f>IF(AND(UPPER(MAESTRO!$M960)="VIP",UPPER(MAESTRO!$J960)="SI",MAESTRO!$F960&lt;&gt;""),MAESTRO!$P960,"")</f>
        <v/>
      </c>
      <c r="B961" t="str">
        <f>IF($A961&lt;&gt;"",MAESTRO!$B960,"")</f>
        <v/>
      </c>
      <c r="C961" t="str">
        <f>IF($A961&lt;&gt;"",MAESTRO!$A960,"")</f>
        <v/>
      </c>
      <c r="D961" t="str">
        <f>IF($A961&lt;&gt;"",MAESTRO!$C960,"")</f>
        <v/>
      </c>
      <c r="E961" t="str">
        <f>IF($A961&lt;&gt;"",MAESTRO!$M960,"")</f>
        <v/>
      </c>
      <c r="F961" t="str">
        <f>IF($A961&lt;&gt;"",MAESTRO!$J960,"")</f>
        <v/>
      </c>
      <c r="G961" t="str">
        <f>IF($A961&lt;&gt;"",MAESTRO!$D960,"")</f>
        <v/>
      </c>
      <c r="H961" t="str">
        <f>IF($A961&lt;&gt;"",IF(TRIM(MAESTRO!$G960&amp;" "&amp;MAESTRO!$H960&amp;" "&amp;MAESTRO!$I960)="",MAESTRO!$F960,TRIM(MAESTRO!$G960&amp;" "&amp;MAESTRO!$H960&amp;" "&amp;MAESTRO!$I960)),"")</f>
        <v/>
      </c>
      <c r="I961" t="str">
        <f>IF($A961&lt;&gt;"",MAESTRO!$K960,"")</f>
        <v/>
      </c>
      <c r="J961" t="str">
        <f>IF($A961&lt;&gt;"",961,"")</f>
        <v/>
      </c>
    </row>
    <row r="962" spans="1:10" x14ac:dyDescent="0.2">
      <c r="A962" t="str">
        <f>IF(AND(UPPER(MAESTRO!$M961)="VIP",UPPER(MAESTRO!$J961)="SI",MAESTRO!$F961&lt;&gt;""),MAESTRO!$P961,"")</f>
        <v/>
      </c>
      <c r="B962" t="str">
        <f>IF($A962&lt;&gt;"",MAESTRO!$B961,"")</f>
        <v/>
      </c>
      <c r="C962" t="str">
        <f>IF($A962&lt;&gt;"",MAESTRO!$A961,"")</f>
        <v/>
      </c>
      <c r="D962" t="str">
        <f>IF($A962&lt;&gt;"",MAESTRO!$C961,"")</f>
        <v/>
      </c>
      <c r="E962" t="str">
        <f>IF($A962&lt;&gt;"",MAESTRO!$M961,"")</f>
        <v/>
      </c>
      <c r="F962" t="str">
        <f>IF($A962&lt;&gt;"",MAESTRO!$J961,"")</f>
        <v/>
      </c>
      <c r="G962" t="str">
        <f>IF($A962&lt;&gt;"",MAESTRO!$D961,"")</f>
        <v/>
      </c>
      <c r="H962" t="str">
        <f>IF($A962&lt;&gt;"",IF(TRIM(MAESTRO!$G961&amp;" "&amp;MAESTRO!$H961&amp;" "&amp;MAESTRO!$I961)="",MAESTRO!$F961,TRIM(MAESTRO!$G961&amp;" "&amp;MAESTRO!$H961&amp;" "&amp;MAESTRO!$I961)),"")</f>
        <v/>
      </c>
      <c r="I962" t="str">
        <f>IF($A962&lt;&gt;"",MAESTRO!$K961,"")</f>
        <v/>
      </c>
      <c r="J962" t="str">
        <f>IF($A962&lt;&gt;"",962,"")</f>
        <v/>
      </c>
    </row>
    <row r="963" spans="1:10" x14ac:dyDescent="0.2">
      <c r="A963" t="str">
        <f>IF(AND(UPPER(MAESTRO!$M962)="VIP",UPPER(MAESTRO!$J962)="SI",MAESTRO!$F962&lt;&gt;""),MAESTRO!$P962,"")</f>
        <v/>
      </c>
      <c r="B963" t="str">
        <f>IF($A963&lt;&gt;"",MAESTRO!$B962,"")</f>
        <v/>
      </c>
      <c r="C963" t="str">
        <f>IF($A963&lt;&gt;"",MAESTRO!$A962,"")</f>
        <v/>
      </c>
      <c r="D963" t="str">
        <f>IF($A963&lt;&gt;"",MAESTRO!$C962,"")</f>
        <v/>
      </c>
      <c r="E963" t="str">
        <f>IF($A963&lt;&gt;"",MAESTRO!$M962,"")</f>
        <v/>
      </c>
      <c r="F963" t="str">
        <f>IF($A963&lt;&gt;"",MAESTRO!$J962,"")</f>
        <v/>
      </c>
      <c r="G963" t="str">
        <f>IF($A963&lt;&gt;"",MAESTRO!$D962,"")</f>
        <v/>
      </c>
      <c r="H963" t="str">
        <f>IF($A963&lt;&gt;"",IF(TRIM(MAESTRO!$G962&amp;" "&amp;MAESTRO!$H962&amp;" "&amp;MAESTRO!$I962)="",MAESTRO!$F962,TRIM(MAESTRO!$G962&amp;" "&amp;MAESTRO!$H962&amp;" "&amp;MAESTRO!$I962)),"")</f>
        <v/>
      </c>
      <c r="I963" t="str">
        <f>IF($A963&lt;&gt;"",MAESTRO!$K962,"")</f>
        <v/>
      </c>
      <c r="J963" t="str">
        <f>IF($A963&lt;&gt;"",963,"")</f>
        <v/>
      </c>
    </row>
    <row r="964" spans="1:10" x14ac:dyDescent="0.2">
      <c r="A964" t="str">
        <f>IF(AND(UPPER(MAESTRO!$M963)="VIP",UPPER(MAESTRO!$J963)="SI",MAESTRO!$F963&lt;&gt;""),MAESTRO!$P963,"")</f>
        <v/>
      </c>
      <c r="B964" t="str">
        <f>IF($A964&lt;&gt;"",MAESTRO!$B963,"")</f>
        <v/>
      </c>
      <c r="C964" t="str">
        <f>IF($A964&lt;&gt;"",MAESTRO!$A963,"")</f>
        <v/>
      </c>
      <c r="D964" t="str">
        <f>IF($A964&lt;&gt;"",MAESTRO!$C963,"")</f>
        <v/>
      </c>
      <c r="E964" t="str">
        <f>IF($A964&lt;&gt;"",MAESTRO!$M963,"")</f>
        <v/>
      </c>
      <c r="F964" t="str">
        <f>IF($A964&lt;&gt;"",MAESTRO!$J963,"")</f>
        <v/>
      </c>
      <c r="G964" t="str">
        <f>IF($A964&lt;&gt;"",MAESTRO!$D963,"")</f>
        <v/>
      </c>
      <c r="H964" t="str">
        <f>IF($A964&lt;&gt;"",IF(TRIM(MAESTRO!$G963&amp;" "&amp;MAESTRO!$H963&amp;" "&amp;MAESTRO!$I963)="",MAESTRO!$F963,TRIM(MAESTRO!$G963&amp;" "&amp;MAESTRO!$H963&amp;" "&amp;MAESTRO!$I963)),"")</f>
        <v/>
      </c>
      <c r="I964" t="str">
        <f>IF($A964&lt;&gt;"",MAESTRO!$K963,"")</f>
        <v/>
      </c>
      <c r="J964" t="str">
        <f>IF($A964&lt;&gt;"",964,"")</f>
        <v/>
      </c>
    </row>
    <row r="965" spans="1:10" x14ac:dyDescent="0.2">
      <c r="A965" t="str">
        <f>IF(AND(UPPER(MAESTRO!$M964)="VIP",UPPER(MAESTRO!$J964)="SI",MAESTRO!$F964&lt;&gt;""),MAESTRO!$P964,"")</f>
        <v/>
      </c>
      <c r="B965" t="str">
        <f>IF($A965&lt;&gt;"",MAESTRO!$B964,"")</f>
        <v/>
      </c>
      <c r="C965" t="str">
        <f>IF($A965&lt;&gt;"",MAESTRO!$A964,"")</f>
        <v/>
      </c>
      <c r="D965" t="str">
        <f>IF($A965&lt;&gt;"",MAESTRO!$C964,"")</f>
        <v/>
      </c>
      <c r="E965" t="str">
        <f>IF($A965&lt;&gt;"",MAESTRO!$M964,"")</f>
        <v/>
      </c>
      <c r="F965" t="str">
        <f>IF($A965&lt;&gt;"",MAESTRO!$J964,"")</f>
        <v/>
      </c>
      <c r="G965" t="str">
        <f>IF($A965&lt;&gt;"",MAESTRO!$D964,"")</f>
        <v/>
      </c>
      <c r="H965" t="str">
        <f>IF($A965&lt;&gt;"",IF(TRIM(MAESTRO!$G964&amp;" "&amp;MAESTRO!$H964&amp;" "&amp;MAESTRO!$I964)="",MAESTRO!$F964,TRIM(MAESTRO!$G964&amp;" "&amp;MAESTRO!$H964&amp;" "&amp;MAESTRO!$I964)),"")</f>
        <v/>
      </c>
      <c r="I965" t="str">
        <f>IF($A965&lt;&gt;"",MAESTRO!$K964,"")</f>
        <v/>
      </c>
      <c r="J965" t="str">
        <f>IF($A965&lt;&gt;"",965,"")</f>
        <v/>
      </c>
    </row>
    <row r="966" spans="1:10" x14ac:dyDescent="0.2">
      <c r="A966" t="str">
        <f>IF(AND(UPPER(MAESTRO!$M965)="VIP",UPPER(MAESTRO!$J965)="SI",MAESTRO!$F965&lt;&gt;""),MAESTRO!$P965,"")</f>
        <v/>
      </c>
      <c r="B966" t="str">
        <f>IF($A966&lt;&gt;"",MAESTRO!$B965,"")</f>
        <v/>
      </c>
      <c r="C966" t="str">
        <f>IF($A966&lt;&gt;"",MAESTRO!$A965,"")</f>
        <v/>
      </c>
      <c r="D966" t="str">
        <f>IF($A966&lt;&gt;"",MAESTRO!$C965,"")</f>
        <v/>
      </c>
      <c r="E966" t="str">
        <f>IF($A966&lt;&gt;"",MAESTRO!$M965,"")</f>
        <v/>
      </c>
      <c r="F966" t="str">
        <f>IF($A966&lt;&gt;"",MAESTRO!$J965,"")</f>
        <v/>
      </c>
      <c r="G966" t="str">
        <f>IF($A966&lt;&gt;"",MAESTRO!$D965,"")</f>
        <v/>
      </c>
      <c r="H966" t="str">
        <f>IF($A966&lt;&gt;"",IF(TRIM(MAESTRO!$G965&amp;" "&amp;MAESTRO!$H965&amp;" "&amp;MAESTRO!$I965)="",MAESTRO!$F965,TRIM(MAESTRO!$G965&amp;" "&amp;MAESTRO!$H965&amp;" "&amp;MAESTRO!$I965)),"")</f>
        <v/>
      </c>
      <c r="I966" t="str">
        <f>IF($A966&lt;&gt;"",MAESTRO!$K965,"")</f>
        <v/>
      </c>
      <c r="J966" t="str">
        <f>IF($A966&lt;&gt;"",966,"")</f>
        <v/>
      </c>
    </row>
    <row r="967" spans="1:10" x14ac:dyDescent="0.2">
      <c r="A967" t="str">
        <f>IF(AND(UPPER(MAESTRO!$M966)="VIP",UPPER(MAESTRO!$J966)="SI",MAESTRO!$F966&lt;&gt;""),MAESTRO!$P966,"")</f>
        <v/>
      </c>
      <c r="B967" t="str">
        <f>IF($A967&lt;&gt;"",MAESTRO!$B966,"")</f>
        <v/>
      </c>
      <c r="C967" t="str">
        <f>IF($A967&lt;&gt;"",MAESTRO!$A966,"")</f>
        <v/>
      </c>
      <c r="D967" t="str">
        <f>IF($A967&lt;&gt;"",MAESTRO!$C966,"")</f>
        <v/>
      </c>
      <c r="E967" t="str">
        <f>IF($A967&lt;&gt;"",MAESTRO!$M966,"")</f>
        <v/>
      </c>
      <c r="F967" t="str">
        <f>IF($A967&lt;&gt;"",MAESTRO!$J966,"")</f>
        <v/>
      </c>
      <c r="G967" t="str">
        <f>IF($A967&lt;&gt;"",MAESTRO!$D966,"")</f>
        <v/>
      </c>
      <c r="H967" t="str">
        <f>IF($A967&lt;&gt;"",IF(TRIM(MAESTRO!$G966&amp;" "&amp;MAESTRO!$H966&amp;" "&amp;MAESTRO!$I966)="",MAESTRO!$F966,TRIM(MAESTRO!$G966&amp;" "&amp;MAESTRO!$H966&amp;" "&amp;MAESTRO!$I966)),"")</f>
        <v/>
      </c>
      <c r="I967" t="str">
        <f>IF($A967&lt;&gt;"",MAESTRO!$K966,"")</f>
        <v/>
      </c>
      <c r="J967" t="str">
        <f>IF($A967&lt;&gt;"",967,"")</f>
        <v/>
      </c>
    </row>
    <row r="968" spans="1:10" x14ac:dyDescent="0.2">
      <c r="A968" t="str">
        <f>IF(AND(UPPER(MAESTRO!$M967)="VIP",UPPER(MAESTRO!$J967)="SI",MAESTRO!$F967&lt;&gt;""),MAESTRO!$P967,"")</f>
        <v/>
      </c>
      <c r="B968" t="str">
        <f>IF($A968&lt;&gt;"",MAESTRO!$B967,"")</f>
        <v/>
      </c>
      <c r="C968" t="str">
        <f>IF($A968&lt;&gt;"",MAESTRO!$A967,"")</f>
        <v/>
      </c>
      <c r="D968" t="str">
        <f>IF($A968&lt;&gt;"",MAESTRO!$C967,"")</f>
        <v/>
      </c>
      <c r="E968" t="str">
        <f>IF($A968&lt;&gt;"",MAESTRO!$M967,"")</f>
        <v/>
      </c>
      <c r="F968" t="str">
        <f>IF($A968&lt;&gt;"",MAESTRO!$J967,"")</f>
        <v/>
      </c>
      <c r="G968" t="str">
        <f>IF($A968&lt;&gt;"",MAESTRO!$D967,"")</f>
        <v/>
      </c>
      <c r="H968" t="str">
        <f>IF($A968&lt;&gt;"",IF(TRIM(MAESTRO!$G967&amp;" "&amp;MAESTRO!$H967&amp;" "&amp;MAESTRO!$I967)="",MAESTRO!$F967,TRIM(MAESTRO!$G967&amp;" "&amp;MAESTRO!$H967&amp;" "&amp;MAESTRO!$I967)),"")</f>
        <v/>
      </c>
      <c r="I968" t="str">
        <f>IF($A968&lt;&gt;"",MAESTRO!$K967,"")</f>
        <v/>
      </c>
      <c r="J968" t="str">
        <f>IF($A968&lt;&gt;"",968,"")</f>
        <v/>
      </c>
    </row>
    <row r="969" spans="1:10" x14ac:dyDescent="0.2">
      <c r="A969" t="str">
        <f>IF(AND(UPPER(MAESTRO!$M968)="VIP",UPPER(MAESTRO!$J968)="SI",MAESTRO!$F968&lt;&gt;""),MAESTRO!$P968,"")</f>
        <v/>
      </c>
      <c r="B969" t="str">
        <f>IF($A969&lt;&gt;"",MAESTRO!$B968,"")</f>
        <v/>
      </c>
      <c r="C969" t="str">
        <f>IF($A969&lt;&gt;"",MAESTRO!$A968,"")</f>
        <v/>
      </c>
      <c r="D969" t="str">
        <f>IF($A969&lt;&gt;"",MAESTRO!$C968,"")</f>
        <v/>
      </c>
      <c r="E969" t="str">
        <f>IF($A969&lt;&gt;"",MAESTRO!$M968,"")</f>
        <v/>
      </c>
      <c r="F969" t="str">
        <f>IF($A969&lt;&gt;"",MAESTRO!$J968,"")</f>
        <v/>
      </c>
      <c r="G969" t="str">
        <f>IF($A969&lt;&gt;"",MAESTRO!$D968,"")</f>
        <v/>
      </c>
      <c r="H969" t="str">
        <f>IF($A969&lt;&gt;"",IF(TRIM(MAESTRO!$G968&amp;" "&amp;MAESTRO!$H968&amp;" "&amp;MAESTRO!$I968)="",MAESTRO!$F968,TRIM(MAESTRO!$G968&amp;" "&amp;MAESTRO!$H968&amp;" "&amp;MAESTRO!$I968)),"")</f>
        <v/>
      </c>
      <c r="I969" t="str">
        <f>IF($A969&lt;&gt;"",MAESTRO!$K968,"")</f>
        <v/>
      </c>
      <c r="J969" t="str">
        <f>IF($A969&lt;&gt;"",969,"")</f>
        <v/>
      </c>
    </row>
    <row r="970" spans="1:10" x14ac:dyDescent="0.2">
      <c r="A970" t="str">
        <f>IF(AND(UPPER(MAESTRO!$M969)="VIP",UPPER(MAESTRO!$J969)="SI",MAESTRO!$F969&lt;&gt;""),MAESTRO!$P969,"")</f>
        <v/>
      </c>
      <c r="B970" t="str">
        <f>IF($A970&lt;&gt;"",MAESTRO!$B969,"")</f>
        <v/>
      </c>
      <c r="C970" t="str">
        <f>IF($A970&lt;&gt;"",MAESTRO!$A969,"")</f>
        <v/>
      </c>
      <c r="D970" t="str">
        <f>IF($A970&lt;&gt;"",MAESTRO!$C969,"")</f>
        <v/>
      </c>
      <c r="E970" t="str">
        <f>IF($A970&lt;&gt;"",MAESTRO!$M969,"")</f>
        <v/>
      </c>
      <c r="F970" t="str">
        <f>IF($A970&lt;&gt;"",MAESTRO!$J969,"")</f>
        <v/>
      </c>
      <c r="G970" t="str">
        <f>IF($A970&lt;&gt;"",MAESTRO!$D969,"")</f>
        <v/>
      </c>
      <c r="H970" t="str">
        <f>IF($A970&lt;&gt;"",IF(TRIM(MAESTRO!$G969&amp;" "&amp;MAESTRO!$H969&amp;" "&amp;MAESTRO!$I969)="",MAESTRO!$F969,TRIM(MAESTRO!$G969&amp;" "&amp;MAESTRO!$H969&amp;" "&amp;MAESTRO!$I969)),"")</f>
        <v/>
      </c>
      <c r="I970" t="str">
        <f>IF($A970&lt;&gt;"",MAESTRO!$K969,"")</f>
        <v/>
      </c>
      <c r="J970" t="str">
        <f>IF($A970&lt;&gt;"",970,"")</f>
        <v/>
      </c>
    </row>
    <row r="971" spans="1:10" x14ac:dyDescent="0.2">
      <c r="A971" t="str">
        <f>IF(AND(UPPER(MAESTRO!$M970)="VIP",UPPER(MAESTRO!$J970)="SI",MAESTRO!$F970&lt;&gt;""),MAESTRO!$P970,"")</f>
        <v/>
      </c>
      <c r="B971" t="str">
        <f>IF($A971&lt;&gt;"",MAESTRO!$B970,"")</f>
        <v/>
      </c>
      <c r="C971" t="str">
        <f>IF($A971&lt;&gt;"",MAESTRO!$A970,"")</f>
        <v/>
      </c>
      <c r="D971" t="str">
        <f>IF($A971&lt;&gt;"",MAESTRO!$C970,"")</f>
        <v/>
      </c>
      <c r="E971" t="str">
        <f>IF($A971&lt;&gt;"",MAESTRO!$M970,"")</f>
        <v/>
      </c>
      <c r="F971" t="str">
        <f>IF($A971&lt;&gt;"",MAESTRO!$J970,"")</f>
        <v/>
      </c>
      <c r="G971" t="str">
        <f>IF($A971&lt;&gt;"",MAESTRO!$D970,"")</f>
        <v/>
      </c>
      <c r="H971" t="str">
        <f>IF($A971&lt;&gt;"",IF(TRIM(MAESTRO!$G970&amp;" "&amp;MAESTRO!$H970&amp;" "&amp;MAESTRO!$I970)="",MAESTRO!$F970,TRIM(MAESTRO!$G970&amp;" "&amp;MAESTRO!$H970&amp;" "&amp;MAESTRO!$I970)),"")</f>
        <v/>
      </c>
      <c r="I971" t="str">
        <f>IF($A971&lt;&gt;"",MAESTRO!$K970,"")</f>
        <v/>
      </c>
      <c r="J971" t="str">
        <f>IF($A971&lt;&gt;"",971,"")</f>
        <v/>
      </c>
    </row>
    <row r="972" spans="1:10" x14ac:dyDescent="0.2">
      <c r="A972" t="str">
        <f>IF(AND(UPPER(MAESTRO!$M971)="VIP",UPPER(MAESTRO!$J971)="SI",MAESTRO!$F971&lt;&gt;""),MAESTRO!$P971,"")</f>
        <v/>
      </c>
      <c r="B972" t="str">
        <f>IF($A972&lt;&gt;"",MAESTRO!$B971,"")</f>
        <v/>
      </c>
      <c r="C972" t="str">
        <f>IF($A972&lt;&gt;"",MAESTRO!$A971,"")</f>
        <v/>
      </c>
      <c r="D972" t="str">
        <f>IF($A972&lt;&gt;"",MAESTRO!$C971,"")</f>
        <v/>
      </c>
      <c r="E972" t="str">
        <f>IF($A972&lt;&gt;"",MAESTRO!$M971,"")</f>
        <v/>
      </c>
      <c r="F972" t="str">
        <f>IF($A972&lt;&gt;"",MAESTRO!$J971,"")</f>
        <v/>
      </c>
      <c r="G972" t="str">
        <f>IF($A972&lt;&gt;"",MAESTRO!$D971,"")</f>
        <v/>
      </c>
      <c r="H972" t="str">
        <f>IF($A972&lt;&gt;"",IF(TRIM(MAESTRO!$G971&amp;" "&amp;MAESTRO!$H971&amp;" "&amp;MAESTRO!$I971)="",MAESTRO!$F971,TRIM(MAESTRO!$G971&amp;" "&amp;MAESTRO!$H971&amp;" "&amp;MAESTRO!$I971)),"")</f>
        <v/>
      </c>
      <c r="I972" t="str">
        <f>IF($A972&lt;&gt;"",MAESTRO!$K971,"")</f>
        <v/>
      </c>
      <c r="J972" t="str">
        <f>IF($A972&lt;&gt;"",972,"")</f>
        <v/>
      </c>
    </row>
    <row r="973" spans="1:10" x14ac:dyDescent="0.2">
      <c r="A973" t="str">
        <f>IF(AND(UPPER(MAESTRO!$M972)="VIP",UPPER(MAESTRO!$J972)="SI",MAESTRO!$F972&lt;&gt;""),MAESTRO!$P972,"")</f>
        <v/>
      </c>
      <c r="B973" t="str">
        <f>IF($A973&lt;&gt;"",MAESTRO!$B972,"")</f>
        <v/>
      </c>
      <c r="C973" t="str">
        <f>IF($A973&lt;&gt;"",MAESTRO!$A972,"")</f>
        <v/>
      </c>
      <c r="D973" t="str">
        <f>IF($A973&lt;&gt;"",MAESTRO!$C972,"")</f>
        <v/>
      </c>
      <c r="E973" t="str">
        <f>IF($A973&lt;&gt;"",MAESTRO!$M972,"")</f>
        <v/>
      </c>
      <c r="F973" t="str">
        <f>IF($A973&lt;&gt;"",MAESTRO!$J972,"")</f>
        <v/>
      </c>
      <c r="G973" t="str">
        <f>IF($A973&lt;&gt;"",MAESTRO!$D972,"")</f>
        <v/>
      </c>
      <c r="H973" t="str">
        <f>IF($A973&lt;&gt;"",IF(TRIM(MAESTRO!$G972&amp;" "&amp;MAESTRO!$H972&amp;" "&amp;MAESTRO!$I972)="",MAESTRO!$F972,TRIM(MAESTRO!$G972&amp;" "&amp;MAESTRO!$H972&amp;" "&amp;MAESTRO!$I972)),"")</f>
        <v/>
      </c>
      <c r="I973" t="str">
        <f>IF($A973&lt;&gt;"",MAESTRO!$K972,"")</f>
        <v/>
      </c>
      <c r="J973" t="str">
        <f>IF($A973&lt;&gt;"",973,"")</f>
        <v/>
      </c>
    </row>
    <row r="974" spans="1:10" x14ac:dyDescent="0.2">
      <c r="A974" t="str">
        <f>IF(AND(UPPER(MAESTRO!$M973)="VIP",UPPER(MAESTRO!$J973)="SI",MAESTRO!$F973&lt;&gt;""),MAESTRO!$P973,"")</f>
        <v/>
      </c>
      <c r="B974" t="str">
        <f>IF($A974&lt;&gt;"",MAESTRO!$B973,"")</f>
        <v/>
      </c>
      <c r="C974" t="str">
        <f>IF($A974&lt;&gt;"",MAESTRO!$A973,"")</f>
        <v/>
      </c>
      <c r="D974" t="str">
        <f>IF($A974&lt;&gt;"",MAESTRO!$C973,"")</f>
        <v/>
      </c>
      <c r="E974" t="str">
        <f>IF($A974&lt;&gt;"",MAESTRO!$M973,"")</f>
        <v/>
      </c>
      <c r="F974" t="str">
        <f>IF($A974&lt;&gt;"",MAESTRO!$J973,"")</f>
        <v/>
      </c>
      <c r="G974" t="str">
        <f>IF($A974&lt;&gt;"",MAESTRO!$D973,"")</f>
        <v/>
      </c>
      <c r="H974" t="str">
        <f>IF($A974&lt;&gt;"",IF(TRIM(MAESTRO!$G973&amp;" "&amp;MAESTRO!$H973&amp;" "&amp;MAESTRO!$I973)="",MAESTRO!$F973,TRIM(MAESTRO!$G973&amp;" "&amp;MAESTRO!$H973&amp;" "&amp;MAESTRO!$I973)),"")</f>
        <v/>
      </c>
      <c r="I974" t="str">
        <f>IF($A974&lt;&gt;"",MAESTRO!$K973,"")</f>
        <v/>
      </c>
      <c r="J974" t="str">
        <f>IF($A974&lt;&gt;"",974,"")</f>
        <v/>
      </c>
    </row>
    <row r="975" spans="1:10" x14ac:dyDescent="0.2">
      <c r="A975" t="str">
        <f>IF(AND(UPPER(MAESTRO!$M974)="VIP",UPPER(MAESTRO!$J974)="SI",MAESTRO!$F974&lt;&gt;""),MAESTRO!$P974,"")</f>
        <v/>
      </c>
      <c r="B975" t="str">
        <f>IF($A975&lt;&gt;"",MAESTRO!$B974,"")</f>
        <v/>
      </c>
      <c r="C975" t="str">
        <f>IF($A975&lt;&gt;"",MAESTRO!$A974,"")</f>
        <v/>
      </c>
      <c r="D975" t="str">
        <f>IF($A975&lt;&gt;"",MAESTRO!$C974,"")</f>
        <v/>
      </c>
      <c r="E975" t="str">
        <f>IF($A975&lt;&gt;"",MAESTRO!$M974,"")</f>
        <v/>
      </c>
      <c r="F975" t="str">
        <f>IF($A975&lt;&gt;"",MAESTRO!$J974,"")</f>
        <v/>
      </c>
      <c r="G975" t="str">
        <f>IF($A975&lt;&gt;"",MAESTRO!$D974,"")</f>
        <v/>
      </c>
      <c r="H975" t="str">
        <f>IF($A975&lt;&gt;"",IF(TRIM(MAESTRO!$G974&amp;" "&amp;MAESTRO!$H974&amp;" "&amp;MAESTRO!$I974)="",MAESTRO!$F974,TRIM(MAESTRO!$G974&amp;" "&amp;MAESTRO!$H974&amp;" "&amp;MAESTRO!$I974)),"")</f>
        <v/>
      </c>
      <c r="I975" t="str">
        <f>IF($A975&lt;&gt;"",MAESTRO!$K974,"")</f>
        <v/>
      </c>
      <c r="J975" t="str">
        <f>IF($A975&lt;&gt;"",975,"")</f>
        <v/>
      </c>
    </row>
    <row r="976" spans="1:10" x14ac:dyDescent="0.2">
      <c r="A976" t="str">
        <f>IF(AND(UPPER(MAESTRO!$M975)="VIP",UPPER(MAESTRO!$J975)="SI",MAESTRO!$F975&lt;&gt;""),MAESTRO!$P975,"")</f>
        <v/>
      </c>
      <c r="B976" t="str">
        <f>IF($A976&lt;&gt;"",MAESTRO!$B975,"")</f>
        <v/>
      </c>
      <c r="C976" t="str">
        <f>IF($A976&lt;&gt;"",MAESTRO!$A975,"")</f>
        <v/>
      </c>
      <c r="D976" t="str">
        <f>IF($A976&lt;&gt;"",MAESTRO!$C975,"")</f>
        <v/>
      </c>
      <c r="E976" t="str">
        <f>IF($A976&lt;&gt;"",MAESTRO!$M975,"")</f>
        <v/>
      </c>
      <c r="F976" t="str">
        <f>IF($A976&lt;&gt;"",MAESTRO!$J975,"")</f>
        <v/>
      </c>
      <c r="G976" t="str">
        <f>IF($A976&lt;&gt;"",MAESTRO!$D975,"")</f>
        <v/>
      </c>
      <c r="H976" t="str">
        <f>IF($A976&lt;&gt;"",IF(TRIM(MAESTRO!$G975&amp;" "&amp;MAESTRO!$H975&amp;" "&amp;MAESTRO!$I975)="",MAESTRO!$F975,TRIM(MAESTRO!$G975&amp;" "&amp;MAESTRO!$H975&amp;" "&amp;MAESTRO!$I975)),"")</f>
        <v/>
      </c>
      <c r="I976" t="str">
        <f>IF($A976&lt;&gt;"",MAESTRO!$K975,"")</f>
        <v/>
      </c>
      <c r="J976" t="str">
        <f>IF($A976&lt;&gt;"",976,"")</f>
        <v/>
      </c>
    </row>
    <row r="977" spans="1:10" x14ac:dyDescent="0.2">
      <c r="A977" t="str">
        <f>IF(AND(UPPER(MAESTRO!$M976)="VIP",UPPER(MAESTRO!$J976)="SI",MAESTRO!$F976&lt;&gt;""),MAESTRO!$P976,"")</f>
        <v/>
      </c>
      <c r="B977" t="str">
        <f>IF($A977&lt;&gt;"",MAESTRO!$B976,"")</f>
        <v/>
      </c>
      <c r="C977" t="str">
        <f>IF($A977&lt;&gt;"",MAESTRO!$A976,"")</f>
        <v/>
      </c>
      <c r="D977" t="str">
        <f>IF($A977&lt;&gt;"",MAESTRO!$C976,"")</f>
        <v/>
      </c>
      <c r="E977" t="str">
        <f>IF($A977&lt;&gt;"",MAESTRO!$M976,"")</f>
        <v/>
      </c>
      <c r="F977" t="str">
        <f>IF($A977&lt;&gt;"",MAESTRO!$J976,"")</f>
        <v/>
      </c>
      <c r="G977" t="str">
        <f>IF($A977&lt;&gt;"",MAESTRO!$D976,"")</f>
        <v/>
      </c>
      <c r="H977" t="str">
        <f>IF($A977&lt;&gt;"",IF(TRIM(MAESTRO!$G976&amp;" "&amp;MAESTRO!$H976&amp;" "&amp;MAESTRO!$I976)="",MAESTRO!$F976,TRIM(MAESTRO!$G976&amp;" "&amp;MAESTRO!$H976&amp;" "&amp;MAESTRO!$I976)),"")</f>
        <v/>
      </c>
      <c r="I977" t="str">
        <f>IF($A977&lt;&gt;"",MAESTRO!$K976,"")</f>
        <v/>
      </c>
      <c r="J977" t="str">
        <f>IF($A977&lt;&gt;"",977,"")</f>
        <v/>
      </c>
    </row>
    <row r="978" spans="1:10" x14ac:dyDescent="0.2">
      <c r="A978" t="str">
        <f>IF(AND(UPPER(MAESTRO!$M977)="VIP",UPPER(MAESTRO!$J977)="SI",MAESTRO!$F977&lt;&gt;""),MAESTRO!$P977,"")</f>
        <v/>
      </c>
      <c r="B978" t="str">
        <f>IF($A978&lt;&gt;"",MAESTRO!$B977,"")</f>
        <v/>
      </c>
      <c r="C978" t="str">
        <f>IF($A978&lt;&gt;"",MAESTRO!$A977,"")</f>
        <v/>
      </c>
      <c r="D978" t="str">
        <f>IF($A978&lt;&gt;"",MAESTRO!$C977,"")</f>
        <v/>
      </c>
      <c r="E978" t="str">
        <f>IF($A978&lt;&gt;"",MAESTRO!$M977,"")</f>
        <v/>
      </c>
      <c r="F978" t="str">
        <f>IF($A978&lt;&gt;"",MAESTRO!$J977,"")</f>
        <v/>
      </c>
      <c r="G978" t="str">
        <f>IF($A978&lt;&gt;"",MAESTRO!$D977,"")</f>
        <v/>
      </c>
      <c r="H978" t="str">
        <f>IF($A978&lt;&gt;"",IF(TRIM(MAESTRO!$G977&amp;" "&amp;MAESTRO!$H977&amp;" "&amp;MAESTRO!$I977)="",MAESTRO!$F977,TRIM(MAESTRO!$G977&amp;" "&amp;MAESTRO!$H977&amp;" "&amp;MAESTRO!$I977)),"")</f>
        <v/>
      </c>
      <c r="I978" t="str">
        <f>IF($A978&lt;&gt;"",MAESTRO!$K977,"")</f>
        <v/>
      </c>
      <c r="J978" t="str">
        <f>IF($A978&lt;&gt;"",978,"")</f>
        <v/>
      </c>
    </row>
    <row r="979" spans="1:10" x14ac:dyDescent="0.2">
      <c r="A979" t="str">
        <f>IF(AND(UPPER(MAESTRO!$M978)="VIP",UPPER(MAESTRO!$J978)="SI",MAESTRO!$F978&lt;&gt;""),MAESTRO!$P978,"")</f>
        <v/>
      </c>
      <c r="B979" t="str">
        <f>IF($A979&lt;&gt;"",MAESTRO!$B978,"")</f>
        <v/>
      </c>
      <c r="C979" t="str">
        <f>IF($A979&lt;&gt;"",MAESTRO!$A978,"")</f>
        <v/>
      </c>
      <c r="D979" t="str">
        <f>IF($A979&lt;&gt;"",MAESTRO!$C978,"")</f>
        <v/>
      </c>
      <c r="E979" t="str">
        <f>IF($A979&lt;&gt;"",MAESTRO!$M978,"")</f>
        <v/>
      </c>
      <c r="F979" t="str">
        <f>IF($A979&lt;&gt;"",MAESTRO!$J978,"")</f>
        <v/>
      </c>
      <c r="G979" t="str">
        <f>IF($A979&lt;&gt;"",MAESTRO!$D978,"")</f>
        <v/>
      </c>
      <c r="H979" t="str">
        <f>IF($A979&lt;&gt;"",IF(TRIM(MAESTRO!$G978&amp;" "&amp;MAESTRO!$H978&amp;" "&amp;MAESTRO!$I978)="",MAESTRO!$F978,TRIM(MAESTRO!$G978&amp;" "&amp;MAESTRO!$H978&amp;" "&amp;MAESTRO!$I978)),"")</f>
        <v/>
      </c>
      <c r="I979" t="str">
        <f>IF($A979&lt;&gt;"",MAESTRO!$K978,"")</f>
        <v/>
      </c>
      <c r="J979" t="str">
        <f>IF($A979&lt;&gt;"",979,"")</f>
        <v/>
      </c>
    </row>
    <row r="980" spans="1:10" x14ac:dyDescent="0.2">
      <c r="A980" t="str">
        <f>IF(AND(UPPER(MAESTRO!$M979)="VIP",UPPER(MAESTRO!$J979)="SI",MAESTRO!$F979&lt;&gt;""),MAESTRO!$P979,"")</f>
        <v/>
      </c>
      <c r="B980" t="str">
        <f>IF($A980&lt;&gt;"",MAESTRO!$B979,"")</f>
        <v/>
      </c>
      <c r="C980" t="str">
        <f>IF($A980&lt;&gt;"",MAESTRO!$A979,"")</f>
        <v/>
      </c>
      <c r="D980" t="str">
        <f>IF($A980&lt;&gt;"",MAESTRO!$C979,"")</f>
        <v/>
      </c>
      <c r="E980" t="str">
        <f>IF($A980&lt;&gt;"",MAESTRO!$M979,"")</f>
        <v/>
      </c>
      <c r="F980" t="str">
        <f>IF($A980&lt;&gt;"",MAESTRO!$J979,"")</f>
        <v/>
      </c>
      <c r="G980" t="str">
        <f>IF($A980&lt;&gt;"",MAESTRO!$D979,"")</f>
        <v/>
      </c>
      <c r="H980" t="str">
        <f>IF($A980&lt;&gt;"",IF(TRIM(MAESTRO!$G979&amp;" "&amp;MAESTRO!$H979&amp;" "&amp;MAESTRO!$I979)="",MAESTRO!$F979,TRIM(MAESTRO!$G979&amp;" "&amp;MAESTRO!$H979&amp;" "&amp;MAESTRO!$I979)),"")</f>
        <v/>
      </c>
      <c r="I980" t="str">
        <f>IF($A980&lt;&gt;"",MAESTRO!$K979,"")</f>
        <v/>
      </c>
      <c r="J980" t="str">
        <f>IF($A980&lt;&gt;"",980,"")</f>
        <v/>
      </c>
    </row>
    <row r="981" spans="1:10" x14ac:dyDescent="0.2">
      <c r="A981" t="str">
        <f>IF(AND(UPPER(MAESTRO!$M980)="VIP",UPPER(MAESTRO!$J980)="SI",MAESTRO!$F980&lt;&gt;""),MAESTRO!$P980,"")</f>
        <v/>
      </c>
      <c r="B981" t="str">
        <f>IF($A981&lt;&gt;"",MAESTRO!$B980,"")</f>
        <v/>
      </c>
      <c r="C981" t="str">
        <f>IF($A981&lt;&gt;"",MAESTRO!$A980,"")</f>
        <v/>
      </c>
      <c r="D981" t="str">
        <f>IF($A981&lt;&gt;"",MAESTRO!$C980,"")</f>
        <v/>
      </c>
      <c r="E981" t="str">
        <f>IF($A981&lt;&gt;"",MAESTRO!$M980,"")</f>
        <v/>
      </c>
      <c r="F981" t="str">
        <f>IF($A981&lt;&gt;"",MAESTRO!$J980,"")</f>
        <v/>
      </c>
      <c r="G981" t="str">
        <f>IF($A981&lt;&gt;"",MAESTRO!$D980,"")</f>
        <v/>
      </c>
      <c r="H981" t="str">
        <f>IF($A981&lt;&gt;"",IF(TRIM(MAESTRO!$G980&amp;" "&amp;MAESTRO!$H980&amp;" "&amp;MAESTRO!$I980)="",MAESTRO!$F980,TRIM(MAESTRO!$G980&amp;" "&amp;MAESTRO!$H980&amp;" "&amp;MAESTRO!$I980)),"")</f>
        <v/>
      </c>
      <c r="I981" t="str">
        <f>IF($A981&lt;&gt;"",MAESTRO!$K980,"")</f>
        <v/>
      </c>
      <c r="J981" t="str">
        <f>IF($A981&lt;&gt;"",981,"")</f>
        <v/>
      </c>
    </row>
    <row r="982" spans="1:10" x14ac:dyDescent="0.2">
      <c r="A982" t="str">
        <f>IF(AND(UPPER(MAESTRO!$M981)="VIP",UPPER(MAESTRO!$J981)="SI",MAESTRO!$F981&lt;&gt;""),MAESTRO!$P981,"")</f>
        <v/>
      </c>
      <c r="B982" t="str">
        <f>IF($A982&lt;&gt;"",MAESTRO!$B981,"")</f>
        <v/>
      </c>
      <c r="C982" t="str">
        <f>IF($A982&lt;&gt;"",MAESTRO!$A981,"")</f>
        <v/>
      </c>
      <c r="D982" t="str">
        <f>IF($A982&lt;&gt;"",MAESTRO!$C981,"")</f>
        <v/>
      </c>
      <c r="E982" t="str">
        <f>IF($A982&lt;&gt;"",MAESTRO!$M981,"")</f>
        <v/>
      </c>
      <c r="F982" t="str">
        <f>IF($A982&lt;&gt;"",MAESTRO!$J981,"")</f>
        <v/>
      </c>
      <c r="G982" t="str">
        <f>IF($A982&lt;&gt;"",MAESTRO!$D981,"")</f>
        <v/>
      </c>
      <c r="H982" t="str">
        <f>IF($A982&lt;&gt;"",IF(TRIM(MAESTRO!$G981&amp;" "&amp;MAESTRO!$H981&amp;" "&amp;MAESTRO!$I981)="",MAESTRO!$F981,TRIM(MAESTRO!$G981&amp;" "&amp;MAESTRO!$H981&amp;" "&amp;MAESTRO!$I981)),"")</f>
        <v/>
      </c>
      <c r="I982" t="str">
        <f>IF($A982&lt;&gt;"",MAESTRO!$K981,"")</f>
        <v/>
      </c>
      <c r="J982" t="str">
        <f>IF($A982&lt;&gt;"",982,"")</f>
        <v/>
      </c>
    </row>
    <row r="983" spans="1:10" x14ac:dyDescent="0.2">
      <c r="A983" t="str">
        <f>IF(AND(UPPER(MAESTRO!$M982)="VIP",UPPER(MAESTRO!$J982)="SI",MAESTRO!$F982&lt;&gt;""),MAESTRO!$P982,"")</f>
        <v/>
      </c>
      <c r="B983" t="str">
        <f>IF($A983&lt;&gt;"",MAESTRO!$B982,"")</f>
        <v/>
      </c>
      <c r="C983" t="str">
        <f>IF($A983&lt;&gt;"",MAESTRO!$A982,"")</f>
        <v/>
      </c>
      <c r="D983" t="str">
        <f>IF($A983&lt;&gt;"",MAESTRO!$C982,"")</f>
        <v/>
      </c>
      <c r="E983" t="str">
        <f>IF($A983&lt;&gt;"",MAESTRO!$M982,"")</f>
        <v/>
      </c>
      <c r="F983" t="str">
        <f>IF($A983&lt;&gt;"",MAESTRO!$J982,"")</f>
        <v/>
      </c>
      <c r="G983" t="str">
        <f>IF($A983&lt;&gt;"",MAESTRO!$D982,"")</f>
        <v/>
      </c>
      <c r="H983" t="str">
        <f>IF($A983&lt;&gt;"",IF(TRIM(MAESTRO!$G982&amp;" "&amp;MAESTRO!$H982&amp;" "&amp;MAESTRO!$I982)="",MAESTRO!$F982,TRIM(MAESTRO!$G982&amp;" "&amp;MAESTRO!$H982&amp;" "&amp;MAESTRO!$I982)),"")</f>
        <v/>
      </c>
      <c r="I983" t="str">
        <f>IF($A983&lt;&gt;"",MAESTRO!$K982,"")</f>
        <v/>
      </c>
      <c r="J983" t="str">
        <f>IF($A983&lt;&gt;"",983,"")</f>
        <v/>
      </c>
    </row>
    <row r="984" spans="1:10" x14ac:dyDescent="0.2">
      <c r="A984" t="str">
        <f>IF(AND(UPPER(MAESTRO!$M983)="VIP",UPPER(MAESTRO!$J983)="SI",MAESTRO!$F983&lt;&gt;""),MAESTRO!$P983,"")</f>
        <v/>
      </c>
      <c r="B984" t="str">
        <f>IF($A984&lt;&gt;"",MAESTRO!$B983,"")</f>
        <v/>
      </c>
      <c r="C984" t="str">
        <f>IF($A984&lt;&gt;"",MAESTRO!$A983,"")</f>
        <v/>
      </c>
      <c r="D984" t="str">
        <f>IF($A984&lt;&gt;"",MAESTRO!$C983,"")</f>
        <v/>
      </c>
      <c r="E984" t="str">
        <f>IF($A984&lt;&gt;"",MAESTRO!$M983,"")</f>
        <v/>
      </c>
      <c r="F984" t="str">
        <f>IF($A984&lt;&gt;"",MAESTRO!$J983,"")</f>
        <v/>
      </c>
      <c r="G984" t="str">
        <f>IF($A984&lt;&gt;"",MAESTRO!$D983,"")</f>
        <v/>
      </c>
      <c r="H984" t="str">
        <f>IF($A984&lt;&gt;"",IF(TRIM(MAESTRO!$G983&amp;" "&amp;MAESTRO!$H983&amp;" "&amp;MAESTRO!$I983)="",MAESTRO!$F983,TRIM(MAESTRO!$G983&amp;" "&amp;MAESTRO!$H983&amp;" "&amp;MAESTRO!$I983)),"")</f>
        <v/>
      </c>
      <c r="I984" t="str">
        <f>IF($A984&lt;&gt;"",MAESTRO!$K983,"")</f>
        <v/>
      </c>
      <c r="J984" t="str">
        <f>IF($A984&lt;&gt;"",984,"")</f>
        <v/>
      </c>
    </row>
    <row r="985" spans="1:10" x14ac:dyDescent="0.2">
      <c r="A985" t="str">
        <f>IF(AND(UPPER(MAESTRO!$M984)="VIP",UPPER(MAESTRO!$J984)="SI",MAESTRO!$F984&lt;&gt;""),MAESTRO!$P984,"")</f>
        <v/>
      </c>
      <c r="B985" t="str">
        <f>IF($A985&lt;&gt;"",MAESTRO!$B984,"")</f>
        <v/>
      </c>
      <c r="C985" t="str">
        <f>IF($A985&lt;&gt;"",MAESTRO!$A984,"")</f>
        <v/>
      </c>
      <c r="D985" t="str">
        <f>IF($A985&lt;&gt;"",MAESTRO!$C984,"")</f>
        <v/>
      </c>
      <c r="E985" t="str">
        <f>IF($A985&lt;&gt;"",MAESTRO!$M984,"")</f>
        <v/>
      </c>
      <c r="F985" t="str">
        <f>IF($A985&lt;&gt;"",MAESTRO!$J984,"")</f>
        <v/>
      </c>
      <c r="G985" t="str">
        <f>IF($A985&lt;&gt;"",MAESTRO!$D984,"")</f>
        <v/>
      </c>
      <c r="H985" t="str">
        <f>IF($A985&lt;&gt;"",IF(TRIM(MAESTRO!$G984&amp;" "&amp;MAESTRO!$H984&amp;" "&amp;MAESTRO!$I984)="",MAESTRO!$F984,TRIM(MAESTRO!$G984&amp;" "&amp;MAESTRO!$H984&amp;" "&amp;MAESTRO!$I984)),"")</f>
        <v/>
      </c>
      <c r="I985" t="str">
        <f>IF($A985&lt;&gt;"",MAESTRO!$K984,"")</f>
        <v/>
      </c>
      <c r="J985" t="str">
        <f>IF($A985&lt;&gt;"",985,"")</f>
        <v/>
      </c>
    </row>
    <row r="986" spans="1:10" x14ac:dyDescent="0.2">
      <c r="A986" t="str">
        <f>IF(AND(UPPER(MAESTRO!$M985)="VIP",UPPER(MAESTRO!$J985)="SI",MAESTRO!$F985&lt;&gt;""),MAESTRO!$P985,"")</f>
        <v/>
      </c>
      <c r="B986" t="str">
        <f>IF($A986&lt;&gt;"",MAESTRO!$B985,"")</f>
        <v/>
      </c>
      <c r="C986" t="str">
        <f>IF($A986&lt;&gt;"",MAESTRO!$A985,"")</f>
        <v/>
      </c>
      <c r="D986" t="str">
        <f>IF($A986&lt;&gt;"",MAESTRO!$C985,"")</f>
        <v/>
      </c>
      <c r="E986" t="str">
        <f>IF($A986&lt;&gt;"",MAESTRO!$M985,"")</f>
        <v/>
      </c>
      <c r="F986" t="str">
        <f>IF($A986&lt;&gt;"",MAESTRO!$J985,"")</f>
        <v/>
      </c>
      <c r="G986" t="str">
        <f>IF($A986&lt;&gt;"",MAESTRO!$D985,"")</f>
        <v/>
      </c>
      <c r="H986" t="str">
        <f>IF($A986&lt;&gt;"",IF(TRIM(MAESTRO!$G985&amp;" "&amp;MAESTRO!$H985&amp;" "&amp;MAESTRO!$I985)="",MAESTRO!$F985,TRIM(MAESTRO!$G985&amp;" "&amp;MAESTRO!$H985&amp;" "&amp;MAESTRO!$I985)),"")</f>
        <v/>
      </c>
      <c r="I986" t="str">
        <f>IF($A986&lt;&gt;"",MAESTRO!$K985,"")</f>
        <v/>
      </c>
      <c r="J986" t="str">
        <f>IF($A986&lt;&gt;"",986,"")</f>
        <v/>
      </c>
    </row>
    <row r="987" spans="1:10" x14ac:dyDescent="0.2">
      <c r="A987" t="str">
        <f>IF(AND(UPPER(MAESTRO!$M986)="VIP",UPPER(MAESTRO!$J986)="SI",MAESTRO!$F986&lt;&gt;""),MAESTRO!$P986,"")</f>
        <v/>
      </c>
      <c r="B987" t="str">
        <f>IF($A987&lt;&gt;"",MAESTRO!$B986,"")</f>
        <v/>
      </c>
      <c r="C987" t="str">
        <f>IF($A987&lt;&gt;"",MAESTRO!$A986,"")</f>
        <v/>
      </c>
      <c r="D987" t="str">
        <f>IF($A987&lt;&gt;"",MAESTRO!$C986,"")</f>
        <v/>
      </c>
      <c r="E987" t="str">
        <f>IF($A987&lt;&gt;"",MAESTRO!$M986,"")</f>
        <v/>
      </c>
      <c r="F987" t="str">
        <f>IF($A987&lt;&gt;"",MAESTRO!$J986,"")</f>
        <v/>
      </c>
      <c r="G987" t="str">
        <f>IF($A987&lt;&gt;"",MAESTRO!$D986,"")</f>
        <v/>
      </c>
      <c r="H987" t="str">
        <f>IF($A987&lt;&gt;"",IF(TRIM(MAESTRO!$G986&amp;" "&amp;MAESTRO!$H986&amp;" "&amp;MAESTRO!$I986)="",MAESTRO!$F986,TRIM(MAESTRO!$G986&amp;" "&amp;MAESTRO!$H986&amp;" "&amp;MAESTRO!$I986)),"")</f>
        <v/>
      </c>
      <c r="I987" t="str">
        <f>IF($A987&lt;&gt;"",MAESTRO!$K986,"")</f>
        <v/>
      </c>
      <c r="J987" t="str">
        <f>IF($A987&lt;&gt;"",987,"")</f>
        <v/>
      </c>
    </row>
    <row r="988" spans="1:10" x14ac:dyDescent="0.2">
      <c r="A988" t="str">
        <f>IF(AND(UPPER(MAESTRO!$M987)="VIP",UPPER(MAESTRO!$J987)="SI",MAESTRO!$F987&lt;&gt;""),MAESTRO!$P987,"")</f>
        <v/>
      </c>
      <c r="B988" t="str">
        <f>IF($A988&lt;&gt;"",MAESTRO!$B987,"")</f>
        <v/>
      </c>
      <c r="C988" t="str">
        <f>IF($A988&lt;&gt;"",MAESTRO!$A987,"")</f>
        <v/>
      </c>
      <c r="D988" t="str">
        <f>IF($A988&lt;&gt;"",MAESTRO!$C987,"")</f>
        <v/>
      </c>
      <c r="E988" t="str">
        <f>IF($A988&lt;&gt;"",MAESTRO!$M987,"")</f>
        <v/>
      </c>
      <c r="F988" t="str">
        <f>IF($A988&lt;&gt;"",MAESTRO!$J987,"")</f>
        <v/>
      </c>
      <c r="G988" t="str">
        <f>IF($A988&lt;&gt;"",MAESTRO!$D987,"")</f>
        <v/>
      </c>
      <c r="H988" t="str">
        <f>IF($A988&lt;&gt;"",IF(TRIM(MAESTRO!$G987&amp;" "&amp;MAESTRO!$H987&amp;" "&amp;MAESTRO!$I987)="",MAESTRO!$F987,TRIM(MAESTRO!$G987&amp;" "&amp;MAESTRO!$H987&amp;" "&amp;MAESTRO!$I987)),"")</f>
        <v/>
      </c>
      <c r="I988" t="str">
        <f>IF($A988&lt;&gt;"",MAESTRO!$K987,"")</f>
        <v/>
      </c>
      <c r="J988" t="str">
        <f>IF($A988&lt;&gt;"",988,"")</f>
        <v/>
      </c>
    </row>
    <row r="989" spans="1:10" x14ac:dyDescent="0.2">
      <c r="A989" t="str">
        <f>IF(AND(UPPER(MAESTRO!$M988)="VIP",UPPER(MAESTRO!$J988)="SI",MAESTRO!$F988&lt;&gt;""),MAESTRO!$P988,"")</f>
        <v/>
      </c>
      <c r="B989" t="str">
        <f>IF($A989&lt;&gt;"",MAESTRO!$B988,"")</f>
        <v/>
      </c>
      <c r="C989" t="str">
        <f>IF($A989&lt;&gt;"",MAESTRO!$A988,"")</f>
        <v/>
      </c>
      <c r="D989" t="str">
        <f>IF($A989&lt;&gt;"",MAESTRO!$C988,"")</f>
        <v/>
      </c>
      <c r="E989" t="str">
        <f>IF($A989&lt;&gt;"",MAESTRO!$M988,"")</f>
        <v/>
      </c>
      <c r="F989" t="str">
        <f>IF($A989&lt;&gt;"",MAESTRO!$J988,"")</f>
        <v/>
      </c>
      <c r="G989" t="str">
        <f>IF($A989&lt;&gt;"",MAESTRO!$D988,"")</f>
        <v/>
      </c>
      <c r="H989" t="str">
        <f>IF($A989&lt;&gt;"",IF(TRIM(MAESTRO!$G988&amp;" "&amp;MAESTRO!$H988&amp;" "&amp;MAESTRO!$I988)="",MAESTRO!$F988,TRIM(MAESTRO!$G988&amp;" "&amp;MAESTRO!$H988&amp;" "&amp;MAESTRO!$I988)),"")</f>
        <v/>
      </c>
      <c r="I989" t="str">
        <f>IF($A989&lt;&gt;"",MAESTRO!$K988,"")</f>
        <v/>
      </c>
      <c r="J989" t="str">
        <f>IF($A989&lt;&gt;"",989,"")</f>
        <v/>
      </c>
    </row>
    <row r="990" spans="1:10" x14ac:dyDescent="0.2">
      <c r="A990" t="str">
        <f>IF(AND(UPPER(MAESTRO!$M989)="VIP",UPPER(MAESTRO!$J989)="SI",MAESTRO!$F989&lt;&gt;""),MAESTRO!$P989,"")</f>
        <v/>
      </c>
      <c r="B990" t="str">
        <f>IF($A990&lt;&gt;"",MAESTRO!$B989,"")</f>
        <v/>
      </c>
      <c r="C990" t="str">
        <f>IF($A990&lt;&gt;"",MAESTRO!$A989,"")</f>
        <v/>
      </c>
      <c r="D990" t="str">
        <f>IF($A990&lt;&gt;"",MAESTRO!$C989,"")</f>
        <v/>
      </c>
      <c r="E990" t="str">
        <f>IF($A990&lt;&gt;"",MAESTRO!$M989,"")</f>
        <v/>
      </c>
      <c r="F990" t="str">
        <f>IF($A990&lt;&gt;"",MAESTRO!$J989,"")</f>
        <v/>
      </c>
      <c r="G990" t="str">
        <f>IF($A990&lt;&gt;"",MAESTRO!$D989,"")</f>
        <v/>
      </c>
      <c r="H990" t="str">
        <f>IF($A990&lt;&gt;"",IF(TRIM(MAESTRO!$G989&amp;" "&amp;MAESTRO!$H989&amp;" "&amp;MAESTRO!$I989)="",MAESTRO!$F989,TRIM(MAESTRO!$G989&amp;" "&amp;MAESTRO!$H989&amp;" "&amp;MAESTRO!$I989)),"")</f>
        <v/>
      </c>
      <c r="I990" t="str">
        <f>IF($A990&lt;&gt;"",MAESTRO!$K989,"")</f>
        <v/>
      </c>
      <c r="J990" t="str">
        <f>IF($A990&lt;&gt;"",990,"")</f>
        <v/>
      </c>
    </row>
    <row r="991" spans="1:10" x14ac:dyDescent="0.2">
      <c r="A991" t="str">
        <f>IF(AND(UPPER(MAESTRO!$M990)="VIP",UPPER(MAESTRO!$J990)="SI",MAESTRO!$F990&lt;&gt;""),MAESTRO!$P990,"")</f>
        <v/>
      </c>
      <c r="B991" t="str">
        <f>IF($A991&lt;&gt;"",MAESTRO!$B990,"")</f>
        <v/>
      </c>
      <c r="C991" t="str">
        <f>IF($A991&lt;&gt;"",MAESTRO!$A990,"")</f>
        <v/>
      </c>
      <c r="D991" t="str">
        <f>IF($A991&lt;&gt;"",MAESTRO!$C990,"")</f>
        <v/>
      </c>
      <c r="E991" t="str">
        <f>IF($A991&lt;&gt;"",MAESTRO!$M990,"")</f>
        <v/>
      </c>
      <c r="F991" t="str">
        <f>IF($A991&lt;&gt;"",MAESTRO!$J990,"")</f>
        <v/>
      </c>
      <c r="G991" t="str">
        <f>IF($A991&lt;&gt;"",MAESTRO!$D990,"")</f>
        <v/>
      </c>
      <c r="H991" t="str">
        <f>IF($A991&lt;&gt;"",IF(TRIM(MAESTRO!$G990&amp;" "&amp;MAESTRO!$H990&amp;" "&amp;MAESTRO!$I990)="",MAESTRO!$F990,TRIM(MAESTRO!$G990&amp;" "&amp;MAESTRO!$H990&amp;" "&amp;MAESTRO!$I990)),"")</f>
        <v/>
      </c>
      <c r="I991" t="str">
        <f>IF($A991&lt;&gt;"",MAESTRO!$K990,"")</f>
        <v/>
      </c>
      <c r="J991" t="str">
        <f>IF($A991&lt;&gt;"",991,"")</f>
        <v/>
      </c>
    </row>
    <row r="992" spans="1:10" x14ac:dyDescent="0.2">
      <c r="A992" t="str">
        <f>IF(AND(UPPER(MAESTRO!$M991)="VIP",UPPER(MAESTRO!$J991)="SI",MAESTRO!$F991&lt;&gt;""),MAESTRO!$P991,"")</f>
        <v/>
      </c>
      <c r="B992" t="str">
        <f>IF($A992&lt;&gt;"",MAESTRO!$B991,"")</f>
        <v/>
      </c>
      <c r="C992" t="str">
        <f>IF($A992&lt;&gt;"",MAESTRO!$A991,"")</f>
        <v/>
      </c>
      <c r="D992" t="str">
        <f>IF($A992&lt;&gt;"",MAESTRO!$C991,"")</f>
        <v/>
      </c>
      <c r="E992" t="str">
        <f>IF($A992&lt;&gt;"",MAESTRO!$M991,"")</f>
        <v/>
      </c>
      <c r="F992" t="str">
        <f>IF($A992&lt;&gt;"",MAESTRO!$J991,"")</f>
        <v/>
      </c>
      <c r="G992" t="str">
        <f>IF($A992&lt;&gt;"",MAESTRO!$D991,"")</f>
        <v/>
      </c>
      <c r="H992" t="str">
        <f>IF($A992&lt;&gt;"",IF(TRIM(MAESTRO!$G991&amp;" "&amp;MAESTRO!$H991&amp;" "&amp;MAESTRO!$I991)="",MAESTRO!$F991,TRIM(MAESTRO!$G991&amp;" "&amp;MAESTRO!$H991&amp;" "&amp;MAESTRO!$I991)),"")</f>
        <v/>
      </c>
      <c r="I992" t="str">
        <f>IF($A992&lt;&gt;"",MAESTRO!$K991,"")</f>
        <v/>
      </c>
      <c r="J992" t="str">
        <f>IF($A992&lt;&gt;"",992,"")</f>
        <v/>
      </c>
    </row>
    <row r="993" spans="1:10" x14ac:dyDescent="0.2">
      <c r="A993" t="str">
        <f>IF(AND(UPPER(MAESTRO!$M992)="VIP",UPPER(MAESTRO!$J992)="SI",MAESTRO!$F992&lt;&gt;""),MAESTRO!$P992,"")</f>
        <v/>
      </c>
      <c r="B993" t="str">
        <f>IF($A993&lt;&gt;"",MAESTRO!$B992,"")</f>
        <v/>
      </c>
      <c r="C993" t="str">
        <f>IF($A993&lt;&gt;"",MAESTRO!$A992,"")</f>
        <v/>
      </c>
      <c r="D993" t="str">
        <f>IF($A993&lt;&gt;"",MAESTRO!$C992,"")</f>
        <v/>
      </c>
      <c r="E993" t="str">
        <f>IF($A993&lt;&gt;"",MAESTRO!$M992,"")</f>
        <v/>
      </c>
      <c r="F993" t="str">
        <f>IF($A993&lt;&gt;"",MAESTRO!$J992,"")</f>
        <v/>
      </c>
      <c r="G993" t="str">
        <f>IF($A993&lt;&gt;"",MAESTRO!$D992,"")</f>
        <v/>
      </c>
      <c r="H993" t="str">
        <f>IF($A993&lt;&gt;"",IF(TRIM(MAESTRO!$G992&amp;" "&amp;MAESTRO!$H992&amp;" "&amp;MAESTRO!$I992)="",MAESTRO!$F992,TRIM(MAESTRO!$G992&amp;" "&amp;MAESTRO!$H992&amp;" "&amp;MAESTRO!$I992)),"")</f>
        <v/>
      </c>
      <c r="I993" t="str">
        <f>IF($A993&lt;&gt;"",MAESTRO!$K992,"")</f>
        <v/>
      </c>
      <c r="J993" t="str">
        <f>IF($A993&lt;&gt;"",993,"")</f>
        <v/>
      </c>
    </row>
    <row r="994" spans="1:10" x14ac:dyDescent="0.2">
      <c r="A994" t="str">
        <f>IF(AND(UPPER(MAESTRO!$M993)="VIP",UPPER(MAESTRO!$J993)="SI",MAESTRO!$F993&lt;&gt;""),MAESTRO!$P993,"")</f>
        <v/>
      </c>
      <c r="B994" t="str">
        <f>IF($A994&lt;&gt;"",MAESTRO!$B993,"")</f>
        <v/>
      </c>
      <c r="C994" t="str">
        <f>IF($A994&lt;&gt;"",MAESTRO!$A993,"")</f>
        <v/>
      </c>
      <c r="D994" t="str">
        <f>IF($A994&lt;&gt;"",MAESTRO!$C993,"")</f>
        <v/>
      </c>
      <c r="E994" t="str">
        <f>IF($A994&lt;&gt;"",MAESTRO!$M993,"")</f>
        <v/>
      </c>
      <c r="F994" t="str">
        <f>IF($A994&lt;&gt;"",MAESTRO!$J993,"")</f>
        <v/>
      </c>
      <c r="G994" t="str">
        <f>IF($A994&lt;&gt;"",MAESTRO!$D993,"")</f>
        <v/>
      </c>
      <c r="H994" t="str">
        <f>IF($A994&lt;&gt;"",IF(TRIM(MAESTRO!$G993&amp;" "&amp;MAESTRO!$H993&amp;" "&amp;MAESTRO!$I993)="",MAESTRO!$F993,TRIM(MAESTRO!$G993&amp;" "&amp;MAESTRO!$H993&amp;" "&amp;MAESTRO!$I993)),"")</f>
        <v/>
      </c>
      <c r="I994" t="str">
        <f>IF($A994&lt;&gt;"",MAESTRO!$K993,"")</f>
        <v/>
      </c>
      <c r="J994" t="str">
        <f>IF($A994&lt;&gt;"",994,"")</f>
        <v/>
      </c>
    </row>
    <row r="995" spans="1:10" x14ac:dyDescent="0.2">
      <c r="A995" t="str">
        <f>IF(AND(UPPER(MAESTRO!$M994)="VIP",UPPER(MAESTRO!$J994)="SI",MAESTRO!$F994&lt;&gt;""),MAESTRO!$P994,"")</f>
        <v/>
      </c>
      <c r="B995" t="str">
        <f>IF($A995&lt;&gt;"",MAESTRO!$B994,"")</f>
        <v/>
      </c>
      <c r="C995" t="str">
        <f>IF($A995&lt;&gt;"",MAESTRO!$A994,"")</f>
        <v/>
      </c>
      <c r="D995" t="str">
        <f>IF($A995&lt;&gt;"",MAESTRO!$C994,"")</f>
        <v/>
      </c>
      <c r="E995" t="str">
        <f>IF($A995&lt;&gt;"",MAESTRO!$M994,"")</f>
        <v/>
      </c>
      <c r="F995" t="str">
        <f>IF($A995&lt;&gt;"",MAESTRO!$J994,"")</f>
        <v/>
      </c>
      <c r="G995" t="str">
        <f>IF($A995&lt;&gt;"",MAESTRO!$D994,"")</f>
        <v/>
      </c>
      <c r="H995" t="str">
        <f>IF($A995&lt;&gt;"",IF(TRIM(MAESTRO!$G994&amp;" "&amp;MAESTRO!$H994&amp;" "&amp;MAESTRO!$I994)="",MAESTRO!$F994,TRIM(MAESTRO!$G994&amp;" "&amp;MAESTRO!$H994&amp;" "&amp;MAESTRO!$I994)),"")</f>
        <v/>
      </c>
      <c r="I995" t="str">
        <f>IF($A995&lt;&gt;"",MAESTRO!$K994,"")</f>
        <v/>
      </c>
      <c r="J995" t="str">
        <f>IF($A995&lt;&gt;"",995,"")</f>
        <v/>
      </c>
    </row>
    <row r="996" spans="1:10" x14ac:dyDescent="0.2">
      <c r="A996" t="str">
        <f>IF(AND(UPPER(MAESTRO!$M995)="VIP",UPPER(MAESTRO!$J995)="SI",MAESTRO!$F995&lt;&gt;""),MAESTRO!$P995,"")</f>
        <v/>
      </c>
      <c r="B996" t="str">
        <f>IF($A996&lt;&gt;"",MAESTRO!$B995,"")</f>
        <v/>
      </c>
      <c r="C996" t="str">
        <f>IF($A996&lt;&gt;"",MAESTRO!$A995,"")</f>
        <v/>
      </c>
      <c r="D996" t="str">
        <f>IF($A996&lt;&gt;"",MAESTRO!$C995,"")</f>
        <v/>
      </c>
      <c r="E996" t="str">
        <f>IF($A996&lt;&gt;"",MAESTRO!$M995,"")</f>
        <v/>
      </c>
      <c r="F996" t="str">
        <f>IF($A996&lt;&gt;"",MAESTRO!$J995,"")</f>
        <v/>
      </c>
      <c r="G996" t="str">
        <f>IF($A996&lt;&gt;"",MAESTRO!$D995,"")</f>
        <v/>
      </c>
      <c r="H996" t="str">
        <f>IF($A996&lt;&gt;"",IF(TRIM(MAESTRO!$G995&amp;" "&amp;MAESTRO!$H995&amp;" "&amp;MAESTRO!$I995)="",MAESTRO!$F995,TRIM(MAESTRO!$G995&amp;" "&amp;MAESTRO!$H995&amp;" "&amp;MAESTRO!$I995)),"")</f>
        <v/>
      </c>
      <c r="I996" t="str">
        <f>IF($A996&lt;&gt;"",MAESTRO!$K995,"")</f>
        <v/>
      </c>
      <c r="J996" t="str">
        <f>IF($A996&lt;&gt;"",996,"")</f>
        <v/>
      </c>
    </row>
    <row r="997" spans="1:10" x14ac:dyDescent="0.2">
      <c r="A997" t="str">
        <f>IF(AND(UPPER(MAESTRO!$M996)="VIP",UPPER(MAESTRO!$J996)="SI",MAESTRO!$F996&lt;&gt;""),MAESTRO!$P996,"")</f>
        <v/>
      </c>
      <c r="B997" t="str">
        <f>IF($A997&lt;&gt;"",MAESTRO!$B996,"")</f>
        <v/>
      </c>
      <c r="C997" t="str">
        <f>IF($A997&lt;&gt;"",MAESTRO!$A996,"")</f>
        <v/>
      </c>
      <c r="D997" t="str">
        <f>IF($A997&lt;&gt;"",MAESTRO!$C996,"")</f>
        <v/>
      </c>
      <c r="E997" t="str">
        <f>IF($A997&lt;&gt;"",MAESTRO!$M996,"")</f>
        <v/>
      </c>
      <c r="F997" t="str">
        <f>IF($A997&lt;&gt;"",MAESTRO!$J996,"")</f>
        <v/>
      </c>
      <c r="G997" t="str">
        <f>IF($A997&lt;&gt;"",MAESTRO!$D996,"")</f>
        <v/>
      </c>
      <c r="H997" t="str">
        <f>IF($A997&lt;&gt;"",IF(TRIM(MAESTRO!$G996&amp;" "&amp;MAESTRO!$H996&amp;" "&amp;MAESTRO!$I996)="",MAESTRO!$F996,TRIM(MAESTRO!$G996&amp;" "&amp;MAESTRO!$H996&amp;" "&amp;MAESTRO!$I996)),"")</f>
        <v/>
      </c>
      <c r="I997" t="str">
        <f>IF($A997&lt;&gt;"",MAESTRO!$K996,"")</f>
        <v/>
      </c>
      <c r="J997" t="str">
        <f>IF($A997&lt;&gt;"",997,"")</f>
        <v/>
      </c>
    </row>
    <row r="998" spans="1:10" x14ac:dyDescent="0.2">
      <c r="A998" t="str">
        <f>IF(AND(UPPER(MAESTRO!$M997)="VIP",UPPER(MAESTRO!$J997)="SI",MAESTRO!$F997&lt;&gt;""),MAESTRO!$P997,"")</f>
        <v/>
      </c>
      <c r="B998" t="str">
        <f>IF($A998&lt;&gt;"",MAESTRO!$B997,"")</f>
        <v/>
      </c>
      <c r="C998" t="str">
        <f>IF($A998&lt;&gt;"",MAESTRO!$A997,"")</f>
        <v/>
      </c>
      <c r="D998" t="str">
        <f>IF($A998&lt;&gt;"",MAESTRO!$C997,"")</f>
        <v/>
      </c>
      <c r="E998" t="str">
        <f>IF($A998&lt;&gt;"",MAESTRO!$M997,"")</f>
        <v/>
      </c>
      <c r="F998" t="str">
        <f>IF($A998&lt;&gt;"",MAESTRO!$J997,"")</f>
        <v/>
      </c>
      <c r="G998" t="str">
        <f>IF($A998&lt;&gt;"",MAESTRO!$D997,"")</f>
        <v/>
      </c>
      <c r="H998" t="str">
        <f>IF($A998&lt;&gt;"",IF(TRIM(MAESTRO!$G997&amp;" "&amp;MAESTRO!$H997&amp;" "&amp;MAESTRO!$I997)="",MAESTRO!$F997,TRIM(MAESTRO!$G997&amp;" "&amp;MAESTRO!$H997&amp;" "&amp;MAESTRO!$I997)),"")</f>
        <v/>
      </c>
      <c r="I998" t="str">
        <f>IF($A998&lt;&gt;"",MAESTRO!$K997,"")</f>
        <v/>
      </c>
      <c r="J998" t="str">
        <f>IF($A998&lt;&gt;"",998,"")</f>
        <v/>
      </c>
    </row>
    <row r="999" spans="1:10" x14ac:dyDescent="0.2">
      <c r="A999" t="str">
        <f>IF(AND(UPPER(MAESTRO!$M998)="VIP",UPPER(MAESTRO!$J998)="SI",MAESTRO!$F998&lt;&gt;""),MAESTRO!$P998,"")</f>
        <v/>
      </c>
      <c r="B999" t="str">
        <f>IF($A999&lt;&gt;"",MAESTRO!$B998,"")</f>
        <v/>
      </c>
      <c r="C999" t="str">
        <f>IF($A999&lt;&gt;"",MAESTRO!$A998,"")</f>
        <v/>
      </c>
      <c r="D999" t="str">
        <f>IF($A999&lt;&gt;"",MAESTRO!$C998,"")</f>
        <v/>
      </c>
      <c r="E999" t="str">
        <f>IF($A999&lt;&gt;"",MAESTRO!$M998,"")</f>
        <v/>
      </c>
      <c r="F999" t="str">
        <f>IF($A999&lt;&gt;"",MAESTRO!$J998,"")</f>
        <v/>
      </c>
      <c r="G999" t="str">
        <f>IF($A999&lt;&gt;"",MAESTRO!$D998,"")</f>
        <v/>
      </c>
      <c r="H999" t="str">
        <f>IF($A999&lt;&gt;"",IF(TRIM(MAESTRO!$G998&amp;" "&amp;MAESTRO!$H998&amp;" "&amp;MAESTRO!$I998)="",MAESTRO!$F998,TRIM(MAESTRO!$G998&amp;" "&amp;MAESTRO!$H998&amp;" "&amp;MAESTRO!$I998)),"")</f>
        <v/>
      </c>
      <c r="I999" t="str">
        <f>IF($A999&lt;&gt;"",MAESTRO!$K998,"")</f>
        <v/>
      </c>
      <c r="J999" t="str">
        <f>IF($A999&lt;&gt;"",999,"")</f>
        <v/>
      </c>
    </row>
    <row r="1000" spans="1:10" x14ac:dyDescent="0.2">
      <c r="A1000" t="str">
        <f>IF(AND(UPPER(MAESTRO!$M999)="VIP",UPPER(MAESTRO!$J999)="SI",MAESTRO!$F999&lt;&gt;""),MAESTRO!$P999,"")</f>
        <v/>
      </c>
      <c r="B1000" t="str">
        <f>IF($A1000&lt;&gt;"",MAESTRO!$B999,"")</f>
        <v/>
      </c>
      <c r="C1000" t="str">
        <f>IF($A1000&lt;&gt;"",MAESTRO!$A999,"")</f>
        <v/>
      </c>
      <c r="D1000" t="str">
        <f>IF($A1000&lt;&gt;"",MAESTRO!$C999,"")</f>
        <v/>
      </c>
      <c r="E1000" t="str">
        <f>IF($A1000&lt;&gt;"",MAESTRO!$M999,"")</f>
        <v/>
      </c>
      <c r="F1000" t="str">
        <f>IF($A1000&lt;&gt;"",MAESTRO!$J999,"")</f>
        <v/>
      </c>
      <c r="G1000" t="str">
        <f>IF($A1000&lt;&gt;"",MAESTRO!$D999,"")</f>
        <v/>
      </c>
      <c r="H1000" t="str">
        <f>IF($A1000&lt;&gt;"",IF(TRIM(MAESTRO!$G999&amp;" "&amp;MAESTRO!$H999&amp;" "&amp;MAESTRO!$I999)="",MAESTRO!$F999,TRIM(MAESTRO!$G999&amp;" "&amp;MAESTRO!$H999&amp;" "&amp;MAESTRO!$I999)),"")</f>
        <v/>
      </c>
      <c r="I1000" t="str">
        <f>IF($A1000&lt;&gt;"",MAESTRO!$K999,"")</f>
        <v/>
      </c>
      <c r="J1000" t="str">
        <f>IF($A1000&lt;&gt;"",1000,"")</f>
        <v/>
      </c>
    </row>
    <row r="1001" spans="1:10" x14ac:dyDescent="0.2">
      <c r="A1001" t="str">
        <f>IF(AND(UPPER(MAESTRO!$M1000)="VIP",UPPER(MAESTRO!$J1000)="SI",MAESTRO!$F1000&lt;&gt;""),MAESTRO!$P1000,"")</f>
        <v/>
      </c>
      <c r="B1001" t="str">
        <f>IF($A1001&lt;&gt;"",MAESTRO!$B1000,"")</f>
        <v/>
      </c>
      <c r="C1001" t="str">
        <f>IF($A1001&lt;&gt;"",MAESTRO!$A1000,"")</f>
        <v/>
      </c>
      <c r="D1001" t="str">
        <f>IF($A1001&lt;&gt;"",MAESTRO!$C1000,"")</f>
        <v/>
      </c>
      <c r="E1001" t="str">
        <f>IF($A1001&lt;&gt;"",MAESTRO!$M1000,"")</f>
        <v/>
      </c>
      <c r="F1001" t="str">
        <f>IF($A1001&lt;&gt;"",MAESTRO!$J1000,"")</f>
        <v/>
      </c>
      <c r="G1001" t="str">
        <f>IF($A1001&lt;&gt;"",MAESTRO!$D1000,"")</f>
        <v/>
      </c>
      <c r="H1001" t="str">
        <f>IF($A1001&lt;&gt;"",IF(TRIM(MAESTRO!$G1000&amp;" "&amp;MAESTRO!$H1000&amp;" "&amp;MAESTRO!$I1000)="",MAESTRO!$F1000,TRIM(MAESTRO!$G1000&amp;" "&amp;MAESTRO!$H1000&amp;" "&amp;MAESTRO!$I1000)),"")</f>
        <v/>
      </c>
      <c r="I1001" t="str">
        <f>IF($A1001&lt;&gt;"",MAESTRO!$K1000,"")</f>
        <v/>
      </c>
      <c r="J1001" t="str">
        <f>IF($A1001&lt;&gt;"",1001,"")</f>
        <v/>
      </c>
    </row>
    <row r="1002" spans="1:10" x14ac:dyDescent="0.2">
      <c r="A1002" t="str">
        <f>IF(AND(UPPER(MAESTRO!$M1001)="VIP",UPPER(MAESTRO!$J1001)="SI",MAESTRO!$F1001&lt;&gt;""),MAESTRO!$P1001,"")</f>
        <v/>
      </c>
      <c r="B1002" t="str">
        <f>IF($A1002&lt;&gt;"",MAESTRO!$B1001,"")</f>
        <v/>
      </c>
      <c r="C1002" t="str">
        <f>IF($A1002&lt;&gt;"",MAESTRO!$A1001,"")</f>
        <v/>
      </c>
      <c r="D1002" t="str">
        <f>IF($A1002&lt;&gt;"",MAESTRO!$C1001,"")</f>
        <v/>
      </c>
      <c r="E1002" t="str">
        <f>IF($A1002&lt;&gt;"",MAESTRO!$M1001,"")</f>
        <v/>
      </c>
      <c r="F1002" t="str">
        <f>IF($A1002&lt;&gt;"",MAESTRO!$J1001,"")</f>
        <v/>
      </c>
      <c r="G1002" t="str">
        <f>IF($A1002&lt;&gt;"",MAESTRO!$D1001,"")</f>
        <v/>
      </c>
      <c r="H1002" t="str">
        <f>IF($A1002&lt;&gt;"",IF(TRIM(MAESTRO!$G1001&amp;" "&amp;MAESTRO!$H1001&amp;" "&amp;MAESTRO!$I1001)="",MAESTRO!$F1001,TRIM(MAESTRO!$G1001&amp;" "&amp;MAESTRO!$H1001&amp;" "&amp;MAESTRO!$I1001)),"")</f>
        <v/>
      </c>
      <c r="I1002" t="str">
        <f>IF($A1002&lt;&gt;"",MAESTRO!$K1001,"")</f>
        <v/>
      </c>
      <c r="J1002" t="str">
        <f>IF($A1002&lt;&gt;"",1002,"")</f>
        <v/>
      </c>
    </row>
    <row r="1003" spans="1:10" x14ac:dyDescent="0.2">
      <c r="A1003" t="str">
        <f>IF(AND(UPPER(MAESTRO!$M1002)="VIP",UPPER(MAESTRO!$J1002)="SI",MAESTRO!$F1002&lt;&gt;""),MAESTRO!$P1002,"")</f>
        <v/>
      </c>
      <c r="B1003" t="str">
        <f>IF($A1003&lt;&gt;"",MAESTRO!$B1002,"")</f>
        <v/>
      </c>
      <c r="C1003" t="str">
        <f>IF($A1003&lt;&gt;"",MAESTRO!$A1002,"")</f>
        <v/>
      </c>
      <c r="D1003" t="str">
        <f>IF($A1003&lt;&gt;"",MAESTRO!$C1002,"")</f>
        <v/>
      </c>
      <c r="E1003" t="str">
        <f>IF($A1003&lt;&gt;"",MAESTRO!$M1002,"")</f>
        <v/>
      </c>
      <c r="F1003" t="str">
        <f>IF($A1003&lt;&gt;"",MAESTRO!$J1002,"")</f>
        <v/>
      </c>
      <c r="G1003" t="str">
        <f>IF($A1003&lt;&gt;"",MAESTRO!$D1002,"")</f>
        <v/>
      </c>
      <c r="H1003" t="str">
        <f>IF($A1003&lt;&gt;"",IF(TRIM(MAESTRO!$G1002&amp;" "&amp;MAESTRO!$H1002&amp;" "&amp;MAESTRO!$I1002)="",MAESTRO!$F1002,TRIM(MAESTRO!$G1002&amp;" "&amp;MAESTRO!$H1002&amp;" "&amp;MAESTRO!$I1002)),"")</f>
        <v/>
      </c>
      <c r="I1003" t="str">
        <f>IF($A1003&lt;&gt;"",MAESTRO!$K1002,"")</f>
        <v/>
      </c>
      <c r="J1003" t="str">
        <f>IF($A1003&lt;&gt;"",1003,"")</f>
        <v/>
      </c>
    </row>
    <row r="1004" spans="1:10" x14ac:dyDescent="0.2">
      <c r="A1004" t="str">
        <f>IF(AND(UPPER(MAESTRO!$M1003)="VIP",UPPER(MAESTRO!$J1003)="SI",MAESTRO!$F1003&lt;&gt;""),MAESTRO!$P1003,"")</f>
        <v/>
      </c>
      <c r="B1004" t="str">
        <f>IF($A1004&lt;&gt;"",MAESTRO!$B1003,"")</f>
        <v/>
      </c>
      <c r="C1004" t="str">
        <f>IF($A1004&lt;&gt;"",MAESTRO!$A1003,"")</f>
        <v/>
      </c>
      <c r="D1004" t="str">
        <f>IF($A1004&lt;&gt;"",MAESTRO!$C1003,"")</f>
        <v/>
      </c>
      <c r="E1004" t="str">
        <f>IF($A1004&lt;&gt;"",MAESTRO!$M1003,"")</f>
        <v/>
      </c>
      <c r="F1004" t="str">
        <f>IF($A1004&lt;&gt;"",MAESTRO!$J1003,"")</f>
        <v/>
      </c>
      <c r="G1004" t="str">
        <f>IF($A1004&lt;&gt;"",MAESTRO!$D1003,"")</f>
        <v/>
      </c>
      <c r="H1004" t="str">
        <f>IF($A1004&lt;&gt;"",IF(TRIM(MAESTRO!$G1003&amp;" "&amp;MAESTRO!$H1003&amp;" "&amp;MAESTRO!$I1003)="",MAESTRO!$F1003,TRIM(MAESTRO!$G1003&amp;" "&amp;MAESTRO!$H1003&amp;" "&amp;MAESTRO!$I1003)),"")</f>
        <v/>
      </c>
      <c r="I1004" t="str">
        <f>IF($A1004&lt;&gt;"",MAESTRO!$K1003,"")</f>
        <v/>
      </c>
      <c r="J1004" t="str">
        <f>IF($A1004&lt;&gt;"",1004,"")</f>
        <v/>
      </c>
    </row>
    <row r="1005" spans="1:10" x14ac:dyDescent="0.2">
      <c r="A1005" t="str">
        <f>IF(AND(UPPER(MAESTRO!$M1004)="VIP",UPPER(MAESTRO!$J1004)="SI",MAESTRO!$F1004&lt;&gt;""),MAESTRO!$P1004,"")</f>
        <v/>
      </c>
      <c r="B1005" t="str">
        <f>IF($A1005&lt;&gt;"",MAESTRO!$B1004,"")</f>
        <v/>
      </c>
      <c r="C1005" t="str">
        <f>IF($A1005&lt;&gt;"",MAESTRO!$A1004,"")</f>
        <v/>
      </c>
      <c r="D1005" t="str">
        <f>IF($A1005&lt;&gt;"",MAESTRO!$C1004,"")</f>
        <v/>
      </c>
      <c r="E1005" t="str">
        <f>IF($A1005&lt;&gt;"",MAESTRO!$M1004,"")</f>
        <v/>
      </c>
      <c r="F1005" t="str">
        <f>IF($A1005&lt;&gt;"",MAESTRO!$J1004,"")</f>
        <v/>
      </c>
      <c r="G1005" t="str">
        <f>IF($A1005&lt;&gt;"",MAESTRO!$D1004,"")</f>
        <v/>
      </c>
      <c r="H1005" t="str">
        <f>IF($A1005&lt;&gt;"",IF(TRIM(MAESTRO!$G1004&amp;" "&amp;MAESTRO!$H1004&amp;" "&amp;MAESTRO!$I1004)="",MAESTRO!$F1004,TRIM(MAESTRO!$G1004&amp;" "&amp;MAESTRO!$H1004&amp;" "&amp;MAESTRO!$I1004)),"")</f>
        <v/>
      </c>
      <c r="I1005" t="str">
        <f>IF($A1005&lt;&gt;"",MAESTRO!$K1004,"")</f>
        <v/>
      </c>
      <c r="J1005" t="str">
        <f>IF($A1005&lt;&gt;"",1005,"")</f>
        <v/>
      </c>
    </row>
    <row r="1006" spans="1:10" x14ac:dyDescent="0.2">
      <c r="A1006" t="str">
        <f>IF(AND(UPPER(MAESTRO!$M1005)="VIP",UPPER(MAESTRO!$J1005)="SI",MAESTRO!$F1005&lt;&gt;""),MAESTRO!$P1005,"")</f>
        <v/>
      </c>
      <c r="B1006" t="str">
        <f>IF($A1006&lt;&gt;"",MAESTRO!$B1005,"")</f>
        <v/>
      </c>
      <c r="C1006" t="str">
        <f>IF($A1006&lt;&gt;"",MAESTRO!$A1005,"")</f>
        <v/>
      </c>
      <c r="D1006" t="str">
        <f>IF($A1006&lt;&gt;"",MAESTRO!$C1005,"")</f>
        <v/>
      </c>
      <c r="E1006" t="str">
        <f>IF($A1006&lt;&gt;"",MAESTRO!$M1005,"")</f>
        <v/>
      </c>
      <c r="F1006" t="str">
        <f>IF($A1006&lt;&gt;"",MAESTRO!$J1005,"")</f>
        <v/>
      </c>
      <c r="G1006" t="str">
        <f>IF($A1006&lt;&gt;"",MAESTRO!$D1005,"")</f>
        <v/>
      </c>
      <c r="H1006" t="str">
        <f>IF($A1006&lt;&gt;"",IF(TRIM(MAESTRO!$G1005&amp;" "&amp;MAESTRO!$H1005&amp;" "&amp;MAESTRO!$I1005)="",MAESTRO!$F1005,TRIM(MAESTRO!$G1005&amp;" "&amp;MAESTRO!$H1005&amp;" "&amp;MAESTRO!$I1005)),"")</f>
        <v/>
      </c>
      <c r="I1006" t="str">
        <f>IF($A1006&lt;&gt;"",MAESTRO!$K1005,"")</f>
        <v/>
      </c>
      <c r="J1006" t="str">
        <f>IF($A1006&lt;&gt;"",1006,"")</f>
        <v/>
      </c>
    </row>
    <row r="1007" spans="1:10" x14ac:dyDescent="0.2">
      <c r="A1007" t="str">
        <f>IF(AND(UPPER(MAESTRO!$M1006)="VIP",UPPER(MAESTRO!$J1006)="SI",MAESTRO!$F1006&lt;&gt;""),MAESTRO!$P1006,"")</f>
        <v/>
      </c>
      <c r="B1007" t="str">
        <f>IF($A1007&lt;&gt;"",MAESTRO!$B1006,"")</f>
        <v/>
      </c>
      <c r="C1007" t="str">
        <f>IF($A1007&lt;&gt;"",MAESTRO!$A1006,"")</f>
        <v/>
      </c>
      <c r="D1007" t="str">
        <f>IF($A1007&lt;&gt;"",MAESTRO!$C1006,"")</f>
        <v/>
      </c>
      <c r="E1007" t="str">
        <f>IF($A1007&lt;&gt;"",MAESTRO!$M1006,"")</f>
        <v/>
      </c>
      <c r="F1007" t="str">
        <f>IF($A1007&lt;&gt;"",MAESTRO!$J1006,"")</f>
        <v/>
      </c>
      <c r="G1007" t="str">
        <f>IF($A1007&lt;&gt;"",MAESTRO!$D1006,"")</f>
        <v/>
      </c>
      <c r="H1007" t="str">
        <f>IF($A1007&lt;&gt;"",IF(TRIM(MAESTRO!$G1006&amp;" "&amp;MAESTRO!$H1006&amp;" "&amp;MAESTRO!$I1006)="",MAESTRO!$F1006,TRIM(MAESTRO!$G1006&amp;" "&amp;MAESTRO!$H1006&amp;" "&amp;MAESTRO!$I1006)),"")</f>
        <v/>
      </c>
      <c r="I1007" t="str">
        <f>IF($A1007&lt;&gt;"",MAESTRO!$K1006,"")</f>
        <v/>
      </c>
      <c r="J1007" t="str">
        <f>IF($A1007&lt;&gt;"",1007,"")</f>
        <v/>
      </c>
    </row>
    <row r="1008" spans="1:10" x14ac:dyDescent="0.2">
      <c r="A1008" t="str">
        <f>IF(AND(UPPER(MAESTRO!$M1007)="VIP",UPPER(MAESTRO!$J1007)="SI",MAESTRO!$F1007&lt;&gt;""),MAESTRO!$P1007,"")</f>
        <v/>
      </c>
      <c r="B1008" t="str">
        <f>IF($A1008&lt;&gt;"",MAESTRO!$B1007,"")</f>
        <v/>
      </c>
      <c r="C1008" t="str">
        <f>IF($A1008&lt;&gt;"",MAESTRO!$A1007,"")</f>
        <v/>
      </c>
      <c r="D1008" t="str">
        <f>IF($A1008&lt;&gt;"",MAESTRO!$C1007,"")</f>
        <v/>
      </c>
      <c r="E1008" t="str">
        <f>IF($A1008&lt;&gt;"",MAESTRO!$M1007,"")</f>
        <v/>
      </c>
      <c r="F1008" t="str">
        <f>IF($A1008&lt;&gt;"",MAESTRO!$J1007,"")</f>
        <v/>
      </c>
      <c r="G1008" t="str">
        <f>IF($A1008&lt;&gt;"",MAESTRO!$D1007,"")</f>
        <v/>
      </c>
      <c r="H1008" t="str">
        <f>IF($A1008&lt;&gt;"",IF(TRIM(MAESTRO!$G1007&amp;" "&amp;MAESTRO!$H1007&amp;" "&amp;MAESTRO!$I1007)="",MAESTRO!$F1007,TRIM(MAESTRO!$G1007&amp;" "&amp;MAESTRO!$H1007&amp;" "&amp;MAESTRO!$I1007)),"")</f>
        <v/>
      </c>
      <c r="I1008" t="str">
        <f>IF($A1008&lt;&gt;"",MAESTRO!$K1007,"")</f>
        <v/>
      </c>
      <c r="J1008" t="str">
        <f>IF($A1008&lt;&gt;"",1008,"")</f>
        <v/>
      </c>
    </row>
    <row r="1009" spans="1:10" x14ac:dyDescent="0.2">
      <c r="A1009" t="str">
        <f>IF(AND(UPPER(MAESTRO!$M1008)="VIP",UPPER(MAESTRO!$J1008)="SI",MAESTRO!$F1008&lt;&gt;""),MAESTRO!$P1008,"")</f>
        <v/>
      </c>
      <c r="B1009" t="str">
        <f>IF($A1009&lt;&gt;"",MAESTRO!$B1008,"")</f>
        <v/>
      </c>
      <c r="C1009" t="str">
        <f>IF($A1009&lt;&gt;"",MAESTRO!$A1008,"")</f>
        <v/>
      </c>
      <c r="D1009" t="str">
        <f>IF($A1009&lt;&gt;"",MAESTRO!$C1008,"")</f>
        <v/>
      </c>
      <c r="E1009" t="str">
        <f>IF($A1009&lt;&gt;"",MAESTRO!$M1008,"")</f>
        <v/>
      </c>
      <c r="F1009" t="str">
        <f>IF($A1009&lt;&gt;"",MAESTRO!$J1008,"")</f>
        <v/>
      </c>
      <c r="G1009" t="str">
        <f>IF($A1009&lt;&gt;"",MAESTRO!$D1008,"")</f>
        <v/>
      </c>
      <c r="H1009" t="str">
        <f>IF($A1009&lt;&gt;"",IF(TRIM(MAESTRO!$G1008&amp;" "&amp;MAESTRO!$H1008&amp;" "&amp;MAESTRO!$I1008)="",MAESTRO!$F1008,TRIM(MAESTRO!$G1008&amp;" "&amp;MAESTRO!$H1008&amp;" "&amp;MAESTRO!$I1008)),"")</f>
        <v/>
      </c>
      <c r="I1009" t="str">
        <f>IF($A1009&lt;&gt;"",MAESTRO!$K1008,"")</f>
        <v/>
      </c>
      <c r="J1009" t="str">
        <f>IF($A1009&lt;&gt;"",1009,"")</f>
        <v/>
      </c>
    </row>
    <row r="1010" spans="1:10" x14ac:dyDescent="0.2">
      <c r="A1010" t="str">
        <f>IF(AND(UPPER(MAESTRO!$M1009)="VIP",UPPER(MAESTRO!$J1009)="SI",MAESTRO!$F1009&lt;&gt;""),MAESTRO!$P1009,"")</f>
        <v/>
      </c>
      <c r="B1010" t="str">
        <f>IF($A1010&lt;&gt;"",MAESTRO!$B1009,"")</f>
        <v/>
      </c>
      <c r="C1010" t="str">
        <f>IF($A1010&lt;&gt;"",MAESTRO!$A1009,"")</f>
        <v/>
      </c>
      <c r="D1010" t="str">
        <f>IF($A1010&lt;&gt;"",MAESTRO!$C1009,"")</f>
        <v/>
      </c>
      <c r="E1010" t="str">
        <f>IF($A1010&lt;&gt;"",MAESTRO!$M1009,"")</f>
        <v/>
      </c>
      <c r="F1010" t="str">
        <f>IF($A1010&lt;&gt;"",MAESTRO!$J1009,"")</f>
        <v/>
      </c>
      <c r="G1010" t="str">
        <f>IF($A1010&lt;&gt;"",MAESTRO!$D1009,"")</f>
        <v/>
      </c>
      <c r="H1010" t="str">
        <f>IF($A1010&lt;&gt;"",IF(TRIM(MAESTRO!$G1009&amp;" "&amp;MAESTRO!$H1009&amp;" "&amp;MAESTRO!$I1009)="",MAESTRO!$F1009,TRIM(MAESTRO!$G1009&amp;" "&amp;MAESTRO!$H1009&amp;" "&amp;MAESTRO!$I1009)),"")</f>
        <v/>
      </c>
      <c r="I1010" t="str">
        <f>IF($A1010&lt;&gt;"",MAESTRO!$K1009,"")</f>
        <v/>
      </c>
      <c r="J1010" t="str">
        <f>IF($A1010&lt;&gt;"",1010,"")</f>
        <v/>
      </c>
    </row>
    <row r="1011" spans="1:10" x14ac:dyDescent="0.2">
      <c r="A1011" t="str">
        <f>IF(AND(UPPER(MAESTRO!$M1010)="VIP",UPPER(MAESTRO!$J1010)="SI",MAESTRO!$F1010&lt;&gt;""),MAESTRO!$P1010,"")</f>
        <v/>
      </c>
      <c r="B1011" t="str">
        <f>IF($A1011&lt;&gt;"",MAESTRO!$B1010,"")</f>
        <v/>
      </c>
      <c r="C1011" t="str">
        <f>IF($A1011&lt;&gt;"",MAESTRO!$A1010,"")</f>
        <v/>
      </c>
      <c r="D1011" t="str">
        <f>IF($A1011&lt;&gt;"",MAESTRO!$C1010,"")</f>
        <v/>
      </c>
      <c r="E1011" t="str">
        <f>IF($A1011&lt;&gt;"",MAESTRO!$M1010,"")</f>
        <v/>
      </c>
      <c r="F1011" t="str">
        <f>IF($A1011&lt;&gt;"",MAESTRO!$J1010,"")</f>
        <v/>
      </c>
      <c r="G1011" t="str">
        <f>IF($A1011&lt;&gt;"",MAESTRO!$D1010,"")</f>
        <v/>
      </c>
      <c r="H1011" t="str">
        <f>IF($A1011&lt;&gt;"",IF(TRIM(MAESTRO!$G1010&amp;" "&amp;MAESTRO!$H1010&amp;" "&amp;MAESTRO!$I1010)="",MAESTRO!$F1010,TRIM(MAESTRO!$G1010&amp;" "&amp;MAESTRO!$H1010&amp;" "&amp;MAESTRO!$I1010)),"")</f>
        <v/>
      </c>
      <c r="I1011" t="str">
        <f>IF($A1011&lt;&gt;"",MAESTRO!$K1010,"")</f>
        <v/>
      </c>
      <c r="J1011" t="str">
        <f>IF($A1011&lt;&gt;"",1011,"")</f>
        <v/>
      </c>
    </row>
    <row r="1012" spans="1:10" x14ac:dyDescent="0.2">
      <c r="A1012" t="str">
        <f>IF(AND(UPPER(MAESTRO!$M1011)="VIP",UPPER(MAESTRO!$J1011)="SI",MAESTRO!$F1011&lt;&gt;""),MAESTRO!$P1011,"")</f>
        <v/>
      </c>
      <c r="B1012" t="str">
        <f>IF($A1012&lt;&gt;"",MAESTRO!$B1011,"")</f>
        <v/>
      </c>
      <c r="C1012" t="str">
        <f>IF($A1012&lt;&gt;"",MAESTRO!$A1011,"")</f>
        <v/>
      </c>
      <c r="D1012" t="str">
        <f>IF($A1012&lt;&gt;"",MAESTRO!$C1011,"")</f>
        <v/>
      </c>
      <c r="E1012" t="str">
        <f>IF($A1012&lt;&gt;"",MAESTRO!$M1011,"")</f>
        <v/>
      </c>
      <c r="F1012" t="str">
        <f>IF($A1012&lt;&gt;"",MAESTRO!$J1011,"")</f>
        <v/>
      </c>
      <c r="G1012" t="str">
        <f>IF($A1012&lt;&gt;"",MAESTRO!$D1011,"")</f>
        <v/>
      </c>
      <c r="H1012" t="str">
        <f>IF($A1012&lt;&gt;"",IF(TRIM(MAESTRO!$G1011&amp;" "&amp;MAESTRO!$H1011&amp;" "&amp;MAESTRO!$I1011)="",MAESTRO!$F1011,TRIM(MAESTRO!$G1011&amp;" "&amp;MAESTRO!$H1011&amp;" "&amp;MAESTRO!$I1011)),"")</f>
        <v/>
      </c>
      <c r="I1012" t="str">
        <f>IF($A1012&lt;&gt;"",MAESTRO!$K1011,"")</f>
        <v/>
      </c>
      <c r="J1012" t="str">
        <f>IF($A1012&lt;&gt;"",1012,"")</f>
        <v/>
      </c>
    </row>
    <row r="1013" spans="1:10" x14ac:dyDescent="0.2">
      <c r="A1013" t="str">
        <f>IF(AND(UPPER(MAESTRO!$M1012)="VIP",UPPER(MAESTRO!$J1012)="SI",MAESTRO!$F1012&lt;&gt;""),MAESTRO!$P1012,"")</f>
        <v/>
      </c>
      <c r="B1013" t="str">
        <f>IF($A1013&lt;&gt;"",MAESTRO!$B1012,"")</f>
        <v/>
      </c>
      <c r="C1013" t="str">
        <f>IF($A1013&lt;&gt;"",MAESTRO!$A1012,"")</f>
        <v/>
      </c>
      <c r="D1013" t="str">
        <f>IF($A1013&lt;&gt;"",MAESTRO!$C1012,"")</f>
        <v/>
      </c>
      <c r="E1013" t="str">
        <f>IF($A1013&lt;&gt;"",MAESTRO!$M1012,"")</f>
        <v/>
      </c>
      <c r="F1013" t="str">
        <f>IF($A1013&lt;&gt;"",MAESTRO!$J1012,"")</f>
        <v/>
      </c>
      <c r="G1013" t="str">
        <f>IF($A1013&lt;&gt;"",MAESTRO!$D1012,"")</f>
        <v/>
      </c>
      <c r="H1013" t="str">
        <f>IF($A1013&lt;&gt;"",IF(TRIM(MAESTRO!$G1012&amp;" "&amp;MAESTRO!$H1012&amp;" "&amp;MAESTRO!$I1012)="",MAESTRO!$F1012,TRIM(MAESTRO!$G1012&amp;" "&amp;MAESTRO!$H1012&amp;" "&amp;MAESTRO!$I1012)),"")</f>
        <v/>
      </c>
      <c r="I1013" t="str">
        <f>IF($A1013&lt;&gt;"",MAESTRO!$K1012,"")</f>
        <v/>
      </c>
      <c r="J1013" t="str">
        <f>IF($A1013&lt;&gt;"",1013,"")</f>
        <v/>
      </c>
    </row>
    <row r="1014" spans="1:10" x14ac:dyDescent="0.2">
      <c r="A1014" t="str">
        <f>IF(AND(UPPER(MAESTRO!$M1013)="VIP",UPPER(MAESTRO!$J1013)="SI",MAESTRO!$F1013&lt;&gt;""),MAESTRO!$P1013,"")</f>
        <v/>
      </c>
      <c r="B1014" t="str">
        <f>IF($A1014&lt;&gt;"",MAESTRO!$B1013,"")</f>
        <v/>
      </c>
      <c r="C1014" t="str">
        <f>IF($A1014&lt;&gt;"",MAESTRO!$A1013,"")</f>
        <v/>
      </c>
      <c r="D1014" t="str">
        <f>IF($A1014&lt;&gt;"",MAESTRO!$C1013,"")</f>
        <v/>
      </c>
      <c r="E1014" t="str">
        <f>IF($A1014&lt;&gt;"",MAESTRO!$M1013,"")</f>
        <v/>
      </c>
      <c r="F1014" t="str">
        <f>IF($A1014&lt;&gt;"",MAESTRO!$J1013,"")</f>
        <v/>
      </c>
      <c r="G1014" t="str">
        <f>IF($A1014&lt;&gt;"",MAESTRO!$D1013,"")</f>
        <v/>
      </c>
      <c r="H1014" t="str">
        <f>IF($A1014&lt;&gt;"",IF(TRIM(MAESTRO!$G1013&amp;" "&amp;MAESTRO!$H1013&amp;" "&amp;MAESTRO!$I1013)="",MAESTRO!$F1013,TRIM(MAESTRO!$G1013&amp;" "&amp;MAESTRO!$H1013&amp;" "&amp;MAESTRO!$I1013)),"")</f>
        <v/>
      </c>
      <c r="I1014" t="str">
        <f>IF($A1014&lt;&gt;"",MAESTRO!$K1013,"")</f>
        <v/>
      </c>
      <c r="J1014" t="str">
        <f>IF($A1014&lt;&gt;"",1014,"")</f>
        <v/>
      </c>
    </row>
    <row r="1015" spans="1:10" x14ac:dyDescent="0.2">
      <c r="A1015" t="str">
        <f>IF(AND(UPPER(MAESTRO!$M1014)="VIP",UPPER(MAESTRO!$J1014)="SI",MAESTRO!$F1014&lt;&gt;""),MAESTRO!$P1014,"")</f>
        <v/>
      </c>
      <c r="B1015" t="str">
        <f>IF($A1015&lt;&gt;"",MAESTRO!$B1014,"")</f>
        <v/>
      </c>
      <c r="C1015" t="str">
        <f>IF($A1015&lt;&gt;"",MAESTRO!$A1014,"")</f>
        <v/>
      </c>
      <c r="D1015" t="str">
        <f>IF($A1015&lt;&gt;"",MAESTRO!$C1014,"")</f>
        <v/>
      </c>
      <c r="E1015" t="str">
        <f>IF($A1015&lt;&gt;"",MAESTRO!$M1014,"")</f>
        <v/>
      </c>
      <c r="F1015" t="str">
        <f>IF($A1015&lt;&gt;"",MAESTRO!$J1014,"")</f>
        <v/>
      </c>
      <c r="G1015" t="str">
        <f>IF($A1015&lt;&gt;"",MAESTRO!$D1014,"")</f>
        <v/>
      </c>
      <c r="H1015" t="str">
        <f>IF($A1015&lt;&gt;"",IF(TRIM(MAESTRO!$G1014&amp;" "&amp;MAESTRO!$H1014&amp;" "&amp;MAESTRO!$I1014)="",MAESTRO!$F1014,TRIM(MAESTRO!$G1014&amp;" "&amp;MAESTRO!$H1014&amp;" "&amp;MAESTRO!$I1014)),"")</f>
        <v/>
      </c>
      <c r="I1015" t="str">
        <f>IF($A1015&lt;&gt;"",MAESTRO!$K1014,"")</f>
        <v/>
      </c>
      <c r="J1015" t="str">
        <f>IF($A1015&lt;&gt;"",1015,"")</f>
        <v/>
      </c>
    </row>
    <row r="1016" spans="1:10" x14ac:dyDescent="0.2">
      <c r="A1016" t="str">
        <f>IF(AND(UPPER(MAESTRO!$M1015)="VIP",UPPER(MAESTRO!$J1015)="SI",MAESTRO!$F1015&lt;&gt;""),MAESTRO!$P1015,"")</f>
        <v/>
      </c>
      <c r="B1016" t="str">
        <f>IF($A1016&lt;&gt;"",MAESTRO!$B1015,"")</f>
        <v/>
      </c>
      <c r="C1016" t="str">
        <f>IF($A1016&lt;&gt;"",MAESTRO!$A1015,"")</f>
        <v/>
      </c>
      <c r="D1016" t="str">
        <f>IF($A1016&lt;&gt;"",MAESTRO!$C1015,"")</f>
        <v/>
      </c>
      <c r="E1016" t="str">
        <f>IF($A1016&lt;&gt;"",MAESTRO!$M1015,"")</f>
        <v/>
      </c>
      <c r="F1016" t="str">
        <f>IF($A1016&lt;&gt;"",MAESTRO!$J1015,"")</f>
        <v/>
      </c>
      <c r="G1016" t="str">
        <f>IF($A1016&lt;&gt;"",MAESTRO!$D1015,"")</f>
        <v/>
      </c>
      <c r="H1016" t="str">
        <f>IF($A1016&lt;&gt;"",IF(TRIM(MAESTRO!$G1015&amp;" "&amp;MAESTRO!$H1015&amp;" "&amp;MAESTRO!$I1015)="",MAESTRO!$F1015,TRIM(MAESTRO!$G1015&amp;" "&amp;MAESTRO!$H1015&amp;" "&amp;MAESTRO!$I1015)),"")</f>
        <v/>
      </c>
      <c r="I1016" t="str">
        <f>IF($A1016&lt;&gt;"",MAESTRO!$K1015,"")</f>
        <v/>
      </c>
      <c r="J1016" t="str">
        <f>IF($A1016&lt;&gt;"",1016,"")</f>
        <v/>
      </c>
    </row>
    <row r="1017" spans="1:10" x14ac:dyDescent="0.2">
      <c r="A1017" t="str">
        <f>IF(AND(UPPER(MAESTRO!$M1016)="VIP",UPPER(MAESTRO!$J1016)="SI",MAESTRO!$F1016&lt;&gt;""),MAESTRO!$P1016,"")</f>
        <v/>
      </c>
      <c r="B1017" t="str">
        <f>IF($A1017&lt;&gt;"",MAESTRO!$B1016,"")</f>
        <v/>
      </c>
      <c r="C1017" t="str">
        <f>IF($A1017&lt;&gt;"",MAESTRO!$A1016,"")</f>
        <v/>
      </c>
      <c r="D1017" t="str">
        <f>IF($A1017&lt;&gt;"",MAESTRO!$C1016,"")</f>
        <v/>
      </c>
      <c r="E1017" t="str">
        <f>IF($A1017&lt;&gt;"",MAESTRO!$M1016,"")</f>
        <v/>
      </c>
      <c r="F1017" t="str">
        <f>IF($A1017&lt;&gt;"",MAESTRO!$J1016,"")</f>
        <v/>
      </c>
      <c r="G1017" t="str">
        <f>IF($A1017&lt;&gt;"",MAESTRO!$D1016,"")</f>
        <v/>
      </c>
      <c r="H1017" t="str">
        <f>IF($A1017&lt;&gt;"",IF(TRIM(MAESTRO!$G1016&amp;" "&amp;MAESTRO!$H1016&amp;" "&amp;MAESTRO!$I1016)="",MAESTRO!$F1016,TRIM(MAESTRO!$G1016&amp;" "&amp;MAESTRO!$H1016&amp;" "&amp;MAESTRO!$I1016)),"")</f>
        <v/>
      </c>
      <c r="I1017" t="str">
        <f>IF($A1017&lt;&gt;"",MAESTRO!$K1016,"")</f>
        <v/>
      </c>
      <c r="J1017" t="str">
        <f>IF($A1017&lt;&gt;"",1017,"")</f>
        <v/>
      </c>
    </row>
    <row r="1018" spans="1:10" x14ac:dyDescent="0.2">
      <c r="A1018" t="str">
        <f>IF(AND(UPPER(MAESTRO!$M1017)="VIP",UPPER(MAESTRO!$J1017)="SI",MAESTRO!$F1017&lt;&gt;""),MAESTRO!$P1017,"")</f>
        <v/>
      </c>
      <c r="B1018" t="str">
        <f>IF($A1018&lt;&gt;"",MAESTRO!$B1017,"")</f>
        <v/>
      </c>
      <c r="C1018" t="str">
        <f>IF($A1018&lt;&gt;"",MAESTRO!$A1017,"")</f>
        <v/>
      </c>
      <c r="D1018" t="str">
        <f>IF($A1018&lt;&gt;"",MAESTRO!$C1017,"")</f>
        <v/>
      </c>
      <c r="E1018" t="str">
        <f>IF($A1018&lt;&gt;"",MAESTRO!$M1017,"")</f>
        <v/>
      </c>
      <c r="F1018" t="str">
        <f>IF($A1018&lt;&gt;"",MAESTRO!$J1017,"")</f>
        <v/>
      </c>
      <c r="G1018" t="str">
        <f>IF($A1018&lt;&gt;"",MAESTRO!$D1017,"")</f>
        <v/>
      </c>
      <c r="H1018" t="str">
        <f>IF($A1018&lt;&gt;"",IF(TRIM(MAESTRO!$G1017&amp;" "&amp;MAESTRO!$H1017&amp;" "&amp;MAESTRO!$I1017)="",MAESTRO!$F1017,TRIM(MAESTRO!$G1017&amp;" "&amp;MAESTRO!$H1017&amp;" "&amp;MAESTRO!$I1017)),"")</f>
        <v/>
      </c>
      <c r="I1018" t="str">
        <f>IF($A1018&lt;&gt;"",MAESTRO!$K1017,"")</f>
        <v/>
      </c>
      <c r="J1018" t="str">
        <f>IF($A1018&lt;&gt;"",1018,"")</f>
        <v/>
      </c>
    </row>
    <row r="1019" spans="1:10" x14ac:dyDescent="0.2">
      <c r="A1019" t="str">
        <f>IF(AND(UPPER(MAESTRO!$M1018)="VIP",UPPER(MAESTRO!$J1018)="SI",MAESTRO!$F1018&lt;&gt;""),MAESTRO!$P1018,"")</f>
        <v/>
      </c>
      <c r="B1019" t="str">
        <f>IF($A1019&lt;&gt;"",MAESTRO!$B1018,"")</f>
        <v/>
      </c>
      <c r="C1019" t="str">
        <f>IF($A1019&lt;&gt;"",MAESTRO!$A1018,"")</f>
        <v/>
      </c>
      <c r="D1019" t="str">
        <f>IF($A1019&lt;&gt;"",MAESTRO!$C1018,"")</f>
        <v/>
      </c>
      <c r="E1019" t="str">
        <f>IF($A1019&lt;&gt;"",MAESTRO!$M1018,"")</f>
        <v/>
      </c>
      <c r="F1019" t="str">
        <f>IF($A1019&lt;&gt;"",MAESTRO!$J1018,"")</f>
        <v/>
      </c>
      <c r="G1019" t="str">
        <f>IF($A1019&lt;&gt;"",MAESTRO!$D1018,"")</f>
        <v/>
      </c>
      <c r="H1019" t="str">
        <f>IF($A1019&lt;&gt;"",IF(TRIM(MAESTRO!$G1018&amp;" "&amp;MAESTRO!$H1018&amp;" "&amp;MAESTRO!$I1018)="",MAESTRO!$F1018,TRIM(MAESTRO!$G1018&amp;" "&amp;MAESTRO!$H1018&amp;" "&amp;MAESTRO!$I1018)),"")</f>
        <v/>
      </c>
      <c r="I1019" t="str">
        <f>IF($A1019&lt;&gt;"",MAESTRO!$K1018,"")</f>
        <v/>
      </c>
      <c r="J1019" t="str">
        <f>IF($A1019&lt;&gt;"",1019,"")</f>
        <v/>
      </c>
    </row>
    <row r="1020" spans="1:10" x14ac:dyDescent="0.2">
      <c r="A1020" t="str">
        <f>IF(AND(UPPER(MAESTRO!$M1019)="VIP",UPPER(MAESTRO!$J1019)="SI",MAESTRO!$F1019&lt;&gt;""),MAESTRO!$P1019,"")</f>
        <v/>
      </c>
      <c r="B1020" t="str">
        <f>IF($A1020&lt;&gt;"",MAESTRO!$B1019,"")</f>
        <v/>
      </c>
      <c r="C1020" t="str">
        <f>IF($A1020&lt;&gt;"",MAESTRO!$A1019,"")</f>
        <v/>
      </c>
      <c r="D1020" t="str">
        <f>IF($A1020&lt;&gt;"",MAESTRO!$C1019,"")</f>
        <v/>
      </c>
      <c r="E1020" t="str">
        <f>IF($A1020&lt;&gt;"",MAESTRO!$M1019,"")</f>
        <v/>
      </c>
      <c r="F1020" t="str">
        <f>IF($A1020&lt;&gt;"",MAESTRO!$J1019,"")</f>
        <v/>
      </c>
      <c r="G1020" t="str">
        <f>IF($A1020&lt;&gt;"",MAESTRO!$D1019,"")</f>
        <v/>
      </c>
      <c r="H1020" t="str">
        <f>IF($A1020&lt;&gt;"",IF(TRIM(MAESTRO!$G1019&amp;" "&amp;MAESTRO!$H1019&amp;" "&amp;MAESTRO!$I1019)="",MAESTRO!$F1019,TRIM(MAESTRO!$G1019&amp;" "&amp;MAESTRO!$H1019&amp;" "&amp;MAESTRO!$I1019)),"")</f>
        <v/>
      </c>
      <c r="I1020" t="str">
        <f>IF($A1020&lt;&gt;"",MAESTRO!$K1019,"")</f>
        <v/>
      </c>
      <c r="J1020" t="str">
        <f>IF($A1020&lt;&gt;"",1020,"")</f>
        <v/>
      </c>
    </row>
    <row r="1021" spans="1:10" x14ac:dyDescent="0.2">
      <c r="A1021" t="str">
        <f>IF(AND(UPPER(MAESTRO!$M1020)="VIP",UPPER(MAESTRO!$J1020)="SI",MAESTRO!$F1020&lt;&gt;""),MAESTRO!$P1020,"")</f>
        <v/>
      </c>
      <c r="B1021" t="str">
        <f>IF($A1021&lt;&gt;"",MAESTRO!$B1020,"")</f>
        <v/>
      </c>
      <c r="C1021" t="str">
        <f>IF($A1021&lt;&gt;"",MAESTRO!$A1020,"")</f>
        <v/>
      </c>
      <c r="D1021" t="str">
        <f>IF($A1021&lt;&gt;"",MAESTRO!$C1020,"")</f>
        <v/>
      </c>
      <c r="E1021" t="str">
        <f>IF($A1021&lt;&gt;"",MAESTRO!$M1020,"")</f>
        <v/>
      </c>
      <c r="F1021" t="str">
        <f>IF($A1021&lt;&gt;"",MAESTRO!$J1020,"")</f>
        <v/>
      </c>
      <c r="G1021" t="str">
        <f>IF($A1021&lt;&gt;"",MAESTRO!$D1020,"")</f>
        <v/>
      </c>
      <c r="H1021" t="str">
        <f>IF($A1021&lt;&gt;"",IF(TRIM(MAESTRO!$G1020&amp;" "&amp;MAESTRO!$H1020&amp;" "&amp;MAESTRO!$I1020)="",MAESTRO!$F1020,TRIM(MAESTRO!$G1020&amp;" "&amp;MAESTRO!$H1020&amp;" "&amp;MAESTRO!$I1020)),"")</f>
        <v/>
      </c>
      <c r="I1021" t="str">
        <f>IF($A1021&lt;&gt;"",MAESTRO!$K1020,"")</f>
        <v/>
      </c>
      <c r="J1021" t="str">
        <f>IF($A1021&lt;&gt;"",1021,"")</f>
        <v/>
      </c>
    </row>
    <row r="1022" spans="1:10" x14ac:dyDescent="0.2">
      <c r="A1022" t="str">
        <f>IF(AND(UPPER(MAESTRO!$M1021)="VIP",UPPER(MAESTRO!$J1021)="SI",MAESTRO!$F1021&lt;&gt;""),MAESTRO!$P1021,"")</f>
        <v/>
      </c>
      <c r="B1022" t="str">
        <f>IF($A1022&lt;&gt;"",MAESTRO!$B1021,"")</f>
        <v/>
      </c>
      <c r="C1022" t="str">
        <f>IF($A1022&lt;&gt;"",MAESTRO!$A1021,"")</f>
        <v/>
      </c>
      <c r="D1022" t="str">
        <f>IF($A1022&lt;&gt;"",MAESTRO!$C1021,"")</f>
        <v/>
      </c>
      <c r="E1022" t="str">
        <f>IF($A1022&lt;&gt;"",MAESTRO!$M1021,"")</f>
        <v/>
      </c>
      <c r="F1022" t="str">
        <f>IF($A1022&lt;&gt;"",MAESTRO!$J1021,"")</f>
        <v/>
      </c>
      <c r="G1022" t="str">
        <f>IF($A1022&lt;&gt;"",MAESTRO!$D1021,"")</f>
        <v/>
      </c>
      <c r="H1022" t="str">
        <f>IF($A1022&lt;&gt;"",IF(TRIM(MAESTRO!$G1021&amp;" "&amp;MAESTRO!$H1021&amp;" "&amp;MAESTRO!$I1021)="",MAESTRO!$F1021,TRIM(MAESTRO!$G1021&amp;" "&amp;MAESTRO!$H1021&amp;" "&amp;MAESTRO!$I1021)),"")</f>
        <v/>
      </c>
      <c r="I1022" t="str">
        <f>IF($A1022&lt;&gt;"",MAESTRO!$K1021,"")</f>
        <v/>
      </c>
      <c r="J1022" t="str">
        <f>IF($A1022&lt;&gt;"",1022,"")</f>
        <v/>
      </c>
    </row>
    <row r="1023" spans="1:10" x14ac:dyDescent="0.2">
      <c r="A1023" t="str">
        <f>IF(AND(UPPER(MAESTRO!$M1022)="VIP",UPPER(MAESTRO!$J1022)="SI",MAESTRO!$F1022&lt;&gt;""),MAESTRO!$P1022,"")</f>
        <v/>
      </c>
      <c r="B1023" t="str">
        <f>IF($A1023&lt;&gt;"",MAESTRO!$B1022,"")</f>
        <v/>
      </c>
      <c r="C1023" t="str">
        <f>IF($A1023&lt;&gt;"",MAESTRO!$A1022,"")</f>
        <v/>
      </c>
      <c r="D1023" t="str">
        <f>IF($A1023&lt;&gt;"",MAESTRO!$C1022,"")</f>
        <v/>
      </c>
      <c r="E1023" t="str">
        <f>IF($A1023&lt;&gt;"",MAESTRO!$M1022,"")</f>
        <v/>
      </c>
      <c r="F1023" t="str">
        <f>IF($A1023&lt;&gt;"",MAESTRO!$J1022,"")</f>
        <v/>
      </c>
      <c r="G1023" t="str">
        <f>IF($A1023&lt;&gt;"",MAESTRO!$D1022,"")</f>
        <v/>
      </c>
      <c r="H1023" t="str">
        <f>IF($A1023&lt;&gt;"",IF(TRIM(MAESTRO!$G1022&amp;" "&amp;MAESTRO!$H1022&amp;" "&amp;MAESTRO!$I1022)="",MAESTRO!$F1022,TRIM(MAESTRO!$G1022&amp;" "&amp;MAESTRO!$H1022&amp;" "&amp;MAESTRO!$I1022)),"")</f>
        <v/>
      </c>
      <c r="I1023" t="str">
        <f>IF($A1023&lt;&gt;"",MAESTRO!$K1022,"")</f>
        <v/>
      </c>
      <c r="J1023" t="str">
        <f>IF($A1023&lt;&gt;"",1023,"")</f>
        <v/>
      </c>
    </row>
    <row r="1024" spans="1:10" x14ac:dyDescent="0.2">
      <c r="A1024" t="str">
        <f>IF(AND(UPPER(MAESTRO!$M1023)="VIP",UPPER(MAESTRO!$J1023)="SI",MAESTRO!$F1023&lt;&gt;""),MAESTRO!$P1023,"")</f>
        <v/>
      </c>
      <c r="B1024" t="str">
        <f>IF($A1024&lt;&gt;"",MAESTRO!$B1023,"")</f>
        <v/>
      </c>
      <c r="C1024" t="str">
        <f>IF($A1024&lt;&gt;"",MAESTRO!$A1023,"")</f>
        <v/>
      </c>
      <c r="D1024" t="str">
        <f>IF($A1024&lt;&gt;"",MAESTRO!$C1023,"")</f>
        <v/>
      </c>
      <c r="E1024" t="str">
        <f>IF($A1024&lt;&gt;"",MAESTRO!$M1023,"")</f>
        <v/>
      </c>
      <c r="F1024" t="str">
        <f>IF($A1024&lt;&gt;"",MAESTRO!$J1023,"")</f>
        <v/>
      </c>
      <c r="G1024" t="str">
        <f>IF($A1024&lt;&gt;"",MAESTRO!$D1023,"")</f>
        <v/>
      </c>
      <c r="H1024" t="str">
        <f>IF($A1024&lt;&gt;"",IF(TRIM(MAESTRO!$G1023&amp;" "&amp;MAESTRO!$H1023&amp;" "&amp;MAESTRO!$I1023)="",MAESTRO!$F1023,TRIM(MAESTRO!$G1023&amp;" "&amp;MAESTRO!$H1023&amp;" "&amp;MAESTRO!$I1023)),"")</f>
        <v/>
      </c>
      <c r="I1024" t="str">
        <f>IF($A1024&lt;&gt;"",MAESTRO!$K1023,"")</f>
        <v/>
      </c>
      <c r="J1024" t="str">
        <f>IF($A1024&lt;&gt;"",1024,"")</f>
        <v/>
      </c>
    </row>
    <row r="1025" spans="1:10" x14ac:dyDescent="0.2">
      <c r="A1025" t="str">
        <f>IF(AND(UPPER(MAESTRO!$M1024)="VIP",UPPER(MAESTRO!$J1024)="SI",MAESTRO!$F1024&lt;&gt;""),MAESTRO!$P1024,"")</f>
        <v/>
      </c>
      <c r="B1025" t="str">
        <f>IF($A1025&lt;&gt;"",MAESTRO!$B1024,"")</f>
        <v/>
      </c>
      <c r="C1025" t="str">
        <f>IF($A1025&lt;&gt;"",MAESTRO!$A1024,"")</f>
        <v/>
      </c>
      <c r="D1025" t="str">
        <f>IF($A1025&lt;&gt;"",MAESTRO!$C1024,"")</f>
        <v/>
      </c>
      <c r="E1025" t="str">
        <f>IF($A1025&lt;&gt;"",MAESTRO!$M1024,"")</f>
        <v/>
      </c>
      <c r="F1025" t="str">
        <f>IF($A1025&lt;&gt;"",MAESTRO!$J1024,"")</f>
        <v/>
      </c>
      <c r="G1025" t="str">
        <f>IF($A1025&lt;&gt;"",MAESTRO!$D1024,"")</f>
        <v/>
      </c>
      <c r="H1025" t="str">
        <f>IF($A1025&lt;&gt;"",IF(TRIM(MAESTRO!$G1024&amp;" "&amp;MAESTRO!$H1024&amp;" "&amp;MAESTRO!$I1024)="",MAESTRO!$F1024,TRIM(MAESTRO!$G1024&amp;" "&amp;MAESTRO!$H1024&amp;" "&amp;MAESTRO!$I1024)),"")</f>
        <v/>
      </c>
      <c r="I1025" t="str">
        <f>IF($A1025&lt;&gt;"",MAESTRO!$K1024,"")</f>
        <v/>
      </c>
      <c r="J1025" t="str">
        <f>IF($A1025&lt;&gt;"",1025,"")</f>
        <v/>
      </c>
    </row>
    <row r="1026" spans="1:10" x14ac:dyDescent="0.2">
      <c r="A1026" t="str">
        <f>IF(AND(UPPER(MAESTRO!$M1025)="VIP",UPPER(MAESTRO!$J1025)="SI",MAESTRO!$F1025&lt;&gt;""),MAESTRO!$P1025,"")</f>
        <v/>
      </c>
      <c r="B1026" t="str">
        <f>IF($A1026&lt;&gt;"",MAESTRO!$B1025,"")</f>
        <v/>
      </c>
      <c r="C1026" t="str">
        <f>IF($A1026&lt;&gt;"",MAESTRO!$A1025,"")</f>
        <v/>
      </c>
      <c r="D1026" t="str">
        <f>IF($A1026&lt;&gt;"",MAESTRO!$C1025,"")</f>
        <v/>
      </c>
      <c r="E1026" t="str">
        <f>IF($A1026&lt;&gt;"",MAESTRO!$M1025,"")</f>
        <v/>
      </c>
      <c r="F1026" t="str">
        <f>IF($A1026&lt;&gt;"",MAESTRO!$J1025,"")</f>
        <v/>
      </c>
      <c r="G1026" t="str">
        <f>IF($A1026&lt;&gt;"",MAESTRO!$D1025,"")</f>
        <v/>
      </c>
      <c r="H1026" t="str">
        <f>IF($A1026&lt;&gt;"",IF(TRIM(MAESTRO!$G1025&amp;" "&amp;MAESTRO!$H1025&amp;" "&amp;MAESTRO!$I1025)="",MAESTRO!$F1025,TRIM(MAESTRO!$G1025&amp;" "&amp;MAESTRO!$H1025&amp;" "&amp;MAESTRO!$I1025)),"")</f>
        <v/>
      </c>
      <c r="I1026" t="str">
        <f>IF($A1026&lt;&gt;"",MAESTRO!$K1025,"")</f>
        <v/>
      </c>
      <c r="J1026" t="str">
        <f>IF($A1026&lt;&gt;"",1026,"")</f>
        <v/>
      </c>
    </row>
    <row r="1027" spans="1:10" x14ac:dyDescent="0.2">
      <c r="A1027" t="str">
        <f>IF(AND(UPPER(MAESTRO!$M1026)="VIP",UPPER(MAESTRO!$J1026)="SI",MAESTRO!$F1026&lt;&gt;""),MAESTRO!$P1026,"")</f>
        <v/>
      </c>
      <c r="B1027" t="str">
        <f>IF($A1027&lt;&gt;"",MAESTRO!$B1026,"")</f>
        <v/>
      </c>
      <c r="C1027" t="str">
        <f>IF($A1027&lt;&gt;"",MAESTRO!$A1026,"")</f>
        <v/>
      </c>
      <c r="D1027" t="str">
        <f>IF($A1027&lt;&gt;"",MAESTRO!$C1026,"")</f>
        <v/>
      </c>
      <c r="E1027" t="str">
        <f>IF($A1027&lt;&gt;"",MAESTRO!$M1026,"")</f>
        <v/>
      </c>
      <c r="F1027" t="str">
        <f>IF($A1027&lt;&gt;"",MAESTRO!$J1026,"")</f>
        <v/>
      </c>
      <c r="G1027" t="str">
        <f>IF($A1027&lt;&gt;"",MAESTRO!$D1026,"")</f>
        <v/>
      </c>
      <c r="H1027" t="str">
        <f>IF($A1027&lt;&gt;"",IF(TRIM(MAESTRO!$G1026&amp;" "&amp;MAESTRO!$H1026&amp;" "&amp;MAESTRO!$I1026)="",MAESTRO!$F1026,TRIM(MAESTRO!$G1026&amp;" "&amp;MAESTRO!$H1026&amp;" "&amp;MAESTRO!$I1026)),"")</f>
        <v/>
      </c>
      <c r="I1027" t="str">
        <f>IF($A1027&lt;&gt;"",MAESTRO!$K1026,"")</f>
        <v/>
      </c>
      <c r="J1027" t="str">
        <f>IF($A1027&lt;&gt;"",1027,"")</f>
        <v/>
      </c>
    </row>
    <row r="1028" spans="1:10" x14ac:dyDescent="0.2">
      <c r="A1028" t="str">
        <f>IF(AND(UPPER(MAESTRO!$M1027)="VIP",UPPER(MAESTRO!$J1027)="SI",MAESTRO!$F1027&lt;&gt;""),MAESTRO!$P1027,"")</f>
        <v/>
      </c>
      <c r="B1028" t="str">
        <f>IF($A1028&lt;&gt;"",MAESTRO!$B1027,"")</f>
        <v/>
      </c>
      <c r="C1028" t="str">
        <f>IF($A1028&lt;&gt;"",MAESTRO!$A1027,"")</f>
        <v/>
      </c>
      <c r="D1028" t="str">
        <f>IF($A1028&lt;&gt;"",MAESTRO!$C1027,"")</f>
        <v/>
      </c>
      <c r="E1028" t="str">
        <f>IF($A1028&lt;&gt;"",MAESTRO!$M1027,"")</f>
        <v/>
      </c>
      <c r="F1028" t="str">
        <f>IF($A1028&lt;&gt;"",MAESTRO!$J1027,"")</f>
        <v/>
      </c>
      <c r="G1028" t="str">
        <f>IF($A1028&lt;&gt;"",MAESTRO!$D1027,"")</f>
        <v/>
      </c>
      <c r="H1028" t="str">
        <f>IF($A1028&lt;&gt;"",IF(TRIM(MAESTRO!$G1027&amp;" "&amp;MAESTRO!$H1027&amp;" "&amp;MAESTRO!$I1027)="",MAESTRO!$F1027,TRIM(MAESTRO!$G1027&amp;" "&amp;MAESTRO!$H1027&amp;" "&amp;MAESTRO!$I1027)),"")</f>
        <v/>
      </c>
      <c r="I1028" t="str">
        <f>IF($A1028&lt;&gt;"",MAESTRO!$K1027,"")</f>
        <v/>
      </c>
      <c r="J1028" t="str">
        <f>IF($A1028&lt;&gt;"",1028,"")</f>
        <v/>
      </c>
    </row>
    <row r="1029" spans="1:10" x14ac:dyDescent="0.2">
      <c r="A1029" t="str">
        <f>IF(AND(UPPER(MAESTRO!$M1028)="VIP",UPPER(MAESTRO!$J1028)="SI",MAESTRO!$F1028&lt;&gt;""),MAESTRO!$P1028,"")</f>
        <v/>
      </c>
      <c r="B1029" t="str">
        <f>IF($A1029&lt;&gt;"",MAESTRO!$B1028,"")</f>
        <v/>
      </c>
      <c r="C1029" t="str">
        <f>IF($A1029&lt;&gt;"",MAESTRO!$A1028,"")</f>
        <v/>
      </c>
      <c r="D1029" t="str">
        <f>IF($A1029&lt;&gt;"",MAESTRO!$C1028,"")</f>
        <v/>
      </c>
      <c r="E1029" t="str">
        <f>IF($A1029&lt;&gt;"",MAESTRO!$M1028,"")</f>
        <v/>
      </c>
      <c r="F1029" t="str">
        <f>IF($A1029&lt;&gt;"",MAESTRO!$J1028,"")</f>
        <v/>
      </c>
      <c r="G1029" t="str">
        <f>IF($A1029&lt;&gt;"",MAESTRO!$D1028,"")</f>
        <v/>
      </c>
      <c r="H1029" t="str">
        <f>IF($A1029&lt;&gt;"",IF(TRIM(MAESTRO!$G1028&amp;" "&amp;MAESTRO!$H1028&amp;" "&amp;MAESTRO!$I1028)="",MAESTRO!$F1028,TRIM(MAESTRO!$G1028&amp;" "&amp;MAESTRO!$H1028&amp;" "&amp;MAESTRO!$I1028)),"")</f>
        <v/>
      </c>
      <c r="I1029" t="str">
        <f>IF($A1029&lt;&gt;"",MAESTRO!$K1028,"")</f>
        <v/>
      </c>
      <c r="J1029" t="str">
        <f>IF($A1029&lt;&gt;"",1029,"")</f>
        <v/>
      </c>
    </row>
    <row r="1030" spans="1:10" x14ac:dyDescent="0.2">
      <c r="A1030" t="str">
        <f>IF(AND(UPPER(MAESTRO!$M1029)="VIP",UPPER(MAESTRO!$J1029)="SI",MAESTRO!$F1029&lt;&gt;""),MAESTRO!$P1029,"")</f>
        <v/>
      </c>
      <c r="B1030" t="str">
        <f>IF($A1030&lt;&gt;"",MAESTRO!$B1029,"")</f>
        <v/>
      </c>
      <c r="C1030" t="str">
        <f>IF($A1030&lt;&gt;"",MAESTRO!$A1029,"")</f>
        <v/>
      </c>
      <c r="D1030" t="str">
        <f>IF($A1030&lt;&gt;"",MAESTRO!$C1029,"")</f>
        <v/>
      </c>
      <c r="E1030" t="str">
        <f>IF($A1030&lt;&gt;"",MAESTRO!$M1029,"")</f>
        <v/>
      </c>
      <c r="F1030" t="str">
        <f>IF($A1030&lt;&gt;"",MAESTRO!$J1029,"")</f>
        <v/>
      </c>
      <c r="G1030" t="str">
        <f>IF($A1030&lt;&gt;"",MAESTRO!$D1029,"")</f>
        <v/>
      </c>
      <c r="H1030" t="str">
        <f>IF($A1030&lt;&gt;"",IF(TRIM(MAESTRO!$G1029&amp;" "&amp;MAESTRO!$H1029&amp;" "&amp;MAESTRO!$I1029)="",MAESTRO!$F1029,TRIM(MAESTRO!$G1029&amp;" "&amp;MAESTRO!$H1029&amp;" "&amp;MAESTRO!$I1029)),"")</f>
        <v/>
      </c>
      <c r="I1030" t="str">
        <f>IF($A1030&lt;&gt;"",MAESTRO!$K1029,"")</f>
        <v/>
      </c>
      <c r="J1030" t="str">
        <f>IF($A1030&lt;&gt;"",1030,"")</f>
        <v/>
      </c>
    </row>
    <row r="1031" spans="1:10" x14ac:dyDescent="0.2">
      <c r="A1031" t="str">
        <f>IF(AND(UPPER(MAESTRO!$M1030)="VIP",UPPER(MAESTRO!$J1030)="SI",MAESTRO!$F1030&lt;&gt;""),MAESTRO!$P1030,"")</f>
        <v/>
      </c>
      <c r="B1031" t="str">
        <f>IF($A1031&lt;&gt;"",MAESTRO!$B1030,"")</f>
        <v/>
      </c>
      <c r="C1031" t="str">
        <f>IF($A1031&lt;&gt;"",MAESTRO!$A1030,"")</f>
        <v/>
      </c>
      <c r="D1031" t="str">
        <f>IF($A1031&lt;&gt;"",MAESTRO!$C1030,"")</f>
        <v/>
      </c>
      <c r="E1031" t="str">
        <f>IF($A1031&lt;&gt;"",MAESTRO!$M1030,"")</f>
        <v/>
      </c>
      <c r="F1031" t="str">
        <f>IF($A1031&lt;&gt;"",MAESTRO!$J1030,"")</f>
        <v/>
      </c>
      <c r="G1031" t="str">
        <f>IF($A1031&lt;&gt;"",MAESTRO!$D1030,"")</f>
        <v/>
      </c>
      <c r="H1031" t="str">
        <f>IF($A1031&lt;&gt;"",IF(TRIM(MAESTRO!$G1030&amp;" "&amp;MAESTRO!$H1030&amp;" "&amp;MAESTRO!$I1030)="",MAESTRO!$F1030,TRIM(MAESTRO!$G1030&amp;" "&amp;MAESTRO!$H1030&amp;" "&amp;MAESTRO!$I1030)),"")</f>
        <v/>
      </c>
      <c r="I1031" t="str">
        <f>IF($A1031&lt;&gt;"",MAESTRO!$K1030,"")</f>
        <v/>
      </c>
      <c r="J1031" t="str">
        <f>IF($A1031&lt;&gt;"",1031,"")</f>
        <v/>
      </c>
    </row>
    <row r="1032" spans="1:10" x14ac:dyDescent="0.2">
      <c r="A1032" t="str">
        <f>IF(AND(UPPER(MAESTRO!$M1031)="VIP",UPPER(MAESTRO!$J1031)="SI",MAESTRO!$F1031&lt;&gt;""),MAESTRO!$P1031,"")</f>
        <v/>
      </c>
      <c r="B1032" t="str">
        <f>IF($A1032&lt;&gt;"",MAESTRO!$B1031,"")</f>
        <v/>
      </c>
      <c r="C1032" t="str">
        <f>IF($A1032&lt;&gt;"",MAESTRO!$A1031,"")</f>
        <v/>
      </c>
      <c r="D1032" t="str">
        <f>IF($A1032&lt;&gt;"",MAESTRO!$C1031,"")</f>
        <v/>
      </c>
      <c r="E1032" t="str">
        <f>IF($A1032&lt;&gt;"",MAESTRO!$M1031,"")</f>
        <v/>
      </c>
      <c r="F1032" t="str">
        <f>IF($A1032&lt;&gt;"",MAESTRO!$J1031,"")</f>
        <v/>
      </c>
      <c r="G1032" t="str">
        <f>IF($A1032&lt;&gt;"",MAESTRO!$D1031,"")</f>
        <v/>
      </c>
      <c r="H1032" t="str">
        <f>IF($A1032&lt;&gt;"",IF(TRIM(MAESTRO!$G1031&amp;" "&amp;MAESTRO!$H1031&amp;" "&amp;MAESTRO!$I1031)="",MAESTRO!$F1031,TRIM(MAESTRO!$G1031&amp;" "&amp;MAESTRO!$H1031&amp;" "&amp;MAESTRO!$I1031)),"")</f>
        <v/>
      </c>
      <c r="I1032" t="str">
        <f>IF($A1032&lt;&gt;"",MAESTRO!$K1031,"")</f>
        <v/>
      </c>
      <c r="J1032" t="str">
        <f>IF($A1032&lt;&gt;"",1032,"")</f>
        <v/>
      </c>
    </row>
    <row r="1033" spans="1:10" x14ac:dyDescent="0.2">
      <c r="A1033" t="str">
        <f>IF(AND(UPPER(MAESTRO!$M1032)="VIP",UPPER(MAESTRO!$J1032)="SI",MAESTRO!$F1032&lt;&gt;""),MAESTRO!$P1032,"")</f>
        <v/>
      </c>
      <c r="B1033" t="str">
        <f>IF($A1033&lt;&gt;"",MAESTRO!$B1032,"")</f>
        <v/>
      </c>
      <c r="C1033" t="str">
        <f>IF($A1033&lt;&gt;"",MAESTRO!$A1032,"")</f>
        <v/>
      </c>
      <c r="D1033" t="str">
        <f>IF($A1033&lt;&gt;"",MAESTRO!$C1032,"")</f>
        <v/>
      </c>
      <c r="E1033" t="str">
        <f>IF($A1033&lt;&gt;"",MAESTRO!$M1032,"")</f>
        <v/>
      </c>
      <c r="F1033" t="str">
        <f>IF($A1033&lt;&gt;"",MAESTRO!$J1032,"")</f>
        <v/>
      </c>
      <c r="G1033" t="str">
        <f>IF($A1033&lt;&gt;"",MAESTRO!$D1032,"")</f>
        <v/>
      </c>
      <c r="H1033" t="str">
        <f>IF($A1033&lt;&gt;"",IF(TRIM(MAESTRO!$G1032&amp;" "&amp;MAESTRO!$H1032&amp;" "&amp;MAESTRO!$I1032)="",MAESTRO!$F1032,TRIM(MAESTRO!$G1032&amp;" "&amp;MAESTRO!$H1032&amp;" "&amp;MAESTRO!$I1032)),"")</f>
        <v/>
      </c>
      <c r="I1033" t="str">
        <f>IF($A1033&lt;&gt;"",MAESTRO!$K1032,"")</f>
        <v/>
      </c>
      <c r="J1033" t="str">
        <f>IF($A1033&lt;&gt;"",1033,"")</f>
        <v/>
      </c>
    </row>
    <row r="1034" spans="1:10" x14ac:dyDescent="0.2">
      <c r="A1034" t="str">
        <f>IF(AND(UPPER(MAESTRO!$M1033)="VIP",UPPER(MAESTRO!$J1033)="SI",MAESTRO!$F1033&lt;&gt;""),MAESTRO!$P1033,"")</f>
        <v/>
      </c>
      <c r="B1034" t="str">
        <f>IF($A1034&lt;&gt;"",MAESTRO!$B1033,"")</f>
        <v/>
      </c>
      <c r="C1034" t="str">
        <f>IF($A1034&lt;&gt;"",MAESTRO!$A1033,"")</f>
        <v/>
      </c>
      <c r="D1034" t="str">
        <f>IF($A1034&lt;&gt;"",MAESTRO!$C1033,"")</f>
        <v/>
      </c>
      <c r="E1034" t="str">
        <f>IF($A1034&lt;&gt;"",MAESTRO!$M1033,"")</f>
        <v/>
      </c>
      <c r="F1034" t="str">
        <f>IF($A1034&lt;&gt;"",MAESTRO!$J1033,"")</f>
        <v/>
      </c>
      <c r="G1034" t="str">
        <f>IF($A1034&lt;&gt;"",MAESTRO!$D1033,"")</f>
        <v/>
      </c>
      <c r="H1034" t="str">
        <f>IF($A1034&lt;&gt;"",IF(TRIM(MAESTRO!$G1033&amp;" "&amp;MAESTRO!$H1033&amp;" "&amp;MAESTRO!$I1033)="",MAESTRO!$F1033,TRIM(MAESTRO!$G1033&amp;" "&amp;MAESTRO!$H1033&amp;" "&amp;MAESTRO!$I1033)),"")</f>
        <v/>
      </c>
      <c r="I1034" t="str">
        <f>IF($A1034&lt;&gt;"",MAESTRO!$K1033,"")</f>
        <v/>
      </c>
      <c r="J1034" t="str">
        <f>IF($A1034&lt;&gt;"",1034,"")</f>
        <v/>
      </c>
    </row>
    <row r="1035" spans="1:10" x14ac:dyDescent="0.2">
      <c r="A1035" t="str">
        <f>IF(AND(UPPER(MAESTRO!$M1034)="VIP",UPPER(MAESTRO!$J1034)="SI",MAESTRO!$F1034&lt;&gt;""),MAESTRO!$P1034,"")</f>
        <v/>
      </c>
      <c r="B1035" t="str">
        <f>IF($A1035&lt;&gt;"",MAESTRO!$B1034,"")</f>
        <v/>
      </c>
      <c r="C1035" t="str">
        <f>IF($A1035&lt;&gt;"",MAESTRO!$A1034,"")</f>
        <v/>
      </c>
      <c r="D1035" t="str">
        <f>IF($A1035&lt;&gt;"",MAESTRO!$C1034,"")</f>
        <v/>
      </c>
      <c r="E1035" t="str">
        <f>IF($A1035&lt;&gt;"",MAESTRO!$M1034,"")</f>
        <v/>
      </c>
      <c r="F1035" t="str">
        <f>IF($A1035&lt;&gt;"",MAESTRO!$J1034,"")</f>
        <v/>
      </c>
      <c r="G1035" t="str">
        <f>IF($A1035&lt;&gt;"",MAESTRO!$D1034,"")</f>
        <v/>
      </c>
      <c r="H1035" t="str">
        <f>IF($A1035&lt;&gt;"",IF(TRIM(MAESTRO!$G1034&amp;" "&amp;MAESTRO!$H1034&amp;" "&amp;MAESTRO!$I1034)="",MAESTRO!$F1034,TRIM(MAESTRO!$G1034&amp;" "&amp;MAESTRO!$H1034&amp;" "&amp;MAESTRO!$I1034)),"")</f>
        <v/>
      </c>
      <c r="I1035" t="str">
        <f>IF($A1035&lt;&gt;"",MAESTRO!$K1034,"")</f>
        <v/>
      </c>
      <c r="J1035" t="str">
        <f>IF($A1035&lt;&gt;"",1035,"")</f>
        <v/>
      </c>
    </row>
    <row r="1036" spans="1:10" x14ac:dyDescent="0.2">
      <c r="A1036" t="str">
        <f>IF(AND(UPPER(MAESTRO!$M1035)="VIP",UPPER(MAESTRO!$J1035)="SI",MAESTRO!$F1035&lt;&gt;""),MAESTRO!$P1035,"")</f>
        <v/>
      </c>
      <c r="B1036" t="str">
        <f>IF($A1036&lt;&gt;"",MAESTRO!$B1035,"")</f>
        <v/>
      </c>
      <c r="C1036" t="str">
        <f>IF($A1036&lt;&gt;"",MAESTRO!$A1035,"")</f>
        <v/>
      </c>
      <c r="D1036" t="str">
        <f>IF($A1036&lt;&gt;"",MAESTRO!$C1035,"")</f>
        <v/>
      </c>
      <c r="E1036" t="str">
        <f>IF($A1036&lt;&gt;"",MAESTRO!$M1035,"")</f>
        <v/>
      </c>
      <c r="F1036" t="str">
        <f>IF($A1036&lt;&gt;"",MAESTRO!$J1035,"")</f>
        <v/>
      </c>
      <c r="G1036" t="str">
        <f>IF($A1036&lt;&gt;"",MAESTRO!$D1035,"")</f>
        <v/>
      </c>
      <c r="H1036" t="str">
        <f>IF($A1036&lt;&gt;"",IF(TRIM(MAESTRO!$G1035&amp;" "&amp;MAESTRO!$H1035&amp;" "&amp;MAESTRO!$I1035)="",MAESTRO!$F1035,TRIM(MAESTRO!$G1035&amp;" "&amp;MAESTRO!$H1035&amp;" "&amp;MAESTRO!$I1035)),"")</f>
        <v/>
      </c>
      <c r="I1036" t="str">
        <f>IF($A1036&lt;&gt;"",MAESTRO!$K1035,"")</f>
        <v/>
      </c>
      <c r="J1036" t="str">
        <f>IF($A1036&lt;&gt;"",1036,"")</f>
        <v/>
      </c>
    </row>
    <row r="1037" spans="1:10" x14ac:dyDescent="0.2">
      <c r="A1037" t="str">
        <f>IF(AND(UPPER(MAESTRO!$M1036)="VIP",UPPER(MAESTRO!$J1036)="SI",MAESTRO!$F1036&lt;&gt;""),MAESTRO!$P1036,"")</f>
        <v/>
      </c>
      <c r="B1037" t="str">
        <f>IF($A1037&lt;&gt;"",MAESTRO!$B1036,"")</f>
        <v/>
      </c>
      <c r="C1037" t="str">
        <f>IF($A1037&lt;&gt;"",MAESTRO!$A1036,"")</f>
        <v/>
      </c>
      <c r="D1037" t="str">
        <f>IF($A1037&lt;&gt;"",MAESTRO!$C1036,"")</f>
        <v/>
      </c>
      <c r="E1037" t="str">
        <f>IF($A1037&lt;&gt;"",MAESTRO!$M1036,"")</f>
        <v/>
      </c>
      <c r="F1037" t="str">
        <f>IF($A1037&lt;&gt;"",MAESTRO!$J1036,"")</f>
        <v/>
      </c>
      <c r="G1037" t="str">
        <f>IF($A1037&lt;&gt;"",MAESTRO!$D1036,"")</f>
        <v/>
      </c>
      <c r="H1037" t="str">
        <f>IF($A1037&lt;&gt;"",IF(TRIM(MAESTRO!$G1036&amp;" "&amp;MAESTRO!$H1036&amp;" "&amp;MAESTRO!$I1036)="",MAESTRO!$F1036,TRIM(MAESTRO!$G1036&amp;" "&amp;MAESTRO!$H1036&amp;" "&amp;MAESTRO!$I1036)),"")</f>
        <v/>
      </c>
      <c r="I1037" t="str">
        <f>IF($A1037&lt;&gt;"",MAESTRO!$K1036,"")</f>
        <v/>
      </c>
      <c r="J1037" t="str">
        <f>IF($A1037&lt;&gt;"",1037,"")</f>
        <v/>
      </c>
    </row>
    <row r="1038" spans="1:10" x14ac:dyDescent="0.2">
      <c r="A1038" t="str">
        <f>IF(AND(UPPER(MAESTRO!$M1037)="VIP",UPPER(MAESTRO!$J1037)="SI",MAESTRO!$F1037&lt;&gt;""),MAESTRO!$P1037,"")</f>
        <v/>
      </c>
      <c r="B1038" t="str">
        <f>IF($A1038&lt;&gt;"",MAESTRO!$B1037,"")</f>
        <v/>
      </c>
      <c r="C1038" t="str">
        <f>IF($A1038&lt;&gt;"",MAESTRO!$A1037,"")</f>
        <v/>
      </c>
      <c r="D1038" t="str">
        <f>IF($A1038&lt;&gt;"",MAESTRO!$C1037,"")</f>
        <v/>
      </c>
      <c r="E1038" t="str">
        <f>IF($A1038&lt;&gt;"",MAESTRO!$M1037,"")</f>
        <v/>
      </c>
      <c r="F1038" t="str">
        <f>IF($A1038&lt;&gt;"",MAESTRO!$J1037,"")</f>
        <v/>
      </c>
      <c r="G1038" t="str">
        <f>IF($A1038&lt;&gt;"",MAESTRO!$D1037,"")</f>
        <v/>
      </c>
      <c r="H1038" t="str">
        <f>IF($A1038&lt;&gt;"",IF(TRIM(MAESTRO!$G1037&amp;" "&amp;MAESTRO!$H1037&amp;" "&amp;MAESTRO!$I1037)="",MAESTRO!$F1037,TRIM(MAESTRO!$G1037&amp;" "&amp;MAESTRO!$H1037&amp;" "&amp;MAESTRO!$I1037)),"")</f>
        <v/>
      </c>
      <c r="I1038" t="str">
        <f>IF($A1038&lt;&gt;"",MAESTRO!$K1037,"")</f>
        <v/>
      </c>
      <c r="J1038" t="str">
        <f>IF($A1038&lt;&gt;"",1038,"")</f>
        <v/>
      </c>
    </row>
    <row r="1039" spans="1:10" x14ac:dyDescent="0.2">
      <c r="A1039" t="str">
        <f>IF(AND(UPPER(MAESTRO!$M1038)="VIP",UPPER(MAESTRO!$J1038)="SI",MAESTRO!$F1038&lt;&gt;""),MAESTRO!$P1038,"")</f>
        <v/>
      </c>
      <c r="B1039" t="str">
        <f>IF($A1039&lt;&gt;"",MAESTRO!$B1038,"")</f>
        <v/>
      </c>
      <c r="C1039" t="str">
        <f>IF($A1039&lt;&gt;"",MAESTRO!$A1038,"")</f>
        <v/>
      </c>
      <c r="D1039" t="str">
        <f>IF($A1039&lt;&gt;"",MAESTRO!$C1038,"")</f>
        <v/>
      </c>
      <c r="E1039" t="str">
        <f>IF($A1039&lt;&gt;"",MAESTRO!$M1038,"")</f>
        <v/>
      </c>
      <c r="F1039" t="str">
        <f>IF($A1039&lt;&gt;"",MAESTRO!$J1038,"")</f>
        <v/>
      </c>
      <c r="G1039" t="str">
        <f>IF($A1039&lt;&gt;"",MAESTRO!$D1038,"")</f>
        <v/>
      </c>
      <c r="H1039" t="str">
        <f>IF($A1039&lt;&gt;"",IF(TRIM(MAESTRO!$G1038&amp;" "&amp;MAESTRO!$H1038&amp;" "&amp;MAESTRO!$I1038)="",MAESTRO!$F1038,TRIM(MAESTRO!$G1038&amp;" "&amp;MAESTRO!$H1038&amp;" "&amp;MAESTRO!$I1038)),"")</f>
        <v/>
      </c>
      <c r="I1039" t="str">
        <f>IF($A1039&lt;&gt;"",MAESTRO!$K1038,"")</f>
        <v/>
      </c>
      <c r="J1039" t="str">
        <f>IF($A1039&lt;&gt;"",1039,"")</f>
        <v/>
      </c>
    </row>
    <row r="1040" spans="1:10" x14ac:dyDescent="0.2">
      <c r="A1040" t="str">
        <f>IF(AND(UPPER(MAESTRO!$M1039)="VIP",UPPER(MAESTRO!$J1039)="SI",MAESTRO!$F1039&lt;&gt;""),MAESTRO!$P1039,"")</f>
        <v/>
      </c>
      <c r="B1040" t="str">
        <f>IF($A1040&lt;&gt;"",MAESTRO!$B1039,"")</f>
        <v/>
      </c>
      <c r="C1040" t="str">
        <f>IF($A1040&lt;&gt;"",MAESTRO!$A1039,"")</f>
        <v/>
      </c>
      <c r="D1040" t="str">
        <f>IF($A1040&lt;&gt;"",MAESTRO!$C1039,"")</f>
        <v/>
      </c>
      <c r="E1040" t="str">
        <f>IF($A1040&lt;&gt;"",MAESTRO!$M1039,"")</f>
        <v/>
      </c>
      <c r="F1040" t="str">
        <f>IF($A1040&lt;&gt;"",MAESTRO!$J1039,"")</f>
        <v/>
      </c>
      <c r="G1040" t="str">
        <f>IF($A1040&lt;&gt;"",MAESTRO!$D1039,"")</f>
        <v/>
      </c>
      <c r="H1040" t="str">
        <f>IF($A1040&lt;&gt;"",IF(TRIM(MAESTRO!$G1039&amp;" "&amp;MAESTRO!$H1039&amp;" "&amp;MAESTRO!$I1039)="",MAESTRO!$F1039,TRIM(MAESTRO!$G1039&amp;" "&amp;MAESTRO!$H1039&amp;" "&amp;MAESTRO!$I1039)),"")</f>
        <v/>
      </c>
      <c r="I1040" t="str">
        <f>IF($A1040&lt;&gt;"",MAESTRO!$K1039,"")</f>
        <v/>
      </c>
      <c r="J1040" t="str">
        <f>IF($A1040&lt;&gt;"",1040,"")</f>
        <v/>
      </c>
    </row>
    <row r="1041" spans="1:10" x14ac:dyDescent="0.2">
      <c r="A1041" t="str">
        <f>IF(AND(UPPER(MAESTRO!$M1040)="VIP",UPPER(MAESTRO!$J1040)="SI",MAESTRO!$F1040&lt;&gt;""),MAESTRO!$P1040,"")</f>
        <v/>
      </c>
      <c r="B1041" t="str">
        <f>IF($A1041&lt;&gt;"",MAESTRO!$B1040,"")</f>
        <v/>
      </c>
      <c r="C1041" t="str">
        <f>IF($A1041&lt;&gt;"",MAESTRO!$A1040,"")</f>
        <v/>
      </c>
      <c r="D1041" t="str">
        <f>IF($A1041&lt;&gt;"",MAESTRO!$C1040,"")</f>
        <v/>
      </c>
      <c r="E1041" t="str">
        <f>IF($A1041&lt;&gt;"",MAESTRO!$M1040,"")</f>
        <v/>
      </c>
      <c r="F1041" t="str">
        <f>IF($A1041&lt;&gt;"",MAESTRO!$J1040,"")</f>
        <v/>
      </c>
      <c r="G1041" t="str">
        <f>IF($A1041&lt;&gt;"",MAESTRO!$D1040,"")</f>
        <v/>
      </c>
      <c r="H1041" t="str">
        <f>IF($A1041&lt;&gt;"",IF(TRIM(MAESTRO!$G1040&amp;" "&amp;MAESTRO!$H1040&amp;" "&amp;MAESTRO!$I1040)="",MAESTRO!$F1040,TRIM(MAESTRO!$G1040&amp;" "&amp;MAESTRO!$H1040&amp;" "&amp;MAESTRO!$I1040)),"")</f>
        <v/>
      </c>
      <c r="I1041" t="str">
        <f>IF($A1041&lt;&gt;"",MAESTRO!$K1040,"")</f>
        <v/>
      </c>
      <c r="J1041" t="str">
        <f>IF($A1041&lt;&gt;"",1041,"")</f>
        <v/>
      </c>
    </row>
    <row r="1042" spans="1:10" x14ac:dyDescent="0.2">
      <c r="A1042" t="str">
        <f>IF(AND(UPPER(MAESTRO!$M1041)="VIP",UPPER(MAESTRO!$J1041)="SI",MAESTRO!$F1041&lt;&gt;""),MAESTRO!$P1041,"")</f>
        <v/>
      </c>
      <c r="B1042" t="str">
        <f>IF($A1042&lt;&gt;"",MAESTRO!$B1041,"")</f>
        <v/>
      </c>
      <c r="C1042" t="str">
        <f>IF($A1042&lt;&gt;"",MAESTRO!$A1041,"")</f>
        <v/>
      </c>
      <c r="D1042" t="str">
        <f>IF($A1042&lt;&gt;"",MAESTRO!$C1041,"")</f>
        <v/>
      </c>
      <c r="E1042" t="str">
        <f>IF($A1042&lt;&gt;"",MAESTRO!$M1041,"")</f>
        <v/>
      </c>
      <c r="F1042" t="str">
        <f>IF($A1042&lt;&gt;"",MAESTRO!$J1041,"")</f>
        <v/>
      </c>
      <c r="G1042" t="str">
        <f>IF($A1042&lt;&gt;"",MAESTRO!$D1041,"")</f>
        <v/>
      </c>
      <c r="H1042" t="str">
        <f>IF($A1042&lt;&gt;"",IF(TRIM(MAESTRO!$G1041&amp;" "&amp;MAESTRO!$H1041&amp;" "&amp;MAESTRO!$I1041)="",MAESTRO!$F1041,TRIM(MAESTRO!$G1041&amp;" "&amp;MAESTRO!$H1041&amp;" "&amp;MAESTRO!$I1041)),"")</f>
        <v/>
      </c>
      <c r="I1042" t="str">
        <f>IF($A1042&lt;&gt;"",MAESTRO!$K1041,"")</f>
        <v/>
      </c>
      <c r="J1042" t="str">
        <f>IF($A1042&lt;&gt;"",1042,"")</f>
        <v/>
      </c>
    </row>
    <row r="1043" spans="1:10" x14ac:dyDescent="0.2">
      <c r="A1043" t="str">
        <f>IF(AND(UPPER(MAESTRO!$M1042)="VIP",UPPER(MAESTRO!$J1042)="SI",MAESTRO!$F1042&lt;&gt;""),MAESTRO!$P1042,"")</f>
        <v/>
      </c>
      <c r="B1043" t="str">
        <f>IF($A1043&lt;&gt;"",MAESTRO!$B1042,"")</f>
        <v/>
      </c>
      <c r="C1043" t="str">
        <f>IF($A1043&lt;&gt;"",MAESTRO!$A1042,"")</f>
        <v/>
      </c>
      <c r="D1043" t="str">
        <f>IF($A1043&lt;&gt;"",MAESTRO!$C1042,"")</f>
        <v/>
      </c>
      <c r="E1043" t="str">
        <f>IF($A1043&lt;&gt;"",MAESTRO!$M1042,"")</f>
        <v/>
      </c>
      <c r="F1043" t="str">
        <f>IF($A1043&lt;&gt;"",MAESTRO!$J1042,"")</f>
        <v/>
      </c>
      <c r="G1043" t="str">
        <f>IF($A1043&lt;&gt;"",MAESTRO!$D1042,"")</f>
        <v/>
      </c>
      <c r="H1043" t="str">
        <f>IF($A1043&lt;&gt;"",IF(TRIM(MAESTRO!$G1042&amp;" "&amp;MAESTRO!$H1042&amp;" "&amp;MAESTRO!$I1042)="",MAESTRO!$F1042,TRIM(MAESTRO!$G1042&amp;" "&amp;MAESTRO!$H1042&amp;" "&amp;MAESTRO!$I1042)),"")</f>
        <v/>
      </c>
      <c r="I1043" t="str">
        <f>IF($A1043&lt;&gt;"",MAESTRO!$K1042,"")</f>
        <v/>
      </c>
      <c r="J1043" t="str">
        <f>IF($A1043&lt;&gt;"",1043,"")</f>
        <v/>
      </c>
    </row>
    <row r="1044" spans="1:10" x14ac:dyDescent="0.2">
      <c r="A1044" t="str">
        <f>IF(AND(UPPER(MAESTRO!$M1043)="VIP",UPPER(MAESTRO!$J1043)="SI",MAESTRO!$F1043&lt;&gt;""),MAESTRO!$P1043,"")</f>
        <v/>
      </c>
      <c r="B1044" t="str">
        <f>IF($A1044&lt;&gt;"",MAESTRO!$B1043,"")</f>
        <v/>
      </c>
      <c r="C1044" t="str">
        <f>IF($A1044&lt;&gt;"",MAESTRO!$A1043,"")</f>
        <v/>
      </c>
      <c r="D1044" t="str">
        <f>IF($A1044&lt;&gt;"",MAESTRO!$C1043,"")</f>
        <v/>
      </c>
      <c r="E1044" t="str">
        <f>IF($A1044&lt;&gt;"",MAESTRO!$M1043,"")</f>
        <v/>
      </c>
      <c r="F1044" t="str">
        <f>IF($A1044&lt;&gt;"",MAESTRO!$J1043,"")</f>
        <v/>
      </c>
      <c r="G1044" t="str">
        <f>IF($A1044&lt;&gt;"",MAESTRO!$D1043,"")</f>
        <v/>
      </c>
      <c r="H1044" t="str">
        <f>IF($A1044&lt;&gt;"",IF(TRIM(MAESTRO!$G1043&amp;" "&amp;MAESTRO!$H1043&amp;" "&amp;MAESTRO!$I1043)="",MAESTRO!$F1043,TRIM(MAESTRO!$G1043&amp;" "&amp;MAESTRO!$H1043&amp;" "&amp;MAESTRO!$I1043)),"")</f>
        <v/>
      </c>
      <c r="I1044" t="str">
        <f>IF($A1044&lt;&gt;"",MAESTRO!$K1043,"")</f>
        <v/>
      </c>
      <c r="J1044" t="str">
        <f>IF($A1044&lt;&gt;"",1044,"")</f>
        <v/>
      </c>
    </row>
    <row r="1045" spans="1:10" x14ac:dyDescent="0.2">
      <c r="A1045" t="str">
        <f>IF(AND(UPPER(MAESTRO!$M1044)="VIP",UPPER(MAESTRO!$J1044)="SI",MAESTRO!$F1044&lt;&gt;""),MAESTRO!$P1044,"")</f>
        <v/>
      </c>
      <c r="B1045" t="str">
        <f>IF($A1045&lt;&gt;"",MAESTRO!$B1044,"")</f>
        <v/>
      </c>
      <c r="C1045" t="str">
        <f>IF($A1045&lt;&gt;"",MAESTRO!$A1044,"")</f>
        <v/>
      </c>
      <c r="D1045" t="str">
        <f>IF($A1045&lt;&gt;"",MAESTRO!$C1044,"")</f>
        <v/>
      </c>
      <c r="E1045" t="str">
        <f>IF($A1045&lt;&gt;"",MAESTRO!$M1044,"")</f>
        <v/>
      </c>
      <c r="F1045" t="str">
        <f>IF($A1045&lt;&gt;"",MAESTRO!$J1044,"")</f>
        <v/>
      </c>
      <c r="G1045" t="str">
        <f>IF($A1045&lt;&gt;"",MAESTRO!$D1044,"")</f>
        <v/>
      </c>
      <c r="H1045" t="str">
        <f>IF($A1045&lt;&gt;"",IF(TRIM(MAESTRO!$G1044&amp;" "&amp;MAESTRO!$H1044&amp;" "&amp;MAESTRO!$I1044)="",MAESTRO!$F1044,TRIM(MAESTRO!$G1044&amp;" "&amp;MAESTRO!$H1044&amp;" "&amp;MAESTRO!$I1044)),"")</f>
        <v/>
      </c>
      <c r="I1045" t="str">
        <f>IF($A1045&lt;&gt;"",MAESTRO!$K1044,"")</f>
        <v/>
      </c>
      <c r="J1045" t="str">
        <f>IF($A1045&lt;&gt;"",1045,"")</f>
        <v/>
      </c>
    </row>
    <row r="1046" spans="1:10" x14ac:dyDescent="0.2">
      <c r="A1046" t="str">
        <f>IF(AND(UPPER(MAESTRO!$M1045)="VIP",UPPER(MAESTRO!$J1045)="SI",MAESTRO!$F1045&lt;&gt;""),MAESTRO!$P1045,"")</f>
        <v/>
      </c>
      <c r="B1046" t="str">
        <f>IF($A1046&lt;&gt;"",MAESTRO!$B1045,"")</f>
        <v/>
      </c>
      <c r="C1046" t="str">
        <f>IF($A1046&lt;&gt;"",MAESTRO!$A1045,"")</f>
        <v/>
      </c>
      <c r="D1046" t="str">
        <f>IF($A1046&lt;&gt;"",MAESTRO!$C1045,"")</f>
        <v/>
      </c>
      <c r="E1046" t="str">
        <f>IF($A1046&lt;&gt;"",MAESTRO!$M1045,"")</f>
        <v/>
      </c>
      <c r="F1046" t="str">
        <f>IF($A1046&lt;&gt;"",MAESTRO!$J1045,"")</f>
        <v/>
      </c>
      <c r="G1046" t="str">
        <f>IF($A1046&lt;&gt;"",MAESTRO!$D1045,"")</f>
        <v/>
      </c>
      <c r="H1046" t="str">
        <f>IF($A1046&lt;&gt;"",IF(TRIM(MAESTRO!$G1045&amp;" "&amp;MAESTRO!$H1045&amp;" "&amp;MAESTRO!$I1045)="",MAESTRO!$F1045,TRIM(MAESTRO!$G1045&amp;" "&amp;MAESTRO!$H1045&amp;" "&amp;MAESTRO!$I1045)),"")</f>
        <v/>
      </c>
      <c r="I1046" t="str">
        <f>IF($A1046&lt;&gt;"",MAESTRO!$K1045,"")</f>
        <v/>
      </c>
      <c r="J1046" t="str">
        <f>IF($A1046&lt;&gt;"",1046,"")</f>
        <v/>
      </c>
    </row>
    <row r="1047" spans="1:10" x14ac:dyDescent="0.2">
      <c r="A1047" t="str">
        <f>IF(AND(UPPER(MAESTRO!$M1046)="VIP",UPPER(MAESTRO!$J1046)="SI",MAESTRO!$F1046&lt;&gt;""),MAESTRO!$P1046,"")</f>
        <v/>
      </c>
      <c r="B1047" t="str">
        <f>IF($A1047&lt;&gt;"",MAESTRO!$B1046,"")</f>
        <v/>
      </c>
      <c r="C1047" t="str">
        <f>IF($A1047&lt;&gt;"",MAESTRO!$A1046,"")</f>
        <v/>
      </c>
      <c r="D1047" t="str">
        <f>IF($A1047&lt;&gt;"",MAESTRO!$C1046,"")</f>
        <v/>
      </c>
      <c r="E1047" t="str">
        <f>IF($A1047&lt;&gt;"",MAESTRO!$M1046,"")</f>
        <v/>
      </c>
      <c r="F1047" t="str">
        <f>IF($A1047&lt;&gt;"",MAESTRO!$J1046,"")</f>
        <v/>
      </c>
      <c r="G1047" t="str">
        <f>IF($A1047&lt;&gt;"",MAESTRO!$D1046,"")</f>
        <v/>
      </c>
      <c r="H1047" t="str">
        <f>IF($A1047&lt;&gt;"",IF(TRIM(MAESTRO!$G1046&amp;" "&amp;MAESTRO!$H1046&amp;" "&amp;MAESTRO!$I1046)="",MAESTRO!$F1046,TRIM(MAESTRO!$G1046&amp;" "&amp;MAESTRO!$H1046&amp;" "&amp;MAESTRO!$I1046)),"")</f>
        <v/>
      </c>
      <c r="I1047" t="str">
        <f>IF($A1047&lt;&gt;"",MAESTRO!$K1046,"")</f>
        <v/>
      </c>
      <c r="J1047" t="str">
        <f>IF($A1047&lt;&gt;"",1047,"")</f>
        <v/>
      </c>
    </row>
    <row r="1048" spans="1:10" x14ac:dyDescent="0.2">
      <c r="A1048" t="str">
        <f>IF(AND(UPPER(MAESTRO!$M1047)="VIP",UPPER(MAESTRO!$J1047)="SI",MAESTRO!$F1047&lt;&gt;""),MAESTRO!$P1047,"")</f>
        <v/>
      </c>
      <c r="B1048" t="str">
        <f>IF($A1048&lt;&gt;"",MAESTRO!$B1047,"")</f>
        <v/>
      </c>
      <c r="C1048" t="str">
        <f>IF($A1048&lt;&gt;"",MAESTRO!$A1047,"")</f>
        <v/>
      </c>
      <c r="D1048" t="str">
        <f>IF($A1048&lt;&gt;"",MAESTRO!$C1047,"")</f>
        <v/>
      </c>
      <c r="E1048" t="str">
        <f>IF($A1048&lt;&gt;"",MAESTRO!$M1047,"")</f>
        <v/>
      </c>
      <c r="F1048" t="str">
        <f>IF($A1048&lt;&gt;"",MAESTRO!$J1047,"")</f>
        <v/>
      </c>
      <c r="G1048" t="str">
        <f>IF($A1048&lt;&gt;"",MAESTRO!$D1047,"")</f>
        <v/>
      </c>
      <c r="H1048" t="str">
        <f>IF($A1048&lt;&gt;"",IF(TRIM(MAESTRO!$G1047&amp;" "&amp;MAESTRO!$H1047&amp;" "&amp;MAESTRO!$I1047)="",MAESTRO!$F1047,TRIM(MAESTRO!$G1047&amp;" "&amp;MAESTRO!$H1047&amp;" "&amp;MAESTRO!$I1047)),"")</f>
        <v/>
      </c>
      <c r="I1048" t="str">
        <f>IF($A1048&lt;&gt;"",MAESTRO!$K1047,"")</f>
        <v/>
      </c>
      <c r="J1048" t="str">
        <f>IF($A1048&lt;&gt;"",1048,"")</f>
        <v/>
      </c>
    </row>
    <row r="1049" spans="1:10" x14ac:dyDescent="0.2">
      <c r="A1049" t="str">
        <f>IF(AND(UPPER(MAESTRO!$M1048)="VIP",UPPER(MAESTRO!$J1048)="SI",MAESTRO!$F1048&lt;&gt;""),MAESTRO!$P1048,"")</f>
        <v/>
      </c>
      <c r="B1049" t="str">
        <f>IF($A1049&lt;&gt;"",MAESTRO!$B1048,"")</f>
        <v/>
      </c>
      <c r="C1049" t="str">
        <f>IF($A1049&lt;&gt;"",MAESTRO!$A1048,"")</f>
        <v/>
      </c>
      <c r="D1049" t="str">
        <f>IF($A1049&lt;&gt;"",MAESTRO!$C1048,"")</f>
        <v/>
      </c>
      <c r="E1049" t="str">
        <f>IF($A1049&lt;&gt;"",MAESTRO!$M1048,"")</f>
        <v/>
      </c>
      <c r="F1049" t="str">
        <f>IF($A1049&lt;&gt;"",MAESTRO!$J1048,"")</f>
        <v/>
      </c>
      <c r="G1049" t="str">
        <f>IF($A1049&lt;&gt;"",MAESTRO!$D1048,"")</f>
        <v/>
      </c>
      <c r="H1049" t="str">
        <f>IF($A1049&lt;&gt;"",IF(TRIM(MAESTRO!$G1048&amp;" "&amp;MAESTRO!$H1048&amp;" "&amp;MAESTRO!$I1048)="",MAESTRO!$F1048,TRIM(MAESTRO!$G1048&amp;" "&amp;MAESTRO!$H1048&amp;" "&amp;MAESTRO!$I1048)),"")</f>
        <v/>
      </c>
      <c r="I1049" t="str">
        <f>IF($A1049&lt;&gt;"",MAESTRO!$K1048,"")</f>
        <v/>
      </c>
      <c r="J1049" t="str">
        <f>IF($A1049&lt;&gt;"",1049,"")</f>
        <v/>
      </c>
    </row>
    <row r="1050" spans="1:10" x14ac:dyDescent="0.2">
      <c r="A1050" t="str">
        <f>IF(AND(UPPER(MAESTRO!$M1049)="VIP",UPPER(MAESTRO!$J1049)="SI",MAESTRO!$F1049&lt;&gt;""),MAESTRO!$P1049,"")</f>
        <v/>
      </c>
      <c r="B1050" t="str">
        <f>IF($A1050&lt;&gt;"",MAESTRO!$B1049,"")</f>
        <v/>
      </c>
      <c r="C1050" t="str">
        <f>IF($A1050&lt;&gt;"",MAESTRO!$A1049,"")</f>
        <v/>
      </c>
      <c r="D1050" t="str">
        <f>IF($A1050&lt;&gt;"",MAESTRO!$C1049,"")</f>
        <v/>
      </c>
      <c r="E1050" t="str">
        <f>IF($A1050&lt;&gt;"",MAESTRO!$M1049,"")</f>
        <v/>
      </c>
      <c r="F1050" t="str">
        <f>IF($A1050&lt;&gt;"",MAESTRO!$J1049,"")</f>
        <v/>
      </c>
      <c r="G1050" t="str">
        <f>IF($A1050&lt;&gt;"",MAESTRO!$D1049,"")</f>
        <v/>
      </c>
      <c r="H1050" t="str">
        <f>IF($A1050&lt;&gt;"",IF(TRIM(MAESTRO!$G1049&amp;" "&amp;MAESTRO!$H1049&amp;" "&amp;MAESTRO!$I1049)="",MAESTRO!$F1049,TRIM(MAESTRO!$G1049&amp;" "&amp;MAESTRO!$H1049&amp;" "&amp;MAESTRO!$I1049)),"")</f>
        <v/>
      </c>
      <c r="I1050" t="str">
        <f>IF($A1050&lt;&gt;"",MAESTRO!$K1049,"")</f>
        <v/>
      </c>
      <c r="J1050" t="str">
        <f>IF($A1050&lt;&gt;"",1050,"")</f>
        <v/>
      </c>
    </row>
    <row r="1051" spans="1:10" x14ac:dyDescent="0.2">
      <c r="A1051" t="str">
        <f>IF(AND(UPPER(MAESTRO!$M1050)="VIP",UPPER(MAESTRO!$J1050)="SI",MAESTRO!$F1050&lt;&gt;""),MAESTRO!$P1050,"")</f>
        <v/>
      </c>
      <c r="B1051" t="str">
        <f>IF($A1051&lt;&gt;"",MAESTRO!$B1050,"")</f>
        <v/>
      </c>
      <c r="C1051" t="str">
        <f>IF($A1051&lt;&gt;"",MAESTRO!$A1050,"")</f>
        <v/>
      </c>
      <c r="D1051" t="str">
        <f>IF($A1051&lt;&gt;"",MAESTRO!$C1050,"")</f>
        <v/>
      </c>
      <c r="E1051" t="str">
        <f>IF($A1051&lt;&gt;"",MAESTRO!$M1050,"")</f>
        <v/>
      </c>
      <c r="F1051" t="str">
        <f>IF($A1051&lt;&gt;"",MAESTRO!$J1050,"")</f>
        <v/>
      </c>
      <c r="G1051" t="str">
        <f>IF($A1051&lt;&gt;"",MAESTRO!$D1050,"")</f>
        <v/>
      </c>
      <c r="H1051" t="str">
        <f>IF($A1051&lt;&gt;"",IF(TRIM(MAESTRO!$G1050&amp;" "&amp;MAESTRO!$H1050&amp;" "&amp;MAESTRO!$I1050)="",MAESTRO!$F1050,TRIM(MAESTRO!$G1050&amp;" "&amp;MAESTRO!$H1050&amp;" "&amp;MAESTRO!$I1050)),"")</f>
        <v/>
      </c>
      <c r="I1051" t="str">
        <f>IF($A1051&lt;&gt;"",MAESTRO!$K1050,"")</f>
        <v/>
      </c>
      <c r="J1051" t="str">
        <f>IF($A1051&lt;&gt;"",1051,"")</f>
        <v/>
      </c>
    </row>
    <row r="1052" spans="1:10" x14ac:dyDescent="0.2">
      <c r="A1052" t="str">
        <f>IF(AND(UPPER(MAESTRO!$M1051)="VIP",UPPER(MAESTRO!$J1051)="SI",MAESTRO!$F1051&lt;&gt;""),MAESTRO!$P1051,"")</f>
        <v/>
      </c>
      <c r="B1052" t="str">
        <f>IF($A1052&lt;&gt;"",MAESTRO!$B1051,"")</f>
        <v/>
      </c>
      <c r="C1052" t="str">
        <f>IF($A1052&lt;&gt;"",MAESTRO!$A1051,"")</f>
        <v/>
      </c>
      <c r="D1052" t="str">
        <f>IF($A1052&lt;&gt;"",MAESTRO!$C1051,"")</f>
        <v/>
      </c>
      <c r="E1052" t="str">
        <f>IF($A1052&lt;&gt;"",MAESTRO!$M1051,"")</f>
        <v/>
      </c>
      <c r="F1052" t="str">
        <f>IF($A1052&lt;&gt;"",MAESTRO!$J1051,"")</f>
        <v/>
      </c>
      <c r="G1052" t="str">
        <f>IF($A1052&lt;&gt;"",MAESTRO!$D1051,"")</f>
        <v/>
      </c>
      <c r="H1052" t="str">
        <f>IF($A1052&lt;&gt;"",IF(TRIM(MAESTRO!$G1051&amp;" "&amp;MAESTRO!$H1051&amp;" "&amp;MAESTRO!$I1051)="",MAESTRO!$F1051,TRIM(MAESTRO!$G1051&amp;" "&amp;MAESTRO!$H1051&amp;" "&amp;MAESTRO!$I1051)),"")</f>
        <v/>
      </c>
      <c r="I1052" t="str">
        <f>IF($A1052&lt;&gt;"",MAESTRO!$K1051,"")</f>
        <v/>
      </c>
      <c r="J1052" t="str">
        <f>IF($A1052&lt;&gt;"",1052,"")</f>
        <v/>
      </c>
    </row>
    <row r="1053" spans="1:10" x14ac:dyDescent="0.2">
      <c r="A1053" t="str">
        <f>IF(AND(UPPER(MAESTRO!$M1052)="VIP",UPPER(MAESTRO!$J1052)="SI",MAESTRO!$F1052&lt;&gt;""),MAESTRO!$P1052,"")</f>
        <v/>
      </c>
      <c r="B1053" t="str">
        <f>IF($A1053&lt;&gt;"",MAESTRO!$B1052,"")</f>
        <v/>
      </c>
      <c r="C1053" t="str">
        <f>IF($A1053&lt;&gt;"",MAESTRO!$A1052,"")</f>
        <v/>
      </c>
      <c r="D1053" t="str">
        <f>IF($A1053&lt;&gt;"",MAESTRO!$C1052,"")</f>
        <v/>
      </c>
      <c r="E1053" t="str">
        <f>IF($A1053&lt;&gt;"",MAESTRO!$M1052,"")</f>
        <v/>
      </c>
      <c r="F1053" t="str">
        <f>IF($A1053&lt;&gt;"",MAESTRO!$J1052,"")</f>
        <v/>
      </c>
      <c r="G1053" t="str">
        <f>IF($A1053&lt;&gt;"",MAESTRO!$D1052,"")</f>
        <v/>
      </c>
      <c r="H1053" t="str">
        <f>IF($A1053&lt;&gt;"",IF(TRIM(MAESTRO!$G1052&amp;" "&amp;MAESTRO!$H1052&amp;" "&amp;MAESTRO!$I1052)="",MAESTRO!$F1052,TRIM(MAESTRO!$G1052&amp;" "&amp;MAESTRO!$H1052&amp;" "&amp;MAESTRO!$I1052)),"")</f>
        <v/>
      </c>
      <c r="I1053" t="str">
        <f>IF($A1053&lt;&gt;"",MAESTRO!$K1052,"")</f>
        <v/>
      </c>
      <c r="J1053" t="str">
        <f>IF($A1053&lt;&gt;"",1053,"")</f>
        <v/>
      </c>
    </row>
    <row r="1054" spans="1:10" x14ac:dyDescent="0.2">
      <c r="A1054" t="str">
        <f>IF(AND(UPPER(MAESTRO!$M1053)="VIP",UPPER(MAESTRO!$J1053)="SI",MAESTRO!$F1053&lt;&gt;""),MAESTRO!$P1053,"")</f>
        <v/>
      </c>
      <c r="B1054" t="str">
        <f>IF($A1054&lt;&gt;"",MAESTRO!$B1053,"")</f>
        <v/>
      </c>
      <c r="C1054" t="str">
        <f>IF($A1054&lt;&gt;"",MAESTRO!$A1053,"")</f>
        <v/>
      </c>
      <c r="D1054" t="str">
        <f>IF($A1054&lt;&gt;"",MAESTRO!$C1053,"")</f>
        <v/>
      </c>
      <c r="E1054" t="str">
        <f>IF($A1054&lt;&gt;"",MAESTRO!$M1053,"")</f>
        <v/>
      </c>
      <c r="F1054" t="str">
        <f>IF($A1054&lt;&gt;"",MAESTRO!$J1053,"")</f>
        <v/>
      </c>
      <c r="G1054" t="str">
        <f>IF($A1054&lt;&gt;"",MAESTRO!$D1053,"")</f>
        <v/>
      </c>
      <c r="H1054" t="str">
        <f>IF($A1054&lt;&gt;"",IF(TRIM(MAESTRO!$G1053&amp;" "&amp;MAESTRO!$H1053&amp;" "&amp;MAESTRO!$I1053)="",MAESTRO!$F1053,TRIM(MAESTRO!$G1053&amp;" "&amp;MAESTRO!$H1053&amp;" "&amp;MAESTRO!$I1053)),"")</f>
        <v/>
      </c>
      <c r="I1054" t="str">
        <f>IF($A1054&lt;&gt;"",MAESTRO!$K1053,"")</f>
        <v/>
      </c>
      <c r="J1054" t="str">
        <f>IF($A1054&lt;&gt;"",1054,"")</f>
        <v/>
      </c>
    </row>
    <row r="1055" spans="1:10" x14ac:dyDescent="0.2">
      <c r="A1055" t="str">
        <f>IF(AND(UPPER(MAESTRO!$M1054)="VIP",UPPER(MAESTRO!$J1054)="SI",MAESTRO!$F1054&lt;&gt;""),MAESTRO!$P1054,"")</f>
        <v/>
      </c>
      <c r="B1055" t="str">
        <f>IF($A1055&lt;&gt;"",MAESTRO!$B1054,"")</f>
        <v/>
      </c>
      <c r="C1055" t="str">
        <f>IF($A1055&lt;&gt;"",MAESTRO!$A1054,"")</f>
        <v/>
      </c>
      <c r="D1055" t="str">
        <f>IF($A1055&lt;&gt;"",MAESTRO!$C1054,"")</f>
        <v/>
      </c>
      <c r="E1055" t="str">
        <f>IF($A1055&lt;&gt;"",MAESTRO!$M1054,"")</f>
        <v/>
      </c>
      <c r="F1055" t="str">
        <f>IF($A1055&lt;&gt;"",MAESTRO!$J1054,"")</f>
        <v/>
      </c>
      <c r="G1055" t="str">
        <f>IF($A1055&lt;&gt;"",MAESTRO!$D1054,"")</f>
        <v/>
      </c>
      <c r="H1055" t="str">
        <f>IF($A1055&lt;&gt;"",IF(TRIM(MAESTRO!$G1054&amp;" "&amp;MAESTRO!$H1054&amp;" "&amp;MAESTRO!$I1054)="",MAESTRO!$F1054,TRIM(MAESTRO!$G1054&amp;" "&amp;MAESTRO!$H1054&amp;" "&amp;MAESTRO!$I1054)),"")</f>
        <v/>
      </c>
      <c r="I1055" t="str">
        <f>IF($A1055&lt;&gt;"",MAESTRO!$K1054,"")</f>
        <v/>
      </c>
      <c r="J1055" t="str">
        <f>IF($A1055&lt;&gt;"",1055,"")</f>
        <v/>
      </c>
    </row>
    <row r="1056" spans="1:10" x14ac:dyDescent="0.2">
      <c r="A1056" t="str">
        <f>IF(AND(UPPER(MAESTRO!$M1055)="VIP",UPPER(MAESTRO!$J1055)="SI",MAESTRO!$F1055&lt;&gt;""),MAESTRO!$P1055,"")</f>
        <v/>
      </c>
      <c r="B1056" t="str">
        <f>IF($A1056&lt;&gt;"",MAESTRO!$B1055,"")</f>
        <v/>
      </c>
      <c r="C1056" t="str">
        <f>IF($A1056&lt;&gt;"",MAESTRO!$A1055,"")</f>
        <v/>
      </c>
      <c r="D1056" t="str">
        <f>IF($A1056&lt;&gt;"",MAESTRO!$C1055,"")</f>
        <v/>
      </c>
      <c r="E1056" t="str">
        <f>IF($A1056&lt;&gt;"",MAESTRO!$M1055,"")</f>
        <v/>
      </c>
      <c r="F1056" t="str">
        <f>IF($A1056&lt;&gt;"",MAESTRO!$J1055,"")</f>
        <v/>
      </c>
      <c r="G1056" t="str">
        <f>IF($A1056&lt;&gt;"",MAESTRO!$D1055,"")</f>
        <v/>
      </c>
      <c r="H1056" t="str">
        <f>IF($A1056&lt;&gt;"",IF(TRIM(MAESTRO!$G1055&amp;" "&amp;MAESTRO!$H1055&amp;" "&amp;MAESTRO!$I1055)="",MAESTRO!$F1055,TRIM(MAESTRO!$G1055&amp;" "&amp;MAESTRO!$H1055&amp;" "&amp;MAESTRO!$I1055)),"")</f>
        <v/>
      </c>
      <c r="I1056" t="str">
        <f>IF($A1056&lt;&gt;"",MAESTRO!$K1055,"")</f>
        <v/>
      </c>
      <c r="J1056" t="str">
        <f>IF($A1056&lt;&gt;"",1056,"")</f>
        <v/>
      </c>
    </row>
    <row r="1057" spans="1:10" x14ac:dyDescent="0.2">
      <c r="A1057" t="str">
        <f>IF(AND(UPPER(MAESTRO!$M1056)="VIP",UPPER(MAESTRO!$J1056)="SI",MAESTRO!$F1056&lt;&gt;""),MAESTRO!$P1056,"")</f>
        <v/>
      </c>
      <c r="B1057" t="str">
        <f>IF($A1057&lt;&gt;"",MAESTRO!$B1056,"")</f>
        <v/>
      </c>
      <c r="C1057" t="str">
        <f>IF($A1057&lt;&gt;"",MAESTRO!$A1056,"")</f>
        <v/>
      </c>
      <c r="D1057" t="str">
        <f>IF($A1057&lt;&gt;"",MAESTRO!$C1056,"")</f>
        <v/>
      </c>
      <c r="E1057" t="str">
        <f>IF($A1057&lt;&gt;"",MAESTRO!$M1056,"")</f>
        <v/>
      </c>
      <c r="F1057" t="str">
        <f>IF($A1057&lt;&gt;"",MAESTRO!$J1056,"")</f>
        <v/>
      </c>
      <c r="G1057" t="str">
        <f>IF($A1057&lt;&gt;"",MAESTRO!$D1056,"")</f>
        <v/>
      </c>
      <c r="H1057" t="str">
        <f>IF($A1057&lt;&gt;"",IF(TRIM(MAESTRO!$G1056&amp;" "&amp;MAESTRO!$H1056&amp;" "&amp;MAESTRO!$I1056)="",MAESTRO!$F1056,TRIM(MAESTRO!$G1056&amp;" "&amp;MAESTRO!$H1056&amp;" "&amp;MAESTRO!$I1056)),"")</f>
        <v/>
      </c>
      <c r="I1057" t="str">
        <f>IF($A1057&lt;&gt;"",MAESTRO!$K1056,"")</f>
        <v/>
      </c>
      <c r="J1057" t="str">
        <f>IF($A1057&lt;&gt;"",1057,"")</f>
        <v/>
      </c>
    </row>
    <row r="1058" spans="1:10" x14ac:dyDescent="0.2">
      <c r="A1058" t="str">
        <f>IF(AND(UPPER(MAESTRO!$M1057)="VIP",UPPER(MAESTRO!$J1057)="SI",MAESTRO!$F1057&lt;&gt;""),MAESTRO!$P1057,"")</f>
        <v/>
      </c>
      <c r="B1058" t="str">
        <f>IF($A1058&lt;&gt;"",MAESTRO!$B1057,"")</f>
        <v/>
      </c>
      <c r="C1058" t="str">
        <f>IF($A1058&lt;&gt;"",MAESTRO!$A1057,"")</f>
        <v/>
      </c>
      <c r="D1058" t="str">
        <f>IF($A1058&lt;&gt;"",MAESTRO!$C1057,"")</f>
        <v/>
      </c>
      <c r="E1058" t="str">
        <f>IF($A1058&lt;&gt;"",MAESTRO!$M1057,"")</f>
        <v/>
      </c>
      <c r="F1058" t="str">
        <f>IF($A1058&lt;&gt;"",MAESTRO!$J1057,"")</f>
        <v/>
      </c>
      <c r="G1058" t="str">
        <f>IF($A1058&lt;&gt;"",MAESTRO!$D1057,"")</f>
        <v/>
      </c>
      <c r="H1058" t="str">
        <f>IF($A1058&lt;&gt;"",IF(TRIM(MAESTRO!$G1057&amp;" "&amp;MAESTRO!$H1057&amp;" "&amp;MAESTRO!$I1057)="",MAESTRO!$F1057,TRIM(MAESTRO!$G1057&amp;" "&amp;MAESTRO!$H1057&amp;" "&amp;MAESTRO!$I1057)),"")</f>
        <v/>
      </c>
      <c r="I1058" t="str">
        <f>IF($A1058&lt;&gt;"",MAESTRO!$K1057,"")</f>
        <v/>
      </c>
      <c r="J1058" t="str">
        <f>IF($A1058&lt;&gt;"",1058,"")</f>
        <v/>
      </c>
    </row>
    <row r="1059" spans="1:10" x14ac:dyDescent="0.2">
      <c r="A1059" t="str">
        <f>IF(AND(UPPER(MAESTRO!$M1058)="VIP",UPPER(MAESTRO!$J1058)="SI",MAESTRO!$F1058&lt;&gt;""),MAESTRO!$P1058,"")</f>
        <v/>
      </c>
      <c r="B1059" t="str">
        <f>IF($A1059&lt;&gt;"",MAESTRO!$B1058,"")</f>
        <v/>
      </c>
      <c r="C1059" t="str">
        <f>IF($A1059&lt;&gt;"",MAESTRO!$A1058,"")</f>
        <v/>
      </c>
      <c r="D1059" t="str">
        <f>IF($A1059&lt;&gt;"",MAESTRO!$C1058,"")</f>
        <v/>
      </c>
      <c r="E1059" t="str">
        <f>IF($A1059&lt;&gt;"",MAESTRO!$M1058,"")</f>
        <v/>
      </c>
      <c r="F1059" t="str">
        <f>IF($A1059&lt;&gt;"",MAESTRO!$J1058,"")</f>
        <v/>
      </c>
      <c r="G1059" t="str">
        <f>IF($A1059&lt;&gt;"",MAESTRO!$D1058,"")</f>
        <v/>
      </c>
      <c r="H1059" t="str">
        <f>IF($A1059&lt;&gt;"",IF(TRIM(MAESTRO!$G1058&amp;" "&amp;MAESTRO!$H1058&amp;" "&amp;MAESTRO!$I1058)="",MAESTRO!$F1058,TRIM(MAESTRO!$G1058&amp;" "&amp;MAESTRO!$H1058&amp;" "&amp;MAESTRO!$I1058)),"")</f>
        <v/>
      </c>
      <c r="I1059" t="str">
        <f>IF($A1059&lt;&gt;"",MAESTRO!$K1058,"")</f>
        <v/>
      </c>
      <c r="J1059" t="str">
        <f>IF($A1059&lt;&gt;"",1059,"")</f>
        <v/>
      </c>
    </row>
    <row r="1060" spans="1:10" x14ac:dyDescent="0.2">
      <c r="A1060" t="str">
        <f>IF(AND(UPPER(MAESTRO!$M1059)="VIP",UPPER(MAESTRO!$J1059)="SI",MAESTRO!$F1059&lt;&gt;""),MAESTRO!$P1059,"")</f>
        <v/>
      </c>
      <c r="B1060" t="str">
        <f>IF($A1060&lt;&gt;"",MAESTRO!$B1059,"")</f>
        <v/>
      </c>
      <c r="C1060" t="str">
        <f>IF($A1060&lt;&gt;"",MAESTRO!$A1059,"")</f>
        <v/>
      </c>
      <c r="D1060" t="str">
        <f>IF($A1060&lt;&gt;"",MAESTRO!$C1059,"")</f>
        <v/>
      </c>
      <c r="E1060" t="str">
        <f>IF($A1060&lt;&gt;"",MAESTRO!$M1059,"")</f>
        <v/>
      </c>
      <c r="F1060" t="str">
        <f>IF($A1060&lt;&gt;"",MAESTRO!$J1059,"")</f>
        <v/>
      </c>
      <c r="G1060" t="str">
        <f>IF($A1060&lt;&gt;"",MAESTRO!$D1059,"")</f>
        <v/>
      </c>
      <c r="H1060" t="str">
        <f>IF($A1060&lt;&gt;"",IF(TRIM(MAESTRO!$G1059&amp;" "&amp;MAESTRO!$H1059&amp;" "&amp;MAESTRO!$I1059)="",MAESTRO!$F1059,TRIM(MAESTRO!$G1059&amp;" "&amp;MAESTRO!$H1059&amp;" "&amp;MAESTRO!$I1059)),"")</f>
        <v/>
      </c>
      <c r="I1060" t="str">
        <f>IF($A1060&lt;&gt;"",MAESTRO!$K1059,"")</f>
        <v/>
      </c>
      <c r="J1060" t="str">
        <f>IF($A1060&lt;&gt;"",1060,"")</f>
        <v/>
      </c>
    </row>
    <row r="1061" spans="1:10" x14ac:dyDescent="0.2">
      <c r="A1061" t="str">
        <f>IF(AND(UPPER(MAESTRO!$M1060)="VIP",UPPER(MAESTRO!$J1060)="SI",MAESTRO!$F1060&lt;&gt;""),MAESTRO!$P1060,"")</f>
        <v/>
      </c>
      <c r="B1061" t="str">
        <f>IF($A1061&lt;&gt;"",MAESTRO!$B1060,"")</f>
        <v/>
      </c>
      <c r="C1061" t="str">
        <f>IF($A1061&lt;&gt;"",MAESTRO!$A1060,"")</f>
        <v/>
      </c>
      <c r="D1061" t="str">
        <f>IF($A1061&lt;&gt;"",MAESTRO!$C1060,"")</f>
        <v/>
      </c>
      <c r="E1061" t="str">
        <f>IF($A1061&lt;&gt;"",MAESTRO!$M1060,"")</f>
        <v/>
      </c>
      <c r="F1061" t="str">
        <f>IF($A1061&lt;&gt;"",MAESTRO!$J1060,"")</f>
        <v/>
      </c>
      <c r="G1061" t="str">
        <f>IF($A1061&lt;&gt;"",MAESTRO!$D1060,"")</f>
        <v/>
      </c>
      <c r="H1061" t="str">
        <f>IF($A1061&lt;&gt;"",IF(TRIM(MAESTRO!$G1060&amp;" "&amp;MAESTRO!$H1060&amp;" "&amp;MAESTRO!$I1060)="",MAESTRO!$F1060,TRIM(MAESTRO!$G1060&amp;" "&amp;MAESTRO!$H1060&amp;" "&amp;MAESTRO!$I1060)),"")</f>
        <v/>
      </c>
      <c r="I1061" t="str">
        <f>IF($A1061&lt;&gt;"",MAESTRO!$K1060,"")</f>
        <v/>
      </c>
      <c r="J1061" t="str">
        <f>IF($A1061&lt;&gt;"",1061,"")</f>
        <v/>
      </c>
    </row>
    <row r="1062" spans="1:10" x14ac:dyDescent="0.2">
      <c r="A1062" t="str">
        <f>IF(AND(UPPER(MAESTRO!$M1061)="VIP",UPPER(MAESTRO!$J1061)="SI",MAESTRO!$F1061&lt;&gt;""),MAESTRO!$P1061,"")</f>
        <v/>
      </c>
      <c r="B1062" t="str">
        <f>IF($A1062&lt;&gt;"",MAESTRO!$B1061,"")</f>
        <v/>
      </c>
      <c r="C1062" t="str">
        <f>IF($A1062&lt;&gt;"",MAESTRO!$A1061,"")</f>
        <v/>
      </c>
      <c r="D1062" t="str">
        <f>IF($A1062&lt;&gt;"",MAESTRO!$C1061,"")</f>
        <v/>
      </c>
      <c r="E1062" t="str">
        <f>IF($A1062&lt;&gt;"",MAESTRO!$M1061,"")</f>
        <v/>
      </c>
      <c r="F1062" t="str">
        <f>IF($A1062&lt;&gt;"",MAESTRO!$J1061,"")</f>
        <v/>
      </c>
      <c r="G1062" t="str">
        <f>IF($A1062&lt;&gt;"",MAESTRO!$D1061,"")</f>
        <v/>
      </c>
      <c r="H1062" t="str">
        <f>IF($A1062&lt;&gt;"",IF(TRIM(MAESTRO!$G1061&amp;" "&amp;MAESTRO!$H1061&amp;" "&amp;MAESTRO!$I1061)="",MAESTRO!$F1061,TRIM(MAESTRO!$G1061&amp;" "&amp;MAESTRO!$H1061&amp;" "&amp;MAESTRO!$I1061)),"")</f>
        <v/>
      </c>
      <c r="I1062" t="str">
        <f>IF($A1062&lt;&gt;"",MAESTRO!$K1061,"")</f>
        <v/>
      </c>
      <c r="J1062" t="str">
        <f>IF($A1062&lt;&gt;"",1062,"")</f>
        <v/>
      </c>
    </row>
    <row r="1063" spans="1:10" x14ac:dyDescent="0.2">
      <c r="A1063" t="str">
        <f>IF(AND(UPPER(MAESTRO!$M1062)="VIP",UPPER(MAESTRO!$J1062)="SI",MAESTRO!$F1062&lt;&gt;""),MAESTRO!$P1062,"")</f>
        <v/>
      </c>
      <c r="B1063" t="str">
        <f>IF($A1063&lt;&gt;"",MAESTRO!$B1062,"")</f>
        <v/>
      </c>
      <c r="C1063" t="str">
        <f>IF($A1063&lt;&gt;"",MAESTRO!$A1062,"")</f>
        <v/>
      </c>
      <c r="D1063" t="str">
        <f>IF($A1063&lt;&gt;"",MAESTRO!$C1062,"")</f>
        <v/>
      </c>
      <c r="E1063" t="str">
        <f>IF($A1063&lt;&gt;"",MAESTRO!$M1062,"")</f>
        <v/>
      </c>
      <c r="F1063" t="str">
        <f>IF($A1063&lt;&gt;"",MAESTRO!$J1062,"")</f>
        <v/>
      </c>
      <c r="G1063" t="str">
        <f>IF($A1063&lt;&gt;"",MAESTRO!$D1062,"")</f>
        <v/>
      </c>
      <c r="H1063" t="str">
        <f>IF($A1063&lt;&gt;"",IF(TRIM(MAESTRO!$G1062&amp;" "&amp;MAESTRO!$H1062&amp;" "&amp;MAESTRO!$I1062)="",MAESTRO!$F1062,TRIM(MAESTRO!$G1062&amp;" "&amp;MAESTRO!$H1062&amp;" "&amp;MAESTRO!$I1062)),"")</f>
        <v/>
      </c>
      <c r="I1063" t="str">
        <f>IF($A1063&lt;&gt;"",MAESTRO!$K1062,"")</f>
        <v/>
      </c>
      <c r="J1063" t="str">
        <f>IF($A1063&lt;&gt;"",1063,"")</f>
        <v/>
      </c>
    </row>
    <row r="1064" spans="1:10" x14ac:dyDescent="0.2">
      <c r="A1064" t="str">
        <f>IF(AND(UPPER(MAESTRO!$M1063)="VIP",UPPER(MAESTRO!$J1063)="SI",MAESTRO!$F1063&lt;&gt;""),MAESTRO!$P1063,"")</f>
        <v/>
      </c>
      <c r="B1064" t="str">
        <f>IF($A1064&lt;&gt;"",MAESTRO!$B1063,"")</f>
        <v/>
      </c>
      <c r="C1064" t="str">
        <f>IF($A1064&lt;&gt;"",MAESTRO!$A1063,"")</f>
        <v/>
      </c>
      <c r="D1064" t="str">
        <f>IF($A1064&lt;&gt;"",MAESTRO!$C1063,"")</f>
        <v/>
      </c>
      <c r="E1064" t="str">
        <f>IF($A1064&lt;&gt;"",MAESTRO!$M1063,"")</f>
        <v/>
      </c>
      <c r="F1064" t="str">
        <f>IF($A1064&lt;&gt;"",MAESTRO!$J1063,"")</f>
        <v/>
      </c>
      <c r="G1064" t="str">
        <f>IF($A1064&lt;&gt;"",MAESTRO!$D1063,"")</f>
        <v/>
      </c>
      <c r="H1064" t="str">
        <f>IF($A1064&lt;&gt;"",IF(TRIM(MAESTRO!$G1063&amp;" "&amp;MAESTRO!$H1063&amp;" "&amp;MAESTRO!$I1063)="",MAESTRO!$F1063,TRIM(MAESTRO!$G1063&amp;" "&amp;MAESTRO!$H1063&amp;" "&amp;MAESTRO!$I1063)),"")</f>
        <v/>
      </c>
      <c r="I1064" t="str">
        <f>IF($A1064&lt;&gt;"",MAESTRO!$K1063,"")</f>
        <v/>
      </c>
      <c r="J1064" t="str">
        <f>IF($A1064&lt;&gt;"",1064,"")</f>
        <v/>
      </c>
    </row>
    <row r="1065" spans="1:10" x14ac:dyDescent="0.2">
      <c r="A1065" t="str">
        <f>IF(AND(UPPER(MAESTRO!$M1064)="VIP",UPPER(MAESTRO!$J1064)="SI",MAESTRO!$F1064&lt;&gt;""),MAESTRO!$P1064,"")</f>
        <v/>
      </c>
      <c r="B1065" t="str">
        <f>IF($A1065&lt;&gt;"",MAESTRO!$B1064,"")</f>
        <v/>
      </c>
      <c r="C1065" t="str">
        <f>IF($A1065&lt;&gt;"",MAESTRO!$A1064,"")</f>
        <v/>
      </c>
      <c r="D1065" t="str">
        <f>IF($A1065&lt;&gt;"",MAESTRO!$C1064,"")</f>
        <v/>
      </c>
      <c r="E1065" t="str">
        <f>IF($A1065&lt;&gt;"",MAESTRO!$M1064,"")</f>
        <v/>
      </c>
      <c r="F1065" t="str">
        <f>IF($A1065&lt;&gt;"",MAESTRO!$J1064,"")</f>
        <v/>
      </c>
      <c r="G1065" t="str">
        <f>IF($A1065&lt;&gt;"",MAESTRO!$D1064,"")</f>
        <v/>
      </c>
      <c r="H1065" t="str">
        <f>IF($A1065&lt;&gt;"",IF(TRIM(MAESTRO!$G1064&amp;" "&amp;MAESTRO!$H1064&amp;" "&amp;MAESTRO!$I1064)="",MAESTRO!$F1064,TRIM(MAESTRO!$G1064&amp;" "&amp;MAESTRO!$H1064&amp;" "&amp;MAESTRO!$I1064)),"")</f>
        <v/>
      </c>
      <c r="I1065" t="str">
        <f>IF($A1065&lt;&gt;"",MAESTRO!$K1064,"")</f>
        <v/>
      </c>
      <c r="J1065" t="str">
        <f>IF($A1065&lt;&gt;"",1065,"")</f>
        <v/>
      </c>
    </row>
    <row r="1066" spans="1:10" x14ac:dyDescent="0.2">
      <c r="A1066" t="str">
        <f>IF(AND(UPPER(MAESTRO!$M1065)="VIP",UPPER(MAESTRO!$J1065)="SI",MAESTRO!$F1065&lt;&gt;""),MAESTRO!$P1065,"")</f>
        <v/>
      </c>
      <c r="B1066" t="str">
        <f>IF($A1066&lt;&gt;"",MAESTRO!$B1065,"")</f>
        <v/>
      </c>
      <c r="C1066" t="str">
        <f>IF($A1066&lt;&gt;"",MAESTRO!$A1065,"")</f>
        <v/>
      </c>
      <c r="D1066" t="str">
        <f>IF($A1066&lt;&gt;"",MAESTRO!$C1065,"")</f>
        <v/>
      </c>
      <c r="E1066" t="str">
        <f>IF($A1066&lt;&gt;"",MAESTRO!$M1065,"")</f>
        <v/>
      </c>
      <c r="F1066" t="str">
        <f>IF($A1066&lt;&gt;"",MAESTRO!$J1065,"")</f>
        <v/>
      </c>
      <c r="G1066" t="str">
        <f>IF($A1066&lt;&gt;"",MAESTRO!$D1065,"")</f>
        <v/>
      </c>
      <c r="H1066" t="str">
        <f>IF($A1066&lt;&gt;"",IF(TRIM(MAESTRO!$G1065&amp;" "&amp;MAESTRO!$H1065&amp;" "&amp;MAESTRO!$I1065)="",MAESTRO!$F1065,TRIM(MAESTRO!$G1065&amp;" "&amp;MAESTRO!$H1065&amp;" "&amp;MAESTRO!$I1065)),"")</f>
        <v/>
      </c>
      <c r="I1066" t="str">
        <f>IF($A1066&lt;&gt;"",MAESTRO!$K1065,"")</f>
        <v/>
      </c>
      <c r="J1066" t="str">
        <f>IF($A1066&lt;&gt;"",1066,"")</f>
        <v/>
      </c>
    </row>
    <row r="1067" spans="1:10" x14ac:dyDescent="0.2">
      <c r="A1067" t="str">
        <f>IF(AND(UPPER(MAESTRO!$M1066)="VIP",UPPER(MAESTRO!$J1066)="SI",MAESTRO!$F1066&lt;&gt;""),MAESTRO!$P1066,"")</f>
        <v/>
      </c>
      <c r="B1067" t="str">
        <f>IF($A1067&lt;&gt;"",MAESTRO!$B1066,"")</f>
        <v/>
      </c>
      <c r="C1067" t="str">
        <f>IF($A1067&lt;&gt;"",MAESTRO!$A1066,"")</f>
        <v/>
      </c>
      <c r="D1067" t="str">
        <f>IF($A1067&lt;&gt;"",MAESTRO!$C1066,"")</f>
        <v/>
      </c>
      <c r="E1067" t="str">
        <f>IF($A1067&lt;&gt;"",MAESTRO!$M1066,"")</f>
        <v/>
      </c>
      <c r="F1067" t="str">
        <f>IF($A1067&lt;&gt;"",MAESTRO!$J1066,"")</f>
        <v/>
      </c>
      <c r="G1067" t="str">
        <f>IF($A1067&lt;&gt;"",MAESTRO!$D1066,"")</f>
        <v/>
      </c>
      <c r="H1067" t="str">
        <f>IF($A1067&lt;&gt;"",IF(TRIM(MAESTRO!$G1066&amp;" "&amp;MAESTRO!$H1066&amp;" "&amp;MAESTRO!$I1066)="",MAESTRO!$F1066,TRIM(MAESTRO!$G1066&amp;" "&amp;MAESTRO!$H1066&amp;" "&amp;MAESTRO!$I1066)),"")</f>
        <v/>
      </c>
      <c r="I1067" t="str">
        <f>IF($A1067&lt;&gt;"",MAESTRO!$K1066,"")</f>
        <v/>
      </c>
      <c r="J1067" t="str">
        <f>IF($A1067&lt;&gt;"",1067,"")</f>
        <v/>
      </c>
    </row>
    <row r="1068" spans="1:10" x14ac:dyDescent="0.2">
      <c r="A1068" t="str">
        <f>IF(AND(UPPER(MAESTRO!$M1067)="VIP",UPPER(MAESTRO!$J1067)="SI",MAESTRO!$F1067&lt;&gt;""),MAESTRO!$P1067,"")</f>
        <v/>
      </c>
      <c r="B1068" t="str">
        <f>IF($A1068&lt;&gt;"",MAESTRO!$B1067,"")</f>
        <v/>
      </c>
      <c r="C1068" t="str">
        <f>IF($A1068&lt;&gt;"",MAESTRO!$A1067,"")</f>
        <v/>
      </c>
      <c r="D1068" t="str">
        <f>IF($A1068&lt;&gt;"",MAESTRO!$C1067,"")</f>
        <v/>
      </c>
      <c r="E1068" t="str">
        <f>IF($A1068&lt;&gt;"",MAESTRO!$M1067,"")</f>
        <v/>
      </c>
      <c r="F1068" t="str">
        <f>IF($A1068&lt;&gt;"",MAESTRO!$J1067,"")</f>
        <v/>
      </c>
      <c r="G1068" t="str">
        <f>IF($A1068&lt;&gt;"",MAESTRO!$D1067,"")</f>
        <v/>
      </c>
      <c r="H1068" t="str">
        <f>IF($A1068&lt;&gt;"",IF(TRIM(MAESTRO!$G1067&amp;" "&amp;MAESTRO!$H1067&amp;" "&amp;MAESTRO!$I1067)="",MAESTRO!$F1067,TRIM(MAESTRO!$G1067&amp;" "&amp;MAESTRO!$H1067&amp;" "&amp;MAESTRO!$I1067)),"")</f>
        <v/>
      </c>
      <c r="I1068" t="str">
        <f>IF($A1068&lt;&gt;"",MAESTRO!$K1067,"")</f>
        <v/>
      </c>
      <c r="J1068" t="str">
        <f>IF($A1068&lt;&gt;"",1068,"")</f>
        <v/>
      </c>
    </row>
    <row r="1069" spans="1:10" x14ac:dyDescent="0.2">
      <c r="A1069" t="str">
        <f>IF(AND(UPPER(MAESTRO!$M1068)="VIP",UPPER(MAESTRO!$J1068)="SI",MAESTRO!$F1068&lt;&gt;""),MAESTRO!$P1068,"")</f>
        <v/>
      </c>
      <c r="B1069" t="str">
        <f>IF($A1069&lt;&gt;"",MAESTRO!$B1068,"")</f>
        <v/>
      </c>
      <c r="C1069" t="str">
        <f>IF($A1069&lt;&gt;"",MAESTRO!$A1068,"")</f>
        <v/>
      </c>
      <c r="D1069" t="str">
        <f>IF($A1069&lt;&gt;"",MAESTRO!$C1068,"")</f>
        <v/>
      </c>
      <c r="E1069" t="str">
        <f>IF($A1069&lt;&gt;"",MAESTRO!$M1068,"")</f>
        <v/>
      </c>
      <c r="F1069" t="str">
        <f>IF($A1069&lt;&gt;"",MAESTRO!$J1068,"")</f>
        <v/>
      </c>
      <c r="G1069" t="str">
        <f>IF($A1069&lt;&gt;"",MAESTRO!$D1068,"")</f>
        <v/>
      </c>
      <c r="H1069" t="str">
        <f>IF($A1069&lt;&gt;"",IF(TRIM(MAESTRO!$G1068&amp;" "&amp;MAESTRO!$H1068&amp;" "&amp;MAESTRO!$I1068)="",MAESTRO!$F1068,TRIM(MAESTRO!$G1068&amp;" "&amp;MAESTRO!$H1068&amp;" "&amp;MAESTRO!$I1068)),"")</f>
        <v/>
      </c>
      <c r="I1069" t="str">
        <f>IF($A1069&lt;&gt;"",MAESTRO!$K1068,"")</f>
        <v/>
      </c>
      <c r="J1069" t="str">
        <f>IF($A1069&lt;&gt;"",1069,"")</f>
        <v/>
      </c>
    </row>
    <row r="1070" spans="1:10" x14ac:dyDescent="0.2">
      <c r="A1070" t="str">
        <f>IF(AND(UPPER(MAESTRO!$M1069)="VIP",UPPER(MAESTRO!$J1069)="SI",MAESTRO!$F1069&lt;&gt;""),MAESTRO!$P1069,"")</f>
        <v/>
      </c>
      <c r="B1070" t="str">
        <f>IF($A1070&lt;&gt;"",MAESTRO!$B1069,"")</f>
        <v/>
      </c>
      <c r="C1070" t="str">
        <f>IF($A1070&lt;&gt;"",MAESTRO!$A1069,"")</f>
        <v/>
      </c>
      <c r="D1070" t="str">
        <f>IF($A1070&lt;&gt;"",MAESTRO!$C1069,"")</f>
        <v/>
      </c>
      <c r="E1070" t="str">
        <f>IF($A1070&lt;&gt;"",MAESTRO!$M1069,"")</f>
        <v/>
      </c>
      <c r="F1070" t="str">
        <f>IF($A1070&lt;&gt;"",MAESTRO!$J1069,"")</f>
        <v/>
      </c>
      <c r="G1070" t="str">
        <f>IF($A1070&lt;&gt;"",MAESTRO!$D1069,"")</f>
        <v/>
      </c>
      <c r="H1070" t="str">
        <f>IF($A1070&lt;&gt;"",IF(TRIM(MAESTRO!$G1069&amp;" "&amp;MAESTRO!$H1069&amp;" "&amp;MAESTRO!$I1069)="",MAESTRO!$F1069,TRIM(MAESTRO!$G1069&amp;" "&amp;MAESTRO!$H1069&amp;" "&amp;MAESTRO!$I1069)),"")</f>
        <v/>
      </c>
      <c r="I1070" t="str">
        <f>IF($A1070&lt;&gt;"",MAESTRO!$K1069,"")</f>
        <v/>
      </c>
      <c r="J1070" t="str">
        <f>IF($A1070&lt;&gt;"",1070,"")</f>
        <v/>
      </c>
    </row>
    <row r="1071" spans="1:10" x14ac:dyDescent="0.2">
      <c r="A1071" t="str">
        <f>IF(AND(UPPER(MAESTRO!$M1070)="VIP",UPPER(MAESTRO!$J1070)="SI",MAESTRO!$F1070&lt;&gt;""),MAESTRO!$P1070,"")</f>
        <v/>
      </c>
      <c r="B1071" t="str">
        <f>IF($A1071&lt;&gt;"",MAESTRO!$B1070,"")</f>
        <v/>
      </c>
      <c r="C1071" t="str">
        <f>IF($A1071&lt;&gt;"",MAESTRO!$A1070,"")</f>
        <v/>
      </c>
      <c r="D1071" t="str">
        <f>IF($A1071&lt;&gt;"",MAESTRO!$C1070,"")</f>
        <v/>
      </c>
      <c r="E1071" t="str">
        <f>IF($A1071&lt;&gt;"",MAESTRO!$M1070,"")</f>
        <v/>
      </c>
      <c r="F1071" t="str">
        <f>IF($A1071&lt;&gt;"",MAESTRO!$J1070,"")</f>
        <v/>
      </c>
      <c r="G1071" t="str">
        <f>IF($A1071&lt;&gt;"",MAESTRO!$D1070,"")</f>
        <v/>
      </c>
      <c r="H1071" t="str">
        <f>IF($A1071&lt;&gt;"",IF(TRIM(MAESTRO!$G1070&amp;" "&amp;MAESTRO!$H1070&amp;" "&amp;MAESTRO!$I1070)="",MAESTRO!$F1070,TRIM(MAESTRO!$G1070&amp;" "&amp;MAESTRO!$H1070&amp;" "&amp;MAESTRO!$I1070)),"")</f>
        <v/>
      </c>
      <c r="I1071" t="str">
        <f>IF($A1071&lt;&gt;"",MAESTRO!$K1070,"")</f>
        <v/>
      </c>
      <c r="J1071" t="str">
        <f>IF($A1071&lt;&gt;"",1071,"")</f>
        <v/>
      </c>
    </row>
    <row r="1072" spans="1:10" x14ac:dyDescent="0.2">
      <c r="A1072" t="str">
        <f>IF(AND(UPPER(MAESTRO!$M1071)="VIP",UPPER(MAESTRO!$J1071)="SI",MAESTRO!$F1071&lt;&gt;""),MAESTRO!$P1071,"")</f>
        <v/>
      </c>
      <c r="B1072" t="str">
        <f>IF($A1072&lt;&gt;"",MAESTRO!$B1071,"")</f>
        <v/>
      </c>
      <c r="C1072" t="str">
        <f>IF($A1072&lt;&gt;"",MAESTRO!$A1071,"")</f>
        <v/>
      </c>
      <c r="D1072" t="str">
        <f>IF($A1072&lt;&gt;"",MAESTRO!$C1071,"")</f>
        <v/>
      </c>
      <c r="E1072" t="str">
        <f>IF($A1072&lt;&gt;"",MAESTRO!$M1071,"")</f>
        <v/>
      </c>
      <c r="F1072" t="str">
        <f>IF($A1072&lt;&gt;"",MAESTRO!$J1071,"")</f>
        <v/>
      </c>
      <c r="G1072" t="str">
        <f>IF($A1072&lt;&gt;"",MAESTRO!$D1071,"")</f>
        <v/>
      </c>
      <c r="H1072" t="str">
        <f>IF($A1072&lt;&gt;"",IF(TRIM(MAESTRO!$G1071&amp;" "&amp;MAESTRO!$H1071&amp;" "&amp;MAESTRO!$I1071)="",MAESTRO!$F1071,TRIM(MAESTRO!$G1071&amp;" "&amp;MAESTRO!$H1071&amp;" "&amp;MAESTRO!$I1071)),"")</f>
        <v/>
      </c>
      <c r="I1072" t="str">
        <f>IF($A1072&lt;&gt;"",MAESTRO!$K1071,"")</f>
        <v/>
      </c>
      <c r="J1072" t="str">
        <f>IF($A1072&lt;&gt;"",1072,"")</f>
        <v/>
      </c>
    </row>
    <row r="1073" spans="1:10" x14ac:dyDescent="0.2">
      <c r="A1073" t="str">
        <f>IF(AND(UPPER(MAESTRO!$M1072)="VIP",UPPER(MAESTRO!$J1072)="SI",MAESTRO!$F1072&lt;&gt;""),MAESTRO!$P1072,"")</f>
        <v/>
      </c>
      <c r="B1073" t="str">
        <f>IF($A1073&lt;&gt;"",MAESTRO!$B1072,"")</f>
        <v/>
      </c>
      <c r="C1073" t="str">
        <f>IF($A1073&lt;&gt;"",MAESTRO!$A1072,"")</f>
        <v/>
      </c>
      <c r="D1073" t="str">
        <f>IF($A1073&lt;&gt;"",MAESTRO!$C1072,"")</f>
        <v/>
      </c>
      <c r="E1073" t="str">
        <f>IF($A1073&lt;&gt;"",MAESTRO!$M1072,"")</f>
        <v/>
      </c>
      <c r="F1073" t="str">
        <f>IF($A1073&lt;&gt;"",MAESTRO!$J1072,"")</f>
        <v/>
      </c>
      <c r="G1073" t="str">
        <f>IF($A1073&lt;&gt;"",MAESTRO!$D1072,"")</f>
        <v/>
      </c>
      <c r="H1073" t="str">
        <f>IF($A1073&lt;&gt;"",IF(TRIM(MAESTRO!$G1072&amp;" "&amp;MAESTRO!$H1072&amp;" "&amp;MAESTRO!$I1072)="",MAESTRO!$F1072,TRIM(MAESTRO!$G1072&amp;" "&amp;MAESTRO!$H1072&amp;" "&amp;MAESTRO!$I1072)),"")</f>
        <v/>
      </c>
      <c r="I1073" t="str">
        <f>IF($A1073&lt;&gt;"",MAESTRO!$K1072,"")</f>
        <v/>
      </c>
      <c r="J1073" t="str">
        <f>IF($A1073&lt;&gt;"",1073,"")</f>
        <v/>
      </c>
    </row>
    <row r="1074" spans="1:10" x14ac:dyDescent="0.2">
      <c r="A1074" t="str">
        <f>IF(AND(UPPER(MAESTRO!$M1073)="VIP",UPPER(MAESTRO!$J1073)="SI",MAESTRO!$F1073&lt;&gt;""),MAESTRO!$P1073,"")</f>
        <v/>
      </c>
      <c r="B1074" t="str">
        <f>IF($A1074&lt;&gt;"",MAESTRO!$B1073,"")</f>
        <v/>
      </c>
      <c r="C1074" t="str">
        <f>IF($A1074&lt;&gt;"",MAESTRO!$A1073,"")</f>
        <v/>
      </c>
      <c r="D1074" t="str">
        <f>IF($A1074&lt;&gt;"",MAESTRO!$C1073,"")</f>
        <v/>
      </c>
      <c r="E1074" t="str">
        <f>IF($A1074&lt;&gt;"",MAESTRO!$M1073,"")</f>
        <v/>
      </c>
      <c r="F1074" t="str">
        <f>IF($A1074&lt;&gt;"",MAESTRO!$J1073,"")</f>
        <v/>
      </c>
      <c r="G1074" t="str">
        <f>IF($A1074&lt;&gt;"",MAESTRO!$D1073,"")</f>
        <v/>
      </c>
      <c r="H1074" t="str">
        <f>IF($A1074&lt;&gt;"",IF(TRIM(MAESTRO!$G1073&amp;" "&amp;MAESTRO!$H1073&amp;" "&amp;MAESTRO!$I1073)="",MAESTRO!$F1073,TRIM(MAESTRO!$G1073&amp;" "&amp;MAESTRO!$H1073&amp;" "&amp;MAESTRO!$I1073)),"")</f>
        <v/>
      </c>
      <c r="I1074" t="str">
        <f>IF($A1074&lt;&gt;"",MAESTRO!$K1073,"")</f>
        <v/>
      </c>
      <c r="J1074" t="str">
        <f>IF($A1074&lt;&gt;"",1074,"")</f>
        <v/>
      </c>
    </row>
    <row r="1075" spans="1:10" x14ac:dyDescent="0.2">
      <c r="A1075" t="str">
        <f>IF(AND(UPPER(MAESTRO!$M1074)="VIP",UPPER(MAESTRO!$J1074)="SI",MAESTRO!$F1074&lt;&gt;""),MAESTRO!$P1074,"")</f>
        <v/>
      </c>
      <c r="B1075" t="str">
        <f>IF($A1075&lt;&gt;"",MAESTRO!$B1074,"")</f>
        <v/>
      </c>
      <c r="C1075" t="str">
        <f>IF($A1075&lt;&gt;"",MAESTRO!$A1074,"")</f>
        <v/>
      </c>
      <c r="D1075" t="str">
        <f>IF($A1075&lt;&gt;"",MAESTRO!$C1074,"")</f>
        <v/>
      </c>
      <c r="E1075" t="str">
        <f>IF($A1075&lt;&gt;"",MAESTRO!$M1074,"")</f>
        <v/>
      </c>
      <c r="F1075" t="str">
        <f>IF($A1075&lt;&gt;"",MAESTRO!$J1074,"")</f>
        <v/>
      </c>
      <c r="G1075" t="str">
        <f>IF($A1075&lt;&gt;"",MAESTRO!$D1074,"")</f>
        <v/>
      </c>
      <c r="H1075" t="str">
        <f>IF($A1075&lt;&gt;"",IF(TRIM(MAESTRO!$G1074&amp;" "&amp;MAESTRO!$H1074&amp;" "&amp;MAESTRO!$I1074)="",MAESTRO!$F1074,TRIM(MAESTRO!$G1074&amp;" "&amp;MAESTRO!$H1074&amp;" "&amp;MAESTRO!$I1074)),"")</f>
        <v/>
      </c>
      <c r="I1075" t="str">
        <f>IF($A1075&lt;&gt;"",MAESTRO!$K1074,"")</f>
        <v/>
      </c>
      <c r="J1075" t="str">
        <f>IF($A1075&lt;&gt;"",1075,"")</f>
        <v/>
      </c>
    </row>
    <row r="1076" spans="1:10" x14ac:dyDescent="0.2">
      <c r="A1076" t="str">
        <f>IF(AND(UPPER(MAESTRO!$M1075)="VIP",UPPER(MAESTRO!$J1075)="SI",MAESTRO!$F1075&lt;&gt;""),MAESTRO!$P1075,"")</f>
        <v/>
      </c>
      <c r="B1076" t="str">
        <f>IF($A1076&lt;&gt;"",MAESTRO!$B1075,"")</f>
        <v/>
      </c>
      <c r="C1076" t="str">
        <f>IF($A1076&lt;&gt;"",MAESTRO!$A1075,"")</f>
        <v/>
      </c>
      <c r="D1076" t="str">
        <f>IF($A1076&lt;&gt;"",MAESTRO!$C1075,"")</f>
        <v/>
      </c>
      <c r="E1076" t="str">
        <f>IF($A1076&lt;&gt;"",MAESTRO!$M1075,"")</f>
        <v/>
      </c>
      <c r="F1076" t="str">
        <f>IF($A1076&lt;&gt;"",MAESTRO!$J1075,"")</f>
        <v/>
      </c>
      <c r="G1076" t="str">
        <f>IF($A1076&lt;&gt;"",MAESTRO!$D1075,"")</f>
        <v/>
      </c>
      <c r="H1076" t="str">
        <f>IF($A1076&lt;&gt;"",IF(TRIM(MAESTRO!$G1075&amp;" "&amp;MAESTRO!$H1075&amp;" "&amp;MAESTRO!$I1075)="",MAESTRO!$F1075,TRIM(MAESTRO!$G1075&amp;" "&amp;MAESTRO!$H1075&amp;" "&amp;MAESTRO!$I1075)),"")</f>
        <v/>
      </c>
      <c r="I1076" t="str">
        <f>IF($A1076&lt;&gt;"",MAESTRO!$K1075,"")</f>
        <v/>
      </c>
      <c r="J1076" t="str">
        <f>IF($A1076&lt;&gt;"",1076,"")</f>
        <v/>
      </c>
    </row>
    <row r="1077" spans="1:10" x14ac:dyDescent="0.2">
      <c r="A1077" t="str">
        <f>IF(AND(UPPER(MAESTRO!$M1076)="VIP",UPPER(MAESTRO!$J1076)="SI",MAESTRO!$F1076&lt;&gt;""),MAESTRO!$P1076,"")</f>
        <v/>
      </c>
      <c r="B1077" t="str">
        <f>IF($A1077&lt;&gt;"",MAESTRO!$B1076,"")</f>
        <v/>
      </c>
      <c r="C1077" t="str">
        <f>IF($A1077&lt;&gt;"",MAESTRO!$A1076,"")</f>
        <v/>
      </c>
      <c r="D1077" t="str">
        <f>IF($A1077&lt;&gt;"",MAESTRO!$C1076,"")</f>
        <v/>
      </c>
      <c r="E1077" t="str">
        <f>IF($A1077&lt;&gt;"",MAESTRO!$M1076,"")</f>
        <v/>
      </c>
      <c r="F1077" t="str">
        <f>IF($A1077&lt;&gt;"",MAESTRO!$J1076,"")</f>
        <v/>
      </c>
      <c r="G1077" t="str">
        <f>IF($A1077&lt;&gt;"",MAESTRO!$D1076,"")</f>
        <v/>
      </c>
      <c r="H1077" t="str">
        <f>IF($A1077&lt;&gt;"",IF(TRIM(MAESTRO!$G1076&amp;" "&amp;MAESTRO!$H1076&amp;" "&amp;MAESTRO!$I1076)="",MAESTRO!$F1076,TRIM(MAESTRO!$G1076&amp;" "&amp;MAESTRO!$H1076&amp;" "&amp;MAESTRO!$I1076)),"")</f>
        <v/>
      </c>
      <c r="I1077" t="str">
        <f>IF($A1077&lt;&gt;"",MAESTRO!$K1076,"")</f>
        <v/>
      </c>
      <c r="J1077" t="str">
        <f>IF($A1077&lt;&gt;"",1077,"")</f>
        <v/>
      </c>
    </row>
    <row r="1078" spans="1:10" x14ac:dyDescent="0.2">
      <c r="A1078" t="str">
        <f>IF(AND(UPPER(MAESTRO!$M1077)="VIP",UPPER(MAESTRO!$J1077)="SI",MAESTRO!$F1077&lt;&gt;""),MAESTRO!$P1077,"")</f>
        <v/>
      </c>
      <c r="B1078" t="str">
        <f>IF($A1078&lt;&gt;"",MAESTRO!$B1077,"")</f>
        <v/>
      </c>
      <c r="C1078" t="str">
        <f>IF($A1078&lt;&gt;"",MAESTRO!$A1077,"")</f>
        <v/>
      </c>
      <c r="D1078" t="str">
        <f>IF($A1078&lt;&gt;"",MAESTRO!$C1077,"")</f>
        <v/>
      </c>
      <c r="E1078" t="str">
        <f>IF($A1078&lt;&gt;"",MAESTRO!$M1077,"")</f>
        <v/>
      </c>
      <c r="F1078" t="str">
        <f>IF($A1078&lt;&gt;"",MAESTRO!$J1077,"")</f>
        <v/>
      </c>
      <c r="G1078" t="str">
        <f>IF($A1078&lt;&gt;"",MAESTRO!$D1077,"")</f>
        <v/>
      </c>
      <c r="H1078" t="str">
        <f>IF($A1078&lt;&gt;"",IF(TRIM(MAESTRO!$G1077&amp;" "&amp;MAESTRO!$H1077&amp;" "&amp;MAESTRO!$I1077)="",MAESTRO!$F1077,TRIM(MAESTRO!$G1077&amp;" "&amp;MAESTRO!$H1077&amp;" "&amp;MAESTRO!$I1077)),"")</f>
        <v/>
      </c>
      <c r="I1078" t="str">
        <f>IF($A1078&lt;&gt;"",MAESTRO!$K1077,"")</f>
        <v/>
      </c>
      <c r="J1078" t="str">
        <f>IF($A1078&lt;&gt;"",1078,"")</f>
        <v/>
      </c>
    </row>
    <row r="1079" spans="1:10" x14ac:dyDescent="0.2">
      <c r="A1079" t="str">
        <f>IF(AND(UPPER(MAESTRO!$M1078)="VIP",UPPER(MAESTRO!$J1078)="SI",MAESTRO!$F1078&lt;&gt;""),MAESTRO!$P1078,"")</f>
        <v/>
      </c>
      <c r="B1079" t="str">
        <f>IF($A1079&lt;&gt;"",MAESTRO!$B1078,"")</f>
        <v/>
      </c>
      <c r="C1079" t="str">
        <f>IF($A1079&lt;&gt;"",MAESTRO!$A1078,"")</f>
        <v/>
      </c>
      <c r="D1079" t="str">
        <f>IF($A1079&lt;&gt;"",MAESTRO!$C1078,"")</f>
        <v/>
      </c>
      <c r="E1079" t="str">
        <f>IF($A1079&lt;&gt;"",MAESTRO!$M1078,"")</f>
        <v/>
      </c>
      <c r="F1079" t="str">
        <f>IF($A1079&lt;&gt;"",MAESTRO!$J1078,"")</f>
        <v/>
      </c>
      <c r="G1079" t="str">
        <f>IF($A1079&lt;&gt;"",MAESTRO!$D1078,"")</f>
        <v/>
      </c>
      <c r="H1079" t="str">
        <f>IF($A1079&lt;&gt;"",IF(TRIM(MAESTRO!$G1078&amp;" "&amp;MAESTRO!$H1078&amp;" "&amp;MAESTRO!$I1078)="",MAESTRO!$F1078,TRIM(MAESTRO!$G1078&amp;" "&amp;MAESTRO!$H1078&amp;" "&amp;MAESTRO!$I1078)),"")</f>
        <v/>
      </c>
      <c r="I1079" t="str">
        <f>IF($A1079&lt;&gt;"",MAESTRO!$K1078,"")</f>
        <v/>
      </c>
      <c r="J1079" t="str">
        <f>IF($A1079&lt;&gt;"",1079,"")</f>
        <v/>
      </c>
    </row>
    <row r="1080" spans="1:10" x14ac:dyDescent="0.2">
      <c r="A1080" t="str">
        <f>IF(AND(UPPER(MAESTRO!$M1079)="VIP",UPPER(MAESTRO!$J1079)="SI",MAESTRO!$F1079&lt;&gt;""),MAESTRO!$P1079,"")</f>
        <v/>
      </c>
      <c r="B1080" t="str">
        <f>IF($A1080&lt;&gt;"",MAESTRO!$B1079,"")</f>
        <v/>
      </c>
      <c r="C1080" t="str">
        <f>IF($A1080&lt;&gt;"",MAESTRO!$A1079,"")</f>
        <v/>
      </c>
      <c r="D1080" t="str">
        <f>IF($A1080&lt;&gt;"",MAESTRO!$C1079,"")</f>
        <v/>
      </c>
      <c r="E1080" t="str">
        <f>IF($A1080&lt;&gt;"",MAESTRO!$M1079,"")</f>
        <v/>
      </c>
      <c r="F1080" t="str">
        <f>IF($A1080&lt;&gt;"",MAESTRO!$J1079,"")</f>
        <v/>
      </c>
      <c r="G1080" t="str">
        <f>IF($A1080&lt;&gt;"",MAESTRO!$D1079,"")</f>
        <v/>
      </c>
      <c r="H1080" t="str">
        <f>IF($A1080&lt;&gt;"",IF(TRIM(MAESTRO!$G1079&amp;" "&amp;MAESTRO!$H1079&amp;" "&amp;MAESTRO!$I1079)="",MAESTRO!$F1079,TRIM(MAESTRO!$G1079&amp;" "&amp;MAESTRO!$H1079&amp;" "&amp;MAESTRO!$I1079)),"")</f>
        <v/>
      </c>
      <c r="I1080" t="str">
        <f>IF($A1080&lt;&gt;"",MAESTRO!$K1079,"")</f>
        <v/>
      </c>
      <c r="J1080" t="str">
        <f>IF($A1080&lt;&gt;"",1080,"")</f>
        <v/>
      </c>
    </row>
    <row r="1081" spans="1:10" x14ac:dyDescent="0.2">
      <c r="A1081" t="str">
        <f>IF(AND(UPPER(MAESTRO!$M1080)="VIP",UPPER(MAESTRO!$J1080)="SI",MAESTRO!$F1080&lt;&gt;""),MAESTRO!$P1080,"")</f>
        <v/>
      </c>
      <c r="B1081" t="str">
        <f>IF($A1081&lt;&gt;"",MAESTRO!$B1080,"")</f>
        <v/>
      </c>
      <c r="C1081" t="str">
        <f>IF($A1081&lt;&gt;"",MAESTRO!$A1080,"")</f>
        <v/>
      </c>
      <c r="D1081" t="str">
        <f>IF($A1081&lt;&gt;"",MAESTRO!$C1080,"")</f>
        <v/>
      </c>
      <c r="E1081" t="str">
        <f>IF($A1081&lt;&gt;"",MAESTRO!$M1080,"")</f>
        <v/>
      </c>
      <c r="F1081" t="str">
        <f>IF($A1081&lt;&gt;"",MAESTRO!$J1080,"")</f>
        <v/>
      </c>
      <c r="G1081" t="str">
        <f>IF($A1081&lt;&gt;"",MAESTRO!$D1080,"")</f>
        <v/>
      </c>
      <c r="H1081" t="str">
        <f>IF($A1081&lt;&gt;"",IF(TRIM(MAESTRO!$G1080&amp;" "&amp;MAESTRO!$H1080&amp;" "&amp;MAESTRO!$I1080)="",MAESTRO!$F1080,TRIM(MAESTRO!$G1080&amp;" "&amp;MAESTRO!$H1080&amp;" "&amp;MAESTRO!$I1080)),"")</f>
        <v/>
      </c>
      <c r="I1081" t="str">
        <f>IF($A1081&lt;&gt;"",MAESTRO!$K1080,"")</f>
        <v/>
      </c>
      <c r="J1081" t="str">
        <f>IF($A1081&lt;&gt;"",1081,"")</f>
        <v/>
      </c>
    </row>
    <row r="1082" spans="1:10" x14ac:dyDescent="0.2">
      <c r="A1082" t="str">
        <f>IF(AND(UPPER(MAESTRO!$M1081)="VIP",UPPER(MAESTRO!$J1081)="SI",MAESTRO!$F1081&lt;&gt;""),MAESTRO!$P1081,"")</f>
        <v/>
      </c>
      <c r="B1082" t="str">
        <f>IF($A1082&lt;&gt;"",MAESTRO!$B1081,"")</f>
        <v/>
      </c>
      <c r="C1082" t="str">
        <f>IF($A1082&lt;&gt;"",MAESTRO!$A1081,"")</f>
        <v/>
      </c>
      <c r="D1082" t="str">
        <f>IF($A1082&lt;&gt;"",MAESTRO!$C1081,"")</f>
        <v/>
      </c>
      <c r="E1082" t="str">
        <f>IF($A1082&lt;&gt;"",MAESTRO!$M1081,"")</f>
        <v/>
      </c>
      <c r="F1082" t="str">
        <f>IF($A1082&lt;&gt;"",MAESTRO!$J1081,"")</f>
        <v/>
      </c>
      <c r="G1082" t="str">
        <f>IF($A1082&lt;&gt;"",MAESTRO!$D1081,"")</f>
        <v/>
      </c>
      <c r="H1082" t="str">
        <f>IF($A1082&lt;&gt;"",IF(TRIM(MAESTRO!$G1081&amp;" "&amp;MAESTRO!$H1081&amp;" "&amp;MAESTRO!$I1081)="",MAESTRO!$F1081,TRIM(MAESTRO!$G1081&amp;" "&amp;MAESTRO!$H1081&amp;" "&amp;MAESTRO!$I1081)),"")</f>
        <v/>
      </c>
      <c r="I1082" t="str">
        <f>IF($A1082&lt;&gt;"",MAESTRO!$K1081,"")</f>
        <v/>
      </c>
      <c r="J1082" t="str">
        <f>IF($A1082&lt;&gt;"",1082,"")</f>
        <v/>
      </c>
    </row>
    <row r="1083" spans="1:10" x14ac:dyDescent="0.2">
      <c r="A1083" t="str">
        <f>IF(AND(UPPER(MAESTRO!$M1082)="VIP",UPPER(MAESTRO!$J1082)="SI",MAESTRO!$F1082&lt;&gt;""),MAESTRO!$P1082,"")</f>
        <v/>
      </c>
      <c r="B1083" t="str">
        <f>IF($A1083&lt;&gt;"",MAESTRO!$B1082,"")</f>
        <v/>
      </c>
      <c r="C1083" t="str">
        <f>IF($A1083&lt;&gt;"",MAESTRO!$A1082,"")</f>
        <v/>
      </c>
      <c r="D1083" t="str">
        <f>IF($A1083&lt;&gt;"",MAESTRO!$C1082,"")</f>
        <v/>
      </c>
      <c r="E1083" t="str">
        <f>IF($A1083&lt;&gt;"",MAESTRO!$M1082,"")</f>
        <v/>
      </c>
      <c r="F1083" t="str">
        <f>IF($A1083&lt;&gt;"",MAESTRO!$J1082,"")</f>
        <v/>
      </c>
      <c r="G1083" t="str">
        <f>IF($A1083&lt;&gt;"",MAESTRO!$D1082,"")</f>
        <v/>
      </c>
      <c r="H1083" t="str">
        <f>IF($A1083&lt;&gt;"",IF(TRIM(MAESTRO!$G1082&amp;" "&amp;MAESTRO!$H1082&amp;" "&amp;MAESTRO!$I1082)="",MAESTRO!$F1082,TRIM(MAESTRO!$G1082&amp;" "&amp;MAESTRO!$H1082&amp;" "&amp;MAESTRO!$I1082)),"")</f>
        <v/>
      </c>
      <c r="I1083" t="str">
        <f>IF($A1083&lt;&gt;"",MAESTRO!$K1082,"")</f>
        <v/>
      </c>
      <c r="J1083" t="str">
        <f>IF($A1083&lt;&gt;"",1083,"")</f>
        <v/>
      </c>
    </row>
    <row r="1084" spans="1:10" x14ac:dyDescent="0.2">
      <c r="A1084" t="str">
        <f>IF(AND(UPPER(MAESTRO!$M1083)="VIP",UPPER(MAESTRO!$J1083)="SI",MAESTRO!$F1083&lt;&gt;""),MAESTRO!$P1083,"")</f>
        <v/>
      </c>
      <c r="B1084" t="str">
        <f>IF($A1084&lt;&gt;"",MAESTRO!$B1083,"")</f>
        <v/>
      </c>
      <c r="C1084" t="str">
        <f>IF($A1084&lt;&gt;"",MAESTRO!$A1083,"")</f>
        <v/>
      </c>
      <c r="D1084" t="str">
        <f>IF($A1084&lt;&gt;"",MAESTRO!$C1083,"")</f>
        <v/>
      </c>
      <c r="E1084" t="str">
        <f>IF($A1084&lt;&gt;"",MAESTRO!$M1083,"")</f>
        <v/>
      </c>
      <c r="F1084" t="str">
        <f>IF($A1084&lt;&gt;"",MAESTRO!$J1083,"")</f>
        <v/>
      </c>
      <c r="G1084" t="str">
        <f>IF($A1084&lt;&gt;"",MAESTRO!$D1083,"")</f>
        <v/>
      </c>
      <c r="H1084" t="str">
        <f>IF($A1084&lt;&gt;"",IF(TRIM(MAESTRO!$G1083&amp;" "&amp;MAESTRO!$H1083&amp;" "&amp;MAESTRO!$I1083)="",MAESTRO!$F1083,TRIM(MAESTRO!$G1083&amp;" "&amp;MAESTRO!$H1083&amp;" "&amp;MAESTRO!$I1083)),"")</f>
        <v/>
      </c>
      <c r="I1084" t="str">
        <f>IF($A1084&lt;&gt;"",MAESTRO!$K1083,"")</f>
        <v/>
      </c>
      <c r="J1084" t="str">
        <f>IF($A1084&lt;&gt;"",1084,"")</f>
        <v/>
      </c>
    </row>
    <row r="1085" spans="1:10" x14ac:dyDescent="0.2">
      <c r="A1085" t="str">
        <f>IF(AND(UPPER(MAESTRO!$M1084)="VIP",UPPER(MAESTRO!$J1084)="SI",MAESTRO!$F1084&lt;&gt;""),MAESTRO!$P1084,"")</f>
        <v/>
      </c>
      <c r="B1085" t="str">
        <f>IF($A1085&lt;&gt;"",MAESTRO!$B1084,"")</f>
        <v/>
      </c>
      <c r="C1085" t="str">
        <f>IF($A1085&lt;&gt;"",MAESTRO!$A1084,"")</f>
        <v/>
      </c>
      <c r="D1085" t="str">
        <f>IF($A1085&lt;&gt;"",MAESTRO!$C1084,"")</f>
        <v/>
      </c>
      <c r="E1085" t="str">
        <f>IF($A1085&lt;&gt;"",MAESTRO!$M1084,"")</f>
        <v/>
      </c>
      <c r="F1085" t="str">
        <f>IF($A1085&lt;&gt;"",MAESTRO!$J1084,"")</f>
        <v/>
      </c>
      <c r="G1085" t="str">
        <f>IF($A1085&lt;&gt;"",MAESTRO!$D1084,"")</f>
        <v/>
      </c>
      <c r="H1085" t="str">
        <f>IF($A1085&lt;&gt;"",IF(TRIM(MAESTRO!$G1084&amp;" "&amp;MAESTRO!$H1084&amp;" "&amp;MAESTRO!$I1084)="",MAESTRO!$F1084,TRIM(MAESTRO!$G1084&amp;" "&amp;MAESTRO!$H1084&amp;" "&amp;MAESTRO!$I1084)),"")</f>
        <v/>
      </c>
      <c r="I1085" t="str">
        <f>IF($A1085&lt;&gt;"",MAESTRO!$K1084,"")</f>
        <v/>
      </c>
      <c r="J1085" t="str">
        <f>IF($A1085&lt;&gt;"",1085,"")</f>
        <v/>
      </c>
    </row>
    <row r="1086" spans="1:10" x14ac:dyDescent="0.2">
      <c r="A1086" t="str">
        <f>IF(AND(UPPER(MAESTRO!$M1085)="VIP",UPPER(MAESTRO!$J1085)="SI",MAESTRO!$F1085&lt;&gt;""),MAESTRO!$P1085,"")</f>
        <v/>
      </c>
      <c r="B1086" t="str">
        <f>IF($A1086&lt;&gt;"",MAESTRO!$B1085,"")</f>
        <v/>
      </c>
      <c r="C1086" t="str">
        <f>IF($A1086&lt;&gt;"",MAESTRO!$A1085,"")</f>
        <v/>
      </c>
      <c r="D1086" t="str">
        <f>IF($A1086&lt;&gt;"",MAESTRO!$C1085,"")</f>
        <v/>
      </c>
      <c r="E1086" t="str">
        <f>IF($A1086&lt;&gt;"",MAESTRO!$M1085,"")</f>
        <v/>
      </c>
      <c r="F1086" t="str">
        <f>IF($A1086&lt;&gt;"",MAESTRO!$J1085,"")</f>
        <v/>
      </c>
      <c r="G1086" t="str">
        <f>IF($A1086&lt;&gt;"",MAESTRO!$D1085,"")</f>
        <v/>
      </c>
      <c r="H1086" t="str">
        <f>IF($A1086&lt;&gt;"",IF(TRIM(MAESTRO!$G1085&amp;" "&amp;MAESTRO!$H1085&amp;" "&amp;MAESTRO!$I1085)="",MAESTRO!$F1085,TRIM(MAESTRO!$G1085&amp;" "&amp;MAESTRO!$H1085&amp;" "&amp;MAESTRO!$I1085)),"")</f>
        <v/>
      </c>
      <c r="I1086" t="str">
        <f>IF($A1086&lt;&gt;"",MAESTRO!$K1085,"")</f>
        <v/>
      </c>
      <c r="J1086" t="str">
        <f>IF($A1086&lt;&gt;"",1086,"")</f>
        <v/>
      </c>
    </row>
    <row r="1087" spans="1:10" x14ac:dyDescent="0.2">
      <c r="A1087" t="str">
        <f>IF(AND(UPPER(MAESTRO!$M1086)="VIP",UPPER(MAESTRO!$J1086)="SI",MAESTRO!$F1086&lt;&gt;""),MAESTRO!$P1086,"")</f>
        <v/>
      </c>
      <c r="B1087" t="str">
        <f>IF($A1087&lt;&gt;"",MAESTRO!$B1086,"")</f>
        <v/>
      </c>
      <c r="C1087" t="str">
        <f>IF($A1087&lt;&gt;"",MAESTRO!$A1086,"")</f>
        <v/>
      </c>
      <c r="D1087" t="str">
        <f>IF($A1087&lt;&gt;"",MAESTRO!$C1086,"")</f>
        <v/>
      </c>
      <c r="E1087" t="str">
        <f>IF($A1087&lt;&gt;"",MAESTRO!$M1086,"")</f>
        <v/>
      </c>
      <c r="F1087" t="str">
        <f>IF($A1087&lt;&gt;"",MAESTRO!$J1086,"")</f>
        <v/>
      </c>
      <c r="G1087" t="str">
        <f>IF($A1087&lt;&gt;"",MAESTRO!$D1086,"")</f>
        <v/>
      </c>
      <c r="H1087" t="str">
        <f>IF($A1087&lt;&gt;"",IF(TRIM(MAESTRO!$G1086&amp;" "&amp;MAESTRO!$H1086&amp;" "&amp;MAESTRO!$I1086)="",MAESTRO!$F1086,TRIM(MAESTRO!$G1086&amp;" "&amp;MAESTRO!$H1086&amp;" "&amp;MAESTRO!$I1086)),"")</f>
        <v/>
      </c>
      <c r="I1087" t="str">
        <f>IF($A1087&lt;&gt;"",MAESTRO!$K1086,"")</f>
        <v/>
      </c>
      <c r="J1087" t="str">
        <f>IF($A1087&lt;&gt;"",1087,"")</f>
        <v/>
      </c>
    </row>
    <row r="1088" spans="1:10" x14ac:dyDescent="0.2">
      <c r="A1088" t="str">
        <f>IF(AND(UPPER(MAESTRO!$M1087)="VIP",UPPER(MAESTRO!$J1087)="SI",MAESTRO!$F1087&lt;&gt;""),MAESTRO!$P1087,"")</f>
        <v/>
      </c>
      <c r="B1088" t="str">
        <f>IF($A1088&lt;&gt;"",MAESTRO!$B1087,"")</f>
        <v/>
      </c>
      <c r="C1088" t="str">
        <f>IF($A1088&lt;&gt;"",MAESTRO!$A1087,"")</f>
        <v/>
      </c>
      <c r="D1088" t="str">
        <f>IF($A1088&lt;&gt;"",MAESTRO!$C1087,"")</f>
        <v/>
      </c>
      <c r="E1088" t="str">
        <f>IF($A1088&lt;&gt;"",MAESTRO!$M1087,"")</f>
        <v/>
      </c>
      <c r="F1088" t="str">
        <f>IF($A1088&lt;&gt;"",MAESTRO!$J1087,"")</f>
        <v/>
      </c>
      <c r="G1088" t="str">
        <f>IF($A1088&lt;&gt;"",MAESTRO!$D1087,"")</f>
        <v/>
      </c>
      <c r="H1088" t="str">
        <f>IF($A1088&lt;&gt;"",IF(TRIM(MAESTRO!$G1087&amp;" "&amp;MAESTRO!$H1087&amp;" "&amp;MAESTRO!$I1087)="",MAESTRO!$F1087,TRIM(MAESTRO!$G1087&amp;" "&amp;MAESTRO!$H1087&amp;" "&amp;MAESTRO!$I1087)),"")</f>
        <v/>
      </c>
      <c r="I1088" t="str">
        <f>IF($A1088&lt;&gt;"",MAESTRO!$K1087,"")</f>
        <v/>
      </c>
      <c r="J1088" t="str">
        <f>IF($A1088&lt;&gt;"",1088,"")</f>
        <v/>
      </c>
    </row>
    <row r="1089" spans="1:10" x14ac:dyDescent="0.2">
      <c r="A1089" t="str">
        <f>IF(AND(UPPER(MAESTRO!$M1088)="VIP",UPPER(MAESTRO!$J1088)="SI",MAESTRO!$F1088&lt;&gt;""),MAESTRO!$P1088,"")</f>
        <v/>
      </c>
      <c r="B1089" t="str">
        <f>IF($A1089&lt;&gt;"",MAESTRO!$B1088,"")</f>
        <v/>
      </c>
      <c r="C1089" t="str">
        <f>IF($A1089&lt;&gt;"",MAESTRO!$A1088,"")</f>
        <v/>
      </c>
      <c r="D1089" t="str">
        <f>IF($A1089&lt;&gt;"",MAESTRO!$C1088,"")</f>
        <v/>
      </c>
      <c r="E1089" t="str">
        <f>IF($A1089&lt;&gt;"",MAESTRO!$M1088,"")</f>
        <v/>
      </c>
      <c r="F1089" t="str">
        <f>IF($A1089&lt;&gt;"",MAESTRO!$J1088,"")</f>
        <v/>
      </c>
      <c r="G1089" t="str">
        <f>IF($A1089&lt;&gt;"",MAESTRO!$D1088,"")</f>
        <v/>
      </c>
      <c r="H1089" t="str">
        <f>IF($A1089&lt;&gt;"",IF(TRIM(MAESTRO!$G1088&amp;" "&amp;MAESTRO!$H1088&amp;" "&amp;MAESTRO!$I1088)="",MAESTRO!$F1088,TRIM(MAESTRO!$G1088&amp;" "&amp;MAESTRO!$H1088&amp;" "&amp;MAESTRO!$I1088)),"")</f>
        <v/>
      </c>
      <c r="I1089" t="str">
        <f>IF($A1089&lt;&gt;"",MAESTRO!$K1088,"")</f>
        <v/>
      </c>
      <c r="J1089" t="str">
        <f>IF($A1089&lt;&gt;"",1089,"")</f>
        <v/>
      </c>
    </row>
    <row r="1090" spans="1:10" x14ac:dyDescent="0.2">
      <c r="A1090" t="str">
        <f>IF(AND(UPPER(MAESTRO!$M1089)="VIP",UPPER(MAESTRO!$J1089)="SI",MAESTRO!$F1089&lt;&gt;""),MAESTRO!$P1089,"")</f>
        <v/>
      </c>
      <c r="B1090" t="str">
        <f>IF($A1090&lt;&gt;"",MAESTRO!$B1089,"")</f>
        <v/>
      </c>
      <c r="C1090" t="str">
        <f>IF($A1090&lt;&gt;"",MAESTRO!$A1089,"")</f>
        <v/>
      </c>
      <c r="D1090" t="str">
        <f>IF($A1090&lt;&gt;"",MAESTRO!$C1089,"")</f>
        <v/>
      </c>
      <c r="E1090" t="str">
        <f>IF($A1090&lt;&gt;"",MAESTRO!$M1089,"")</f>
        <v/>
      </c>
      <c r="F1090" t="str">
        <f>IF($A1090&lt;&gt;"",MAESTRO!$J1089,"")</f>
        <v/>
      </c>
      <c r="G1090" t="str">
        <f>IF($A1090&lt;&gt;"",MAESTRO!$D1089,"")</f>
        <v/>
      </c>
      <c r="H1090" t="str">
        <f>IF($A1090&lt;&gt;"",IF(TRIM(MAESTRO!$G1089&amp;" "&amp;MAESTRO!$H1089&amp;" "&amp;MAESTRO!$I1089)="",MAESTRO!$F1089,TRIM(MAESTRO!$G1089&amp;" "&amp;MAESTRO!$H1089&amp;" "&amp;MAESTRO!$I1089)),"")</f>
        <v/>
      </c>
      <c r="I1090" t="str">
        <f>IF($A1090&lt;&gt;"",MAESTRO!$K1089,"")</f>
        <v/>
      </c>
      <c r="J1090" t="str">
        <f>IF($A1090&lt;&gt;"",1090,"")</f>
        <v/>
      </c>
    </row>
    <row r="1091" spans="1:10" x14ac:dyDescent="0.2">
      <c r="A1091" t="str">
        <f>IF(AND(UPPER(MAESTRO!$M1090)="VIP",UPPER(MAESTRO!$J1090)="SI",MAESTRO!$F1090&lt;&gt;""),MAESTRO!$P1090,"")</f>
        <v/>
      </c>
      <c r="B1091" t="str">
        <f>IF($A1091&lt;&gt;"",MAESTRO!$B1090,"")</f>
        <v/>
      </c>
      <c r="C1091" t="str">
        <f>IF($A1091&lt;&gt;"",MAESTRO!$A1090,"")</f>
        <v/>
      </c>
      <c r="D1091" t="str">
        <f>IF($A1091&lt;&gt;"",MAESTRO!$C1090,"")</f>
        <v/>
      </c>
      <c r="E1091" t="str">
        <f>IF($A1091&lt;&gt;"",MAESTRO!$M1090,"")</f>
        <v/>
      </c>
      <c r="F1091" t="str">
        <f>IF($A1091&lt;&gt;"",MAESTRO!$J1090,"")</f>
        <v/>
      </c>
      <c r="G1091" t="str">
        <f>IF($A1091&lt;&gt;"",MAESTRO!$D1090,"")</f>
        <v/>
      </c>
      <c r="H1091" t="str">
        <f>IF($A1091&lt;&gt;"",IF(TRIM(MAESTRO!$G1090&amp;" "&amp;MAESTRO!$H1090&amp;" "&amp;MAESTRO!$I1090)="",MAESTRO!$F1090,TRIM(MAESTRO!$G1090&amp;" "&amp;MAESTRO!$H1090&amp;" "&amp;MAESTRO!$I1090)),"")</f>
        <v/>
      </c>
      <c r="I1091" t="str">
        <f>IF($A1091&lt;&gt;"",MAESTRO!$K1090,"")</f>
        <v/>
      </c>
      <c r="J1091" t="str">
        <f>IF($A1091&lt;&gt;"",1091,"")</f>
        <v/>
      </c>
    </row>
    <row r="1092" spans="1:10" x14ac:dyDescent="0.2">
      <c r="A1092" t="str">
        <f>IF(AND(UPPER(MAESTRO!$M1091)="VIP",UPPER(MAESTRO!$J1091)="SI",MAESTRO!$F1091&lt;&gt;""),MAESTRO!$P1091,"")</f>
        <v/>
      </c>
      <c r="B1092" t="str">
        <f>IF($A1092&lt;&gt;"",MAESTRO!$B1091,"")</f>
        <v/>
      </c>
      <c r="C1092" t="str">
        <f>IF($A1092&lt;&gt;"",MAESTRO!$A1091,"")</f>
        <v/>
      </c>
      <c r="D1092" t="str">
        <f>IF($A1092&lt;&gt;"",MAESTRO!$C1091,"")</f>
        <v/>
      </c>
      <c r="E1092" t="str">
        <f>IF($A1092&lt;&gt;"",MAESTRO!$M1091,"")</f>
        <v/>
      </c>
      <c r="F1092" t="str">
        <f>IF($A1092&lt;&gt;"",MAESTRO!$J1091,"")</f>
        <v/>
      </c>
      <c r="G1092" t="str">
        <f>IF($A1092&lt;&gt;"",MAESTRO!$D1091,"")</f>
        <v/>
      </c>
      <c r="H1092" t="str">
        <f>IF($A1092&lt;&gt;"",IF(TRIM(MAESTRO!$G1091&amp;" "&amp;MAESTRO!$H1091&amp;" "&amp;MAESTRO!$I1091)="",MAESTRO!$F1091,TRIM(MAESTRO!$G1091&amp;" "&amp;MAESTRO!$H1091&amp;" "&amp;MAESTRO!$I1091)),"")</f>
        <v/>
      </c>
      <c r="I1092" t="str">
        <f>IF($A1092&lt;&gt;"",MAESTRO!$K1091,"")</f>
        <v/>
      </c>
      <c r="J1092" t="str">
        <f>IF($A1092&lt;&gt;"",1092,"")</f>
        <v/>
      </c>
    </row>
    <row r="1093" spans="1:10" x14ac:dyDescent="0.2">
      <c r="A1093" t="str">
        <f>IF(AND(UPPER(MAESTRO!$M1092)="VIP",UPPER(MAESTRO!$J1092)="SI",MAESTRO!$F1092&lt;&gt;""),MAESTRO!$P1092,"")</f>
        <v/>
      </c>
      <c r="B1093" t="str">
        <f>IF($A1093&lt;&gt;"",MAESTRO!$B1092,"")</f>
        <v/>
      </c>
      <c r="C1093" t="str">
        <f>IF($A1093&lt;&gt;"",MAESTRO!$A1092,"")</f>
        <v/>
      </c>
      <c r="D1093" t="str">
        <f>IF($A1093&lt;&gt;"",MAESTRO!$C1092,"")</f>
        <v/>
      </c>
      <c r="E1093" t="str">
        <f>IF($A1093&lt;&gt;"",MAESTRO!$M1092,"")</f>
        <v/>
      </c>
      <c r="F1093" t="str">
        <f>IF($A1093&lt;&gt;"",MAESTRO!$J1092,"")</f>
        <v/>
      </c>
      <c r="G1093" t="str">
        <f>IF($A1093&lt;&gt;"",MAESTRO!$D1092,"")</f>
        <v/>
      </c>
      <c r="H1093" t="str">
        <f>IF($A1093&lt;&gt;"",IF(TRIM(MAESTRO!$G1092&amp;" "&amp;MAESTRO!$H1092&amp;" "&amp;MAESTRO!$I1092)="",MAESTRO!$F1092,TRIM(MAESTRO!$G1092&amp;" "&amp;MAESTRO!$H1092&amp;" "&amp;MAESTRO!$I1092)),"")</f>
        <v/>
      </c>
      <c r="I1093" t="str">
        <f>IF($A1093&lt;&gt;"",MAESTRO!$K1092,"")</f>
        <v/>
      </c>
      <c r="J1093" t="str">
        <f>IF($A1093&lt;&gt;"",1093,"")</f>
        <v/>
      </c>
    </row>
    <row r="1094" spans="1:10" x14ac:dyDescent="0.2">
      <c r="A1094" t="str">
        <f>IF(AND(UPPER(MAESTRO!$M1093)="VIP",UPPER(MAESTRO!$J1093)="SI",MAESTRO!$F1093&lt;&gt;""),MAESTRO!$P1093,"")</f>
        <v/>
      </c>
      <c r="B1094" t="str">
        <f>IF($A1094&lt;&gt;"",MAESTRO!$B1093,"")</f>
        <v/>
      </c>
      <c r="C1094" t="str">
        <f>IF($A1094&lt;&gt;"",MAESTRO!$A1093,"")</f>
        <v/>
      </c>
      <c r="D1094" t="str">
        <f>IF($A1094&lt;&gt;"",MAESTRO!$C1093,"")</f>
        <v/>
      </c>
      <c r="E1094" t="str">
        <f>IF($A1094&lt;&gt;"",MAESTRO!$M1093,"")</f>
        <v/>
      </c>
      <c r="F1094" t="str">
        <f>IF($A1094&lt;&gt;"",MAESTRO!$J1093,"")</f>
        <v/>
      </c>
      <c r="G1094" t="str">
        <f>IF($A1094&lt;&gt;"",MAESTRO!$D1093,"")</f>
        <v/>
      </c>
      <c r="H1094" t="str">
        <f>IF($A1094&lt;&gt;"",IF(TRIM(MAESTRO!$G1093&amp;" "&amp;MAESTRO!$H1093&amp;" "&amp;MAESTRO!$I1093)="",MAESTRO!$F1093,TRIM(MAESTRO!$G1093&amp;" "&amp;MAESTRO!$H1093&amp;" "&amp;MAESTRO!$I1093)),"")</f>
        <v/>
      </c>
      <c r="I1094" t="str">
        <f>IF($A1094&lt;&gt;"",MAESTRO!$K1093,"")</f>
        <v/>
      </c>
      <c r="J1094" t="str">
        <f>IF($A1094&lt;&gt;"",1094,"")</f>
        <v/>
      </c>
    </row>
    <row r="1095" spans="1:10" x14ac:dyDescent="0.2">
      <c r="A1095" t="str">
        <f>IF(AND(UPPER(MAESTRO!$M1094)="VIP",UPPER(MAESTRO!$J1094)="SI",MAESTRO!$F1094&lt;&gt;""),MAESTRO!$P1094,"")</f>
        <v/>
      </c>
      <c r="B1095" t="str">
        <f>IF($A1095&lt;&gt;"",MAESTRO!$B1094,"")</f>
        <v/>
      </c>
      <c r="C1095" t="str">
        <f>IF($A1095&lt;&gt;"",MAESTRO!$A1094,"")</f>
        <v/>
      </c>
      <c r="D1095" t="str">
        <f>IF($A1095&lt;&gt;"",MAESTRO!$C1094,"")</f>
        <v/>
      </c>
      <c r="E1095" t="str">
        <f>IF($A1095&lt;&gt;"",MAESTRO!$M1094,"")</f>
        <v/>
      </c>
      <c r="F1095" t="str">
        <f>IF($A1095&lt;&gt;"",MAESTRO!$J1094,"")</f>
        <v/>
      </c>
      <c r="G1095" t="str">
        <f>IF($A1095&lt;&gt;"",MAESTRO!$D1094,"")</f>
        <v/>
      </c>
      <c r="H1095" t="str">
        <f>IF($A1095&lt;&gt;"",IF(TRIM(MAESTRO!$G1094&amp;" "&amp;MAESTRO!$H1094&amp;" "&amp;MAESTRO!$I1094)="",MAESTRO!$F1094,TRIM(MAESTRO!$G1094&amp;" "&amp;MAESTRO!$H1094&amp;" "&amp;MAESTRO!$I1094)),"")</f>
        <v/>
      </c>
      <c r="I1095" t="str">
        <f>IF($A1095&lt;&gt;"",MAESTRO!$K1094,"")</f>
        <v/>
      </c>
      <c r="J1095" t="str">
        <f>IF($A1095&lt;&gt;"",1095,"")</f>
        <v/>
      </c>
    </row>
    <row r="1096" spans="1:10" x14ac:dyDescent="0.2">
      <c r="A1096" t="str">
        <f>IF(AND(UPPER(MAESTRO!$M1095)="VIP",UPPER(MAESTRO!$J1095)="SI",MAESTRO!$F1095&lt;&gt;""),MAESTRO!$P1095,"")</f>
        <v/>
      </c>
      <c r="B1096" t="str">
        <f>IF($A1096&lt;&gt;"",MAESTRO!$B1095,"")</f>
        <v/>
      </c>
      <c r="C1096" t="str">
        <f>IF($A1096&lt;&gt;"",MAESTRO!$A1095,"")</f>
        <v/>
      </c>
      <c r="D1096" t="str">
        <f>IF($A1096&lt;&gt;"",MAESTRO!$C1095,"")</f>
        <v/>
      </c>
      <c r="E1096" t="str">
        <f>IF($A1096&lt;&gt;"",MAESTRO!$M1095,"")</f>
        <v/>
      </c>
      <c r="F1096" t="str">
        <f>IF($A1096&lt;&gt;"",MAESTRO!$J1095,"")</f>
        <v/>
      </c>
      <c r="G1096" t="str">
        <f>IF($A1096&lt;&gt;"",MAESTRO!$D1095,"")</f>
        <v/>
      </c>
      <c r="H1096" t="str">
        <f>IF($A1096&lt;&gt;"",IF(TRIM(MAESTRO!$G1095&amp;" "&amp;MAESTRO!$H1095&amp;" "&amp;MAESTRO!$I1095)="",MAESTRO!$F1095,TRIM(MAESTRO!$G1095&amp;" "&amp;MAESTRO!$H1095&amp;" "&amp;MAESTRO!$I1095)),"")</f>
        <v/>
      </c>
      <c r="I1096" t="str">
        <f>IF($A1096&lt;&gt;"",MAESTRO!$K1095,"")</f>
        <v/>
      </c>
      <c r="J1096" t="str">
        <f>IF($A1096&lt;&gt;"",1096,"")</f>
        <v/>
      </c>
    </row>
    <row r="1097" spans="1:10" x14ac:dyDescent="0.2">
      <c r="A1097" t="str">
        <f>IF(AND(UPPER(MAESTRO!$M1096)="VIP",UPPER(MAESTRO!$J1096)="SI",MAESTRO!$F1096&lt;&gt;""),MAESTRO!$P1096,"")</f>
        <v/>
      </c>
      <c r="B1097" t="str">
        <f>IF($A1097&lt;&gt;"",MAESTRO!$B1096,"")</f>
        <v/>
      </c>
      <c r="C1097" t="str">
        <f>IF($A1097&lt;&gt;"",MAESTRO!$A1096,"")</f>
        <v/>
      </c>
      <c r="D1097" t="str">
        <f>IF($A1097&lt;&gt;"",MAESTRO!$C1096,"")</f>
        <v/>
      </c>
      <c r="E1097" t="str">
        <f>IF($A1097&lt;&gt;"",MAESTRO!$M1096,"")</f>
        <v/>
      </c>
      <c r="F1097" t="str">
        <f>IF($A1097&lt;&gt;"",MAESTRO!$J1096,"")</f>
        <v/>
      </c>
      <c r="G1097" t="str">
        <f>IF($A1097&lt;&gt;"",MAESTRO!$D1096,"")</f>
        <v/>
      </c>
      <c r="H1097" t="str">
        <f>IF($A1097&lt;&gt;"",IF(TRIM(MAESTRO!$G1096&amp;" "&amp;MAESTRO!$H1096&amp;" "&amp;MAESTRO!$I1096)="",MAESTRO!$F1096,TRIM(MAESTRO!$G1096&amp;" "&amp;MAESTRO!$H1096&amp;" "&amp;MAESTRO!$I1096)),"")</f>
        <v/>
      </c>
      <c r="I1097" t="str">
        <f>IF($A1097&lt;&gt;"",MAESTRO!$K1096,"")</f>
        <v/>
      </c>
      <c r="J1097" t="str">
        <f>IF($A1097&lt;&gt;"",1097,"")</f>
        <v/>
      </c>
    </row>
    <row r="1098" spans="1:10" x14ac:dyDescent="0.2">
      <c r="A1098" t="str">
        <f>IF(AND(UPPER(MAESTRO!$M1097)="VIP",UPPER(MAESTRO!$J1097)="SI",MAESTRO!$F1097&lt;&gt;""),MAESTRO!$P1097,"")</f>
        <v/>
      </c>
      <c r="B1098" t="str">
        <f>IF($A1098&lt;&gt;"",MAESTRO!$B1097,"")</f>
        <v/>
      </c>
      <c r="C1098" t="str">
        <f>IF($A1098&lt;&gt;"",MAESTRO!$A1097,"")</f>
        <v/>
      </c>
      <c r="D1098" t="str">
        <f>IF($A1098&lt;&gt;"",MAESTRO!$C1097,"")</f>
        <v/>
      </c>
      <c r="E1098" t="str">
        <f>IF($A1098&lt;&gt;"",MAESTRO!$M1097,"")</f>
        <v/>
      </c>
      <c r="F1098" t="str">
        <f>IF($A1098&lt;&gt;"",MAESTRO!$J1097,"")</f>
        <v/>
      </c>
      <c r="G1098" t="str">
        <f>IF($A1098&lt;&gt;"",MAESTRO!$D1097,"")</f>
        <v/>
      </c>
      <c r="H1098" t="str">
        <f>IF($A1098&lt;&gt;"",IF(TRIM(MAESTRO!$G1097&amp;" "&amp;MAESTRO!$H1097&amp;" "&amp;MAESTRO!$I1097)="",MAESTRO!$F1097,TRIM(MAESTRO!$G1097&amp;" "&amp;MAESTRO!$H1097&amp;" "&amp;MAESTRO!$I1097)),"")</f>
        <v/>
      </c>
      <c r="I1098" t="str">
        <f>IF($A1098&lt;&gt;"",MAESTRO!$K1097,"")</f>
        <v/>
      </c>
      <c r="J1098" t="str">
        <f>IF($A1098&lt;&gt;"",1098,"")</f>
        <v/>
      </c>
    </row>
    <row r="1099" spans="1:10" x14ac:dyDescent="0.2">
      <c r="A1099" t="str">
        <f>IF(AND(UPPER(MAESTRO!$M1098)="VIP",UPPER(MAESTRO!$J1098)="SI",MAESTRO!$F1098&lt;&gt;""),MAESTRO!$P1098,"")</f>
        <v/>
      </c>
      <c r="B1099" t="str">
        <f>IF($A1099&lt;&gt;"",MAESTRO!$B1098,"")</f>
        <v/>
      </c>
      <c r="C1099" t="str">
        <f>IF($A1099&lt;&gt;"",MAESTRO!$A1098,"")</f>
        <v/>
      </c>
      <c r="D1099" t="str">
        <f>IF($A1099&lt;&gt;"",MAESTRO!$C1098,"")</f>
        <v/>
      </c>
      <c r="E1099" t="str">
        <f>IF($A1099&lt;&gt;"",MAESTRO!$M1098,"")</f>
        <v/>
      </c>
      <c r="F1099" t="str">
        <f>IF($A1099&lt;&gt;"",MAESTRO!$J1098,"")</f>
        <v/>
      </c>
      <c r="G1099" t="str">
        <f>IF($A1099&lt;&gt;"",MAESTRO!$D1098,"")</f>
        <v/>
      </c>
      <c r="H1099" t="str">
        <f>IF($A1099&lt;&gt;"",IF(TRIM(MAESTRO!$G1098&amp;" "&amp;MAESTRO!$H1098&amp;" "&amp;MAESTRO!$I1098)="",MAESTRO!$F1098,TRIM(MAESTRO!$G1098&amp;" "&amp;MAESTRO!$H1098&amp;" "&amp;MAESTRO!$I1098)),"")</f>
        <v/>
      </c>
      <c r="I1099" t="str">
        <f>IF($A1099&lt;&gt;"",MAESTRO!$K1098,"")</f>
        <v/>
      </c>
      <c r="J1099" t="str">
        <f>IF($A1099&lt;&gt;"",1099,"")</f>
        <v/>
      </c>
    </row>
    <row r="1100" spans="1:10" x14ac:dyDescent="0.2">
      <c r="A1100" t="str">
        <f>IF(AND(UPPER(MAESTRO!$M1099)="VIP",UPPER(MAESTRO!$J1099)="SI",MAESTRO!$F1099&lt;&gt;""),MAESTRO!$P1099,"")</f>
        <v/>
      </c>
      <c r="B1100" t="str">
        <f>IF($A1100&lt;&gt;"",MAESTRO!$B1099,"")</f>
        <v/>
      </c>
      <c r="C1100" t="str">
        <f>IF($A1100&lt;&gt;"",MAESTRO!$A1099,"")</f>
        <v/>
      </c>
      <c r="D1100" t="str">
        <f>IF($A1100&lt;&gt;"",MAESTRO!$C1099,"")</f>
        <v/>
      </c>
      <c r="E1100" t="str">
        <f>IF($A1100&lt;&gt;"",MAESTRO!$M1099,"")</f>
        <v/>
      </c>
      <c r="F1100" t="str">
        <f>IF($A1100&lt;&gt;"",MAESTRO!$J1099,"")</f>
        <v/>
      </c>
      <c r="G1100" t="str">
        <f>IF($A1100&lt;&gt;"",MAESTRO!$D1099,"")</f>
        <v/>
      </c>
      <c r="H1100" t="str">
        <f>IF($A1100&lt;&gt;"",IF(TRIM(MAESTRO!$G1099&amp;" "&amp;MAESTRO!$H1099&amp;" "&amp;MAESTRO!$I1099)="",MAESTRO!$F1099,TRIM(MAESTRO!$G1099&amp;" "&amp;MAESTRO!$H1099&amp;" "&amp;MAESTRO!$I1099)),"")</f>
        <v/>
      </c>
      <c r="I1100" t="str">
        <f>IF($A1100&lt;&gt;"",MAESTRO!$K1099,"")</f>
        <v/>
      </c>
      <c r="J1100" t="str">
        <f>IF($A1100&lt;&gt;"",1100,"")</f>
        <v/>
      </c>
    </row>
    <row r="1101" spans="1:10" x14ac:dyDescent="0.2">
      <c r="A1101" t="str">
        <f>IF(AND(UPPER(MAESTRO!$M1100)="VIP",UPPER(MAESTRO!$J1100)="SI",MAESTRO!$F1100&lt;&gt;""),MAESTRO!$P1100,"")</f>
        <v/>
      </c>
      <c r="B1101" t="str">
        <f>IF($A1101&lt;&gt;"",MAESTRO!$B1100,"")</f>
        <v/>
      </c>
      <c r="C1101" t="str">
        <f>IF($A1101&lt;&gt;"",MAESTRO!$A1100,"")</f>
        <v/>
      </c>
      <c r="D1101" t="str">
        <f>IF($A1101&lt;&gt;"",MAESTRO!$C1100,"")</f>
        <v/>
      </c>
      <c r="E1101" t="str">
        <f>IF($A1101&lt;&gt;"",MAESTRO!$M1100,"")</f>
        <v/>
      </c>
      <c r="F1101" t="str">
        <f>IF($A1101&lt;&gt;"",MAESTRO!$J1100,"")</f>
        <v/>
      </c>
      <c r="G1101" t="str">
        <f>IF($A1101&lt;&gt;"",MAESTRO!$D1100,"")</f>
        <v/>
      </c>
      <c r="H1101" t="str">
        <f>IF($A1101&lt;&gt;"",IF(TRIM(MAESTRO!$G1100&amp;" "&amp;MAESTRO!$H1100&amp;" "&amp;MAESTRO!$I1100)="",MAESTRO!$F1100,TRIM(MAESTRO!$G1100&amp;" "&amp;MAESTRO!$H1100&amp;" "&amp;MAESTRO!$I1100)),"")</f>
        <v/>
      </c>
      <c r="I1101" t="str">
        <f>IF($A1101&lt;&gt;"",MAESTRO!$K1100,"")</f>
        <v/>
      </c>
      <c r="J1101" t="str">
        <f>IF($A1101&lt;&gt;"",1101,"")</f>
        <v/>
      </c>
    </row>
    <row r="1102" spans="1:10" x14ac:dyDescent="0.2">
      <c r="A1102" t="str">
        <f>IF(AND(UPPER(MAESTRO!$M1101)="VIP",UPPER(MAESTRO!$J1101)="SI",MAESTRO!$F1101&lt;&gt;""),MAESTRO!$P1101,"")</f>
        <v/>
      </c>
      <c r="B1102" t="str">
        <f>IF($A1102&lt;&gt;"",MAESTRO!$B1101,"")</f>
        <v/>
      </c>
      <c r="C1102" t="str">
        <f>IF($A1102&lt;&gt;"",MAESTRO!$A1101,"")</f>
        <v/>
      </c>
      <c r="D1102" t="str">
        <f>IF($A1102&lt;&gt;"",MAESTRO!$C1101,"")</f>
        <v/>
      </c>
      <c r="E1102" t="str">
        <f>IF($A1102&lt;&gt;"",MAESTRO!$M1101,"")</f>
        <v/>
      </c>
      <c r="F1102" t="str">
        <f>IF($A1102&lt;&gt;"",MAESTRO!$J1101,"")</f>
        <v/>
      </c>
      <c r="G1102" t="str">
        <f>IF($A1102&lt;&gt;"",MAESTRO!$D1101,"")</f>
        <v/>
      </c>
      <c r="H1102" t="str">
        <f>IF($A1102&lt;&gt;"",IF(TRIM(MAESTRO!$G1101&amp;" "&amp;MAESTRO!$H1101&amp;" "&amp;MAESTRO!$I1101)="",MAESTRO!$F1101,TRIM(MAESTRO!$G1101&amp;" "&amp;MAESTRO!$H1101&amp;" "&amp;MAESTRO!$I1101)),"")</f>
        <v/>
      </c>
      <c r="I1102" t="str">
        <f>IF($A1102&lt;&gt;"",MAESTRO!$K1101,"")</f>
        <v/>
      </c>
      <c r="J1102" t="str">
        <f>IF($A1102&lt;&gt;"",1102,"")</f>
        <v/>
      </c>
    </row>
    <row r="1103" spans="1:10" x14ac:dyDescent="0.2">
      <c r="A1103" t="str">
        <f>IF(AND(UPPER(MAESTRO!$M1102)="VIP",UPPER(MAESTRO!$J1102)="SI",MAESTRO!$F1102&lt;&gt;""),MAESTRO!$P1102,"")</f>
        <v/>
      </c>
      <c r="B1103" t="str">
        <f>IF($A1103&lt;&gt;"",MAESTRO!$B1102,"")</f>
        <v/>
      </c>
      <c r="C1103" t="str">
        <f>IF($A1103&lt;&gt;"",MAESTRO!$A1102,"")</f>
        <v/>
      </c>
      <c r="D1103" t="str">
        <f>IF($A1103&lt;&gt;"",MAESTRO!$C1102,"")</f>
        <v/>
      </c>
      <c r="E1103" t="str">
        <f>IF($A1103&lt;&gt;"",MAESTRO!$M1102,"")</f>
        <v/>
      </c>
      <c r="F1103" t="str">
        <f>IF($A1103&lt;&gt;"",MAESTRO!$J1102,"")</f>
        <v/>
      </c>
      <c r="G1103" t="str">
        <f>IF($A1103&lt;&gt;"",MAESTRO!$D1102,"")</f>
        <v/>
      </c>
      <c r="H1103" t="str">
        <f>IF($A1103&lt;&gt;"",IF(TRIM(MAESTRO!$G1102&amp;" "&amp;MAESTRO!$H1102&amp;" "&amp;MAESTRO!$I1102)="",MAESTRO!$F1102,TRIM(MAESTRO!$G1102&amp;" "&amp;MAESTRO!$H1102&amp;" "&amp;MAESTRO!$I1102)),"")</f>
        <v/>
      </c>
      <c r="I1103" t="str">
        <f>IF($A1103&lt;&gt;"",MAESTRO!$K1102,"")</f>
        <v/>
      </c>
      <c r="J1103" t="str">
        <f>IF($A1103&lt;&gt;"",1103,"")</f>
        <v/>
      </c>
    </row>
    <row r="1104" spans="1:10" x14ac:dyDescent="0.2">
      <c r="A1104" t="str">
        <f>IF(AND(UPPER(MAESTRO!$M1103)="VIP",UPPER(MAESTRO!$J1103)="SI",MAESTRO!$F1103&lt;&gt;""),MAESTRO!$P1103,"")</f>
        <v/>
      </c>
      <c r="B1104" t="str">
        <f>IF($A1104&lt;&gt;"",MAESTRO!$B1103,"")</f>
        <v/>
      </c>
      <c r="C1104" t="str">
        <f>IF($A1104&lt;&gt;"",MAESTRO!$A1103,"")</f>
        <v/>
      </c>
      <c r="D1104" t="str">
        <f>IF($A1104&lt;&gt;"",MAESTRO!$C1103,"")</f>
        <v/>
      </c>
      <c r="E1104" t="str">
        <f>IF($A1104&lt;&gt;"",MAESTRO!$M1103,"")</f>
        <v/>
      </c>
      <c r="F1104" t="str">
        <f>IF($A1104&lt;&gt;"",MAESTRO!$J1103,"")</f>
        <v/>
      </c>
      <c r="G1104" t="str">
        <f>IF($A1104&lt;&gt;"",MAESTRO!$D1103,"")</f>
        <v/>
      </c>
      <c r="H1104" t="str">
        <f>IF($A1104&lt;&gt;"",IF(TRIM(MAESTRO!$G1103&amp;" "&amp;MAESTRO!$H1103&amp;" "&amp;MAESTRO!$I1103)="",MAESTRO!$F1103,TRIM(MAESTRO!$G1103&amp;" "&amp;MAESTRO!$H1103&amp;" "&amp;MAESTRO!$I1103)),"")</f>
        <v/>
      </c>
      <c r="I1104" t="str">
        <f>IF($A1104&lt;&gt;"",MAESTRO!$K1103,"")</f>
        <v/>
      </c>
      <c r="J1104" t="str">
        <f>IF($A1104&lt;&gt;"",1104,"")</f>
        <v/>
      </c>
    </row>
    <row r="1105" spans="1:10" x14ac:dyDescent="0.2">
      <c r="A1105" t="str">
        <f>IF(AND(UPPER(MAESTRO!$M1104)="VIP",UPPER(MAESTRO!$J1104)="SI",MAESTRO!$F1104&lt;&gt;""),MAESTRO!$P1104,"")</f>
        <v/>
      </c>
      <c r="B1105" t="str">
        <f>IF($A1105&lt;&gt;"",MAESTRO!$B1104,"")</f>
        <v/>
      </c>
      <c r="C1105" t="str">
        <f>IF($A1105&lt;&gt;"",MAESTRO!$A1104,"")</f>
        <v/>
      </c>
      <c r="D1105" t="str">
        <f>IF($A1105&lt;&gt;"",MAESTRO!$C1104,"")</f>
        <v/>
      </c>
      <c r="E1105" t="str">
        <f>IF($A1105&lt;&gt;"",MAESTRO!$M1104,"")</f>
        <v/>
      </c>
      <c r="F1105" t="str">
        <f>IF($A1105&lt;&gt;"",MAESTRO!$J1104,"")</f>
        <v/>
      </c>
      <c r="G1105" t="str">
        <f>IF($A1105&lt;&gt;"",MAESTRO!$D1104,"")</f>
        <v/>
      </c>
      <c r="H1105" t="str">
        <f>IF($A1105&lt;&gt;"",IF(TRIM(MAESTRO!$G1104&amp;" "&amp;MAESTRO!$H1104&amp;" "&amp;MAESTRO!$I1104)="",MAESTRO!$F1104,TRIM(MAESTRO!$G1104&amp;" "&amp;MAESTRO!$H1104&amp;" "&amp;MAESTRO!$I1104)),"")</f>
        <v/>
      </c>
      <c r="I1105" t="str">
        <f>IF($A1105&lt;&gt;"",MAESTRO!$K1104,"")</f>
        <v/>
      </c>
      <c r="J1105" t="str">
        <f>IF($A1105&lt;&gt;"",1105,"")</f>
        <v/>
      </c>
    </row>
    <row r="1106" spans="1:10" x14ac:dyDescent="0.2">
      <c r="A1106" t="str">
        <f>IF(AND(UPPER(MAESTRO!$M1105)="VIP",UPPER(MAESTRO!$J1105)="SI",MAESTRO!$F1105&lt;&gt;""),MAESTRO!$P1105,"")</f>
        <v/>
      </c>
      <c r="B1106" t="str">
        <f>IF($A1106&lt;&gt;"",MAESTRO!$B1105,"")</f>
        <v/>
      </c>
      <c r="C1106" t="str">
        <f>IF($A1106&lt;&gt;"",MAESTRO!$A1105,"")</f>
        <v/>
      </c>
      <c r="D1106" t="str">
        <f>IF($A1106&lt;&gt;"",MAESTRO!$C1105,"")</f>
        <v/>
      </c>
      <c r="E1106" t="str">
        <f>IF($A1106&lt;&gt;"",MAESTRO!$M1105,"")</f>
        <v/>
      </c>
      <c r="F1106" t="str">
        <f>IF($A1106&lt;&gt;"",MAESTRO!$J1105,"")</f>
        <v/>
      </c>
      <c r="G1106" t="str">
        <f>IF($A1106&lt;&gt;"",MAESTRO!$D1105,"")</f>
        <v/>
      </c>
      <c r="H1106" t="str">
        <f>IF($A1106&lt;&gt;"",IF(TRIM(MAESTRO!$G1105&amp;" "&amp;MAESTRO!$H1105&amp;" "&amp;MAESTRO!$I1105)="",MAESTRO!$F1105,TRIM(MAESTRO!$G1105&amp;" "&amp;MAESTRO!$H1105&amp;" "&amp;MAESTRO!$I1105)),"")</f>
        <v/>
      </c>
      <c r="I1106" t="str">
        <f>IF($A1106&lt;&gt;"",MAESTRO!$K1105,"")</f>
        <v/>
      </c>
      <c r="J1106" t="str">
        <f>IF($A1106&lt;&gt;"",1106,"")</f>
        <v/>
      </c>
    </row>
    <row r="1107" spans="1:10" x14ac:dyDescent="0.2">
      <c r="A1107" t="str">
        <f>IF(AND(UPPER(MAESTRO!$M1106)="VIP",UPPER(MAESTRO!$J1106)="SI",MAESTRO!$F1106&lt;&gt;""),MAESTRO!$P1106,"")</f>
        <v/>
      </c>
      <c r="B1107" t="str">
        <f>IF($A1107&lt;&gt;"",MAESTRO!$B1106,"")</f>
        <v/>
      </c>
      <c r="C1107" t="str">
        <f>IF($A1107&lt;&gt;"",MAESTRO!$A1106,"")</f>
        <v/>
      </c>
      <c r="D1107" t="str">
        <f>IF($A1107&lt;&gt;"",MAESTRO!$C1106,"")</f>
        <v/>
      </c>
      <c r="E1107" t="str">
        <f>IF($A1107&lt;&gt;"",MAESTRO!$M1106,"")</f>
        <v/>
      </c>
      <c r="F1107" t="str">
        <f>IF($A1107&lt;&gt;"",MAESTRO!$J1106,"")</f>
        <v/>
      </c>
      <c r="G1107" t="str">
        <f>IF($A1107&lt;&gt;"",MAESTRO!$D1106,"")</f>
        <v/>
      </c>
      <c r="H1107" t="str">
        <f>IF($A1107&lt;&gt;"",IF(TRIM(MAESTRO!$G1106&amp;" "&amp;MAESTRO!$H1106&amp;" "&amp;MAESTRO!$I1106)="",MAESTRO!$F1106,TRIM(MAESTRO!$G1106&amp;" "&amp;MAESTRO!$H1106&amp;" "&amp;MAESTRO!$I1106)),"")</f>
        <v/>
      </c>
      <c r="I1107" t="str">
        <f>IF($A1107&lt;&gt;"",MAESTRO!$K1106,"")</f>
        <v/>
      </c>
      <c r="J1107" t="str">
        <f>IF($A1107&lt;&gt;"",1107,"")</f>
        <v/>
      </c>
    </row>
    <row r="1108" spans="1:10" x14ac:dyDescent="0.2">
      <c r="A1108" t="str">
        <f>IF(AND(UPPER(MAESTRO!$M1107)="VIP",UPPER(MAESTRO!$J1107)="SI",MAESTRO!$F1107&lt;&gt;""),MAESTRO!$P1107,"")</f>
        <v/>
      </c>
      <c r="B1108" t="str">
        <f>IF($A1108&lt;&gt;"",MAESTRO!$B1107,"")</f>
        <v/>
      </c>
      <c r="C1108" t="str">
        <f>IF($A1108&lt;&gt;"",MAESTRO!$A1107,"")</f>
        <v/>
      </c>
      <c r="D1108" t="str">
        <f>IF($A1108&lt;&gt;"",MAESTRO!$C1107,"")</f>
        <v/>
      </c>
      <c r="E1108" t="str">
        <f>IF($A1108&lt;&gt;"",MAESTRO!$M1107,"")</f>
        <v/>
      </c>
      <c r="F1108" t="str">
        <f>IF($A1108&lt;&gt;"",MAESTRO!$J1107,"")</f>
        <v/>
      </c>
      <c r="G1108" t="str">
        <f>IF($A1108&lt;&gt;"",MAESTRO!$D1107,"")</f>
        <v/>
      </c>
      <c r="H1108" t="str">
        <f>IF($A1108&lt;&gt;"",IF(TRIM(MAESTRO!$G1107&amp;" "&amp;MAESTRO!$H1107&amp;" "&amp;MAESTRO!$I1107)="",MAESTRO!$F1107,TRIM(MAESTRO!$G1107&amp;" "&amp;MAESTRO!$H1107&amp;" "&amp;MAESTRO!$I1107)),"")</f>
        <v/>
      </c>
      <c r="I1108" t="str">
        <f>IF($A1108&lt;&gt;"",MAESTRO!$K1107,"")</f>
        <v/>
      </c>
      <c r="J1108" t="str">
        <f>IF($A1108&lt;&gt;"",1108,"")</f>
        <v/>
      </c>
    </row>
    <row r="1109" spans="1:10" x14ac:dyDescent="0.2">
      <c r="A1109" t="str">
        <f>IF(AND(UPPER(MAESTRO!$M1108)="VIP",UPPER(MAESTRO!$J1108)="SI",MAESTRO!$F1108&lt;&gt;""),MAESTRO!$P1108,"")</f>
        <v/>
      </c>
      <c r="B1109" t="str">
        <f>IF($A1109&lt;&gt;"",MAESTRO!$B1108,"")</f>
        <v/>
      </c>
      <c r="C1109" t="str">
        <f>IF($A1109&lt;&gt;"",MAESTRO!$A1108,"")</f>
        <v/>
      </c>
      <c r="D1109" t="str">
        <f>IF($A1109&lt;&gt;"",MAESTRO!$C1108,"")</f>
        <v/>
      </c>
      <c r="E1109" t="str">
        <f>IF($A1109&lt;&gt;"",MAESTRO!$M1108,"")</f>
        <v/>
      </c>
      <c r="F1109" t="str">
        <f>IF($A1109&lt;&gt;"",MAESTRO!$J1108,"")</f>
        <v/>
      </c>
      <c r="G1109" t="str">
        <f>IF($A1109&lt;&gt;"",MAESTRO!$D1108,"")</f>
        <v/>
      </c>
      <c r="H1109" t="str">
        <f>IF($A1109&lt;&gt;"",IF(TRIM(MAESTRO!$G1108&amp;" "&amp;MAESTRO!$H1108&amp;" "&amp;MAESTRO!$I1108)="",MAESTRO!$F1108,TRIM(MAESTRO!$G1108&amp;" "&amp;MAESTRO!$H1108&amp;" "&amp;MAESTRO!$I1108)),"")</f>
        <v/>
      </c>
      <c r="I1109" t="str">
        <f>IF($A1109&lt;&gt;"",MAESTRO!$K1108,"")</f>
        <v/>
      </c>
      <c r="J1109" t="str">
        <f>IF($A1109&lt;&gt;"",1109,"")</f>
        <v/>
      </c>
    </row>
    <row r="1110" spans="1:10" x14ac:dyDescent="0.2">
      <c r="A1110" t="str">
        <f>IF(AND(UPPER(MAESTRO!$M1109)="VIP",UPPER(MAESTRO!$J1109)="SI",MAESTRO!$F1109&lt;&gt;""),MAESTRO!$P1109,"")</f>
        <v/>
      </c>
      <c r="B1110" t="str">
        <f>IF($A1110&lt;&gt;"",MAESTRO!$B1109,"")</f>
        <v/>
      </c>
      <c r="C1110" t="str">
        <f>IF($A1110&lt;&gt;"",MAESTRO!$A1109,"")</f>
        <v/>
      </c>
      <c r="D1110" t="str">
        <f>IF($A1110&lt;&gt;"",MAESTRO!$C1109,"")</f>
        <v/>
      </c>
      <c r="E1110" t="str">
        <f>IF($A1110&lt;&gt;"",MAESTRO!$M1109,"")</f>
        <v/>
      </c>
      <c r="F1110" t="str">
        <f>IF($A1110&lt;&gt;"",MAESTRO!$J1109,"")</f>
        <v/>
      </c>
      <c r="G1110" t="str">
        <f>IF($A1110&lt;&gt;"",MAESTRO!$D1109,"")</f>
        <v/>
      </c>
      <c r="H1110" t="str">
        <f>IF($A1110&lt;&gt;"",IF(TRIM(MAESTRO!$G1109&amp;" "&amp;MAESTRO!$H1109&amp;" "&amp;MAESTRO!$I1109)="",MAESTRO!$F1109,TRIM(MAESTRO!$G1109&amp;" "&amp;MAESTRO!$H1109&amp;" "&amp;MAESTRO!$I1109)),"")</f>
        <v/>
      </c>
      <c r="I1110" t="str">
        <f>IF($A1110&lt;&gt;"",MAESTRO!$K1109,"")</f>
        <v/>
      </c>
      <c r="J1110" t="str">
        <f>IF($A1110&lt;&gt;"",1110,"")</f>
        <v/>
      </c>
    </row>
    <row r="1111" spans="1:10" x14ac:dyDescent="0.2">
      <c r="A1111" t="str">
        <f>IF(AND(UPPER(MAESTRO!$M1110)="VIP",UPPER(MAESTRO!$J1110)="SI",MAESTRO!$F1110&lt;&gt;""),MAESTRO!$P1110,"")</f>
        <v/>
      </c>
      <c r="B1111" t="str">
        <f>IF($A1111&lt;&gt;"",MAESTRO!$B1110,"")</f>
        <v/>
      </c>
      <c r="C1111" t="str">
        <f>IF($A1111&lt;&gt;"",MAESTRO!$A1110,"")</f>
        <v/>
      </c>
      <c r="D1111" t="str">
        <f>IF($A1111&lt;&gt;"",MAESTRO!$C1110,"")</f>
        <v/>
      </c>
      <c r="E1111" t="str">
        <f>IF($A1111&lt;&gt;"",MAESTRO!$M1110,"")</f>
        <v/>
      </c>
      <c r="F1111" t="str">
        <f>IF($A1111&lt;&gt;"",MAESTRO!$J1110,"")</f>
        <v/>
      </c>
      <c r="G1111" t="str">
        <f>IF($A1111&lt;&gt;"",MAESTRO!$D1110,"")</f>
        <v/>
      </c>
      <c r="H1111" t="str">
        <f>IF($A1111&lt;&gt;"",IF(TRIM(MAESTRO!$G1110&amp;" "&amp;MAESTRO!$H1110&amp;" "&amp;MAESTRO!$I1110)="",MAESTRO!$F1110,TRIM(MAESTRO!$G1110&amp;" "&amp;MAESTRO!$H1110&amp;" "&amp;MAESTRO!$I1110)),"")</f>
        <v/>
      </c>
      <c r="I1111" t="str">
        <f>IF($A1111&lt;&gt;"",MAESTRO!$K1110,"")</f>
        <v/>
      </c>
      <c r="J1111" t="str">
        <f>IF($A1111&lt;&gt;"",1111,"")</f>
        <v/>
      </c>
    </row>
    <row r="1112" spans="1:10" x14ac:dyDescent="0.2">
      <c r="A1112" t="str">
        <f>IF(AND(UPPER(MAESTRO!$M1111)="VIP",UPPER(MAESTRO!$J1111)="SI",MAESTRO!$F1111&lt;&gt;""),MAESTRO!$P1111,"")</f>
        <v/>
      </c>
      <c r="B1112" t="str">
        <f>IF($A1112&lt;&gt;"",MAESTRO!$B1111,"")</f>
        <v/>
      </c>
      <c r="C1112" t="str">
        <f>IF($A1112&lt;&gt;"",MAESTRO!$A1111,"")</f>
        <v/>
      </c>
      <c r="D1112" t="str">
        <f>IF($A1112&lt;&gt;"",MAESTRO!$C1111,"")</f>
        <v/>
      </c>
      <c r="E1112" t="str">
        <f>IF($A1112&lt;&gt;"",MAESTRO!$M1111,"")</f>
        <v/>
      </c>
      <c r="F1112" t="str">
        <f>IF($A1112&lt;&gt;"",MAESTRO!$J1111,"")</f>
        <v/>
      </c>
      <c r="G1112" t="str">
        <f>IF($A1112&lt;&gt;"",MAESTRO!$D1111,"")</f>
        <v/>
      </c>
      <c r="H1112" t="str">
        <f>IF($A1112&lt;&gt;"",IF(TRIM(MAESTRO!$G1111&amp;" "&amp;MAESTRO!$H1111&amp;" "&amp;MAESTRO!$I1111)="",MAESTRO!$F1111,TRIM(MAESTRO!$G1111&amp;" "&amp;MAESTRO!$H1111&amp;" "&amp;MAESTRO!$I1111)),"")</f>
        <v/>
      </c>
      <c r="I1112" t="str">
        <f>IF($A1112&lt;&gt;"",MAESTRO!$K1111,"")</f>
        <v/>
      </c>
      <c r="J1112" t="str">
        <f>IF($A1112&lt;&gt;"",1112,"")</f>
        <v/>
      </c>
    </row>
    <row r="1113" spans="1:10" x14ac:dyDescent="0.2">
      <c r="A1113" t="str">
        <f>IF(AND(UPPER(MAESTRO!$M1112)="VIP",UPPER(MAESTRO!$J1112)="SI",MAESTRO!$F1112&lt;&gt;""),MAESTRO!$P1112,"")</f>
        <v/>
      </c>
      <c r="B1113" t="str">
        <f>IF($A1113&lt;&gt;"",MAESTRO!$B1112,"")</f>
        <v/>
      </c>
      <c r="C1113" t="str">
        <f>IF($A1113&lt;&gt;"",MAESTRO!$A1112,"")</f>
        <v/>
      </c>
      <c r="D1113" t="str">
        <f>IF($A1113&lt;&gt;"",MAESTRO!$C1112,"")</f>
        <v/>
      </c>
      <c r="E1113" t="str">
        <f>IF($A1113&lt;&gt;"",MAESTRO!$M1112,"")</f>
        <v/>
      </c>
      <c r="F1113" t="str">
        <f>IF($A1113&lt;&gt;"",MAESTRO!$J1112,"")</f>
        <v/>
      </c>
      <c r="G1113" t="str">
        <f>IF($A1113&lt;&gt;"",MAESTRO!$D1112,"")</f>
        <v/>
      </c>
      <c r="H1113" t="str">
        <f>IF($A1113&lt;&gt;"",IF(TRIM(MAESTRO!$G1112&amp;" "&amp;MAESTRO!$H1112&amp;" "&amp;MAESTRO!$I1112)="",MAESTRO!$F1112,TRIM(MAESTRO!$G1112&amp;" "&amp;MAESTRO!$H1112&amp;" "&amp;MAESTRO!$I1112)),"")</f>
        <v/>
      </c>
      <c r="I1113" t="str">
        <f>IF($A1113&lt;&gt;"",MAESTRO!$K1112,"")</f>
        <v/>
      </c>
      <c r="J1113" t="str">
        <f>IF($A1113&lt;&gt;"",1113,"")</f>
        <v/>
      </c>
    </row>
    <row r="1114" spans="1:10" x14ac:dyDescent="0.2">
      <c r="A1114" t="str">
        <f>IF(AND(UPPER(MAESTRO!$M1113)="VIP",UPPER(MAESTRO!$J1113)="SI",MAESTRO!$F1113&lt;&gt;""),MAESTRO!$P1113,"")</f>
        <v/>
      </c>
      <c r="B1114" t="str">
        <f>IF($A1114&lt;&gt;"",MAESTRO!$B1113,"")</f>
        <v/>
      </c>
      <c r="C1114" t="str">
        <f>IF($A1114&lt;&gt;"",MAESTRO!$A1113,"")</f>
        <v/>
      </c>
      <c r="D1114" t="str">
        <f>IF($A1114&lt;&gt;"",MAESTRO!$C1113,"")</f>
        <v/>
      </c>
      <c r="E1114" t="str">
        <f>IF($A1114&lt;&gt;"",MAESTRO!$M1113,"")</f>
        <v/>
      </c>
      <c r="F1114" t="str">
        <f>IF($A1114&lt;&gt;"",MAESTRO!$J1113,"")</f>
        <v/>
      </c>
      <c r="G1114" t="str">
        <f>IF($A1114&lt;&gt;"",MAESTRO!$D1113,"")</f>
        <v/>
      </c>
      <c r="H1114" t="str">
        <f>IF($A1114&lt;&gt;"",IF(TRIM(MAESTRO!$G1113&amp;" "&amp;MAESTRO!$H1113&amp;" "&amp;MAESTRO!$I1113)="",MAESTRO!$F1113,TRIM(MAESTRO!$G1113&amp;" "&amp;MAESTRO!$H1113&amp;" "&amp;MAESTRO!$I1113)),"")</f>
        <v/>
      </c>
      <c r="I1114" t="str">
        <f>IF($A1114&lt;&gt;"",MAESTRO!$K1113,"")</f>
        <v/>
      </c>
      <c r="J1114" t="str">
        <f>IF($A1114&lt;&gt;"",1114,"")</f>
        <v/>
      </c>
    </row>
    <row r="1115" spans="1:10" x14ac:dyDescent="0.2">
      <c r="A1115" t="str">
        <f>IF(AND(UPPER(MAESTRO!$M1114)="VIP",UPPER(MAESTRO!$J1114)="SI",MAESTRO!$F1114&lt;&gt;""),MAESTRO!$P1114,"")</f>
        <v/>
      </c>
      <c r="B1115" t="str">
        <f>IF($A1115&lt;&gt;"",MAESTRO!$B1114,"")</f>
        <v/>
      </c>
      <c r="C1115" t="str">
        <f>IF($A1115&lt;&gt;"",MAESTRO!$A1114,"")</f>
        <v/>
      </c>
      <c r="D1115" t="str">
        <f>IF($A1115&lt;&gt;"",MAESTRO!$C1114,"")</f>
        <v/>
      </c>
      <c r="E1115" t="str">
        <f>IF($A1115&lt;&gt;"",MAESTRO!$M1114,"")</f>
        <v/>
      </c>
      <c r="F1115" t="str">
        <f>IF($A1115&lt;&gt;"",MAESTRO!$J1114,"")</f>
        <v/>
      </c>
      <c r="G1115" t="str">
        <f>IF($A1115&lt;&gt;"",MAESTRO!$D1114,"")</f>
        <v/>
      </c>
      <c r="H1115" t="str">
        <f>IF($A1115&lt;&gt;"",IF(TRIM(MAESTRO!$G1114&amp;" "&amp;MAESTRO!$H1114&amp;" "&amp;MAESTRO!$I1114)="",MAESTRO!$F1114,TRIM(MAESTRO!$G1114&amp;" "&amp;MAESTRO!$H1114&amp;" "&amp;MAESTRO!$I1114)),"")</f>
        <v/>
      </c>
      <c r="I1115" t="str">
        <f>IF($A1115&lt;&gt;"",MAESTRO!$K1114,"")</f>
        <v/>
      </c>
      <c r="J1115" t="str">
        <f>IF($A1115&lt;&gt;"",1115,"")</f>
        <v/>
      </c>
    </row>
    <row r="1116" spans="1:10" x14ac:dyDescent="0.2">
      <c r="A1116" t="str">
        <f>IF(AND(UPPER(MAESTRO!$M1115)="VIP",UPPER(MAESTRO!$J1115)="SI",MAESTRO!$F1115&lt;&gt;""),MAESTRO!$P1115,"")</f>
        <v/>
      </c>
      <c r="B1116" t="str">
        <f>IF($A1116&lt;&gt;"",MAESTRO!$B1115,"")</f>
        <v/>
      </c>
      <c r="C1116" t="str">
        <f>IF($A1116&lt;&gt;"",MAESTRO!$A1115,"")</f>
        <v/>
      </c>
      <c r="D1116" t="str">
        <f>IF($A1116&lt;&gt;"",MAESTRO!$C1115,"")</f>
        <v/>
      </c>
      <c r="E1116" t="str">
        <f>IF($A1116&lt;&gt;"",MAESTRO!$M1115,"")</f>
        <v/>
      </c>
      <c r="F1116" t="str">
        <f>IF($A1116&lt;&gt;"",MAESTRO!$J1115,"")</f>
        <v/>
      </c>
      <c r="G1116" t="str">
        <f>IF($A1116&lt;&gt;"",MAESTRO!$D1115,"")</f>
        <v/>
      </c>
      <c r="H1116" t="str">
        <f>IF($A1116&lt;&gt;"",IF(TRIM(MAESTRO!$G1115&amp;" "&amp;MAESTRO!$H1115&amp;" "&amp;MAESTRO!$I1115)="",MAESTRO!$F1115,TRIM(MAESTRO!$G1115&amp;" "&amp;MAESTRO!$H1115&amp;" "&amp;MAESTRO!$I1115)),"")</f>
        <v/>
      </c>
      <c r="I1116" t="str">
        <f>IF($A1116&lt;&gt;"",MAESTRO!$K1115,"")</f>
        <v/>
      </c>
      <c r="J1116" t="str">
        <f>IF($A1116&lt;&gt;"",1116,"")</f>
        <v/>
      </c>
    </row>
    <row r="1117" spans="1:10" x14ac:dyDescent="0.2">
      <c r="A1117" t="str">
        <f>IF(AND(UPPER(MAESTRO!$M1116)="VIP",UPPER(MAESTRO!$J1116)="SI",MAESTRO!$F1116&lt;&gt;""),MAESTRO!$P1116,"")</f>
        <v/>
      </c>
      <c r="B1117" t="str">
        <f>IF($A1117&lt;&gt;"",MAESTRO!$B1116,"")</f>
        <v/>
      </c>
      <c r="C1117" t="str">
        <f>IF($A1117&lt;&gt;"",MAESTRO!$A1116,"")</f>
        <v/>
      </c>
      <c r="D1117" t="str">
        <f>IF($A1117&lt;&gt;"",MAESTRO!$C1116,"")</f>
        <v/>
      </c>
      <c r="E1117" t="str">
        <f>IF($A1117&lt;&gt;"",MAESTRO!$M1116,"")</f>
        <v/>
      </c>
      <c r="F1117" t="str">
        <f>IF($A1117&lt;&gt;"",MAESTRO!$J1116,"")</f>
        <v/>
      </c>
      <c r="G1117" t="str">
        <f>IF($A1117&lt;&gt;"",MAESTRO!$D1116,"")</f>
        <v/>
      </c>
      <c r="H1117" t="str">
        <f>IF($A1117&lt;&gt;"",IF(TRIM(MAESTRO!$G1116&amp;" "&amp;MAESTRO!$H1116&amp;" "&amp;MAESTRO!$I1116)="",MAESTRO!$F1116,TRIM(MAESTRO!$G1116&amp;" "&amp;MAESTRO!$H1116&amp;" "&amp;MAESTRO!$I1116)),"")</f>
        <v/>
      </c>
      <c r="I1117" t="str">
        <f>IF($A1117&lt;&gt;"",MAESTRO!$K1116,"")</f>
        <v/>
      </c>
      <c r="J1117" t="str">
        <f>IF($A1117&lt;&gt;"",1117,"")</f>
        <v/>
      </c>
    </row>
    <row r="1118" spans="1:10" x14ac:dyDescent="0.2">
      <c r="A1118" t="str">
        <f>IF(AND(UPPER(MAESTRO!$M1117)="VIP",UPPER(MAESTRO!$J1117)="SI",MAESTRO!$F1117&lt;&gt;""),MAESTRO!$P1117,"")</f>
        <v/>
      </c>
      <c r="B1118" t="str">
        <f>IF($A1118&lt;&gt;"",MAESTRO!$B1117,"")</f>
        <v/>
      </c>
      <c r="C1118" t="str">
        <f>IF($A1118&lt;&gt;"",MAESTRO!$A1117,"")</f>
        <v/>
      </c>
      <c r="D1118" t="str">
        <f>IF($A1118&lt;&gt;"",MAESTRO!$C1117,"")</f>
        <v/>
      </c>
      <c r="E1118" t="str">
        <f>IF($A1118&lt;&gt;"",MAESTRO!$M1117,"")</f>
        <v/>
      </c>
      <c r="F1118" t="str">
        <f>IF($A1118&lt;&gt;"",MAESTRO!$J1117,"")</f>
        <v/>
      </c>
      <c r="G1118" t="str">
        <f>IF($A1118&lt;&gt;"",MAESTRO!$D1117,"")</f>
        <v/>
      </c>
      <c r="H1118" t="str">
        <f>IF($A1118&lt;&gt;"",IF(TRIM(MAESTRO!$G1117&amp;" "&amp;MAESTRO!$H1117&amp;" "&amp;MAESTRO!$I1117)="",MAESTRO!$F1117,TRIM(MAESTRO!$G1117&amp;" "&amp;MAESTRO!$H1117&amp;" "&amp;MAESTRO!$I1117)),"")</f>
        <v/>
      </c>
      <c r="I1118" t="str">
        <f>IF($A1118&lt;&gt;"",MAESTRO!$K1117,"")</f>
        <v/>
      </c>
      <c r="J1118" t="str">
        <f>IF($A1118&lt;&gt;"",1118,"")</f>
        <v/>
      </c>
    </row>
    <row r="1119" spans="1:10" x14ac:dyDescent="0.2">
      <c r="A1119" t="str">
        <f>IF(AND(UPPER(MAESTRO!$M1118)="VIP",UPPER(MAESTRO!$J1118)="SI",MAESTRO!$F1118&lt;&gt;""),MAESTRO!$P1118,"")</f>
        <v/>
      </c>
      <c r="B1119" t="str">
        <f>IF($A1119&lt;&gt;"",MAESTRO!$B1118,"")</f>
        <v/>
      </c>
      <c r="C1119" t="str">
        <f>IF($A1119&lt;&gt;"",MAESTRO!$A1118,"")</f>
        <v/>
      </c>
      <c r="D1119" t="str">
        <f>IF($A1119&lt;&gt;"",MAESTRO!$C1118,"")</f>
        <v/>
      </c>
      <c r="E1119" t="str">
        <f>IF($A1119&lt;&gt;"",MAESTRO!$M1118,"")</f>
        <v/>
      </c>
      <c r="F1119" t="str">
        <f>IF($A1119&lt;&gt;"",MAESTRO!$J1118,"")</f>
        <v/>
      </c>
      <c r="G1119" t="str">
        <f>IF($A1119&lt;&gt;"",MAESTRO!$D1118,"")</f>
        <v/>
      </c>
      <c r="H1119" t="str">
        <f>IF($A1119&lt;&gt;"",IF(TRIM(MAESTRO!$G1118&amp;" "&amp;MAESTRO!$H1118&amp;" "&amp;MAESTRO!$I1118)="",MAESTRO!$F1118,TRIM(MAESTRO!$G1118&amp;" "&amp;MAESTRO!$H1118&amp;" "&amp;MAESTRO!$I1118)),"")</f>
        <v/>
      </c>
      <c r="I1119" t="str">
        <f>IF($A1119&lt;&gt;"",MAESTRO!$K1118,"")</f>
        <v/>
      </c>
      <c r="J1119" t="str">
        <f>IF($A1119&lt;&gt;"",1119,"")</f>
        <v/>
      </c>
    </row>
    <row r="1120" spans="1:10" x14ac:dyDescent="0.2">
      <c r="A1120" t="str">
        <f>IF(AND(UPPER(MAESTRO!$M1119)="VIP",UPPER(MAESTRO!$J1119)="SI",MAESTRO!$F1119&lt;&gt;""),MAESTRO!$P1119,"")</f>
        <v/>
      </c>
      <c r="B1120" t="str">
        <f>IF($A1120&lt;&gt;"",MAESTRO!$B1119,"")</f>
        <v/>
      </c>
      <c r="C1120" t="str">
        <f>IF($A1120&lt;&gt;"",MAESTRO!$A1119,"")</f>
        <v/>
      </c>
      <c r="D1120" t="str">
        <f>IF($A1120&lt;&gt;"",MAESTRO!$C1119,"")</f>
        <v/>
      </c>
      <c r="E1120" t="str">
        <f>IF($A1120&lt;&gt;"",MAESTRO!$M1119,"")</f>
        <v/>
      </c>
      <c r="F1120" t="str">
        <f>IF($A1120&lt;&gt;"",MAESTRO!$J1119,"")</f>
        <v/>
      </c>
      <c r="G1120" t="str">
        <f>IF($A1120&lt;&gt;"",MAESTRO!$D1119,"")</f>
        <v/>
      </c>
      <c r="H1120" t="str">
        <f>IF($A1120&lt;&gt;"",IF(TRIM(MAESTRO!$G1119&amp;" "&amp;MAESTRO!$H1119&amp;" "&amp;MAESTRO!$I1119)="",MAESTRO!$F1119,TRIM(MAESTRO!$G1119&amp;" "&amp;MAESTRO!$H1119&amp;" "&amp;MAESTRO!$I1119)),"")</f>
        <v/>
      </c>
      <c r="I1120" t="str">
        <f>IF($A1120&lt;&gt;"",MAESTRO!$K1119,"")</f>
        <v/>
      </c>
      <c r="J1120" t="str">
        <f>IF($A1120&lt;&gt;"",1120,"")</f>
        <v/>
      </c>
    </row>
    <row r="1121" spans="1:10" x14ac:dyDescent="0.2">
      <c r="A1121" t="str">
        <f>IF(AND(UPPER(MAESTRO!$M1120)="VIP",UPPER(MAESTRO!$J1120)="SI",MAESTRO!$F1120&lt;&gt;""),MAESTRO!$P1120,"")</f>
        <v/>
      </c>
      <c r="B1121" t="str">
        <f>IF($A1121&lt;&gt;"",MAESTRO!$B1120,"")</f>
        <v/>
      </c>
      <c r="C1121" t="str">
        <f>IF($A1121&lt;&gt;"",MAESTRO!$A1120,"")</f>
        <v/>
      </c>
      <c r="D1121" t="str">
        <f>IF($A1121&lt;&gt;"",MAESTRO!$C1120,"")</f>
        <v/>
      </c>
      <c r="E1121" t="str">
        <f>IF($A1121&lt;&gt;"",MAESTRO!$M1120,"")</f>
        <v/>
      </c>
      <c r="F1121" t="str">
        <f>IF($A1121&lt;&gt;"",MAESTRO!$J1120,"")</f>
        <v/>
      </c>
      <c r="G1121" t="str">
        <f>IF($A1121&lt;&gt;"",MAESTRO!$D1120,"")</f>
        <v/>
      </c>
      <c r="H1121" t="str">
        <f>IF($A1121&lt;&gt;"",IF(TRIM(MAESTRO!$G1120&amp;" "&amp;MAESTRO!$H1120&amp;" "&amp;MAESTRO!$I1120)="",MAESTRO!$F1120,TRIM(MAESTRO!$G1120&amp;" "&amp;MAESTRO!$H1120&amp;" "&amp;MAESTRO!$I1120)),"")</f>
        <v/>
      </c>
      <c r="I1121" t="str">
        <f>IF($A1121&lt;&gt;"",MAESTRO!$K1120,"")</f>
        <v/>
      </c>
      <c r="J1121" t="str">
        <f>IF($A1121&lt;&gt;"",1121,"")</f>
        <v/>
      </c>
    </row>
    <row r="1122" spans="1:10" x14ac:dyDescent="0.2">
      <c r="A1122" t="str">
        <f>IF(AND(UPPER(MAESTRO!$M1121)="VIP",UPPER(MAESTRO!$J1121)="SI",MAESTRO!$F1121&lt;&gt;""),MAESTRO!$P1121,"")</f>
        <v/>
      </c>
      <c r="B1122" t="str">
        <f>IF($A1122&lt;&gt;"",MAESTRO!$B1121,"")</f>
        <v/>
      </c>
      <c r="C1122" t="str">
        <f>IF($A1122&lt;&gt;"",MAESTRO!$A1121,"")</f>
        <v/>
      </c>
      <c r="D1122" t="str">
        <f>IF($A1122&lt;&gt;"",MAESTRO!$C1121,"")</f>
        <v/>
      </c>
      <c r="E1122" t="str">
        <f>IF($A1122&lt;&gt;"",MAESTRO!$M1121,"")</f>
        <v/>
      </c>
      <c r="F1122" t="str">
        <f>IF($A1122&lt;&gt;"",MAESTRO!$J1121,"")</f>
        <v/>
      </c>
      <c r="G1122" t="str">
        <f>IF($A1122&lt;&gt;"",MAESTRO!$D1121,"")</f>
        <v/>
      </c>
      <c r="H1122" t="str">
        <f>IF($A1122&lt;&gt;"",IF(TRIM(MAESTRO!$G1121&amp;" "&amp;MAESTRO!$H1121&amp;" "&amp;MAESTRO!$I1121)="",MAESTRO!$F1121,TRIM(MAESTRO!$G1121&amp;" "&amp;MAESTRO!$H1121&amp;" "&amp;MAESTRO!$I1121)),"")</f>
        <v/>
      </c>
      <c r="I1122" t="str">
        <f>IF($A1122&lt;&gt;"",MAESTRO!$K1121,"")</f>
        <v/>
      </c>
      <c r="J1122" t="str">
        <f>IF($A1122&lt;&gt;"",1122,"")</f>
        <v/>
      </c>
    </row>
    <row r="1123" spans="1:10" x14ac:dyDescent="0.2">
      <c r="A1123" t="str">
        <f>IF(AND(UPPER(MAESTRO!$M1122)="VIP",UPPER(MAESTRO!$J1122)="SI",MAESTRO!$F1122&lt;&gt;""),MAESTRO!$P1122,"")</f>
        <v/>
      </c>
      <c r="B1123" t="str">
        <f>IF($A1123&lt;&gt;"",MAESTRO!$B1122,"")</f>
        <v/>
      </c>
      <c r="C1123" t="str">
        <f>IF($A1123&lt;&gt;"",MAESTRO!$A1122,"")</f>
        <v/>
      </c>
      <c r="D1123" t="str">
        <f>IF($A1123&lt;&gt;"",MAESTRO!$C1122,"")</f>
        <v/>
      </c>
      <c r="E1123" t="str">
        <f>IF($A1123&lt;&gt;"",MAESTRO!$M1122,"")</f>
        <v/>
      </c>
      <c r="F1123" t="str">
        <f>IF($A1123&lt;&gt;"",MAESTRO!$J1122,"")</f>
        <v/>
      </c>
      <c r="G1123" t="str">
        <f>IF($A1123&lt;&gt;"",MAESTRO!$D1122,"")</f>
        <v/>
      </c>
      <c r="H1123" t="str">
        <f>IF($A1123&lt;&gt;"",IF(TRIM(MAESTRO!$G1122&amp;" "&amp;MAESTRO!$H1122&amp;" "&amp;MAESTRO!$I1122)="",MAESTRO!$F1122,TRIM(MAESTRO!$G1122&amp;" "&amp;MAESTRO!$H1122&amp;" "&amp;MAESTRO!$I1122)),"")</f>
        <v/>
      </c>
      <c r="I1123" t="str">
        <f>IF($A1123&lt;&gt;"",MAESTRO!$K1122,"")</f>
        <v/>
      </c>
      <c r="J1123" t="str">
        <f>IF($A1123&lt;&gt;"",1123,"")</f>
        <v/>
      </c>
    </row>
    <row r="1124" spans="1:10" x14ac:dyDescent="0.2">
      <c r="A1124" t="str">
        <f>IF(AND(UPPER(MAESTRO!$M1123)="VIP",UPPER(MAESTRO!$J1123)="SI",MAESTRO!$F1123&lt;&gt;""),MAESTRO!$P1123,"")</f>
        <v/>
      </c>
      <c r="B1124" t="str">
        <f>IF($A1124&lt;&gt;"",MAESTRO!$B1123,"")</f>
        <v/>
      </c>
      <c r="C1124" t="str">
        <f>IF($A1124&lt;&gt;"",MAESTRO!$A1123,"")</f>
        <v/>
      </c>
      <c r="D1124" t="str">
        <f>IF($A1124&lt;&gt;"",MAESTRO!$C1123,"")</f>
        <v/>
      </c>
      <c r="E1124" t="str">
        <f>IF($A1124&lt;&gt;"",MAESTRO!$M1123,"")</f>
        <v/>
      </c>
      <c r="F1124" t="str">
        <f>IF($A1124&lt;&gt;"",MAESTRO!$J1123,"")</f>
        <v/>
      </c>
      <c r="G1124" t="str">
        <f>IF($A1124&lt;&gt;"",MAESTRO!$D1123,"")</f>
        <v/>
      </c>
      <c r="H1124" t="str">
        <f>IF($A1124&lt;&gt;"",IF(TRIM(MAESTRO!$G1123&amp;" "&amp;MAESTRO!$H1123&amp;" "&amp;MAESTRO!$I1123)="",MAESTRO!$F1123,TRIM(MAESTRO!$G1123&amp;" "&amp;MAESTRO!$H1123&amp;" "&amp;MAESTRO!$I1123)),"")</f>
        <v/>
      </c>
      <c r="I1124" t="str">
        <f>IF($A1124&lt;&gt;"",MAESTRO!$K1123,"")</f>
        <v/>
      </c>
      <c r="J1124" t="str">
        <f>IF($A1124&lt;&gt;"",1124,"")</f>
        <v/>
      </c>
    </row>
    <row r="1125" spans="1:10" x14ac:dyDescent="0.2">
      <c r="A1125" t="str">
        <f>IF(AND(UPPER(MAESTRO!$M1124)="VIP",UPPER(MAESTRO!$J1124)="SI",MAESTRO!$F1124&lt;&gt;""),MAESTRO!$P1124,"")</f>
        <v/>
      </c>
      <c r="B1125" t="str">
        <f>IF($A1125&lt;&gt;"",MAESTRO!$B1124,"")</f>
        <v/>
      </c>
      <c r="C1125" t="str">
        <f>IF($A1125&lt;&gt;"",MAESTRO!$A1124,"")</f>
        <v/>
      </c>
      <c r="D1125" t="str">
        <f>IF($A1125&lt;&gt;"",MAESTRO!$C1124,"")</f>
        <v/>
      </c>
      <c r="E1125" t="str">
        <f>IF($A1125&lt;&gt;"",MAESTRO!$M1124,"")</f>
        <v/>
      </c>
      <c r="F1125" t="str">
        <f>IF($A1125&lt;&gt;"",MAESTRO!$J1124,"")</f>
        <v/>
      </c>
      <c r="G1125" t="str">
        <f>IF($A1125&lt;&gt;"",MAESTRO!$D1124,"")</f>
        <v/>
      </c>
      <c r="H1125" t="str">
        <f>IF($A1125&lt;&gt;"",IF(TRIM(MAESTRO!$G1124&amp;" "&amp;MAESTRO!$H1124&amp;" "&amp;MAESTRO!$I1124)="",MAESTRO!$F1124,TRIM(MAESTRO!$G1124&amp;" "&amp;MAESTRO!$H1124&amp;" "&amp;MAESTRO!$I1124)),"")</f>
        <v/>
      </c>
      <c r="I1125" t="str">
        <f>IF($A1125&lt;&gt;"",MAESTRO!$K1124,"")</f>
        <v/>
      </c>
      <c r="J1125" t="str">
        <f>IF($A1125&lt;&gt;"",1125,"")</f>
        <v/>
      </c>
    </row>
    <row r="1126" spans="1:10" x14ac:dyDescent="0.2">
      <c r="A1126" t="str">
        <f>IF(AND(UPPER(MAESTRO!$M1125)="VIP",UPPER(MAESTRO!$J1125)="SI",MAESTRO!$F1125&lt;&gt;""),MAESTRO!$P1125,"")</f>
        <v/>
      </c>
      <c r="B1126" t="str">
        <f>IF($A1126&lt;&gt;"",MAESTRO!$B1125,"")</f>
        <v/>
      </c>
      <c r="C1126" t="str">
        <f>IF($A1126&lt;&gt;"",MAESTRO!$A1125,"")</f>
        <v/>
      </c>
      <c r="D1126" t="str">
        <f>IF($A1126&lt;&gt;"",MAESTRO!$C1125,"")</f>
        <v/>
      </c>
      <c r="E1126" t="str">
        <f>IF($A1126&lt;&gt;"",MAESTRO!$M1125,"")</f>
        <v/>
      </c>
      <c r="F1126" t="str">
        <f>IF($A1126&lt;&gt;"",MAESTRO!$J1125,"")</f>
        <v/>
      </c>
      <c r="G1126" t="str">
        <f>IF($A1126&lt;&gt;"",MAESTRO!$D1125,"")</f>
        <v/>
      </c>
      <c r="H1126" t="str">
        <f>IF($A1126&lt;&gt;"",IF(TRIM(MAESTRO!$G1125&amp;" "&amp;MAESTRO!$H1125&amp;" "&amp;MAESTRO!$I1125)="",MAESTRO!$F1125,TRIM(MAESTRO!$G1125&amp;" "&amp;MAESTRO!$H1125&amp;" "&amp;MAESTRO!$I1125)),"")</f>
        <v/>
      </c>
      <c r="I1126" t="str">
        <f>IF($A1126&lt;&gt;"",MAESTRO!$K1125,"")</f>
        <v/>
      </c>
      <c r="J1126" t="str">
        <f>IF($A1126&lt;&gt;"",1126,"")</f>
        <v/>
      </c>
    </row>
    <row r="1127" spans="1:10" x14ac:dyDescent="0.2">
      <c r="A1127" t="str">
        <f>IF(AND(UPPER(MAESTRO!$M1126)="VIP",UPPER(MAESTRO!$J1126)="SI",MAESTRO!$F1126&lt;&gt;""),MAESTRO!$P1126,"")</f>
        <v/>
      </c>
      <c r="B1127" t="str">
        <f>IF($A1127&lt;&gt;"",MAESTRO!$B1126,"")</f>
        <v/>
      </c>
      <c r="C1127" t="str">
        <f>IF($A1127&lt;&gt;"",MAESTRO!$A1126,"")</f>
        <v/>
      </c>
      <c r="D1127" t="str">
        <f>IF($A1127&lt;&gt;"",MAESTRO!$C1126,"")</f>
        <v/>
      </c>
      <c r="E1127" t="str">
        <f>IF($A1127&lt;&gt;"",MAESTRO!$M1126,"")</f>
        <v/>
      </c>
      <c r="F1127" t="str">
        <f>IF($A1127&lt;&gt;"",MAESTRO!$J1126,"")</f>
        <v/>
      </c>
      <c r="G1127" t="str">
        <f>IF($A1127&lt;&gt;"",MAESTRO!$D1126,"")</f>
        <v/>
      </c>
      <c r="H1127" t="str">
        <f>IF($A1127&lt;&gt;"",IF(TRIM(MAESTRO!$G1126&amp;" "&amp;MAESTRO!$H1126&amp;" "&amp;MAESTRO!$I1126)="",MAESTRO!$F1126,TRIM(MAESTRO!$G1126&amp;" "&amp;MAESTRO!$H1126&amp;" "&amp;MAESTRO!$I1126)),"")</f>
        <v/>
      </c>
      <c r="I1127" t="str">
        <f>IF($A1127&lt;&gt;"",MAESTRO!$K1126,"")</f>
        <v/>
      </c>
      <c r="J1127" t="str">
        <f>IF($A1127&lt;&gt;"",1127,"")</f>
        <v/>
      </c>
    </row>
    <row r="1128" spans="1:10" x14ac:dyDescent="0.2">
      <c r="A1128" t="str">
        <f>IF(AND(UPPER(MAESTRO!$M1127)="VIP",UPPER(MAESTRO!$J1127)="SI",MAESTRO!$F1127&lt;&gt;""),MAESTRO!$P1127,"")</f>
        <v/>
      </c>
      <c r="B1128" t="str">
        <f>IF($A1128&lt;&gt;"",MAESTRO!$B1127,"")</f>
        <v/>
      </c>
      <c r="C1128" t="str">
        <f>IF($A1128&lt;&gt;"",MAESTRO!$A1127,"")</f>
        <v/>
      </c>
      <c r="D1128" t="str">
        <f>IF($A1128&lt;&gt;"",MAESTRO!$C1127,"")</f>
        <v/>
      </c>
      <c r="E1128" t="str">
        <f>IF($A1128&lt;&gt;"",MAESTRO!$M1127,"")</f>
        <v/>
      </c>
      <c r="F1128" t="str">
        <f>IF($A1128&lt;&gt;"",MAESTRO!$J1127,"")</f>
        <v/>
      </c>
      <c r="G1128" t="str">
        <f>IF($A1128&lt;&gt;"",MAESTRO!$D1127,"")</f>
        <v/>
      </c>
      <c r="H1128" t="str">
        <f>IF($A1128&lt;&gt;"",IF(TRIM(MAESTRO!$G1127&amp;" "&amp;MAESTRO!$H1127&amp;" "&amp;MAESTRO!$I1127)="",MAESTRO!$F1127,TRIM(MAESTRO!$G1127&amp;" "&amp;MAESTRO!$H1127&amp;" "&amp;MAESTRO!$I1127)),"")</f>
        <v/>
      </c>
      <c r="I1128" t="str">
        <f>IF($A1128&lt;&gt;"",MAESTRO!$K1127,"")</f>
        <v/>
      </c>
      <c r="J1128" t="str">
        <f>IF($A1128&lt;&gt;"",1128,"")</f>
        <v/>
      </c>
    </row>
    <row r="1129" spans="1:10" x14ac:dyDescent="0.2">
      <c r="A1129" t="str">
        <f>IF(AND(UPPER(MAESTRO!$M1128)="VIP",UPPER(MAESTRO!$J1128)="SI",MAESTRO!$F1128&lt;&gt;""),MAESTRO!$P1128,"")</f>
        <v/>
      </c>
      <c r="B1129" t="str">
        <f>IF($A1129&lt;&gt;"",MAESTRO!$B1128,"")</f>
        <v/>
      </c>
      <c r="C1129" t="str">
        <f>IF($A1129&lt;&gt;"",MAESTRO!$A1128,"")</f>
        <v/>
      </c>
      <c r="D1129" t="str">
        <f>IF($A1129&lt;&gt;"",MAESTRO!$C1128,"")</f>
        <v/>
      </c>
      <c r="E1129" t="str">
        <f>IF($A1129&lt;&gt;"",MAESTRO!$M1128,"")</f>
        <v/>
      </c>
      <c r="F1129" t="str">
        <f>IF($A1129&lt;&gt;"",MAESTRO!$J1128,"")</f>
        <v/>
      </c>
      <c r="G1129" t="str">
        <f>IF($A1129&lt;&gt;"",MAESTRO!$D1128,"")</f>
        <v/>
      </c>
      <c r="H1129" t="str">
        <f>IF($A1129&lt;&gt;"",IF(TRIM(MAESTRO!$G1128&amp;" "&amp;MAESTRO!$H1128&amp;" "&amp;MAESTRO!$I1128)="",MAESTRO!$F1128,TRIM(MAESTRO!$G1128&amp;" "&amp;MAESTRO!$H1128&amp;" "&amp;MAESTRO!$I1128)),"")</f>
        <v/>
      </c>
      <c r="I1129" t="str">
        <f>IF($A1129&lt;&gt;"",MAESTRO!$K1128,"")</f>
        <v/>
      </c>
      <c r="J1129" t="str">
        <f>IF($A1129&lt;&gt;"",1129,"")</f>
        <v/>
      </c>
    </row>
    <row r="1130" spans="1:10" x14ac:dyDescent="0.2">
      <c r="A1130" t="str">
        <f>IF(AND(UPPER(MAESTRO!$M1129)="VIP",UPPER(MAESTRO!$J1129)="SI",MAESTRO!$F1129&lt;&gt;""),MAESTRO!$P1129,"")</f>
        <v/>
      </c>
      <c r="B1130" t="str">
        <f>IF($A1130&lt;&gt;"",MAESTRO!$B1129,"")</f>
        <v/>
      </c>
      <c r="C1130" t="str">
        <f>IF($A1130&lt;&gt;"",MAESTRO!$A1129,"")</f>
        <v/>
      </c>
      <c r="D1130" t="str">
        <f>IF($A1130&lt;&gt;"",MAESTRO!$C1129,"")</f>
        <v/>
      </c>
      <c r="E1130" t="str">
        <f>IF($A1130&lt;&gt;"",MAESTRO!$M1129,"")</f>
        <v/>
      </c>
      <c r="F1130" t="str">
        <f>IF($A1130&lt;&gt;"",MAESTRO!$J1129,"")</f>
        <v/>
      </c>
      <c r="G1130" t="str">
        <f>IF($A1130&lt;&gt;"",MAESTRO!$D1129,"")</f>
        <v/>
      </c>
      <c r="H1130" t="str">
        <f>IF($A1130&lt;&gt;"",IF(TRIM(MAESTRO!$G1129&amp;" "&amp;MAESTRO!$H1129&amp;" "&amp;MAESTRO!$I1129)="",MAESTRO!$F1129,TRIM(MAESTRO!$G1129&amp;" "&amp;MAESTRO!$H1129&amp;" "&amp;MAESTRO!$I1129)),"")</f>
        <v/>
      </c>
      <c r="I1130" t="str">
        <f>IF($A1130&lt;&gt;"",MAESTRO!$K1129,"")</f>
        <v/>
      </c>
      <c r="J1130" t="str">
        <f>IF($A1130&lt;&gt;"",1130,"")</f>
        <v/>
      </c>
    </row>
    <row r="1131" spans="1:10" x14ac:dyDescent="0.2">
      <c r="A1131" t="str">
        <f>IF(AND(UPPER(MAESTRO!$M1130)="VIP",UPPER(MAESTRO!$J1130)="SI",MAESTRO!$F1130&lt;&gt;""),MAESTRO!$P1130,"")</f>
        <v/>
      </c>
      <c r="B1131" t="str">
        <f>IF($A1131&lt;&gt;"",MAESTRO!$B1130,"")</f>
        <v/>
      </c>
      <c r="C1131" t="str">
        <f>IF($A1131&lt;&gt;"",MAESTRO!$A1130,"")</f>
        <v/>
      </c>
      <c r="D1131" t="str">
        <f>IF($A1131&lt;&gt;"",MAESTRO!$C1130,"")</f>
        <v/>
      </c>
      <c r="E1131" t="str">
        <f>IF($A1131&lt;&gt;"",MAESTRO!$M1130,"")</f>
        <v/>
      </c>
      <c r="F1131" t="str">
        <f>IF($A1131&lt;&gt;"",MAESTRO!$J1130,"")</f>
        <v/>
      </c>
      <c r="G1131" t="str">
        <f>IF($A1131&lt;&gt;"",MAESTRO!$D1130,"")</f>
        <v/>
      </c>
      <c r="H1131" t="str">
        <f>IF($A1131&lt;&gt;"",IF(TRIM(MAESTRO!$G1130&amp;" "&amp;MAESTRO!$H1130&amp;" "&amp;MAESTRO!$I1130)="",MAESTRO!$F1130,TRIM(MAESTRO!$G1130&amp;" "&amp;MAESTRO!$H1130&amp;" "&amp;MAESTRO!$I1130)),"")</f>
        <v/>
      </c>
      <c r="I1131" t="str">
        <f>IF($A1131&lt;&gt;"",MAESTRO!$K1130,"")</f>
        <v/>
      </c>
      <c r="J1131" t="str">
        <f>IF($A1131&lt;&gt;"",1131,"")</f>
        <v/>
      </c>
    </row>
    <row r="1132" spans="1:10" x14ac:dyDescent="0.2">
      <c r="A1132" t="str">
        <f>IF(AND(UPPER(MAESTRO!$M1131)="VIP",UPPER(MAESTRO!$J1131)="SI",MAESTRO!$F1131&lt;&gt;""),MAESTRO!$P1131,"")</f>
        <v/>
      </c>
      <c r="B1132" t="str">
        <f>IF($A1132&lt;&gt;"",MAESTRO!$B1131,"")</f>
        <v/>
      </c>
      <c r="C1132" t="str">
        <f>IF($A1132&lt;&gt;"",MAESTRO!$A1131,"")</f>
        <v/>
      </c>
      <c r="D1132" t="str">
        <f>IF($A1132&lt;&gt;"",MAESTRO!$C1131,"")</f>
        <v/>
      </c>
      <c r="E1132" t="str">
        <f>IF($A1132&lt;&gt;"",MAESTRO!$M1131,"")</f>
        <v/>
      </c>
      <c r="F1132" t="str">
        <f>IF($A1132&lt;&gt;"",MAESTRO!$J1131,"")</f>
        <v/>
      </c>
      <c r="G1132" t="str">
        <f>IF($A1132&lt;&gt;"",MAESTRO!$D1131,"")</f>
        <v/>
      </c>
      <c r="H1132" t="str">
        <f>IF($A1132&lt;&gt;"",IF(TRIM(MAESTRO!$G1131&amp;" "&amp;MAESTRO!$H1131&amp;" "&amp;MAESTRO!$I1131)="",MAESTRO!$F1131,TRIM(MAESTRO!$G1131&amp;" "&amp;MAESTRO!$H1131&amp;" "&amp;MAESTRO!$I1131)),"")</f>
        <v/>
      </c>
      <c r="I1132" t="str">
        <f>IF($A1132&lt;&gt;"",MAESTRO!$K1131,"")</f>
        <v/>
      </c>
      <c r="J1132" t="str">
        <f>IF($A1132&lt;&gt;"",1132,"")</f>
        <v/>
      </c>
    </row>
    <row r="1133" spans="1:10" x14ac:dyDescent="0.2">
      <c r="A1133" t="str">
        <f>IF(AND(UPPER(MAESTRO!$M1132)="VIP",UPPER(MAESTRO!$J1132)="SI",MAESTRO!$F1132&lt;&gt;""),MAESTRO!$P1132,"")</f>
        <v/>
      </c>
      <c r="B1133" t="str">
        <f>IF($A1133&lt;&gt;"",MAESTRO!$B1132,"")</f>
        <v/>
      </c>
      <c r="C1133" t="str">
        <f>IF($A1133&lt;&gt;"",MAESTRO!$A1132,"")</f>
        <v/>
      </c>
      <c r="D1133" t="str">
        <f>IF($A1133&lt;&gt;"",MAESTRO!$C1132,"")</f>
        <v/>
      </c>
      <c r="E1133" t="str">
        <f>IF($A1133&lt;&gt;"",MAESTRO!$M1132,"")</f>
        <v/>
      </c>
      <c r="F1133" t="str">
        <f>IF($A1133&lt;&gt;"",MAESTRO!$J1132,"")</f>
        <v/>
      </c>
      <c r="G1133" t="str">
        <f>IF($A1133&lt;&gt;"",MAESTRO!$D1132,"")</f>
        <v/>
      </c>
      <c r="H1133" t="str">
        <f>IF($A1133&lt;&gt;"",IF(TRIM(MAESTRO!$G1132&amp;" "&amp;MAESTRO!$H1132&amp;" "&amp;MAESTRO!$I1132)="",MAESTRO!$F1132,TRIM(MAESTRO!$G1132&amp;" "&amp;MAESTRO!$H1132&amp;" "&amp;MAESTRO!$I1132)),"")</f>
        <v/>
      </c>
      <c r="I1133" t="str">
        <f>IF($A1133&lt;&gt;"",MAESTRO!$K1132,"")</f>
        <v/>
      </c>
      <c r="J1133" t="str">
        <f>IF($A1133&lt;&gt;"",1133,"")</f>
        <v/>
      </c>
    </row>
    <row r="1134" spans="1:10" x14ac:dyDescent="0.2">
      <c r="A1134" t="str">
        <f>IF(AND(UPPER(MAESTRO!$M1133)="VIP",UPPER(MAESTRO!$J1133)="SI",MAESTRO!$F1133&lt;&gt;""),MAESTRO!$P1133,"")</f>
        <v/>
      </c>
      <c r="B1134" t="str">
        <f>IF($A1134&lt;&gt;"",MAESTRO!$B1133,"")</f>
        <v/>
      </c>
      <c r="C1134" t="str">
        <f>IF($A1134&lt;&gt;"",MAESTRO!$A1133,"")</f>
        <v/>
      </c>
      <c r="D1134" t="str">
        <f>IF($A1134&lt;&gt;"",MAESTRO!$C1133,"")</f>
        <v/>
      </c>
      <c r="E1134" t="str">
        <f>IF($A1134&lt;&gt;"",MAESTRO!$M1133,"")</f>
        <v/>
      </c>
      <c r="F1134" t="str">
        <f>IF($A1134&lt;&gt;"",MAESTRO!$J1133,"")</f>
        <v/>
      </c>
      <c r="G1134" t="str">
        <f>IF($A1134&lt;&gt;"",MAESTRO!$D1133,"")</f>
        <v/>
      </c>
      <c r="H1134" t="str">
        <f>IF($A1134&lt;&gt;"",IF(TRIM(MAESTRO!$G1133&amp;" "&amp;MAESTRO!$H1133&amp;" "&amp;MAESTRO!$I1133)="",MAESTRO!$F1133,TRIM(MAESTRO!$G1133&amp;" "&amp;MAESTRO!$H1133&amp;" "&amp;MAESTRO!$I1133)),"")</f>
        <v/>
      </c>
      <c r="I1134" t="str">
        <f>IF($A1134&lt;&gt;"",MAESTRO!$K1133,"")</f>
        <v/>
      </c>
      <c r="J1134" t="str">
        <f>IF($A1134&lt;&gt;"",1134,"")</f>
        <v/>
      </c>
    </row>
    <row r="1135" spans="1:10" x14ac:dyDescent="0.2">
      <c r="A1135" t="str">
        <f>IF(AND(UPPER(MAESTRO!$M1134)="VIP",UPPER(MAESTRO!$J1134)="SI",MAESTRO!$F1134&lt;&gt;""),MAESTRO!$P1134,"")</f>
        <v/>
      </c>
      <c r="B1135" t="str">
        <f>IF($A1135&lt;&gt;"",MAESTRO!$B1134,"")</f>
        <v/>
      </c>
      <c r="C1135" t="str">
        <f>IF($A1135&lt;&gt;"",MAESTRO!$A1134,"")</f>
        <v/>
      </c>
      <c r="D1135" t="str">
        <f>IF($A1135&lt;&gt;"",MAESTRO!$C1134,"")</f>
        <v/>
      </c>
      <c r="E1135" t="str">
        <f>IF($A1135&lt;&gt;"",MAESTRO!$M1134,"")</f>
        <v/>
      </c>
      <c r="F1135" t="str">
        <f>IF($A1135&lt;&gt;"",MAESTRO!$J1134,"")</f>
        <v/>
      </c>
      <c r="G1135" t="str">
        <f>IF($A1135&lt;&gt;"",MAESTRO!$D1134,"")</f>
        <v/>
      </c>
      <c r="H1135" t="str">
        <f>IF($A1135&lt;&gt;"",IF(TRIM(MAESTRO!$G1134&amp;" "&amp;MAESTRO!$H1134&amp;" "&amp;MAESTRO!$I1134)="",MAESTRO!$F1134,TRIM(MAESTRO!$G1134&amp;" "&amp;MAESTRO!$H1134&amp;" "&amp;MAESTRO!$I1134)),"")</f>
        <v/>
      </c>
      <c r="I1135" t="str">
        <f>IF($A1135&lt;&gt;"",MAESTRO!$K1134,"")</f>
        <v/>
      </c>
      <c r="J1135" t="str">
        <f>IF($A1135&lt;&gt;"",1135,"")</f>
        <v/>
      </c>
    </row>
    <row r="1136" spans="1:10" x14ac:dyDescent="0.2">
      <c r="A1136" t="str">
        <f>IF(AND(UPPER(MAESTRO!$M1135)="VIP",UPPER(MAESTRO!$J1135)="SI",MAESTRO!$F1135&lt;&gt;""),MAESTRO!$P1135,"")</f>
        <v/>
      </c>
      <c r="B1136" t="str">
        <f>IF($A1136&lt;&gt;"",MAESTRO!$B1135,"")</f>
        <v/>
      </c>
      <c r="C1136" t="str">
        <f>IF($A1136&lt;&gt;"",MAESTRO!$A1135,"")</f>
        <v/>
      </c>
      <c r="D1136" t="str">
        <f>IF($A1136&lt;&gt;"",MAESTRO!$C1135,"")</f>
        <v/>
      </c>
      <c r="E1136" t="str">
        <f>IF($A1136&lt;&gt;"",MAESTRO!$M1135,"")</f>
        <v/>
      </c>
      <c r="F1136" t="str">
        <f>IF($A1136&lt;&gt;"",MAESTRO!$J1135,"")</f>
        <v/>
      </c>
      <c r="G1136" t="str">
        <f>IF($A1136&lt;&gt;"",MAESTRO!$D1135,"")</f>
        <v/>
      </c>
      <c r="H1136" t="str">
        <f>IF($A1136&lt;&gt;"",IF(TRIM(MAESTRO!$G1135&amp;" "&amp;MAESTRO!$H1135&amp;" "&amp;MAESTRO!$I1135)="",MAESTRO!$F1135,TRIM(MAESTRO!$G1135&amp;" "&amp;MAESTRO!$H1135&amp;" "&amp;MAESTRO!$I1135)),"")</f>
        <v/>
      </c>
      <c r="I1136" t="str">
        <f>IF($A1136&lt;&gt;"",MAESTRO!$K1135,"")</f>
        <v/>
      </c>
      <c r="J1136" t="str">
        <f>IF($A1136&lt;&gt;"",1136,"")</f>
        <v/>
      </c>
    </row>
    <row r="1137" spans="1:10" x14ac:dyDescent="0.2">
      <c r="A1137" t="str">
        <f>IF(AND(UPPER(MAESTRO!$M1136)="VIP",UPPER(MAESTRO!$J1136)="SI",MAESTRO!$F1136&lt;&gt;""),MAESTRO!$P1136,"")</f>
        <v/>
      </c>
      <c r="B1137" t="str">
        <f>IF($A1137&lt;&gt;"",MAESTRO!$B1136,"")</f>
        <v/>
      </c>
      <c r="C1137" t="str">
        <f>IF($A1137&lt;&gt;"",MAESTRO!$A1136,"")</f>
        <v/>
      </c>
      <c r="D1137" t="str">
        <f>IF($A1137&lt;&gt;"",MAESTRO!$C1136,"")</f>
        <v/>
      </c>
      <c r="E1137" t="str">
        <f>IF($A1137&lt;&gt;"",MAESTRO!$M1136,"")</f>
        <v/>
      </c>
      <c r="F1137" t="str">
        <f>IF($A1137&lt;&gt;"",MAESTRO!$J1136,"")</f>
        <v/>
      </c>
      <c r="G1137" t="str">
        <f>IF($A1137&lt;&gt;"",MAESTRO!$D1136,"")</f>
        <v/>
      </c>
      <c r="H1137" t="str">
        <f>IF($A1137&lt;&gt;"",IF(TRIM(MAESTRO!$G1136&amp;" "&amp;MAESTRO!$H1136&amp;" "&amp;MAESTRO!$I1136)="",MAESTRO!$F1136,TRIM(MAESTRO!$G1136&amp;" "&amp;MAESTRO!$H1136&amp;" "&amp;MAESTRO!$I1136)),"")</f>
        <v/>
      </c>
      <c r="I1137" t="str">
        <f>IF($A1137&lt;&gt;"",MAESTRO!$K1136,"")</f>
        <v/>
      </c>
      <c r="J1137" t="str">
        <f>IF($A1137&lt;&gt;"",1137,"")</f>
        <v/>
      </c>
    </row>
    <row r="1138" spans="1:10" x14ac:dyDescent="0.2">
      <c r="A1138" t="str">
        <f>IF(AND(UPPER(MAESTRO!$M1137)="VIP",UPPER(MAESTRO!$J1137)="SI",MAESTRO!$F1137&lt;&gt;""),MAESTRO!$P1137,"")</f>
        <v/>
      </c>
      <c r="B1138" t="str">
        <f>IF($A1138&lt;&gt;"",MAESTRO!$B1137,"")</f>
        <v/>
      </c>
      <c r="C1138" t="str">
        <f>IF($A1138&lt;&gt;"",MAESTRO!$A1137,"")</f>
        <v/>
      </c>
      <c r="D1138" t="str">
        <f>IF($A1138&lt;&gt;"",MAESTRO!$C1137,"")</f>
        <v/>
      </c>
      <c r="E1138" t="str">
        <f>IF($A1138&lt;&gt;"",MAESTRO!$M1137,"")</f>
        <v/>
      </c>
      <c r="F1138" t="str">
        <f>IF($A1138&lt;&gt;"",MAESTRO!$J1137,"")</f>
        <v/>
      </c>
      <c r="G1138" t="str">
        <f>IF($A1138&lt;&gt;"",MAESTRO!$D1137,"")</f>
        <v/>
      </c>
      <c r="H1138" t="str">
        <f>IF($A1138&lt;&gt;"",IF(TRIM(MAESTRO!$G1137&amp;" "&amp;MAESTRO!$H1137&amp;" "&amp;MAESTRO!$I1137)="",MAESTRO!$F1137,TRIM(MAESTRO!$G1137&amp;" "&amp;MAESTRO!$H1137&amp;" "&amp;MAESTRO!$I1137)),"")</f>
        <v/>
      </c>
      <c r="I1138" t="str">
        <f>IF($A1138&lt;&gt;"",MAESTRO!$K1137,"")</f>
        <v/>
      </c>
      <c r="J1138" t="str">
        <f>IF($A1138&lt;&gt;"",1138,"")</f>
        <v/>
      </c>
    </row>
    <row r="1139" spans="1:10" x14ac:dyDescent="0.2">
      <c r="A1139" t="str">
        <f>IF(AND(UPPER(MAESTRO!$M1138)="VIP",UPPER(MAESTRO!$J1138)="SI",MAESTRO!$F1138&lt;&gt;""),MAESTRO!$P1138,"")</f>
        <v/>
      </c>
      <c r="B1139" t="str">
        <f>IF($A1139&lt;&gt;"",MAESTRO!$B1138,"")</f>
        <v/>
      </c>
      <c r="C1139" t="str">
        <f>IF($A1139&lt;&gt;"",MAESTRO!$A1138,"")</f>
        <v/>
      </c>
      <c r="D1139" t="str">
        <f>IF($A1139&lt;&gt;"",MAESTRO!$C1138,"")</f>
        <v/>
      </c>
      <c r="E1139" t="str">
        <f>IF($A1139&lt;&gt;"",MAESTRO!$M1138,"")</f>
        <v/>
      </c>
      <c r="F1139" t="str">
        <f>IF($A1139&lt;&gt;"",MAESTRO!$J1138,"")</f>
        <v/>
      </c>
      <c r="G1139" t="str">
        <f>IF($A1139&lt;&gt;"",MAESTRO!$D1138,"")</f>
        <v/>
      </c>
      <c r="H1139" t="str">
        <f>IF($A1139&lt;&gt;"",IF(TRIM(MAESTRO!$G1138&amp;" "&amp;MAESTRO!$H1138&amp;" "&amp;MAESTRO!$I1138)="",MAESTRO!$F1138,TRIM(MAESTRO!$G1138&amp;" "&amp;MAESTRO!$H1138&amp;" "&amp;MAESTRO!$I1138)),"")</f>
        <v/>
      </c>
      <c r="I1139" t="str">
        <f>IF($A1139&lt;&gt;"",MAESTRO!$K1138,"")</f>
        <v/>
      </c>
      <c r="J1139" t="str">
        <f>IF($A1139&lt;&gt;"",1139,"")</f>
        <v/>
      </c>
    </row>
    <row r="1140" spans="1:10" x14ac:dyDescent="0.2">
      <c r="A1140" t="str">
        <f>IF(AND(UPPER(MAESTRO!$M1139)="VIP",UPPER(MAESTRO!$J1139)="SI",MAESTRO!$F1139&lt;&gt;""),MAESTRO!$P1139,"")</f>
        <v/>
      </c>
      <c r="B1140" t="str">
        <f>IF($A1140&lt;&gt;"",MAESTRO!$B1139,"")</f>
        <v/>
      </c>
      <c r="C1140" t="str">
        <f>IF($A1140&lt;&gt;"",MAESTRO!$A1139,"")</f>
        <v/>
      </c>
      <c r="D1140" t="str">
        <f>IF($A1140&lt;&gt;"",MAESTRO!$C1139,"")</f>
        <v/>
      </c>
      <c r="E1140" t="str">
        <f>IF($A1140&lt;&gt;"",MAESTRO!$M1139,"")</f>
        <v/>
      </c>
      <c r="F1140" t="str">
        <f>IF($A1140&lt;&gt;"",MAESTRO!$J1139,"")</f>
        <v/>
      </c>
      <c r="G1140" t="str">
        <f>IF($A1140&lt;&gt;"",MAESTRO!$D1139,"")</f>
        <v/>
      </c>
      <c r="H1140" t="str">
        <f>IF($A1140&lt;&gt;"",IF(TRIM(MAESTRO!$G1139&amp;" "&amp;MAESTRO!$H1139&amp;" "&amp;MAESTRO!$I1139)="",MAESTRO!$F1139,TRIM(MAESTRO!$G1139&amp;" "&amp;MAESTRO!$H1139&amp;" "&amp;MAESTRO!$I1139)),"")</f>
        <v/>
      </c>
      <c r="I1140" t="str">
        <f>IF($A1140&lt;&gt;"",MAESTRO!$K1139,"")</f>
        <v/>
      </c>
      <c r="J1140" t="str">
        <f>IF($A1140&lt;&gt;"",1140,"")</f>
        <v/>
      </c>
    </row>
    <row r="1141" spans="1:10" x14ac:dyDescent="0.2">
      <c r="A1141" t="str">
        <f>IF(AND(UPPER(MAESTRO!$M1140)="VIP",UPPER(MAESTRO!$J1140)="SI",MAESTRO!$F1140&lt;&gt;""),MAESTRO!$P1140,"")</f>
        <v/>
      </c>
      <c r="B1141" t="str">
        <f>IF($A1141&lt;&gt;"",MAESTRO!$B1140,"")</f>
        <v/>
      </c>
      <c r="C1141" t="str">
        <f>IF($A1141&lt;&gt;"",MAESTRO!$A1140,"")</f>
        <v/>
      </c>
      <c r="D1141" t="str">
        <f>IF($A1141&lt;&gt;"",MAESTRO!$C1140,"")</f>
        <v/>
      </c>
      <c r="E1141" t="str">
        <f>IF($A1141&lt;&gt;"",MAESTRO!$M1140,"")</f>
        <v/>
      </c>
      <c r="F1141" t="str">
        <f>IF($A1141&lt;&gt;"",MAESTRO!$J1140,"")</f>
        <v/>
      </c>
      <c r="G1141" t="str">
        <f>IF($A1141&lt;&gt;"",MAESTRO!$D1140,"")</f>
        <v/>
      </c>
      <c r="H1141" t="str">
        <f>IF($A1141&lt;&gt;"",IF(TRIM(MAESTRO!$G1140&amp;" "&amp;MAESTRO!$H1140&amp;" "&amp;MAESTRO!$I1140)="",MAESTRO!$F1140,TRIM(MAESTRO!$G1140&amp;" "&amp;MAESTRO!$H1140&amp;" "&amp;MAESTRO!$I1140)),"")</f>
        <v/>
      </c>
      <c r="I1141" t="str">
        <f>IF($A1141&lt;&gt;"",MAESTRO!$K1140,"")</f>
        <v/>
      </c>
      <c r="J1141" t="str">
        <f>IF($A1141&lt;&gt;"",1141,"")</f>
        <v/>
      </c>
    </row>
    <row r="1142" spans="1:10" x14ac:dyDescent="0.2">
      <c r="A1142" t="str">
        <f>IF(AND(UPPER(MAESTRO!$M1141)="VIP",UPPER(MAESTRO!$J1141)="SI",MAESTRO!$F1141&lt;&gt;""),MAESTRO!$P1141,"")</f>
        <v/>
      </c>
      <c r="B1142" t="str">
        <f>IF($A1142&lt;&gt;"",MAESTRO!$B1141,"")</f>
        <v/>
      </c>
      <c r="C1142" t="str">
        <f>IF($A1142&lt;&gt;"",MAESTRO!$A1141,"")</f>
        <v/>
      </c>
      <c r="D1142" t="str">
        <f>IF($A1142&lt;&gt;"",MAESTRO!$C1141,"")</f>
        <v/>
      </c>
      <c r="E1142" t="str">
        <f>IF($A1142&lt;&gt;"",MAESTRO!$M1141,"")</f>
        <v/>
      </c>
      <c r="F1142" t="str">
        <f>IF($A1142&lt;&gt;"",MAESTRO!$J1141,"")</f>
        <v/>
      </c>
      <c r="G1142" t="str">
        <f>IF($A1142&lt;&gt;"",MAESTRO!$D1141,"")</f>
        <v/>
      </c>
      <c r="H1142" t="str">
        <f>IF($A1142&lt;&gt;"",IF(TRIM(MAESTRO!$G1141&amp;" "&amp;MAESTRO!$H1141&amp;" "&amp;MAESTRO!$I1141)="",MAESTRO!$F1141,TRIM(MAESTRO!$G1141&amp;" "&amp;MAESTRO!$H1141&amp;" "&amp;MAESTRO!$I1141)),"")</f>
        <v/>
      </c>
      <c r="I1142" t="str">
        <f>IF($A1142&lt;&gt;"",MAESTRO!$K1141,"")</f>
        <v/>
      </c>
      <c r="J1142" t="str">
        <f>IF($A1142&lt;&gt;"",1142,"")</f>
        <v/>
      </c>
    </row>
    <row r="1143" spans="1:10" x14ac:dyDescent="0.2">
      <c r="A1143" t="str">
        <f>IF(AND(UPPER(MAESTRO!$M1142)="VIP",UPPER(MAESTRO!$J1142)="SI",MAESTRO!$F1142&lt;&gt;""),MAESTRO!$P1142,"")</f>
        <v/>
      </c>
      <c r="B1143" t="str">
        <f>IF($A1143&lt;&gt;"",MAESTRO!$B1142,"")</f>
        <v/>
      </c>
      <c r="C1143" t="str">
        <f>IF($A1143&lt;&gt;"",MAESTRO!$A1142,"")</f>
        <v/>
      </c>
      <c r="D1143" t="str">
        <f>IF($A1143&lt;&gt;"",MAESTRO!$C1142,"")</f>
        <v/>
      </c>
      <c r="E1143" t="str">
        <f>IF($A1143&lt;&gt;"",MAESTRO!$M1142,"")</f>
        <v/>
      </c>
      <c r="F1143" t="str">
        <f>IF($A1143&lt;&gt;"",MAESTRO!$J1142,"")</f>
        <v/>
      </c>
      <c r="G1143" t="str">
        <f>IF($A1143&lt;&gt;"",MAESTRO!$D1142,"")</f>
        <v/>
      </c>
      <c r="H1143" t="str">
        <f>IF($A1143&lt;&gt;"",IF(TRIM(MAESTRO!$G1142&amp;" "&amp;MAESTRO!$H1142&amp;" "&amp;MAESTRO!$I1142)="",MAESTRO!$F1142,TRIM(MAESTRO!$G1142&amp;" "&amp;MAESTRO!$H1142&amp;" "&amp;MAESTRO!$I1142)),"")</f>
        <v/>
      </c>
      <c r="I1143" t="str">
        <f>IF($A1143&lt;&gt;"",MAESTRO!$K1142,"")</f>
        <v/>
      </c>
      <c r="J1143" t="str">
        <f>IF($A1143&lt;&gt;"",1143,"")</f>
        <v/>
      </c>
    </row>
    <row r="1144" spans="1:10" x14ac:dyDescent="0.2">
      <c r="A1144" t="str">
        <f>IF(AND(UPPER(MAESTRO!$M1143)="VIP",UPPER(MAESTRO!$J1143)="SI",MAESTRO!$F1143&lt;&gt;""),MAESTRO!$P1143,"")</f>
        <v/>
      </c>
      <c r="B1144" t="str">
        <f>IF($A1144&lt;&gt;"",MAESTRO!$B1143,"")</f>
        <v/>
      </c>
      <c r="C1144" t="str">
        <f>IF($A1144&lt;&gt;"",MAESTRO!$A1143,"")</f>
        <v/>
      </c>
      <c r="D1144" t="str">
        <f>IF($A1144&lt;&gt;"",MAESTRO!$C1143,"")</f>
        <v/>
      </c>
      <c r="E1144" t="str">
        <f>IF($A1144&lt;&gt;"",MAESTRO!$M1143,"")</f>
        <v/>
      </c>
      <c r="F1144" t="str">
        <f>IF($A1144&lt;&gt;"",MAESTRO!$J1143,"")</f>
        <v/>
      </c>
      <c r="G1144" t="str">
        <f>IF($A1144&lt;&gt;"",MAESTRO!$D1143,"")</f>
        <v/>
      </c>
      <c r="H1144" t="str">
        <f>IF($A1144&lt;&gt;"",IF(TRIM(MAESTRO!$G1143&amp;" "&amp;MAESTRO!$H1143&amp;" "&amp;MAESTRO!$I1143)="",MAESTRO!$F1143,TRIM(MAESTRO!$G1143&amp;" "&amp;MAESTRO!$H1143&amp;" "&amp;MAESTRO!$I1143)),"")</f>
        <v/>
      </c>
      <c r="I1144" t="str">
        <f>IF($A1144&lt;&gt;"",MAESTRO!$K1143,"")</f>
        <v/>
      </c>
      <c r="J1144" t="str">
        <f>IF($A1144&lt;&gt;"",1144,"")</f>
        <v/>
      </c>
    </row>
    <row r="1145" spans="1:10" x14ac:dyDescent="0.2">
      <c r="A1145" t="str">
        <f>IF(AND(UPPER(MAESTRO!$M1144)="VIP",UPPER(MAESTRO!$J1144)="SI",MAESTRO!$F1144&lt;&gt;""),MAESTRO!$P1144,"")</f>
        <v/>
      </c>
      <c r="B1145" t="str">
        <f>IF($A1145&lt;&gt;"",MAESTRO!$B1144,"")</f>
        <v/>
      </c>
      <c r="C1145" t="str">
        <f>IF($A1145&lt;&gt;"",MAESTRO!$A1144,"")</f>
        <v/>
      </c>
      <c r="D1145" t="str">
        <f>IF($A1145&lt;&gt;"",MAESTRO!$C1144,"")</f>
        <v/>
      </c>
      <c r="E1145" t="str">
        <f>IF($A1145&lt;&gt;"",MAESTRO!$M1144,"")</f>
        <v/>
      </c>
      <c r="F1145" t="str">
        <f>IF($A1145&lt;&gt;"",MAESTRO!$J1144,"")</f>
        <v/>
      </c>
      <c r="G1145" t="str">
        <f>IF($A1145&lt;&gt;"",MAESTRO!$D1144,"")</f>
        <v/>
      </c>
      <c r="H1145" t="str">
        <f>IF($A1145&lt;&gt;"",IF(TRIM(MAESTRO!$G1144&amp;" "&amp;MAESTRO!$H1144&amp;" "&amp;MAESTRO!$I1144)="",MAESTRO!$F1144,TRIM(MAESTRO!$G1144&amp;" "&amp;MAESTRO!$H1144&amp;" "&amp;MAESTRO!$I1144)),"")</f>
        <v/>
      </c>
      <c r="I1145" t="str">
        <f>IF($A1145&lt;&gt;"",MAESTRO!$K1144,"")</f>
        <v/>
      </c>
      <c r="J1145" t="str">
        <f>IF($A1145&lt;&gt;"",1145,"")</f>
        <v/>
      </c>
    </row>
    <row r="1146" spans="1:10" x14ac:dyDescent="0.2">
      <c r="A1146" t="str">
        <f>IF(AND(UPPER(MAESTRO!$M1145)="VIP",UPPER(MAESTRO!$J1145)="SI",MAESTRO!$F1145&lt;&gt;""),MAESTRO!$P1145,"")</f>
        <v/>
      </c>
      <c r="B1146" t="str">
        <f>IF($A1146&lt;&gt;"",MAESTRO!$B1145,"")</f>
        <v/>
      </c>
      <c r="C1146" t="str">
        <f>IF($A1146&lt;&gt;"",MAESTRO!$A1145,"")</f>
        <v/>
      </c>
      <c r="D1146" t="str">
        <f>IF($A1146&lt;&gt;"",MAESTRO!$C1145,"")</f>
        <v/>
      </c>
      <c r="E1146" t="str">
        <f>IF($A1146&lt;&gt;"",MAESTRO!$M1145,"")</f>
        <v/>
      </c>
      <c r="F1146" t="str">
        <f>IF($A1146&lt;&gt;"",MAESTRO!$J1145,"")</f>
        <v/>
      </c>
      <c r="G1146" t="str">
        <f>IF($A1146&lt;&gt;"",MAESTRO!$D1145,"")</f>
        <v/>
      </c>
      <c r="H1146" t="str">
        <f>IF($A1146&lt;&gt;"",IF(TRIM(MAESTRO!$G1145&amp;" "&amp;MAESTRO!$H1145&amp;" "&amp;MAESTRO!$I1145)="",MAESTRO!$F1145,TRIM(MAESTRO!$G1145&amp;" "&amp;MAESTRO!$H1145&amp;" "&amp;MAESTRO!$I1145)),"")</f>
        <v/>
      </c>
      <c r="I1146" t="str">
        <f>IF($A1146&lt;&gt;"",MAESTRO!$K1145,"")</f>
        <v/>
      </c>
      <c r="J1146" t="str">
        <f>IF($A1146&lt;&gt;"",1146,"")</f>
        <v/>
      </c>
    </row>
    <row r="1147" spans="1:10" x14ac:dyDescent="0.2">
      <c r="A1147" t="str">
        <f>IF(AND(UPPER(MAESTRO!$M1146)="VIP",UPPER(MAESTRO!$J1146)="SI",MAESTRO!$F1146&lt;&gt;""),MAESTRO!$P1146,"")</f>
        <v/>
      </c>
      <c r="B1147" t="str">
        <f>IF($A1147&lt;&gt;"",MAESTRO!$B1146,"")</f>
        <v/>
      </c>
      <c r="C1147" t="str">
        <f>IF($A1147&lt;&gt;"",MAESTRO!$A1146,"")</f>
        <v/>
      </c>
      <c r="D1147" t="str">
        <f>IF($A1147&lt;&gt;"",MAESTRO!$C1146,"")</f>
        <v/>
      </c>
      <c r="E1147" t="str">
        <f>IF($A1147&lt;&gt;"",MAESTRO!$M1146,"")</f>
        <v/>
      </c>
      <c r="F1147" t="str">
        <f>IF($A1147&lt;&gt;"",MAESTRO!$J1146,"")</f>
        <v/>
      </c>
      <c r="G1147" t="str">
        <f>IF($A1147&lt;&gt;"",MAESTRO!$D1146,"")</f>
        <v/>
      </c>
      <c r="H1147" t="str">
        <f>IF($A1147&lt;&gt;"",IF(TRIM(MAESTRO!$G1146&amp;" "&amp;MAESTRO!$H1146&amp;" "&amp;MAESTRO!$I1146)="",MAESTRO!$F1146,TRIM(MAESTRO!$G1146&amp;" "&amp;MAESTRO!$H1146&amp;" "&amp;MAESTRO!$I1146)),"")</f>
        <v/>
      </c>
      <c r="I1147" t="str">
        <f>IF($A1147&lt;&gt;"",MAESTRO!$K1146,"")</f>
        <v/>
      </c>
      <c r="J1147" t="str">
        <f>IF($A1147&lt;&gt;"",1147,"")</f>
        <v/>
      </c>
    </row>
    <row r="1148" spans="1:10" x14ac:dyDescent="0.2">
      <c r="A1148" t="str">
        <f>IF(AND(UPPER(MAESTRO!$M1147)="VIP",UPPER(MAESTRO!$J1147)="SI",MAESTRO!$F1147&lt;&gt;""),MAESTRO!$P1147,"")</f>
        <v/>
      </c>
      <c r="B1148" t="str">
        <f>IF($A1148&lt;&gt;"",MAESTRO!$B1147,"")</f>
        <v/>
      </c>
      <c r="C1148" t="str">
        <f>IF($A1148&lt;&gt;"",MAESTRO!$A1147,"")</f>
        <v/>
      </c>
      <c r="D1148" t="str">
        <f>IF($A1148&lt;&gt;"",MAESTRO!$C1147,"")</f>
        <v/>
      </c>
      <c r="E1148" t="str">
        <f>IF($A1148&lt;&gt;"",MAESTRO!$M1147,"")</f>
        <v/>
      </c>
      <c r="F1148" t="str">
        <f>IF($A1148&lt;&gt;"",MAESTRO!$J1147,"")</f>
        <v/>
      </c>
      <c r="G1148" t="str">
        <f>IF($A1148&lt;&gt;"",MAESTRO!$D1147,"")</f>
        <v/>
      </c>
      <c r="H1148" t="str">
        <f>IF($A1148&lt;&gt;"",IF(TRIM(MAESTRO!$G1147&amp;" "&amp;MAESTRO!$H1147&amp;" "&amp;MAESTRO!$I1147)="",MAESTRO!$F1147,TRIM(MAESTRO!$G1147&amp;" "&amp;MAESTRO!$H1147&amp;" "&amp;MAESTRO!$I1147)),"")</f>
        <v/>
      </c>
      <c r="I1148" t="str">
        <f>IF($A1148&lt;&gt;"",MAESTRO!$K1147,"")</f>
        <v/>
      </c>
      <c r="J1148" t="str">
        <f>IF($A1148&lt;&gt;"",1148,"")</f>
        <v/>
      </c>
    </row>
    <row r="1149" spans="1:10" x14ac:dyDescent="0.2">
      <c r="A1149" t="str">
        <f>IF(AND(UPPER(MAESTRO!$M1148)="VIP",UPPER(MAESTRO!$J1148)="SI",MAESTRO!$F1148&lt;&gt;""),MAESTRO!$P1148,"")</f>
        <v/>
      </c>
      <c r="B1149" t="str">
        <f>IF($A1149&lt;&gt;"",MAESTRO!$B1148,"")</f>
        <v/>
      </c>
      <c r="C1149" t="str">
        <f>IF($A1149&lt;&gt;"",MAESTRO!$A1148,"")</f>
        <v/>
      </c>
      <c r="D1149" t="str">
        <f>IF($A1149&lt;&gt;"",MAESTRO!$C1148,"")</f>
        <v/>
      </c>
      <c r="E1149" t="str">
        <f>IF($A1149&lt;&gt;"",MAESTRO!$M1148,"")</f>
        <v/>
      </c>
      <c r="F1149" t="str">
        <f>IF($A1149&lt;&gt;"",MAESTRO!$J1148,"")</f>
        <v/>
      </c>
      <c r="G1149" t="str">
        <f>IF($A1149&lt;&gt;"",MAESTRO!$D1148,"")</f>
        <v/>
      </c>
      <c r="H1149" t="str">
        <f>IF($A1149&lt;&gt;"",IF(TRIM(MAESTRO!$G1148&amp;" "&amp;MAESTRO!$H1148&amp;" "&amp;MAESTRO!$I1148)="",MAESTRO!$F1148,TRIM(MAESTRO!$G1148&amp;" "&amp;MAESTRO!$H1148&amp;" "&amp;MAESTRO!$I1148)),"")</f>
        <v/>
      </c>
      <c r="I1149" t="str">
        <f>IF($A1149&lt;&gt;"",MAESTRO!$K1148,"")</f>
        <v/>
      </c>
      <c r="J1149" t="str">
        <f>IF($A1149&lt;&gt;"",1149,"")</f>
        <v/>
      </c>
    </row>
    <row r="1150" spans="1:10" x14ac:dyDescent="0.2">
      <c r="A1150" t="str">
        <f>IF(AND(UPPER(MAESTRO!$M1149)="VIP",UPPER(MAESTRO!$J1149)="SI",MAESTRO!$F1149&lt;&gt;""),MAESTRO!$P1149,"")</f>
        <v/>
      </c>
      <c r="B1150" t="str">
        <f>IF($A1150&lt;&gt;"",MAESTRO!$B1149,"")</f>
        <v/>
      </c>
      <c r="C1150" t="str">
        <f>IF($A1150&lt;&gt;"",MAESTRO!$A1149,"")</f>
        <v/>
      </c>
      <c r="D1150" t="str">
        <f>IF($A1150&lt;&gt;"",MAESTRO!$C1149,"")</f>
        <v/>
      </c>
      <c r="E1150" t="str">
        <f>IF($A1150&lt;&gt;"",MAESTRO!$M1149,"")</f>
        <v/>
      </c>
      <c r="F1150" t="str">
        <f>IF($A1150&lt;&gt;"",MAESTRO!$J1149,"")</f>
        <v/>
      </c>
      <c r="G1150" t="str">
        <f>IF($A1150&lt;&gt;"",MAESTRO!$D1149,"")</f>
        <v/>
      </c>
      <c r="H1150" t="str">
        <f>IF($A1150&lt;&gt;"",IF(TRIM(MAESTRO!$G1149&amp;" "&amp;MAESTRO!$H1149&amp;" "&amp;MAESTRO!$I1149)="",MAESTRO!$F1149,TRIM(MAESTRO!$G1149&amp;" "&amp;MAESTRO!$H1149&amp;" "&amp;MAESTRO!$I1149)),"")</f>
        <v/>
      </c>
      <c r="I1150" t="str">
        <f>IF($A1150&lt;&gt;"",MAESTRO!$K1149,"")</f>
        <v/>
      </c>
      <c r="J1150" t="str">
        <f>IF($A1150&lt;&gt;"",1150,"")</f>
        <v/>
      </c>
    </row>
    <row r="1151" spans="1:10" x14ac:dyDescent="0.2">
      <c r="A1151" t="str">
        <f>IF(AND(UPPER(MAESTRO!$M1150)="VIP",UPPER(MAESTRO!$J1150)="SI",MAESTRO!$F1150&lt;&gt;""),MAESTRO!$P1150,"")</f>
        <v/>
      </c>
      <c r="B1151" t="str">
        <f>IF($A1151&lt;&gt;"",MAESTRO!$B1150,"")</f>
        <v/>
      </c>
      <c r="C1151" t="str">
        <f>IF($A1151&lt;&gt;"",MAESTRO!$A1150,"")</f>
        <v/>
      </c>
      <c r="D1151" t="str">
        <f>IF($A1151&lt;&gt;"",MAESTRO!$C1150,"")</f>
        <v/>
      </c>
      <c r="E1151" t="str">
        <f>IF($A1151&lt;&gt;"",MAESTRO!$M1150,"")</f>
        <v/>
      </c>
      <c r="F1151" t="str">
        <f>IF($A1151&lt;&gt;"",MAESTRO!$J1150,"")</f>
        <v/>
      </c>
      <c r="G1151" t="str">
        <f>IF($A1151&lt;&gt;"",MAESTRO!$D1150,"")</f>
        <v/>
      </c>
      <c r="H1151" t="str">
        <f>IF($A1151&lt;&gt;"",IF(TRIM(MAESTRO!$G1150&amp;" "&amp;MAESTRO!$H1150&amp;" "&amp;MAESTRO!$I1150)="",MAESTRO!$F1150,TRIM(MAESTRO!$G1150&amp;" "&amp;MAESTRO!$H1150&amp;" "&amp;MAESTRO!$I1150)),"")</f>
        <v/>
      </c>
      <c r="I1151" t="str">
        <f>IF($A1151&lt;&gt;"",MAESTRO!$K1150,"")</f>
        <v/>
      </c>
      <c r="J1151" t="str">
        <f>IF($A1151&lt;&gt;"",1151,"")</f>
        <v/>
      </c>
    </row>
    <row r="1152" spans="1:10" x14ac:dyDescent="0.2">
      <c r="A1152" t="str">
        <f>IF(AND(UPPER(MAESTRO!$M1151)="VIP",UPPER(MAESTRO!$J1151)="SI",MAESTRO!$F1151&lt;&gt;""),MAESTRO!$P1151,"")</f>
        <v/>
      </c>
      <c r="B1152" t="str">
        <f>IF($A1152&lt;&gt;"",MAESTRO!$B1151,"")</f>
        <v/>
      </c>
      <c r="C1152" t="str">
        <f>IF($A1152&lt;&gt;"",MAESTRO!$A1151,"")</f>
        <v/>
      </c>
      <c r="D1152" t="str">
        <f>IF($A1152&lt;&gt;"",MAESTRO!$C1151,"")</f>
        <v/>
      </c>
      <c r="E1152" t="str">
        <f>IF($A1152&lt;&gt;"",MAESTRO!$M1151,"")</f>
        <v/>
      </c>
      <c r="F1152" t="str">
        <f>IF($A1152&lt;&gt;"",MAESTRO!$J1151,"")</f>
        <v/>
      </c>
      <c r="G1152" t="str">
        <f>IF($A1152&lt;&gt;"",MAESTRO!$D1151,"")</f>
        <v/>
      </c>
      <c r="H1152" t="str">
        <f>IF($A1152&lt;&gt;"",IF(TRIM(MAESTRO!$G1151&amp;" "&amp;MAESTRO!$H1151&amp;" "&amp;MAESTRO!$I1151)="",MAESTRO!$F1151,TRIM(MAESTRO!$G1151&amp;" "&amp;MAESTRO!$H1151&amp;" "&amp;MAESTRO!$I1151)),"")</f>
        <v/>
      </c>
      <c r="I1152" t="str">
        <f>IF($A1152&lt;&gt;"",MAESTRO!$K1151,"")</f>
        <v/>
      </c>
      <c r="J1152" t="str">
        <f>IF($A1152&lt;&gt;"",1152,"")</f>
        <v/>
      </c>
    </row>
    <row r="1153" spans="1:10" x14ac:dyDescent="0.2">
      <c r="A1153" t="str">
        <f>IF(AND(UPPER(MAESTRO!$M1152)="VIP",UPPER(MAESTRO!$J1152)="SI",MAESTRO!$F1152&lt;&gt;""),MAESTRO!$P1152,"")</f>
        <v/>
      </c>
      <c r="B1153" t="str">
        <f>IF($A1153&lt;&gt;"",MAESTRO!$B1152,"")</f>
        <v/>
      </c>
      <c r="C1153" t="str">
        <f>IF($A1153&lt;&gt;"",MAESTRO!$A1152,"")</f>
        <v/>
      </c>
      <c r="D1153" t="str">
        <f>IF($A1153&lt;&gt;"",MAESTRO!$C1152,"")</f>
        <v/>
      </c>
      <c r="E1153" t="str">
        <f>IF($A1153&lt;&gt;"",MAESTRO!$M1152,"")</f>
        <v/>
      </c>
      <c r="F1153" t="str">
        <f>IF($A1153&lt;&gt;"",MAESTRO!$J1152,"")</f>
        <v/>
      </c>
      <c r="G1153" t="str">
        <f>IF($A1153&lt;&gt;"",MAESTRO!$D1152,"")</f>
        <v/>
      </c>
      <c r="H1153" t="str">
        <f>IF($A1153&lt;&gt;"",IF(TRIM(MAESTRO!$G1152&amp;" "&amp;MAESTRO!$H1152&amp;" "&amp;MAESTRO!$I1152)="",MAESTRO!$F1152,TRIM(MAESTRO!$G1152&amp;" "&amp;MAESTRO!$H1152&amp;" "&amp;MAESTRO!$I1152)),"")</f>
        <v/>
      </c>
      <c r="I1153" t="str">
        <f>IF($A1153&lt;&gt;"",MAESTRO!$K1152,"")</f>
        <v/>
      </c>
      <c r="J1153" t="str">
        <f>IF($A1153&lt;&gt;"",1153,"")</f>
        <v/>
      </c>
    </row>
    <row r="1154" spans="1:10" x14ac:dyDescent="0.2">
      <c r="A1154" t="str">
        <f>IF(AND(UPPER(MAESTRO!$M1153)="VIP",UPPER(MAESTRO!$J1153)="SI",MAESTRO!$F1153&lt;&gt;""),MAESTRO!$P1153,"")</f>
        <v/>
      </c>
      <c r="B1154" t="str">
        <f>IF($A1154&lt;&gt;"",MAESTRO!$B1153,"")</f>
        <v/>
      </c>
      <c r="C1154" t="str">
        <f>IF($A1154&lt;&gt;"",MAESTRO!$A1153,"")</f>
        <v/>
      </c>
      <c r="D1154" t="str">
        <f>IF($A1154&lt;&gt;"",MAESTRO!$C1153,"")</f>
        <v/>
      </c>
      <c r="E1154" t="str">
        <f>IF($A1154&lt;&gt;"",MAESTRO!$M1153,"")</f>
        <v/>
      </c>
      <c r="F1154" t="str">
        <f>IF($A1154&lt;&gt;"",MAESTRO!$J1153,"")</f>
        <v/>
      </c>
      <c r="G1154" t="str">
        <f>IF($A1154&lt;&gt;"",MAESTRO!$D1153,"")</f>
        <v/>
      </c>
      <c r="H1154" t="str">
        <f>IF($A1154&lt;&gt;"",IF(TRIM(MAESTRO!$G1153&amp;" "&amp;MAESTRO!$H1153&amp;" "&amp;MAESTRO!$I1153)="",MAESTRO!$F1153,TRIM(MAESTRO!$G1153&amp;" "&amp;MAESTRO!$H1153&amp;" "&amp;MAESTRO!$I1153)),"")</f>
        <v/>
      </c>
      <c r="I1154" t="str">
        <f>IF($A1154&lt;&gt;"",MAESTRO!$K1153,"")</f>
        <v/>
      </c>
      <c r="J1154" t="str">
        <f>IF($A1154&lt;&gt;"",1154,"")</f>
        <v/>
      </c>
    </row>
    <row r="1155" spans="1:10" x14ac:dyDescent="0.2">
      <c r="A1155" t="str">
        <f>IF(AND(UPPER(MAESTRO!$M1154)="VIP",UPPER(MAESTRO!$J1154)="SI",MAESTRO!$F1154&lt;&gt;""),MAESTRO!$P1154,"")</f>
        <v/>
      </c>
      <c r="B1155" t="str">
        <f>IF($A1155&lt;&gt;"",MAESTRO!$B1154,"")</f>
        <v/>
      </c>
      <c r="C1155" t="str">
        <f>IF($A1155&lt;&gt;"",MAESTRO!$A1154,"")</f>
        <v/>
      </c>
      <c r="D1155" t="str">
        <f>IF($A1155&lt;&gt;"",MAESTRO!$C1154,"")</f>
        <v/>
      </c>
      <c r="E1155" t="str">
        <f>IF($A1155&lt;&gt;"",MAESTRO!$M1154,"")</f>
        <v/>
      </c>
      <c r="F1155" t="str">
        <f>IF($A1155&lt;&gt;"",MAESTRO!$J1154,"")</f>
        <v/>
      </c>
      <c r="G1155" t="str">
        <f>IF($A1155&lt;&gt;"",MAESTRO!$D1154,"")</f>
        <v/>
      </c>
      <c r="H1155" t="str">
        <f>IF($A1155&lt;&gt;"",IF(TRIM(MAESTRO!$G1154&amp;" "&amp;MAESTRO!$H1154&amp;" "&amp;MAESTRO!$I1154)="",MAESTRO!$F1154,TRIM(MAESTRO!$G1154&amp;" "&amp;MAESTRO!$H1154&amp;" "&amp;MAESTRO!$I1154)),"")</f>
        <v/>
      </c>
      <c r="I1155" t="str">
        <f>IF($A1155&lt;&gt;"",MAESTRO!$K1154,"")</f>
        <v/>
      </c>
      <c r="J1155" t="str">
        <f>IF($A1155&lt;&gt;"",1155,"")</f>
        <v/>
      </c>
    </row>
    <row r="1156" spans="1:10" x14ac:dyDescent="0.2">
      <c r="A1156" t="str">
        <f>IF(AND(UPPER(MAESTRO!$M1155)="VIP",UPPER(MAESTRO!$J1155)="SI",MAESTRO!$F1155&lt;&gt;""),MAESTRO!$P1155,"")</f>
        <v/>
      </c>
      <c r="B1156" t="str">
        <f>IF($A1156&lt;&gt;"",MAESTRO!$B1155,"")</f>
        <v/>
      </c>
      <c r="C1156" t="str">
        <f>IF($A1156&lt;&gt;"",MAESTRO!$A1155,"")</f>
        <v/>
      </c>
      <c r="D1156" t="str">
        <f>IF($A1156&lt;&gt;"",MAESTRO!$C1155,"")</f>
        <v/>
      </c>
      <c r="E1156" t="str">
        <f>IF($A1156&lt;&gt;"",MAESTRO!$M1155,"")</f>
        <v/>
      </c>
      <c r="F1156" t="str">
        <f>IF($A1156&lt;&gt;"",MAESTRO!$J1155,"")</f>
        <v/>
      </c>
      <c r="G1156" t="str">
        <f>IF($A1156&lt;&gt;"",MAESTRO!$D1155,"")</f>
        <v/>
      </c>
      <c r="H1156" t="str">
        <f>IF($A1156&lt;&gt;"",IF(TRIM(MAESTRO!$G1155&amp;" "&amp;MAESTRO!$H1155&amp;" "&amp;MAESTRO!$I1155)="",MAESTRO!$F1155,TRIM(MAESTRO!$G1155&amp;" "&amp;MAESTRO!$H1155&amp;" "&amp;MAESTRO!$I1155)),"")</f>
        <v/>
      </c>
      <c r="I1156" t="str">
        <f>IF($A1156&lt;&gt;"",MAESTRO!$K1155,"")</f>
        <v/>
      </c>
      <c r="J1156" t="str">
        <f>IF($A1156&lt;&gt;"",1156,"")</f>
        <v/>
      </c>
    </row>
    <row r="1157" spans="1:10" x14ac:dyDescent="0.2">
      <c r="A1157" t="str">
        <f>IF(AND(UPPER(MAESTRO!$M1156)="VIP",UPPER(MAESTRO!$J1156)="SI",MAESTRO!$F1156&lt;&gt;""),MAESTRO!$P1156,"")</f>
        <v/>
      </c>
      <c r="B1157" t="str">
        <f>IF($A1157&lt;&gt;"",MAESTRO!$B1156,"")</f>
        <v/>
      </c>
      <c r="C1157" t="str">
        <f>IF($A1157&lt;&gt;"",MAESTRO!$A1156,"")</f>
        <v/>
      </c>
      <c r="D1157" t="str">
        <f>IF($A1157&lt;&gt;"",MAESTRO!$C1156,"")</f>
        <v/>
      </c>
      <c r="E1157" t="str">
        <f>IF($A1157&lt;&gt;"",MAESTRO!$M1156,"")</f>
        <v/>
      </c>
      <c r="F1157" t="str">
        <f>IF($A1157&lt;&gt;"",MAESTRO!$J1156,"")</f>
        <v/>
      </c>
      <c r="G1157" t="str">
        <f>IF($A1157&lt;&gt;"",MAESTRO!$D1156,"")</f>
        <v/>
      </c>
      <c r="H1157" t="str">
        <f>IF($A1157&lt;&gt;"",IF(TRIM(MAESTRO!$G1156&amp;" "&amp;MAESTRO!$H1156&amp;" "&amp;MAESTRO!$I1156)="",MAESTRO!$F1156,TRIM(MAESTRO!$G1156&amp;" "&amp;MAESTRO!$H1156&amp;" "&amp;MAESTRO!$I1156)),"")</f>
        <v/>
      </c>
      <c r="I1157" t="str">
        <f>IF($A1157&lt;&gt;"",MAESTRO!$K1156,"")</f>
        <v/>
      </c>
      <c r="J1157" t="str">
        <f>IF($A1157&lt;&gt;"",1157,"")</f>
        <v/>
      </c>
    </row>
    <row r="1158" spans="1:10" x14ac:dyDescent="0.2">
      <c r="A1158" t="str">
        <f>IF(AND(UPPER(MAESTRO!$M1157)="VIP",UPPER(MAESTRO!$J1157)="SI",MAESTRO!$F1157&lt;&gt;""),MAESTRO!$P1157,"")</f>
        <v/>
      </c>
      <c r="B1158" t="str">
        <f>IF($A1158&lt;&gt;"",MAESTRO!$B1157,"")</f>
        <v/>
      </c>
      <c r="C1158" t="str">
        <f>IF($A1158&lt;&gt;"",MAESTRO!$A1157,"")</f>
        <v/>
      </c>
      <c r="D1158" t="str">
        <f>IF($A1158&lt;&gt;"",MAESTRO!$C1157,"")</f>
        <v/>
      </c>
      <c r="E1158" t="str">
        <f>IF($A1158&lt;&gt;"",MAESTRO!$M1157,"")</f>
        <v/>
      </c>
      <c r="F1158" t="str">
        <f>IF($A1158&lt;&gt;"",MAESTRO!$J1157,"")</f>
        <v/>
      </c>
      <c r="G1158" t="str">
        <f>IF($A1158&lt;&gt;"",MAESTRO!$D1157,"")</f>
        <v/>
      </c>
      <c r="H1158" t="str">
        <f>IF($A1158&lt;&gt;"",IF(TRIM(MAESTRO!$G1157&amp;" "&amp;MAESTRO!$H1157&amp;" "&amp;MAESTRO!$I1157)="",MAESTRO!$F1157,TRIM(MAESTRO!$G1157&amp;" "&amp;MAESTRO!$H1157&amp;" "&amp;MAESTRO!$I1157)),"")</f>
        <v/>
      </c>
      <c r="I1158" t="str">
        <f>IF($A1158&lt;&gt;"",MAESTRO!$K1157,"")</f>
        <v/>
      </c>
      <c r="J1158" t="str">
        <f>IF($A1158&lt;&gt;"",1158,"")</f>
        <v/>
      </c>
    </row>
    <row r="1159" spans="1:10" x14ac:dyDescent="0.2">
      <c r="A1159" t="str">
        <f>IF(AND(UPPER(MAESTRO!$M1158)="VIP",UPPER(MAESTRO!$J1158)="SI",MAESTRO!$F1158&lt;&gt;""),MAESTRO!$P1158,"")</f>
        <v/>
      </c>
      <c r="B1159" t="str">
        <f>IF($A1159&lt;&gt;"",MAESTRO!$B1158,"")</f>
        <v/>
      </c>
      <c r="C1159" t="str">
        <f>IF($A1159&lt;&gt;"",MAESTRO!$A1158,"")</f>
        <v/>
      </c>
      <c r="D1159" t="str">
        <f>IF($A1159&lt;&gt;"",MAESTRO!$C1158,"")</f>
        <v/>
      </c>
      <c r="E1159" t="str">
        <f>IF($A1159&lt;&gt;"",MAESTRO!$M1158,"")</f>
        <v/>
      </c>
      <c r="F1159" t="str">
        <f>IF($A1159&lt;&gt;"",MAESTRO!$J1158,"")</f>
        <v/>
      </c>
      <c r="G1159" t="str">
        <f>IF($A1159&lt;&gt;"",MAESTRO!$D1158,"")</f>
        <v/>
      </c>
      <c r="H1159" t="str">
        <f>IF($A1159&lt;&gt;"",IF(TRIM(MAESTRO!$G1158&amp;" "&amp;MAESTRO!$H1158&amp;" "&amp;MAESTRO!$I1158)="",MAESTRO!$F1158,TRIM(MAESTRO!$G1158&amp;" "&amp;MAESTRO!$H1158&amp;" "&amp;MAESTRO!$I1158)),"")</f>
        <v/>
      </c>
      <c r="I1159" t="str">
        <f>IF($A1159&lt;&gt;"",MAESTRO!$K1158,"")</f>
        <v/>
      </c>
      <c r="J1159" t="str">
        <f>IF($A1159&lt;&gt;"",1159,"")</f>
        <v/>
      </c>
    </row>
    <row r="1160" spans="1:10" x14ac:dyDescent="0.2">
      <c r="A1160" t="str">
        <f>IF(AND(UPPER(MAESTRO!$M1159)="VIP",UPPER(MAESTRO!$J1159)="SI",MAESTRO!$F1159&lt;&gt;""),MAESTRO!$P1159,"")</f>
        <v/>
      </c>
      <c r="B1160" t="str">
        <f>IF($A1160&lt;&gt;"",MAESTRO!$B1159,"")</f>
        <v/>
      </c>
      <c r="C1160" t="str">
        <f>IF($A1160&lt;&gt;"",MAESTRO!$A1159,"")</f>
        <v/>
      </c>
      <c r="D1160" t="str">
        <f>IF($A1160&lt;&gt;"",MAESTRO!$C1159,"")</f>
        <v/>
      </c>
      <c r="E1160" t="str">
        <f>IF($A1160&lt;&gt;"",MAESTRO!$M1159,"")</f>
        <v/>
      </c>
      <c r="F1160" t="str">
        <f>IF($A1160&lt;&gt;"",MAESTRO!$J1159,"")</f>
        <v/>
      </c>
      <c r="G1160" t="str">
        <f>IF($A1160&lt;&gt;"",MAESTRO!$D1159,"")</f>
        <v/>
      </c>
      <c r="H1160" t="str">
        <f>IF($A1160&lt;&gt;"",IF(TRIM(MAESTRO!$G1159&amp;" "&amp;MAESTRO!$H1159&amp;" "&amp;MAESTRO!$I1159)="",MAESTRO!$F1159,TRIM(MAESTRO!$G1159&amp;" "&amp;MAESTRO!$H1159&amp;" "&amp;MAESTRO!$I1159)),"")</f>
        <v/>
      </c>
      <c r="I1160" t="str">
        <f>IF($A1160&lt;&gt;"",MAESTRO!$K1159,"")</f>
        <v/>
      </c>
      <c r="J1160" t="str">
        <f>IF($A1160&lt;&gt;"",1160,"")</f>
        <v/>
      </c>
    </row>
    <row r="1161" spans="1:10" x14ac:dyDescent="0.2">
      <c r="A1161" t="str">
        <f>IF(AND(UPPER(MAESTRO!$M1160)="VIP",UPPER(MAESTRO!$J1160)="SI",MAESTRO!$F1160&lt;&gt;""),MAESTRO!$P1160,"")</f>
        <v/>
      </c>
      <c r="B1161" t="str">
        <f>IF($A1161&lt;&gt;"",MAESTRO!$B1160,"")</f>
        <v/>
      </c>
      <c r="C1161" t="str">
        <f>IF($A1161&lt;&gt;"",MAESTRO!$A1160,"")</f>
        <v/>
      </c>
      <c r="D1161" t="str">
        <f>IF($A1161&lt;&gt;"",MAESTRO!$C1160,"")</f>
        <v/>
      </c>
      <c r="E1161" t="str">
        <f>IF($A1161&lt;&gt;"",MAESTRO!$M1160,"")</f>
        <v/>
      </c>
      <c r="F1161" t="str">
        <f>IF($A1161&lt;&gt;"",MAESTRO!$J1160,"")</f>
        <v/>
      </c>
      <c r="G1161" t="str">
        <f>IF($A1161&lt;&gt;"",MAESTRO!$D1160,"")</f>
        <v/>
      </c>
      <c r="H1161" t="str">
        <f>IF($A1161&lt;&gt;"",IF(TRIM(MAESTRO!$G1160&amp;" "&amp;MAESTRO!$H1160&amp;" "&amp;MAESTRO!$I1160)="",MAESTRO!$F1160,TRIM(MAESTRO!$G1160&amp;" "&amp;MAESTRO!$H1160&amp;" "&amp;MAESTRO!$I1160)),"")</f>
        <v/>
      </c>
      <c r="I1161" t="str">
        <f>IF($A1161&lt;&gt;"",MAESTRO!$K1160,"")</f>
        <v/>
      </c>
      <c r="J1161" t="str">
        <f>IF($A1161&lt;&gt;"",1161,"")</f>
        <v/>
      </c>
    </row>
    <row r="1162" spans="1:10" x14ac:dyDescent="0.2">
      <c r="A1162" t="str">
        <f>IF(AND(UPPER(MAESTRO!$M1161)="VIP",UPPER(MAESTRO!$J1161)="SI",MAESTRO!$F1161&lt;&gt;""),MAESTRO!$P1161,"")</f>
        <v/>
      </c>
      <c r="B1162" t="str">
        <f>IF($A1162&lt;&gt;"",MAESTRO!$B1161,"")</f>
        <v/>
      </c>
      <c r="C1162" t="str">
        <f>IF($A1162&lt;&gt;"",MAESTRO!$A1161,"")</f>
        <v/>
      </c>
      <c r="D1162" t="str">
        <f>IF($A1162&lt;&gt;"",MAESTRO!$C1161,"")</f>
        <v/>
      </c>
      <c r="E1162" t="str">
        <f>IF($A1162&lt;&gt;"",MAESTRO!$M1161,"")</f>
        <v/>
      </c>
      <c r="F1162" t="str">
        <f>IF($A1162&lt;&gt;"",MAESTRO!$J1161,"")</f>
        <v/>
      </c>
      <c r="G1162" t="str">
        <f>IF($A1162&lt;&gt;"",MAESTRO!$D1161,"")</f>
        <v/>
      </c>
      <c r="H1162" t="str">
        <f>IF($A1162&lt;&gt;"",IF(TRIM(MAESTRO!$G1161&amp;" "&amp;MAESTRO!$H1161&amp;" "&amp;MAESTRO!$I1161)="",MAESTRO!$F1161,TRIM(MAESTRO!$G1161&amp;" "&amp;MAESTRO!$H1161&amp;" "&amp;MAESTRO!$I1161)),"")</f>
        <v/>
      </c>
      <c r="I1162" t="str">
        <f>IF($A1162&lt;&gt;"",MAESTRO!$K1161,"")</f>
        <v/>
      </c>
      <c r="J1162" t="str">
        <f>IF($A1162&lt;&gt;"",1162,"")</f>
        <v/>
      </c>
    </row>
    <row r="1163" spans="1:10" x14ac:dyDescent="0.2">
      <c r="A1163" t="str">
        <f>IF(AND(UPPER(MAESTRO!$M1162)="VIP",UPPER(MAESTRO!$J1162)="SI",MAESTRO!$F1162&lt;&gt;""),MAESTRO!$P1162,"")</f>
        <v/>
      </c>
      <c r="B1163" t="str">
        <f>IF($A1163&lt;&gt;"",MAESTRO!$B1162,"")</f>
        <v/>
      </c>
      <c r="C1163" t="str">
        <f>IF($A1163&lt;&gt;"",MAESTRO!$A1162,"")</f>
        <v/>
      </c>
      <c r="D1163" t="str">
        <f>IF($A1163&lt;&gt;"",MAESTRO!$C1162,"")</f>
        <v/>
      </c>
      <c r="E1163" t="str">
        <f>IF($A1163&lt;&gt;"",MAESTRO!$M1162,"")</f>
        <v/>
      </c>
      <c r="F1163" t="str">
        <f>IF($A1163&lt;&gt;"",MAESTRO!$J1162,"")</f>
        <v/>
      </c>
      <c r="G1163" t="str">
        <f>IF($A1163&lt;&gt;"",MAESTRO!$D1162,"")</f>
        <v/>
      </c>
      <c r="H1163" t="str">
        <f>IF($A1163&lt;&gt;"",IF(TRIM(MAESTRO!$G1162&amp;" "&amp;MAESTRO!$H1162&amp;" "&amp;MAESTRO!$I1162)="",MAESTRO!$F1162,TRIM(MAESTRO!$G1162&amp;" "&amp;MAESTRO!$H1162&amp;" "&amp;MAESTRO!$I1162)),"")</f>
        <v/>
      </c>
      <c r="I1163" t="str">
        <f>IF($A1163&lt;&gt;"",MAESTRO!$K1162,"")</f>
        <v/>
      </c>
      <c r="J1163" t="str">
        <f>IF($A1163&lt;&gt;"",1163,"")</f>
        <v/>
      </c>
    </row>
    <row r="1164" spans="1:10" x14ac:dyDescent="0.2">
      <c r="A1164" t="str">
        <f>IF(AND(UPPER(MAESTRO!$M1163)="VIP",UPPER(MAESTRO!$J1163)="SI",MAESTRO!$F1163&lt;&gt;""),MAESTRO!$P1163,"")</f>
        <v/>
      </c>
      <c r="B1164" t="str">
        <f>IF($A1164&lt;&gt;"",MAESTRO!$B1163,"")</f>
        <v/>
      </c>
      <c r="C1164" t="str">
        <f>IF($A1164&lt;&gt;"",MAESTRO!$A1163,"")</f>
        <v/>
      </c>
      <c r="D1164" t="str">
        <f>IF($A1164&lt;&gt;"",MAESTRO!$C1163,"")</f>
        <v/>
      </c>
      <c r="E1164" t="str">
        <f>IF($A1164&lt;&gt;"",MAESTRO!$M1163,"")</f>
        <v/>
      </c>
      <c r="F1164" t="str">
        <f>IF($A1164&lt;&gt;"",MAESTRO!$J1163,"")</f>
        <v/>
      </c>
      <c r="G1164" t="str">
        <f>IF($A1164&lt;&gt;"",MAESTRO!$D1163,"")</f>
        <v/>
      </c>
      <c r="H1164" t="str">
        <f>IF($A1164&lt;&gt;"",IF(TRIM(MAESTRO!$G1163&amp;" "&amp;MAESTRO!$H1163&amp;" "&amp;MAESTRO!$I1163)="",MAESTRO!$F1163,TRIM(MAESTRO!$G1163&amp;" "&amp;MAESTRO!$H1163&amp;" "&amp;MAESTRO!$I1163)),"")</f>
        <v/>
      </c>
      <c r="I1164" t="str">
        <f>IF($A1164&lt;&gt;"",MAESTRO!$K1163,"")</f>
        <v/>
      </c>
      <c r="J1164" t="str">
        <f>IF($A1164&lt;&gt;"",1164,"")</f>
        <v/>
      </c>
    </row>
    <row r="1165" spans="1:10" x14ac:dyDescent="0.2">
      <c r="A1165" t="str">
        <f>IF(AND(UPPER(MAESTRO!$M1164)="VIP",UPPER(MAESTRO!$J1164)="SI",MAESTRO!$F1164&lt;&gt;""),MAESTRO!$P1164,"")</f>
        <v/>
      </c>
      <c r="B1165" t="str">
        <f>IF($A1165&lt;&gt;"",MAESTRO!$B1164,"")</f>
        <v/>
      </c>
      <c r="C1165" t="str">
        <f>IF($A1165&lt;&gt;"",MAESTRO!$A1164,"")</f>
        <v/>
      </c>
      <c r="D1165" t="str">
        <f>IF($A1165&lt;&gt;"",MAESTRO!$C1164,"")</f>
        <v/>
      </c>
      <c r="E1165" t="str">
        <f>IF($A1165&lt;&gt;"",MAESTRO!$M1164,"")</f>
        <v/>
      </c>
      <c r="F1165" t="str">
        <f>IF($A1165&lt;&gt;"",MAESTRO!$J1164,"")</f>
        <v/>
      </c>
      <c r="G1165" t="str">
        <f>IF($A1165&lt;&gt;"",MAESTRO!$D1164,"")</f>
        <v/>
      </c>
      <c r="H1165" t="str">
        <f>IF($A1165&lt;&gt;"",IF(TRIM(MAESTRO!$G1164&amp;" "&amp;MAESTRO!$H1164&amp;" "&amp;MAESTRO!$I1164)="",MAESTRO!$F1164,TRIM(MAESTRO!$G1164&amp;" "&amp;MAESTRO!$H1164&amp;" "&amp;MAESTRO!$I1164)),"")</f>
        <v/>
      </c>
      <c r="I1165" t="str">
        <f>IF($A1165&lt;&gt;"",MAESTRO!$K1164,"")</f>
        <v/>
      </c>
      <c r="J1165" t="str">
        <f>IF($A1165&lt;&gt;"",1165,"")</f>
        <v/>
      </c>
    </row>
    <row r="1166" spans="1:10" x14ac:dyDescent="0.2">
      <c r="A1166" t="str">
        <f>IF(AND(UPPER(MAESTRO!$M1165)="VIP",UPPER(MAESTRO!$J1165)="SI",MAESTRO!$F1165&lt;&gt;""),MAESTRO!$P1165,"")</f>
        <v/>
      </c>
      <c r="B1166" t="str">
        <f>IF($A1166&lt;&gt;"",MAESTRO!$B1165,"")</f>
        <v/>
      </c>
      <c r="C1166" t="str">
        <f>IF($A1166&lt;&gt;"",MAESTRO!$A1165,"")</f>
        <v/>
      </c>
      <c r="D1166" t="str">
        <f>IF($A1166&lt;&gt;"",MAESTRO!$C1165,"")</f>
        <v/>
      </c>
      <c r="E1166" t="str">
        <f>IF($A1166&lt;&gt;"",MAESTRO!$M1165,"")</f>
        <v/>
      </c>
      <c r="F1166" t="str">
        <f>IF($A1166&lt;&gt;"",MAESTRO!$J1165,"")</f>
        <v/>
      </c>
      <c r="G1166" t="str">
        <f>IF($A1166&lt;&gt;"",MAESTRO!$D1165,"")</f>
        <v/>
      </c>
      <c r="H1166" t="str">
        <f>IF($A1166&lt;&gt;"",IF(TRIM(MAESTRO!$G1165&amp;" "&amp;MAESTRO!$H1165&amp;" "&amp;MAESTRO!$I1165)="",MAESTRO!$F1165,TRIM(MAESTRO!$G1165&amp;" "&amp;MAESTRO!$H1165&amp;" "&amp;MAESTRO!$I1165)),"")</f>
        <v/>
      </c>
      <c r="I1166" t="str">
        <f>IF($A1166&lt;&gt;"",MAESTRO!$K1165,"")</f>
        <v/>
      </c>
      <c r="J1166" t="str">
        <f>IF($A1166&lt;&gt;"",1166,"")</f>
        <v/>
      </c>
    </row>
    <row r="1167" spans="1:10" x14ac:dyDescent="0.2">
      <c r="A1167" t="str">
        <f>IF(AND(UPPER(MAESTRO!$M1166)="VIP",UPPER(MAESTRO!$J1166)="SI",MAESTRO!$F1166&lt;&gt;""),MAESTRO!$P1166,"")</f>
        <v/>
      </c>
      <c r="B1167" t="str">
        <f>IF($A1167&lt;&gt;"",MAESTRO!$B1166,"")</f>
        <v/>
      </c>
      <c r="C1167" t="str">
        <f>IF($A1167&lt;&gt;"",MAESTRO!$A1166,"")</f>
        <v/>
      </c>
      <c r="D1167" t="str">
        <f>IF($A1167&lt;&gt;"",MAESTRO!$C1166,"")</f>
        <v/>
      </c>
      <c r="E1167" t="str">
        <f>IF($A1167&lt;&gt;"",MAESTRO!$M1166,"")</f>
        <v/>
      </c>
      <c r="F1167" t="str">
        <f>IF($A1167&lt;&gt;"",MAESTRO!$J1166,"")</f>
        <v/>
      </c>
      <c r="G1167" t="str">
        <f>IF($A1167&lt;&gt;"",MAESTRO!$D1166,"")</f>
        <v/>
      </c>
      <c r="H1167" t="str">
        <f>IF($A1167&lt;&gt;"",IF(TRIM(MAESTRO!$G1166&amp;" "&amp;MAESTRO!$H1166&amp;" "&amp;MAESTRO!$I1166)="",MAESTRO!$F1166,TRIM(MAESTRO!$G1166&amp;" "&amp;MAESTRO!$H1166&amp;" "&amp;MAESTRO!$I1166)),"")</f>
        <v/>
      </c>
      <c r="I1167" t="str">
        <f>IF($A1167&lt;&gt;"",MAESTRO!$K1166,"")</f>
        <v/>
      </c>
      <c r="J1167" t="str">
        <f>IF($A1167&lt;&gt;"",1167,"")</f>
        <v/>
      </c>
    </row>
    <row r="1168" spans="1:10" x14ac:dyDescent="0.2">
      <c r="A1168" t="str">
        <f>IF(AND(UPPER(MAESTRO!$M1167)="VIP",UPPER(MAESTRO!$J1167)="SI",MAESTRO!$F1167&lt;&gt;""),MAESTRO!$P1167,"")</f>
        <v/>
      </c>
      <c r="B1168" t="str">
        <f>IF($A1168&lt;&gt;"",MAESTRO!$B1167,"")</f>
        <v/>
      </c>
      <c r="C1168" t="str">
        <f>IF($A1168&lt;&gt;"",MAESTRO!$A1167,"")</f>
        <v/>
      </c>
      <c r="D1168" t="str">
        <f>IF($A1168&lt;&gt;"",MAESTRO!$C1167,"")</f>
        <v/>
      </c>
      <c r="E1168" t="str">
        <f>IF($A1168&lt;&gt;"",MAESTRO!$M1167,"")</f>
        <v/>
      </c>
      <c r="F1168" t="str">
        <f>IF($A1168&lt;&gt;"",MAESTRO!$J1167,"")</f>
        <v/>
      </c>
      <c r="G1168" t="str">
        <f>IF($A1168&lt;&gt;"",MAESTRO!$D1167,"")</f>
        <v/>
      </c>
      <c r="H1168" t="str">
        <f>IF($A1168&lt;&gt;"",IF(TRIM(MAESTRO!$G1167&amp;" "&amp;MAESTRO!$H1167&amp;" "&amp;MAESTRO!$I1167)="",MAESTRO!$F1167,TRIM(MAESTRO!$G1167&amp;" "&amp;MAESTRO!$H1167&amp;" "&amp;MAESTRO!$I1167)),"")</f>
        <v/>
      </c>
      <c r="I1168" t="str">
        <f>IF($A1168&lt;&gt;"",MAESTRO!$K1167,"")</f>
        <v/>
      </c>
      <c r="J1168" t="str">
        <f>IF($A1168&lt;&gt;"",1168,"")</f>
        <v/>
      </c>
    </row>
    <row r="1169" spans="1:10" x14ac:dyDescent="0.2">
      <c r="A1169" t="str">
        <f>IF(AND(UPPER(MAESTRO!$M1168)="VIP",UPPER(MAESTRO!$J1168)="SI",MAESTRO!$F1168&lt;&gt;""),MAESTRO!$P1168,"")</f>
        <v/>
      </c>
      <c r="B1169" t="str">
        <f>IF($A1169&lt;&gt;"",MAESTRO!$B1168,"")</f>
        <v/>
      </c>
      <c r="C1169" t="str">
        <f>IF($A1169&lt;&gt;"",MAESTRO!$A1168,"")</f>
        <v/>
      </c>
      <c r="D1169" t="str">
        <f>IF($A1169&lt;&gt;"",MAESTRO!$C1168,"")</f>
        <v/>
      </c>
      <c r="E1169" t="str">
        <f>IF($A1169&lt;&gt;"",MAESTRO!$M1168,"")</f>
        <v/>
      </c>
      <c r="F1169" t="str">
        <f>IF($A1169&lt;&gt;"",MAESTRO!$J1168,"")</f>
        <v/>
      </c>
      <c r="G1169" t="str">
        <f>IF($A1169&lt;&gt;"",MAESTRO!$D1168,"")</f>
        <v/>
      </c>
      <c r="H1169" t="str">
        <f>IF($A1169&lt;&gt;"",IF(TRIM(MAESTRO!$G1168&amp;" "&amp;MAESTRO!$H1168&amp;" "&amp;MAESTRO!$I1168)="",MAESTRO!$F1168,TRIM(MAESTRO!$G1168&amp;" "&amp;MAESTRO!$H1168&amp;" "&amp;MAESTRO!$I1168)),"")</f>
        <v/>
      </c>
      <c r="I1169" t="str">
        <f>IF($A1169&lt;&gt;"",MAESTRO!$K1168,"")</f>
        <v/>
      </c>
      <c r="J1169" t="str">
        <f>IF($A1169&lt;&gt;"",1169,"")</f>
        <v/>
      </c>
    </row>
    <row r="1170" spans="1:10" x14ac:dyDescent="0.2">
      <c r="A1170" t="str">
        <f>IF(AND(UPPER(MAESTRO!$M1169)="VIP",UPPER(MAESTRO!$J1169)="SI",MAESTRO!$F1169&lt;&gt;""),MAESTRO!$P1169,"")</f>
        <v/>
      </c>
      <c r="B1170" t="str">
        <f>IF($A1170&lt;&gt;"",MAESTRO!$B1169,"")</f>
        <v/>
      </c>
      <c r="C1170" t="str">
        <f>IF($A1170&lt;&gt;"",MAESTRO!$A1169,"")</f>
        <v/>
      </c>
      <c r="D1170" t="str">
        <f>IF($A1170&lt;&gt;"",MAESTRO!$C1169,"")</f>
        <v/>
      </c>
      <c r="E1170" t="str">
        <f>IF($A1170&lt;&gt;"",MAESTRO!$M1169,"")</f>
        <v/>
      </c>
      <c r="F1170" t="str">
        <f>IF($A1170&lt;&gt;"",MAESTRO!$J1169,"")</f>
        <v/>
      </c>
      <c r="G1170" t="str">
        <f>IF($A1170&lt;&gt;"",MAESTRO!$D1169,"")</f>
        <v/>
      </c>
      <c r="H1170" t="str">
        <f>IF($A1170&lt;&gt;"",IF(TRIM(MAESTRO!$G1169&amp;" "&amp;MAESTRO!$H1169&amp;" "&amp;MAESTRO!$I1169)="",MAESTRO!$F1169,TRIM(MAESTRO!$G1169&amp;" "&amp;MAESTRO!$H1169&amp;" "&amp;MAESTRO!$I1169)),"")</f>
        <v/>
      </c>
      <c r="I1170" t="str">
        <f>IF($A1170&lt;&gt;"",MAESTRO!$K1169,"")</f>
        <v/>
      </c>
      <c r="J1170" t="str">
        <f>IF($A1170&lt;&gt;"",1170,"")</f>
        <v/>
      </c>
    </row>
    <row r="1171" spans="1:10" x14ac:dyDescent="0.2">
      <c r="A1171" t="str">
        <f>IF(AND(UPPER(MAESTRO!$M1170)="VIP",UPPER(MAESTRO!$J1170)="SI",MAESTRO!$F1170&lt;&gt;""),MAESTRO!$P1170,"")</f>
        <v/>
      </c>
      <c r="B1171" t="str">
        <f>IF($A1171&lt;&gt;"",MAESTRO!$B1170,"")</f>
        <v/>
      </c>
      <c r="C1171" t="str">
        <f>IF($A1171&lt;&gt;"",MAESTRO!$A1170,"")</f>
        <v/>
      </c>
      <c r="D1171" t="str">
        <f>IF($A1171&lt;&gt;"",MAESTRO!$C1170,"")</f>
        <v/>
      </c>
      <c r="E1171" t="str">
        <f>IF($A1171&lt;&gt;"",MAESTRO!$M1170,"")</f>
        <v/>
      </c>
      <c r="F1171" t="str">
        <f>IF($A1171&lt;&gt;"",MAESTRO!$J1170,"")</f>
        <v/>
      </c>
      <c r="G1171" t="str">
        <f>IF($A1171&lt;&gt;"",MAESTRO!$D1170,"")</f>
        <v/>
      </c>
      <c r="H1171" t="str">
        <f>IF($A1171&lt;&gt;"",IF(TRIM(MAESTRO!$G1170&amp;" "&amp;MAESTRO!$H1170&amp;" "&amp;MAESTRO!$I1170)="",MAESTRO!$F1170,TRIM(MAESTRO!$G1170&amp;" "&amp;MAESTRO!$H1170&amp;" "&amp;MAESTRO!$I1170)),"")</f>
        <v/>
      </c>
      <c r="I1171" t="str">
        <f>IF($A1171&lt;&gt;"",MAESTRO!$K1170,"")</f>
        <v/>
      </c>
      <c r="J1171" t="str">
        <f>IF($A1171&lt;&gt;"",1171,"")</f>
        <v/>
      </c>
    </row>
    <row r="1172" spans="1:10" x14ac:dyDescent="0.2">
      <c r="A1172" t="str">
        <f>IF(AND(UPPER(MAESTRO!$M1171)="VIP",UPPER(MAESTRO!$J1171)="SI",MAESTRO!$F1171&lt;&gt;""),MAESTRO!$P1171,"")</f>
        <v/>
      </c>
      <c r="B1172" t="str">
        <f>IF($A1172&lt;&gt;"",MAESTRO!$B1171,"")</f>
        <v/>
      </c>
      <c r="C1172" t="str">
        <f>IF($A1172&lt;&gt;"",MAESTRO!$A1171,"")</f>
        <v/>
      </c>
      <c r="D1172" t="str">
        <f>IF($A1172&lt;&gt;"",MAESTRO!$C1171,"")</f>
        <v/>
      </c>
      <c r="E1172" t="str">
        <f>IF($A1172&lt;&gt;"",MAESTRO!$M1171,"")</f>
        <v/>
      </c>
      <c r="F1172" t="str">
        <f>IF($A1172&lt;&gt;"",MAESTRO!$J1171,"")</f>
        <v/>
      </c>
      <c r="G1172" t="str">
        <f>IF($A1172&lt;&gt;"",MAESTRO!$D1171,"")</f>
        <v/>
      </c>
      <c r="H1172" t="str">
        <f>IF($A1172&lt;&gt;"",IF(TRIM(MAESTRO!$G1171&amp;" "&amp;MAESTRO!$H1171&amp;" "&amp;MAESTRO!$I1171)="",MAESTRO!$F1171,TRIM(MAESTRO!$G1171&amp;" "&amp;MAESTRO!$H1171&amp;" "&amp;MAESTRO!$I1171)),"")</f>
        <v/>
      </c>
      <c r="I1172" t="str">
        <f>IF($A1172&lt;&gt;"",MAESTRO!$K1171,"")</f>
        <v/>
      </c>
      <c r="J1172" t="str">
        <f>IF($A1172&lt;&gt;"",1172,"")</f>
        <v/>
      </c>
    </row>
    <row r="1173" spans="1:10" x14ac:dyDescent="0.2">
      <c r="A1173" t="str">
        <f>IF(AND(UPPER(MAESTRO!$M1172)="VIP",UPPER(MAESTRO!$J1172)="SI",MAESTRO!$F1172&lt;&gt;""),MAESTRO!$P1172,"")</f>
        <v/>
      </c>
      <c r="B1173" t="str">
        <f>IF($A1173&lt;&gt;"",MAESTRO!$B1172,"")</f>
        <v/>
      </c>
      <c r="C1173" t="str">
        <f>IF($A1173&lt;&gt;"",MAESTRO!$A1172,"")</f>
        <v/>
      </c>
      <c r="D1173" t="str">
        <f>IF($A1173&lt;&gt;"",MAESTRO!$C1172,"")</f>
        <v/>
      </c>
      <c r="E1173" t="str">
        <f>IF($A1173&lt;&gt;"",MAESTRO!$M1172,"")</f>
        <v/>
      </c>
      <c r="F1173" t="str">
        <f>IF($A1173&lt;&gt;"",MAESTRO!$J1172,"")</f>
        <v/>
      </c>
      <c r="G1173" t="str">
        <f>IF($A1173&lt;&gt;"",MAESTRO!$D1172,"")</f>
        <v/>
      </c>
      <c r="H1173" t="str">
        <f>IF($A1173&lt;&gt;"",IF(TRIM(MAESTRO!$G1172&amp;" "&amp;MAESTRO!$H1172&amp;" "&amp;MAESTRO!$I1172)="",MAESTRO!$F1172,TRIM(MAESTRO!$G1172&amp;" "&amp;MAESTRO!$H1172&amp;" "&amp;MAESTRO!$I1172)),"")</f>
        <v/>
      </c>
      <c r="I1173" t="str">
        <f>IF($A1173&lt;&gt;"",MAESTRO!$K1172,"")</f>
        <v/>
      </c>
      <c r="J1173" t="str">
        <f>IF($A1173&lt;&gt;"",1173,"")</f>
        <v/>
      </c>
    </row>
    <row r="1174" spans="1:10" x14ac:dyDescent="0.2">
      <c r="A1174" t="str">
        <f>IF(AND(UPPER(MAESTRO!$M1173)="VIP",UPPER(MAESTRO!$J1173)="SI",MAESTRO!$F1173&lt;&gt;""),MAESTRO!$P1173,"")</f>
        <v/>
      </c>
      <c r="B1174" t="str">
        <f>IF($A1174&lt;&gt;"",MAESTRO!$B1173,"")</f>
        <v/>
      </c>
      <c r="C1174" t="str">
        <f>IF($A1174&lt;&gt;"",MAESTRO!$A1173,"")</f>
        <v/>
      </c>
      <c r="D1174" t="str">
        <f>IF($A1174&lt;&gt;"",MAESTRO!$C1173,"")</f>
        <v/>
      </c>
      <c r="E1174" t="str">
        <f>IF($A1174&lt;&gt;"",MAESTRO!$M1173,"")</f>
        <v/>
      </c>
      <c r="F1174" t="str">
        <f>IF($A1174&lt;&gt;"",MAESTRO!$J1173,"")</f>
        <v/>
      </c>
      <c r="G1174" t="str">
        <f>IF($A1174&lt;&gt;"",MAESTRO!$D1173,"")</f>
        <v/>
      </c>
      <c r="H1174" t="str">
        <f>IF($A1174&lt;&gt;"",IF(TRIM(MAESTRO!$G1173&amp;" "&amp;MAESTRO!$H1173&amp;" "&amp;MAESTRO!$I1173)="",MAESTRO!$F1173,TRIM(MAESTRO!$G1173&amp;" "&amp;MAESTRO!$H1173&amp;" "&amp;MAESTRO!$I1173)),"")</f>
        <v/>
      </c>
      <c r="I1174" t="str">
        <f>IF($A1174&lt;&gt;"",MAESTRO!$K1173,"")</f>
        <v/>
      </c>
      <c r="J1174" t="str">
        <f>IF($A1174&lt;&gt;"",1174,"")</f>
        <v/>
      </c>
    </row>
    <row r="1175" spans="1:10" x14ac:dyDescent="0.2">
      <c r="A1175" t="str">
        <f>IF(AND(UPPER(MAESTRO!$M1174)="VIP",UPPER(MAESTRO!$J1174)="SI",MAESTRO!$F1174&lt;&gt;""),MAESTRO!$P1174,"")</f>
        <v/>
      </c>
      <c r="B1175" t="str">
        <f>IF($A1175&lt;&gt;"",MAESTRO!$B1174,"")</f>
        <v/>
      </c>
      <c r="C1175" t="str">
        <f>IF($A1175&lt;&gt;"",MAESTRO!$A1174,"")</f>
        <v/>
      </c>
      <c r="D1175" t="str">
        <f>IF($A1175&lt;&gt;"",MAESTRO!$C1174,"")</f>
        <v/>
      </c>
      <c r="E1175" t="str">
        <f>IF($A1175&lt;&gt;"",MAESTRO!$M1174,"")</f>
        <v/>
      </c>
      <c r="F1175" t="str">
        <f>IF($A1175&lt;&gt;"",MAESTRO!$J1174,"")</f>
        <v/>
      </c>
      <c r="G1175" t="str">
        <f>IF($A1175&lt;&gt;"",MAESTRO!$D1174,"")</f>
        <v/>
      </c>
      <c r="H1175" t="str">
        <f>IF($A1175&lt;&gt;"",IF(TRIM(MAESTRO!$G1174&amp;" "&amp;MAESTRO!$H1174&amp;" "&amp;MAESTRO!$I1174)="",MAESTRO!$F1174,TRIM(MAESTRO!$G1174&amp;" "&amp;MAESTRO!$H1174&amp;" "&amp;MAESTRO!$I1174)),"")</f>
        <v/>
      </c>
      <c r="I1175" t="str">
        <f>IF($A1175&lt;&gt;"",MAESTRO!$K1174,"")</f>
        <v/>
      </c>
      <c r="J1175" t="str">
        <f>IF($A1175&lt;&gt;"",1175,"")</f>
        <v/>
      </c>
    </row>
    <row r="1176" spans="1:10" x14ac:dyDescent="0.2">
      <c r="A1176" t="str">
        <f>IF(AND(UPPER(MAESTRO!$M1175)="VIP",UPPER(MAESTRO!$J1175)="SI",MAESTRO!$F1175&lt;&gt;""),MAESTRO!$P1175,"")</f>
        <v/>
      </c>
      <c r="B1176" t="str">
        <f>IF($A1176&lt;&gt;"",MAESTRO!$B1175,"")</f>
        <v/>
      </c>
      <c r="C1176" t="str">
        <f>IF($A1176&lt;&gt;"",MAESTRO!$A1175,"")</f>
        <v/>
      </c>
      <c r="D1176" t="str">
        <f>IF($A1176&lt;&gt;"",MAESTRO!$C1175,"")</f>
        <v/>
      </c>
      <c r="E1176" t="str">
        <f>IF($A1176&lt;&gt;"",MAESTRO!$M1175,"")</f>
        <v/>
      </c>
      <c r="F1176" t="str">
        <f>IF($A1176&lt;&gt;"",MAESTRO!$J1175,"")</f>
        <v/>
      </c>
      <c r="G1176" t="str">
        <f>IF($A1176&lt;&gt;"",MAESTRO!$D1175,"")</f>
        <v/>
      </c>
      <c r="H1176" t="str">
        <f>IF($A1176&lt;&gt;"",IF(TRIM(MAESTRO!$G1175&amp;" "&amp;MAESTRO!$H1175&amp;" "&amp;MAESTRO!$I1175)="",MAESTRO!$F1175,TRIM(MAESTRO!$G1175&amp;" "&amp;MAESTRO!$H1175&amp;" "&amp;MAESTRO!$I1175)),"")</f>
        <v/>
      </c>
      <c r="I1176" t="str">
        <f>IF($A1176&lt;&gt;"",MAESTRO!$K1175,"")</f>
        <v/>
      </c>
      <c r="J1176" t="str">
        <f>IF($A1176&lt;&gt;"",1176,"")</f>
        <v/>
      </c>
    </row>
    <row r="1177" spans="1:10" x14ac:dyDescent="0.2">
      <c r="A1177" t="str">
        <f>IF(AND(UPPER(MAESTRO!$M1176)="VIP",UPPER(MAESTRO!$J1176)="SI",MAESTRO!$F1176&lt;&gt;""),MAESTRO!$P1176,"")</f>
        <v/>
      </c>
      <c r="B1177" t="str">
        <f>IF($A1177&lt;&gt;"",MAESTRO!$B1176,"")</f>
        <v/>
      </c>
      <c r="C1177" t="str">
        <f>IF($A1177&lt;&gt;"",MAESTRO!$A1176,"")</f>
        <v/>
      </c>
      <c r="D1177" t="str">
        <f>IF($A1177&lt;&gt;"",MAESTRO!$C1176,"")</f>
        <v/>
      </c>
      <c r="E1177" t="str">
        <f>IF($A1177&lt;&gt;"",MAESTRO!$M1176,"")</f>
        <v/>
      </c>
      <c r="F1177" t="str">
        <f>IF($A1177&lt;&gt;"",MAESTRO!$J1176,"")</f>
        <v/>
      </c>
      <c r="G1177" t="str">
        <f>IF($A1177&lt;&gt;"",MAESTRO!$D1176,"")</f>
        <v/>
      </c>
      <c r="H1177" t="str">
        <f>IF($A1177&lt;&gt;"",IF(TRIM(MAESTRO!$G1176&amp;" "&amp;MAESTRO!$H1176&amp;" "&amp;MAESTRO!$I1176)="",MAESTRO!$F1176,TRIM(MAESTRO!$G1176&amp;" "&amp;MAESTRO!$H1176&amp;" "&amp;MAESTRO!$I1176)),"")</f>
        <v/>
      </c>
      <c r="I1177" t="str">
        <f>IF($A1177&lt;&gt;"",MAESTRO!$K1176,"")</f>
        <v/>
      </c>
      <c r="J1177" t="str">
        <f>IF($A1177&lt;&gt;"",1177,"")</f>
        <v/>
      </c>
    </row>
    <row r="1178" spans="1:10" x14ac:dyDescent="0.2">
      <c r="A1178" t="str">
        <f>IF(AND(UPPER(MAESTRO!$M1177)="VIP",UPPER(MAESTRO!$J1177)="SI",MAESTRO!$F1177&lt;&gt;""),MAESTRO!$P1177,"")</f>
        <v/>
      </c>
      <c r="B1178" t="str">
        <f>IF($A1178&lt;&gt;"",MAESTRO!$B1177,"")</f>
        <v/>
      </c>
      <c r="C1178" t="str">
        <f>IF($A1178&lt;&gt;"",MAESTRO!$A1177,"")</f>
        <v/>
      </c>
      <c r="D1178" t="str">
        <f>IF($A1178&lt;&gt;"",MAESTRO!$C1177,"")</f>
        <v/>
      </c>
      <c r="E1178" t="str">
        <f>IF($A1178&lt;&gt;"",MAESTRO!$M1177,"")</f>
        <v/>
      </c>
      <c r="F1178" t="str">
        <f>IF($A1178&lt;&gt;"",MAESTRO!$J1177,"")</f>
        <v/>
      </c>
      <c r="G1178" t="str">
        <f>IF($A1178&lt;&gt;"",MAESTRO!$D1177,"")</f>
        <v/>
      </c>
      <c r="H1178" t="str">
        <f>IF($A1178&lt;&gt;"",IF(TRIM(MAESTRO!$G1177&amp;" "&amp;MAESTRO!$H1177&amp;" "&amp;MAESTRO!$I1177)="",MAESTRO!$F1177,TRIM(MAESTRO!$G1177&amp;" "&amp;MAESTRO!$H1177&amp;" "&amp;MAESTRO!$I1177)),"")</f>
        <v/>
      </c>
      <c r="I1178" t="str">
        <f>IF($A1178&lt;&gt;"",MAESTRO!$K1177,"")</f>
        <v/>
      </c>
      <c r="J1178" t="str">
        <f>IF($A1178&lt;&gt;"",1178,"")</f>
        <v/>
      </c>
    </row>
    <row r="1179" spans="1:10" x14ac:dyDescent="0.2">
      <c r="A1179" t="str">
        <f>IF(AND(UPPER(MAESTRO!$M1178)="VIP",UPPER(MAESTRO!$J1178)="SI",MAESTRO!$F1178&lt;&gt;""),MAESTRO!$P1178,"")</f>
        <v/>
      </c>
      <c r="B1179" t="str">
        <f>IF($A1179&lt;&gt;"",MAESTRO!$B1178,"")</f>
        <v/>
      </c>
      <c r="C1179" t="str">
        <f>IF($A1179&lt;&gt;"",MAESTRO!$A1178,"")</f>
        <v/>
      </c>
      <c r="D1179" t="str">
        <f>IF($A1179&lt;&gt;"",MAESTRO!$C1178,"")</f>
        <v/>
      </c>
      <c r="E1179" t="str">
        <f>IF($A1179&lt;&gt;"",MAESTRO!$M1178,"")</f>
        <v/>
      </c>
      <c r="F1179" t="str">
        <f>IF($A1179&lt;&gt;"",MAESTRO!$J1178,"")</f>
        <v/>
      </c>
      <c r="G1179" t="str">
        <f>IF($A1179&lt;&gt;"",MAESTRO!$D1178,"")</f>
        <v/>
      </c>
      <c r="H1179" t="str">
        <f>IF($A1179&lt;&gt;"",IF(TRIM(MAESTRO!$G1178&amp;" "&amp;MAESTRO!$H1178&amp;" "&amp;MAESTRO!$I1178)="",MAESTRO!$F1178,TRIM(MAESTRO!$G1178&amp;" "&amp;MAESTRO!$H1178&amp;" "&amp;MAESTRO!$I1178)),"")</f>
        <v/>
      </c>
      <c r="I1179" t="str">
        <f>IF($A1179&lt;&gt;"",MAESTRO!$K1178,"")</f>
        <v/>
      </c>
      <c r="J1179" t="str">
        <f>IF($A1179&lt;&gt;"",1179,"")</f>
        <v/>
      </c>
    </row>
    <row r="1180" spans="1:10" x14ac:dyDescent="0.2">
      <c r="A1180" t="str">
        <f>IF(AND(UPPER(MAESTRO!$M1179)="VIP",UPPER(MAESTRO!$J1179)="SI",MAESTRO!$F1179&lt;&gt;""),MAESTRO!$P1179,"")</f>
        <v/>
      </c>
      <c r="B1180" t="str">
        <f>IF($A1180&lt;&gt;"",MAESTRO!$B1179,"")</f>
        <v/>
      </c>
      <c r="C1180" t="str">
        <f>IF($A1180&lt;&gt;"",MAESTRO!$A1179,"")</f>
        <v/>
      </c>
      <c r="D1180" t="str">
        <f>IF($A1180&lt;&gt;"",MAESTRO!$C1179,"")</f>
        <v/>
      </c>
      <c r="E1180" t="str">
        <f>IF($A1180&lt;&gt;"",MAESTRO!$M1179,"")</f>
        <v/>
      </c>
      <c r="F1180" t="str">
        <f>IF($A1180&lt;&gt;"",MAESTRO!$J1179,"")</f>
        <v/>
      </c>
      <c r="G1180" t="str">
        <f>IF($A1180&lt;&gt;"",MAESTRO!$D1179,"")</f>
        <v/>
      </c>
      <c r="H1180" t="str">
        <f>IF($A1180&lt;&gt;"",IF(TRIM(MAESTRO!$G1179&amp;" "&amp;MAESTRO!$H1179&amp;" "&amp;MAESTRO!$I1179)="",MAESTRO!$F1179,TRIM(MAESTRO!$G1179&amp;" "&amp;MAESTRO!$H1179&amp;" "&amp;MAESTRO!$I1179)),"")</f>
        <v/>
      </c>
      <c r="I1180" t="str">
        <f>IF($A1180&lt;&gt;"",MAESTRO!$K1179,"")</f>
        <v/>
      </c>
      <c r="J1180" t="str">
        <f>IF($A1180&lt;&gt;"",1180,"")</f>
        <v/>
      </c>
    </row>
    <row r="1181" spans="1:10" x14ac:dyDescent="0.2">
      <c r="A1181" t="str">
        <f>IF(AND(UPPER(MAESTRO!$M1180)="VIP",UPPER(MAESTRO!$J1180)="SI",MAESTRO!$F1180&lt;&gt;""),MAESTRO!$P1180,"")</f>
        <v/>
      </c>
      <c r="B1181" t="str">
        <f>IF($A1181&lt;&gt;"",MAESTRO!$B1180,"")</f>
        <v/>
      </c>
      <c r="C1181" t="str">
        <f>IF($A1181&lt;&gt;"",MAESTRO!$A1180,"")</f>
        <v/>
      </c>
      <c r="D1181" t="str">
        <f>IF($A1181&lt;&gt;"",MAESTRO!$C1180,"")</f>
        <v/>
      </c>
      <c r="E1181" t="str">
        <f>IF($A1181&lt;&gt;"",MAESTRO!$M1180,"")</f>
        <v/>
      </c>
      <c r="F1181" t="str">
        <f>IF($A1181&lt;&gt;"",MAESTRO!$J1180,"")</f>
        <v/>
      </c>
      <c r="G1181" t="str">
        <f>IF($A1181&lt;&gt;"",MAESTRO!$D1180,"")</f>
        <v/>
      </c>
      <c r="H1181" t="str">
        <f>IF($A1181&lt;&gt;"",IF(TRIM(MAESTRO!$G1180&amp;" "&amp;MAESTRO!$H1180&amp;" "&amp;MAESTRO!$I1180)="",MAESTRO!$F1180,TRIM(MAESTRO!$G1180&amp;" "&amp;MAESTRO!$H1180&amp;" "&amp;MAESTRO!$I1180)),"")</f>
        <v/>
      </c>
      <c r="I1181" t="str">
        <f>IF($A1181&lt;&gt;"",MAESTRO!$K1180,"")</f>
        <v/>
      </c>
      <c r="J1181" t="str">
        <f>IF($A1181&lt;&gt;"",1181,"")</f>
        <v/>
      </c>
    </row>
    <row r="1182" spans="1:10" x14ac:dyDescent="0.2">
      <c r="A1182" t="str">
        <f>IF(AND(UPPER(MAESTRO!$M1181)="VIP",UPPER(MAESTRO!$J1181)="SI",MAESTRO!$F1181&lt;&gt;""),MAESTRO!$P1181,"")</f>
        <v/>
      </c>
      <c r="B1182" t="str">
        <f>IF($A1182&lt;&gt;"",MAESTRO!$B1181,"")</f>
        <v/>
      </c>
      <c r="C1182" t="str">
        <f>IF($A1182&lt;&gt;"",MAESTRO!$A1181,"")</f>
        <v/>
      </c>
      <c r="D1182" t="str">
        <f>IF($A1182&lt;&gt;"",MAESTRO!$C1181,"")</f>
        <v/>
      </c>
      <c r="E1182" t="str">
        <f>IF($A1182&lt;&gt;"",MAESTRO!$M1181,"")</f>
        <v/>
      </c>
      <c r="F1182" t="str">
        <f>IF($A1182&lt;&gt;"",MAESTRO!$J1181,"")</f>
        <v/>
      </c>
      <c r="G1182" t="str">
        <f>IF($A1182&lt;&gt;"",MAESTRO!$D1181,"")</f>
        <v/>
      </c>
      <c r="H1182" t="str">
        <f>IF($A1182&lt;&gt;"",IF(TRIM(MAESTRO!$G1181&amp;" "&amp;MAESTRO!$H1181&amp;" "&amp;MAESTRO!$I1181)="",MAESTRO!$F1181,TRIM(MAESTRO!$G1181&amp;" "&amp;MAESTRO!$H1181&amp;" "&amp;MAESTRO!$I1181)),"")</f>
        <v/>
      </c>
      <c r="I1182" t="str">
        <f>IF($A1182&lt;&gt;"",MAESTRO!$K1181,"")</f>
        <v/>
      </c>
      <c r="J1182" t="str">
        <f>IF($A1182&lt;&gt;"",1182,"")</f>
        <v/>
      </c>
    </row>
    <row r="1183" spans="1:10" x14ac:dyDescent="0.2">
      <c r="A1183" t="str">
        <f>IF(AND(UPPER(MAESTRO!$M1182)="VIP",UPPER(MAESTRO!$J1182)="SI",MAESTRO!$F1182&lt;&gt;""),MAESTRO!$P1182,"")</f>
        <v/>
      </c>
      <c r="B1183" t="str">
        <f>IF($A1183&lt;&gt;"",MAESTRO!$B1182,"")</f>
        <v/>
      </c>
      <c r="C1183" t="str">
        <f>IF($A1183&lt;&gt;"",MAESTRO!$A1182,"")</f>
        <v/>
      </c>
      <c r="D1183" t="str">
        <f>IF($A1183&lt;&gt;"",MAESTRO!$C1182,"")</f>
        <v/>
      </c>
      <c r="E1183" t="str">
        <f>IF($A1183&lt;&gt;"",MAESTRO!$M1182,"")</f>
        <v/>
      </c>
      <c r="F1183" t="str">
        <f>IF($A1183&lt;&gt;"",MAESTRO!$J1182,"")</f>
        <v/>
      </c>
      <c r="G1183" t="str">
        <f>IF($A1183&lt;&gt;"",MAESTRO!$D1182,"")</f>
        <v/>
      </c>
      <c r="H1183" t="str">
        <f>IF($A1183&lt;&gt;"",IF(TRIM(MAESTRO!$G1182&amp;" "&amp;MAESTRO!$H1182&amp;" "&amp;MAESTRO!$I1182)="",MAESTRO!$F1182,TRIM(MAESTRO!$G1182&amp;" "&amp;MAESTRO!$H1182&amp;" "&amp;MAESTRO!$I1182)),"")</f>
        <v/>
      </c>
      <c r="I1183" t="str">
        <f>IF($A1183&lt;&gt;"",MAESTRO!$K1182,"")</f>
        <v/>
      </c>
      <c r="J1183" t="str">
        <f>IF($A1183&lt;&gt;"",1183,"")</f>
        <v/>
      </c>
    </row>
    <row r="1184" spans="1:10" x14ac:dyDescent="0.2">
      <c r="A1184" t="str">
        <f>IF(AND(UPPER(MAESTRO!$M1183)="VIP",UPPER(MAESTRO!$J1183)="SI",MAESTRO!$F1183&lt;&gt;""),MAESTRO!$P1183,"")</f>
        <v/>
      </c>
      <c r="B1184" t="str">
        <f>IF($A1184&lt;&gt;"",MAESTRO!$B1183,"")</f>
        <v/>
      </c>
      <c r="C1184" t="str">
        <f>IF($A1184&lt;&gt;"",MAESTRO!$A1183,"")</f>
        <v/>
      </c>
      <c r="D1184" t="str">
        <f>IF($A1184&lt;&gt;"",MAESTRO!$C1183,"")</f>
        <v/>
      </c>
      <c r="E1184" t="str">
        <f>IF($A1184&lt;&gt;"",MAESTRO!$M1183,"")</f>
        <v/>
      </c>
      <c r="F1184" t="str">
        <f>IF($A1184&lt;&gt;"",MAESTRO!$J1183,"")</f>
        <v/>
      </c>
      <c r="G1184" t="str">
        <f>IF($A1184&lt;&gt;"",MAESTRO!$D1183,"")</f>
        <v/>
      </c>
      <c r="H1184" t="str">
        <f>IF($A1184&lt;&gt;"",IF(TRIM(MAESTRO!$G1183&amp;" "&amp;MAESTRO!$H1183&amp;" "&amp;MAESTRO!$I1183)="",MAESTRO!$F1183,TRIM(MAESTRO!$G1183&amp;" "&amp;MAESTRO!$H1183&amp;" "&amp;MAESTRO!$I1183)),"")</f>
        <v/>
      </c>
      <c r="I1184" t="str">
        <f>IF($A1184&lt;&gt;"",MAESTRO!$K1183,"")</f>
        <v/>
      </c>
      <c r="J1184" t="str">
        <f>IF($A1184&lt;&gt;"",1184,"")</f>
        <v/>
      </c>
    </row>
    <row r="1185" spans="1:10" x14ac:dyDescent="0.2">
      <c r="A1185" t="str">
        <f>IF(AND(UPPER(MAESTRO!$M1184)="VIP",UPPER(MAESTRO!$J1184)="SI",MAESTRO!$F1184&lt;&gt;""),MAESTRO!$P1184,"")</f>
        <v/>
      </c>
      <c r="B1185" t="str">
        <f>IF($A1185&lt;&gt;"",MAESTRO!$B1184,"")</f>
        <v/>
      </c>
      <c r="C1185" t="str">
        <f>IF($A1185&lt;&gt;"",MAESTRO!$A1184,"")</f>
        <v/>
      </c>
      <c r="D1185" t="str">
        <f>IF($A1185&lt;&gt;"",MAESTRO!$C1184,"")</f>
        <v/>
      </c>
      <c r="E1185" t="str">
        <f>IF($A1185&lt;&gt;"",MAESTRO!$M1184,"")</f>
        <v/>
      </c>
      <c r="F1185" t="str">
        <f>IF($A1185&lt;&gt;"",MAESTRO!$J1184,"")</f>
        <v/>
      </c>
      <c r="G1185" t="str">
        <f>IF($A1185&lt;&gt;"",MAESTRO!$D1184,"")</f>
        <v/>
      </c>
      <c r="H1185" t="str">
        <f>IF($A1185&lt;&gt;"",IF(TRIM(MAESTRO!$G1184&amp;" "&amp;MAESTRO!$H1184&amp;" "&amp;MAESTRO!$I1184)="",MAESTRO!$F1184,TRIM(MAESTRO!$G1184&amp;" "&amp;MAESTRO!$H1184&amp;" "&amp;MAESTRO!$I1184)),"")</f>
        <v/>
      </c>
      <c r="I1185" t="str">
        <f>IF($A1185&lt;&gt;"",MAESTRO!$K1184,"")</f>
        <v/>
      </c>
      <c r="J1185" t="str">
        <f>IF($A1185&lt;&gt;"",1185,"")</f>
        <v/>
      </c>
    </row>
    <row r="1186" spans="1:10" x14ac:dyDescent="0.2">
      <c r="A1186" t="str">
        <f>IF(AND(UPPER(MAESTRO!$M1185)="VIP",UPPER(MAESTRO!$J1185)="SI",MAESTRO!$F1185&lt;&gt;""),MAESTRO!$P1185,"")</f>
        <v/>
      </c>
      <c r="B1186" t="str">
        <f>IF($A1186&lt;&gt;"",MAESTRO!$B1185,"")</f>
        <v/>
      </c>
      <c r="C1186" t="str">
        <f>IF($A1186&lt;&gt;"",MAESTRO!$A1185,"")</f>
        <v/>
      </c>
      <c r="D1186" t="str">
        <f>IF($A1186&lt;&gt;"",MAESTRO!$C1185,"")</f>
        <v/>
      </c>
      <c r="E1186" t="str">
        <f>IF($A1186&lt;&gt;"",MAESTRO!$M1185,"")</f>
        <v/>
      </c>
      <c r="F1186" t="str">
        <f>IF($A1186&lt;&gt;"",MAESTRO!$J1185,"")</f>
        <v/>
      </c>
      <c r="G1186" t="str">
        <f>IF($A1186&lt;&gt;"",MAESTRO!$D1185,"")</f>
        <v/>
      </c>
      <c r="H1186" t="str">
        <f>IF($A1186&lt;&gt;"",IF(TRIM(MAESTRO!$G1185&amp;" "&amp;MAESTRO!$H1185&amp;" "&amp;MAESTRO!$I1185)="",MAESTRO!$F1185,TRIM(MAESTRO!$G1185&amp;" "&amp;MAESTRO!$H1185&amp;" "&amp;MAESTRO!$I1185)),"")</f>
        <v/>
      </c>
      <c r="I1186" t="str">
        <f>IF($A1186&lt;&gt;"",MAESTRO!$K1185,"")</f>
        <v/>
      </c>
      <c r="J1186" t="str">
        <f>IF($A1186&lt;&gt;"",1186,"")</f>
        <v/>
      </c>
    </row>
    <row r="1187" spans="1:10" x14ac:dyDescent="0.2">
      <c r="A1187" t="str">
        <f>IF(AND(UPPER(MAESTRO!$M1186)="VIP",UPPER(MAESTRO!$J1186)="SI",MAESTRO!$F1186&lt;&gt;""),MAESTRO!$P1186,"")</f>
        <v/>
      </c>
      <c r="B1187" t="str">
        <f>IF($A1187&lt;&gt;"",MAESTRO!$B1186,"")</f>
        <v/>
      </c>
      <c r="C1187" t="str">
        <f>IF($A1187&lt;&gt;"",MAESTRO!$A1186,"")</f>
        <v/>
      </c>
      <c r="D1187" t="str">
        <f>IF($A1187&lt;&gt;"",MAESTRO!$C1186,"")</f>
        <v/>
      </c>
      <c r="E1187" t="str">
        <f>IF($A1187&lt;&gt;"",MAESTRO!$M1186,"")</f>
        <v/>
      </c>
      <c r="F1187" t="str">
        <f>IF($A1187&lt;&gt;"",MAESTRO!$J1186,"")</f>
        <v/>
      </c>
      <c r="G1187" t="str">
        <f>IF($A1187&lt;&gt;"",MAESTRO!$D1186,"")</f>
        <v/>
      </c>
      <c r="H1187" t="str">
        <f>IF($A1187&lt;&gt;"",IF(TRIM(MAESTRO!$G1186&amp;" "&amp;MAESTRO!$H1186&amp;" "&amp;MAESTRO!$I1186)="",MAESTRO!$F1186,TRIM(MAESTRO!$G1186&amp;" "&amp;MAESTRO!$H1186&amp;" "&amp;MAESTRO!$I1186)),"")</f>
        <v/>
      </c>
      <c r="I1187" t="str">
        <f>IF($A1187&lt;&gt;"",MAESTRO!$K1186,"")</f>
        <v/>
      </c>
      <c r="J1187" t="str">
        <f>IF($A1187&lt;&gt;"",1187,"")</f>
        <v/>
      </c>
    </row>
    <row r="1188" spans="1:10" x14ac:dyDescent="0.2">
      <c r="A1188" t="str">
        <f>IF(AND(UPPER(MAESTRO!$M1187)="VIP",UPPER(MAESTRO!$J1187)="SI",MAESTRO!$F1187&lt;&gt;""),MAESTRO!$P1187,"")</f>
        <v/>
      </c>
      <c r="B1188" t="str">
        <f>IF($A1188&lt;&gt;"",MAESTRO!$B1187,"")</f>
        <v/>
      </c>
      <c r="C1188" t="str">
        <f>IF($A1188&lt;&gt;"",MAESTRO!$A1187,"")</f>
        <v/>
      </c>
      <c r="D1188" t="str">
        <f>IF($A1188&lt;&gt;"",MAESTRO!$C1187,"")</f>
        <v/>
      </c>
      <c r="E1188" t="str">
        <f>IF($A1188&lt;&gt;"",MAESTRO!$M1187,"")</f>
        <v/>
      </c>
      <c r="F1188" t="str">
        <f>IF($A1188&lt;&gt;"",MAESTRO!$J1187,"")</f>
        <v/>
      </c>
      <c r="G1188" t="str">
        <f>IF($A1188&lt;&gt;"",MAESTRO!$D1187,"")</f>
        <v/>
      </c>
      <c r="H1188" t="str">
        <f>IF($A1188&lt;&gt;"",IF(TRIM(MAESTRO!$G1187&amp;" "&amp;MAESTRO!$H1187&amp;" "&amp;MAESTRO!$I1187)="",MAESTRO!$F1187,TRIM(MAESTRO!$G1187&amp;" "&amp;MAESTRO!$H1187&amp;" "&amp;MAESTRO!$I1187)),"")</f>
        <v/>
      </c>
      <c r="I1188" t="str">
        <f>IF($A1188&lt;&gt;"",MAESTRO!$K1187,"")</f>
        <v/>
      </c>
      <c r="J1188" t="str">
        <f>IF($A1188&lt;&gt;"",1188,"")</f>
        <v/>
      </c>
    </row>
    <row r="1189" spans="1:10" x14ac:dyDescent="0.2">
      <c r="A1189" t="str">
        <f>IF(AND(UPPER(MAESTRO!$M1188)="VIP",UPPER(MAESTRO!$J1188)="SI",MAESTRO!$F1188&lt;&gt;""),MAESTRO!$P1188,"")</f>
        <v/>
      </c>
      <c r="B1189" t="str">
        <f>IF($A1189&lt;&gt;"",MAESTRO!$B1188,"")</f>
        <v/>
      </c>
      <c r="C1189" t="str">
        <f>IF($A1189&lt;&gt;"",MAESTRO!$A1188,"")</f>
        <v/>
      </c>
      <c r="D1189" t="str">
        <f>IF($A1189&lt;&gt;"",MAESTRO!$C1188,"")</f>
        <v/>
      </c>
      <c r="E1189" t="str">
        <f>IF($A1189&lt;&gt;"",MAESTRO!$M1188,"")</f>
        <v/>
      </c>
      <c r="F1189" t="str">
        <f>IF($A1189&lt;&gt;"",MAESTRO!$J1188,"")</f>
        <v/>
      </c>
      <c r="G1189" t="str">
        <f>IF($A1189&lt;&gt;"",MAESTRO!$D1188,"")</f>
        <v/>
      </c>
      <c r="H1189" t="str">
        <f>IF($A1189&lt;&gt;"",IF(TRIM(MAESTRO!$G1188&amp;" "&amp;MAESTRO!$H1188&amp;" "&amp;MAESTRO!$I1188)="",MAESTRO!$F1188,TRIM(MAESTRO!$G1188&amp;" "&amp;MAESTRO!$H1188&amp;" "&amp;MAESTRO!$I1188)),"")</f>
        <v/>
      </c>
      <c r="I1189" t="str">
        <f>IF($A1189&lt;&gt;"",MAESTRO!$K1188,"")</f>
        <v/>
      </c>
      <c r="J1189" t="str">
        <f>IF($A1189&lt;&gt;"",1189,"")</f>
        <v/>
      </c>
    </row>
    <row r="1190" spans="1:10" x14ac:dyDescent="0.2">
      <c r="A1190" t="str">
        <f>IF(AND(UPPER(MAESTRO!$M1189)="VIP",UPPER(MAESTRO!$J1189)="SI",MAESTRO!$F1189&lt;&gt;""),MAESTRO!$P1189,"")</f>
        <v/>
      </c>
      <c r="B1190" t="str">
        <f>IF($A1190&lt;&gt;"",MAESTRO!$B1189,"")</f>
        <v/>
      </c>
      <c r="C1190" t="str">
        <f>IF($A1190&lt;&gt;"",MAESTRO!$A1189,"")</f>
        <v/>
      </c>
      <c r="D1190" t="str">
        <f>IF($A1190&lt;&gt;"",MAESTRO!$C1189,"")</f>
        <v/>
      </c>
      <c r="E1190" t="str">
        <f>IF($A1190&lt;&gt;"",MAESTRO!$M1189,"")</f>
        <v/>
      </c>
      <c r="F1190" t="str">
        <f>IF($A1190&lt;&gt;"",MAESTRO!$J1189,"")</f>
        <v/>
      </c>
      <c r="G1190" t="str">
        <f>IF($A1190&lt;&gt;"",MAESTRO!$D1189,"")</f>
        <v/>
      </c>
      <c r="H1190" t="str">
        <f>IF($A1190&lt;&gt;"",IF(TRIM(MAESTRO!$G1189&amp;" "&amp;MAESTRO!$H1189&amp;" "&amp;MAESTRO!$I1189)="",MAESTRO!$F1189,TRIM(MAESTRO!$G1189&amp;" "&amp;MAESTRO!$H1189&amp;" "&amp;MAESTRO!$I1189)),"")</f>
        <v/>
      </c>
      <c r="I1190" t="str">
        <f>IF($A1190&lt;&gt;"",MAESTRO!$K1189,"")</f>
        <v/>
      </c>
      <c r="J1190" t="str">
        <f>IF($A1190&lt;&gt;"",1190,"")</f>
        <v/>
      </c>
    </row>
    <row r="1191" spans="1:10" x14ac:dyDescent="0.2">
      <c r="A1191" t="str">
        <f>IF(AND(UPPER(MAESTRO!$M1190)="VIP",UPPER(MAESTRO!$J1190)="SI",MAESTRO!$F1190&lt;&gt;""),MAESTRO!$P1190,"")</f>
        <v/>
      </c>
      <c r="B1191" t="str">
        <f>IF($A1191&lt;&gt;"",MAESTRO!$B1190,"")</f>
        <v/>
      </c>
      <c r="C1191" t="str">
        <f>IF($A1191&lt;&gt;"",MAESTRO!$A1190,"")</f>
        <v/>
      </c>
      <c r="D1191" t="str">
        <f>IF($A1191&lt;&gt;"",MAESTRO!$C1190,"")</f>
        <v/>
      </c>
      <c r="E1191" t="str">
        <f>IF($A1191&lt;&gt;"",MAESTRO!$M1190,"")</f>
        <v/>
      </c>
      <c r="F1191" t="str">
        <f>IF($A1191&lt;&gt;"",MAESTRO!$J1190,"")</f>
        <v/>
      </c>
      <c r="G1191" t="str">
        <f>IF($A1191&lt;&gt;"",MAESTRO!$D1190,"")</f>
        <v/>
      </c>
      <c r="H1191" t="str">
        <f>IF($A1191&lt;&gt;"",IF(TRIM(MAESTRO!$G1190&amp;" "&amp;MAESTRO!$H1190&amp;" "&amp;MAESTRO!$I1190)="",MAESTRO!$F1190,TRIM(MAESTRO!$G1190&amp;" "&amp;MAESTRO!$H1190&amp;" "&amp;MAESTRO!$I1190)),"")</f>
        <v/>
      </c>
      <c r="I1191" t="str">
        <f>IF($A1191&lt;&gt;"",MAESTRO!$K1190,"")</f>
        <v/>
      </c>
      <c r="J1191" t="str">
        <f>IF($A1191&lt;&gt;"",1191,"")</f>
        <v/>
      </c>
    </row>
    <row r="1192" spans="1:10" x14ac:dyDescent="0.2">
      <c r="A1192" t="str">
        <f>IF(AND(UPPER(MAESTRO!$M1191)="VIP",UPPER(MAESTRO!$J1191)="SI",MAESTRO!$F1191&lt;&gt;""),MAESTRO!$P1191,"")</f>
        <v/>
      </c>
      <c r="B1192" t="str">
        <f>IF($A1192&lt;&gt;"",MAESTRO!$B1191,"")</f>
        <v/>
      </c>
      <c r="C1192" t="str">
        <f>IF($A1192&lt;&gt;"",MAESTRO!$A1191,"")</f>
        <v/>
      </c>
      <c r="D1192" t="str">
        <f>IF($A1192&lt;&gt;"",MAESTRO!$C1191,"")</f>
        <v/>
      </c>
      <c r="E1192" t="str">
        <f>IF($A1192&lt;&gt;"",MAESTRO!$M1191,"")</f>
        <v/>
      </c>
      <c r="F1192" t="str">
        <f>IF($A1192&lt;&gt;"",MAESTRO!$J1191,"")</f>
        <v/>
      </c>
      <c r="G1192" t="str">
        <f>IF($A1192&lt;&gt;"",MAESTRO!$D1191,"")</f>
        <v/>
      </c>
      <c r="H1192" t="str">
        <f>IF($A1192&lt;&gt;"",IF(TRIM(MAESTRO!$G1191&amp;" "&amp;MAESTRO!$H1191&amp;" "&amp;MAESTRO!$I1191)="",MAESTRO!$F1191,TRIM(MAESTRO!$G1191&amp;" "&amp;MAESTRO!$H1191&amp;" "&amp;MAESTRO!$I1191)),"")</f>
        <v/>
      </c>
      <c r="I1192" t="str">
        <f>IF($A1192&lt;&gt;"",MAESTRO!$K1191,"")</f>
        <v/>
      </c>
      <c r="J1192" t="str">
        <f>IF($A1192&lt;&gt;"",1192,"")</f>
        <v/>
      </c>
    </row>
    <row r="1193" spans="1:10" x14ac:dyDescent="0.2">
      <c r="A1193" t="str">
        <f>IF(AND(UPPER(MAESTRO!$M1192)="VIP",UPPER(MAESTRO!$J1192)="SI",MAESTRO!$F1192&lt;&gt;""),MAESTRO!$P1192,"")</f>
        <v/>
      </c>
      <c r="B1193" t="str">
        <f>IF($A1193&lt;&gt;"",MAESTRO!$B1192,"")</f>
        <v/>
      </c>
      <c r="C1193" t="str">
        <f>IF($A1193&lt;&gt;"",MAESTRO!$A1192,"")</f>
        <v/>
      </c>
      <c r="D1193" t="str">
        <f>IF($A1193&lt;&gt;"",MAESTRO!$C1192,"")</f>
        <v/>
      </c>
      <c r="E1193" t="str">
        <f>IF($A1193&lt;&gt;"",MAESTRO!$M1192,"")</f>
        <v/>
      </c>
      <c r="F1193" t="str">
        <f>IF($A1193&lt;&gt;"",MAESTRO!$J1192,"")</f>
        <v/>
      </c>
      <c r="G1193" t="str">
        <f>IF($A1193&lt;&gt;"",MAESTRO!$D1192,"")</f>
        <v/>
      </c>
      <c r="H1193" t="str">
        <f>IF($A1193&lt;&gt;"",IF(TRIM(MAESTRO!$G1192&amp;" "&amp;MAESTRO!$H1192&amp;" "&amp;MAESTRO!$I1192)="",MAESTRO!$F1192,TRIM(MAESTRO!$G1192&amp;" "&amp;MAESTRO!$H1192&amp;" "&amp;MAESTRO!$I1192)),"")</f>
        <v/>
      </c>
      <c r="I1193" t="str">
        <f>IF($A1193&lt;&gt;"",MAESTRO!$K1192,"")</f>
        <v/>
      </c>
      <c r="J1193" t="str">
        <f>IF($A1193&lt;&gt;"",1193,"")</f>
        <v/>
      </c>
    </row>
    <row r="1194" spans="1:10" x14ac:dyDescent="0.2">
      <c r="A1194" t="str">
        <f>IF(AND(UPPER(MAESTRO!$M1193)="VIP",UPPER(MAESTRO!$J1193)="SI",MAESTRO!$F1193&lt;&gt;""),MAESTRO!$P1193,"")</f>
        <v/>
      </c>
      <c r="B1194" t="str">
        <f>IF($A1194&lt;&gt;"",MAESTRO!$B1193,"")</f>
        <v/>
      </c>
      <c r="C1194" t="str">
        <f>IF($A1194&lt;&gt;"",MAESTRO!$A1193,"")</f>
        <v/>
      </c>
      <c r="D1194" t="str">
        <f>IF($A1194&lt;&gt;"",MAESTRO!$C1193,"")</f>
        <v/>
      </c>
      <c r="E1194" t="str">
        <f>IF($A1194&lt;&gt;"",MAESTRO!$M1193,"")</f>
        <v/>
      </c>
      <c r="F1194" t="str">
        <f>IF($A1194&lt;&gt;"",MAESTRO!$J1193,"")</f>
        <v/>
      </c>
      <c r="G1194" t="str">
        <f>IF($A1194&lt;&gt;"",MAESTRO!$D1193,"")</f>
        <v/>
      </c>
      <c r="H1194" t="str">
        <f>IF($A1194&lt;&gt;"",IF(TRIM(MAESTRO!$G1193&amp;" "&amp;MAESTRO!$H1193&amp;" "&amp;MAESTRO!$I1193)="",MAESTRO!$F1193,TRIM(MAESTRO!$G1193&amp;" "&amp;MAESTRO!$H1193&amp;" "&amp;MAESTRO!$I1193)),"")</f>
        <v/>
      </c>
      <c r="I1194" t="str">
        <f>IF($A1194&lt;&gt;"",MAESTRO!$K1193,"")</f>
        <v/>
      </c>
      <c r="J1194" t="str">
        <f>IF($A1194&lt;&gt;"",1194,"")</f>
        <v/>
      </c>
    </row>
    <row r="1195" spans="1:10" x14ac:dyDescent="0.2">
      <c r="A1195" t="str">
        <f>IF(AND(UPPER(MAESTRO!$M1194)="VIP",UPPER(MAESTRO!$J1194)="SI",MAESTRO!$F1194&lt;&gt;""),MAESTRO!$P1194,"")</f>
        <v/>
      </c>
      <c r="B1195" t="str">
        <f>IF($A1195&lt;&gt;"",MAESTRO!$B1194,"")</f>
        <v/>
      </c>
      <c r="C1195" t="str">
        <f>IF($A1195&lt;&gt;"",MAESTRO!$A1194,"")</f>
        <v/>
      </c>
      <c r="D1195" t="str">
        <f>IF($A1195&lt;&gt;"",MAESTRO!$C1194,"")</f>
        <v/>
      </c>
      <c r="E1195" t="str">
        <f>IF($A1195&lt;&gt;"",MAESTRO!$M1194,"")</f>
        <v/>
      </c>
      <c r="F1195" t="str">
        <f>IF($A1195&lt;&gt;"",MAESTRO!$J1194,"")</f>
        <v/>
      </c>
      <c r="G1195" t="str">
        <f>IF($A1195&lt;&gt;"",MAESTRO!$D1194,"")</f>
        <v/>
      </c>
      <c r="H1195" t="str">
        <f>IF($A1195&lt;&gt;"",IF(TRIM(MAESTRO!$G1194&amp;" "&amp;MAESTRO!$H1194&amp;" "&amp;MAESTRO!$I1194)="",MAESTRO!$F1194,TRIM(MAESTRO!$G1194&amp;" "&amp;MAESTRO!$H1194&amp;" "&amp;MAESTRO!$I1194)),"")</f>
        <v/>
      </c>
      <c r="I1195" t="str">
        <f>IF($A1195&lt;&gt;"",MAESTRO!$K1194,"")</f>
        <v/>
      </c>
      <c r="J1195" t="str">
        <f>IF($A1195&lt;&gt;"",1195,"")</f>
        <v/>
      </c>
    </row>
    <row r="1196" spans="1:10" x14ac:dyDescent="0.2">
      <c r="A1196" t="str">
        <f>IF(AND(UPPER(MAESTRO!$M1195)="VIP",UPPER(MAESTRO!$J1195)="SI",MAESTRO!$F1195&lt;&gt;""),MAESTRO!$P1195,"")</f>
        <v/>
      </c>
      <c r="B1196" t="str">
        <f>IF($A1196&lt;&gt;"",MAESTRO!$B1195,"")</f>
        <v/>
      </c>
      <c r="C1196" t="str">
        <f>IF($A1196&lt;&gt;"",MAESTRO!$A1195,"")</f>
        <v/>
      </c>
      <c r="D1196" t="str">
        <f>IF($A1196&lt;&gt;"",MAESTRO!$C1195,"")</f>
        <v/>
      </c>
      <c r="E1196" t="str">
        <f>IF($A1196&lt;&gt;"",MAESTRO!$M1195,"")</f>
        <v/>
      </c>
      <c r="F1196" t="str">
        <f>IF($A1196&lt;&gt;"",MAESTRO!$J1195,"")</f>
        <v/>
      </c>
      <c r="G1196" t="str">
        <f>IF($A1196&lt;&gt;"",MAESTRO!$D1195,"")</f>
        <v/>
      </c>
      <c r="H1196" t="str">
        <f>IF($A1196&lt;&gt;"",IF(TRIM(MAESTRO!$G1195&amp;" "&amp;MAESTRO!$H1195&amp;" "&amp;MAESTRO!$I1195)="",MAESTRO!$F1195,TRIM(MAESTRO!$G1195&amp;" "&amp;MAESTRO!$H1195&amp;" "&amp;MAESTRO!$I1195)),"")</f>
        <v/>
      </c>
      <c r="I1196" t="str">
        <f>IF($A1196&lt;&gt;"",MAESTRO!$K1195,"")</f>
        <v/>
      </c>
      <c r="J1196" t="str">
        <f>IF($A1196&lt;&gt;"",1196,"")</f>
        <v/>
      </c>
    </row>
    <row r="1197" spans="1:10" x14ac:dyDescent="0.2">
      <c r="A1197" t="str">
        <f>IF(AND(UPPER(MAESTRO!$M1196)="VIP",UPPER(MAESTRO!$J1196)="SI",MAESTRO!$F1196&lt;&gt;""),MAESTRO!$P1196,"")</f>
        <v/>
      </c>
      <c r="B1197" t="str">
        <f>IF($A1197&lt;&gt;"",MAESTRO!$B1196,"")</f>
        <v/>
      </c>
      <c r="C1197" t="str">
        <f>IF($A1197&lt;&gt;"",MAESTRO!$A1196,"")</f>
        <v/>
      </c>
      <c r="D1197" t="str">
        <f>IF($A1197&lt;&gt;"",MAESTRO!$C1196,"")</f>
        <v/>
      </c>
      <c r="E1197" t="str">
        <f>IF($A1197&lt;&gt;"",MAESTRO!$M1196,"")</f>
        <v/>
      </c>
      <c r="F1197" t="str">
        <f>IF($A1197&lt;&gt;"",MAESTRO!$J1196,"")</f>
        <v/>
      </c>
      <c r="G1197" t="str">
        <f>IF($A1197&lt;&gt;"",MAESTRO!$D1196,"")</f>
        <v/>
      </c>
      <c r="H1197" t="str">
        <f>IF($A1197&lt;&gt;"",IF(TRIM(MAESTRO!$G1196&amp;" "&amp;MAESTRO!$H1196&amp;" "&amp;MAESTRO!$I1196)="",MAESTRO!$F1196,TRIM(MAESTRO!$G1196&amp;" "&amp;MAESTRO!$H1196&amp;" "&amp;MAESTRO!$I1196)),"")</f>
        <v/>
      </c>
      <c r="I1197" t="str">
        <f>IF($A1197&lt;&gt;"",MAESTRO!$K1196,"")</f>
        <v/>
      </c>
      <c r="J1197" t="str">
        <f>IF($A1197&lt;&gt;"",1197,"")</f>
        <v/>
      </c>
    </row>
    <row r="1198" spans="1:10" x14ac:dyDescent="0.2">
      <c r="A1198" t="str">
        <f>IF(AND(UPPER(MAESTRO!$M1197)="VIP",UPPER(MAESTRO!$J1197)="SI",MAESTRO!$F1197&lt;&gt;""),MAESTRO!$P1197,"")</f>
        <v/>
      </c>
      <c r="B1198" t="str">
        <f>IF($A1198&lt;&gt;"",MAESTRO!$B1197,"")</f>
        <v/>
      </c>
      <c r="C1198" t="str">
        <f>IF($A1198&lt;&gt;"",MAESTRO!$A1197,"")</f>
        <v/>
      </c>
      <c r="D1198" t="str">
        <f>IF($A1198&lt;&gt;"",MAESTRO!$C1197,"")</f>
        <v/>
      </c>
      <c r="E1198" t="str">
        <f>IF($A1198&lt;&gt;"",MAESTRO!$M1197,"")</f>
        <v/>
      </c>
      <c r="F1198" t="str">
        <f>IF($A1198&lt;&gt;"",MAESTRO!$J1197,"")</f>
        <v/>
      </c>
      <c r="G1198" t="str">
        <f>IF($A1198&lt;&gt;"",MAESTRO!$D1197,"")</f>
        <v/>
      </c>
      <c r="H1198" t="str">
        <f>IF($A1198&lt;&gt;"",IF(TRIM(MAESTRO!$G1197&amp;" "&amp;MAESTRO!$H1197&amp;" "&amp;MAESTRO!$I1197)="",MAESTRO!$F1197,TRIM(MAESTRO!$G1197&amp;" "&amp;MAESTRO!$H1197&amp;" "&amp;MAESTRO!$I1197)),"")</f>
        <v/>
      </c>
      <c r="I1198" t="str">
        <f>IF($A1198&lt;&gt;"",MAESTRO!$K1197,"")</f>
        <v/>
      </c>
      <c r="J1198" t="str">
        <f>IF($A1198&lt;&gt;"",1198,"")</f>
        <v/>
      </c>
    </row>
    <row r="1199" spans="1:10" x14ac:dyDescent="0.2">
      <c r="A1199" t="str">
        <f>IF(AND(UPPER(MAESTRO!$M1198)="VIP",UPPER(MAESTRO!$J1198)="SI",MAESTRO!$F1198&lt;&gt;""),MAESTRO!$P1198,"")</f>
        <v/>
      </c>
      <c r="B1199" t="str">
        <f>IF($A1199&lt;&gt;"",MAESTRO!$B1198,"")</f>
        <v/>
      </c>
      <c r="C1199" t="str">
        <f>IF($A1199&lt;&gt;"",MAESTRO!$A1198,"")</f>
        <v/>
      </c>
      <c r="D1199" t="str">
        <f>IF($A1199&lt;&gt;"",MAESTRO!$C1198,"")</f>
        <v/>
      </c>
      <c r="E1199" t="str">
        <f>IF($A1199&lt;&gt;"",MAESTRO!$M1198,"")</f>
        <v/>
      </c>
      <c r="F1199" t="str">
        <f>IF($A1199&lt;&gt;"",MAESTRO!$J1198,"")</f>
        <v/>
      </c>
      <c r="G1199" t="str">
        <f>IF($A1199&lt;&gt;"",MAESTRO!$D1198,"")</f>
        <v/>
      </c>
      <c r="H1199" t="str">
        <f>IF($A1199&lt;&gt;"",IF(TRIM(MAESTRO!$G1198&amp;" "&amp;MAESTRO!$H1198&amp;" "&amp;MAESTRO!$I1198)="",MAESTRO!$F1198,TRIM(MAESTRO!$G1198&amp;" "&amp;MAESTRO!$H1198&amp;" "&amp;MAESTRO!$I1198)),"")</f>
        <v/>
      </c>
      <c r="I1199" t="str">
        <f>IF($A1199&lt;&gt;"",MAESTRO!$K1198,"")</f>
        <v/>
      </c>
      <c r="J1199" t="str">
        <f>IF($A1199&lt;&gt;"",1199,"")</f>
        <v/>
      </c>
    </row>
    <row r="1200" spans="1:10" x14ac:dyDescent="0.2">
      <c r="A1200" t="str">
        <f>IF(AND(UPPER(MAESTRO!$M1199)="VIP",UPPER(MAESTRO!$J1199)="SI",MAESTRO!$F1199&lt;&gt;""),MAESTRO!$P1199,"")</f>
        <v/>
      </c>
      <c r="B1200" t="str">
        <f>IF($A1200&lt;&gt;"",MAESTRO!$B1199,"")</f>
        <v/>
      </c>
      <c r="C1200" t="str">
        <f>IF($A1200&lt;&gt;"",MAESTRO!$A1199,"")</f>
        <v/>
      </c>
      <c r="D1200" t="str">
        <f>IF($A1200&lt;&gt;"",MAESTRO!$C1199,"")</f>
        <v/>
      </c>
      <c r="E1200" t="str">
        <f>IF($A1200&lt;&gt;"",MAESTRO!$M1199,"")</f>
        <v/>
      </c>
      <c r="F1200" t="str">
        <f>IF($A1200&lt;&gt;"",MAESTRO!$J1199,"")</f>
        <v/>
      </c>
      <c r="G1200" t="str">
        <f>IF($A1200&lt;&gt;"",MAESTRO!$D1199,"")</f>
        <v/>
      </c>
      <c r="H1200" t="str">
        <f>IF($A1200&lt;&gt;"",IF(TRIM(MAESTRO!$G1199&amp;" "&amp;MAESTRO!$H1199&amp;" "&amp;MAESTRO!$I1199)="",MAESTRO!$F1199,TRIM(MAESTRO!$G1199&amp;" "&amp;MAESTRO!$H1199&amp;" "&amp;MAESTRO!$I1199)),"")</f>
        <v/>
      </c>
      <c r="I1200" t="str">
        <f>IF($A1200&lt;&gt;"",MAESTRO!$K1199,"")</f>
        <v/>
      </c>
      <c r="J1200" t="str">
        <f>IF($A1200&lt;&gt;"",1200,"")</f>
        <v/>
      </c>
    </row>
    <row r="1201" spans="1:10" x14ac:dyDescent="0.2">
      <c r="A1201" t="str">
        <f>IF(AND(UPPER(MAESTRO!$M1200)="VIP",UPPER(MAESTRO!$J1200)="SI",MAESTRO!$F1200&lt;&gt;""),MAESTRO!$P1200,"")</f>
        <v/>
      </c>
      <c r="B1201" t="str">
        <f>IF($A1201&lt;&gt;"",MAESTRO!$B1200,"")</f>
        <v/>
      </c>
      <c r="C1201" t="str">
        <f>IF($A1201&lt;&gt;"",MAESTRO!$A1200,"")</f>
        <v/>
      </c>
      <c r="D1201" t="str">
        <f>IF($A1201&lt;&gt;"",MAESTRO!$C1200,"")</f>
        <v/>
      </c>
      <c r="E1201" t="str">
        <f>IF($A1201&lt;&gt;"",MAESTRO!$M1200,"")</f>
        <v/>
      </c>
      <c r="F1201" t="str">
        <f>IF($A1201&lt;&gt;"",MAESTRO!$J1200,"")</f>
        <v/>
      </c>
      <c r="G1201" t="str">
        <f>IF($A1201&lt;&gt;"",MAESTRO!$D1200,"")</f>
        <v/>
      </c>
      <c r="H1201" t="str">
        <f>IF($A1201&lt;&gt;"",IF(TRIM(MAESTRO!$G1200&amp;" "&amp;MAESTRO!$H1200&amp;" "&amp;MAESTRO!$I1200)="",MAESTRO!$F1200,TRIM(MAESTRO!$G1200&amp;" "&amp;MAESTRO!$H1200&amp;" "&amp;MAESTRO!$I1200)),"")</f>
        <v/>
      </c>
      <c r="I1201" t="str">
        <f>IF($A1201&lt;&gt;"",MAESTRO!$K1200,"")</f>
        <v/>
      </c>
      <c r="J1201" t="str">
        <f>IF($A1201&lt;&gt;"",1201,"")</f>
        <v/>
      </c>
    </row>
    <row r="1202" spans="1:10" x14ac:dyDescent="0.2">
      <c r="A1202" t="str">
        <f>IF(AND(UPPER(MAESTRO!$M1201)="VIP",UPPER(MAESTRO!$J1201)="SI",MAESTRO!$F1201&lt;&gt;""),MAESTRO!$P1201,"")</f>
        <v/>
      </c>
      <c r="B1202" t="str">
        <f>IF($A1202&lt;&gt;"",MAESTRO!$B1201,"")</f>
        <v/>
      </c>
      <c r="C1202" t="str">
        <f>IF($A1202&lt;&gt;"",MAESTRO!$A1201,"")</f>
        <v/>
      </c>
      <c r="D1202" t="str">
        <f>IF($A1202&lt;&gt;"",MAESTRO!$C1201,"")</f>
        <v/>
      </c>
      <c r="E1202" t="str">
        <f>IF($A1202&lt;&gt;"",MAESTRO!$M1201,"")</f>
        <v/>
      </c>
      <c r="F1202" t="str">
        <f>IF($A1202&lt;&gt;"",MAESTRO!$J1201,"")</f>
        <v/>
      </c>
      <c r="G1202" t="str">
        <f>IF($A1202&lt;&gt;"",MAESTRO!$D1201,"")</f>
        <v/>
      </c>
      <c r="H1202" t="str">
        <f>IF($A1202&lt;&gt;"",IF(TRIM(MAESTRO!$G1201&amp;" "&amp;MAESTRO!$H1201&amp;" "&amp;MAESTRO!$I1201)="",MAESTRO!$F1201,TRIM(MAESTRO!$G1201&amp;" "&amp;MAESTRO!$H1201&amp;" "&amp;MAESTRO!$I1201)),"")</f>
        <v/>
      </c>
      <c r="I1202" t="str">
        <f>IF($A1202&lt;&gt;"",MAESTRO!$K1201,"")</f>
        <v/>
      </c>
      <c r="J1202" t="str">
        <f>IF($A1202&lt;&gt;"",1202,"")</f>
        <v/>
      </c>
    </row>
    <row r="1203" spans="1:10" x14ac:dyDescent="0.2">
      <c r="A1203" t="str">
        <f>IF(AND(UPPER(MAESTRO!$M1202)="VIP",UPPER(MAESTRO!$J1202)="SI",MAESTRO!$F1202&lt;&gt;""),MAESTRO!$P1202,"")</f>
        <v/>
      </c>
      <c r="B1203" t="str">
        <f>IF($A1203&lt;&gt;"",MAESTRO!$B1202,"")</f>
        <v/>
      </c>
      <c r="C1203" t="str">
        <f>IF($A1203&lt;&gt;"",MAESTRO!$A1202,"")</f>
        <v/>
      </c>
      <c r="D1203" t="str">
        <f>IF($A1203&lt;&gt;"",MAESTRO!$C1202,"")</f>
        <v/>
      </c>
      <c r="E1203" t="str">
        <f>IF($A1203&lt;&gt;"",MAESTRO!$M1202,"")</f>
        <v/>
      </c>
      <c r="F1203" t="str">
        <f>IF($A1203&lt;&gt;"",MAESTRO!$J1202,"")</f>
        <v/>
      </c>
      <c r="G1203" t="str">
        <f>IF($A1203&lt;&gt;"",MAESTRO!$D1202,"")</f>
        <v/>
      </c>
      <c r="H1203" t="str">
        <f>IF($A1203&lt;&gt;"",IF(TRIM(MAESTRO!$G1202&amp;" "&amp;MAESTRO!$H1202&amp;" "&amp;MAESTRO!$I1202)="",MAESTRO!$F1202,TRIM(MAESTRO!$G1202&amp;" "&amp;MAESTRO!$H1202&amp;" "&amp;MAESTRO!$I1202)),"")</f>
        <v/>
      </c>
      <c r="I1203" t="str">
        <f>IF($A1203&lt;&gt;"",MAESTRO!$K1202,"")</f>
        <v/>
      </c>
      <c r="J1203" t="str">
        <f>IF($A1203&lt;&gt;"",1203,"")</f>
        <v/>
      </c>
    </row>
    <row r="1204" spans="1:10" x14ac:dyDescent="0.2">
      <c r="A1204" t="str">
        <f>IF(AND(UPPER(MAESTRO!$M1203)="VIP",UPPER(MAESTRO!$J1203)="SI",MAESTRO!$F1203&lt;&gt;""),MAESTRO!$P1203,"")</f>
        <v/>
      </c>
      <c r="B1204" t="str">
        <f>IF($A1204&lt;&gt;"",MAESTRO!$B1203,"")</f>
        <v/>
      </c>
      <c r="C1204" t="str">
        <f>IF($A1204&lt;&gt;"",MAESTRO!$A1203,"")</f>
        <v/>
      </c>
      <c r="D1204" t="str">
        <f>IF($A1204&lt;&gt;"",MAESTRO!$C1203,"")</f>
        <v/>
      </c>
      <c r="E1204" t="str">
        <f>IF($A1204&lt;&gt;"",MAESTRO!$M1203,"")</f>
        <v/>
      </c>
      <c r="F1204" t="str">
        <f>IF($A1204&lt;&gt;"",MAESTRO!$J1203,"")</f>
        <v/>
      </c>
      <c r="G1204" t="str">
        <f>IF($A1204&lt;&gt;"",MAESTRO!$D1203,"")</f>
        <v/>
      </c>
      <c r="H1204" t="str">
        <f>IF($A1204&lt;&gt;"",IF(TRIM(MAESTRO!$G1203&amp;" "&amp;MAESTRO!$H1203&amp;" "&amp;MAESTRO!$I1203)="",MAESTRO!$F1203,TRIM(MAESTRO!$G1203&amp;" "&amp;MAESTRO!$H1203&amp;" "&amp;MAESTRO!$I1203)),"")</f>
        <v/>
      </c>
      <c r="I1204" t="str">
        <f>IF($A1204&lt;&gt;"",MAESTRO!$K1203,"")</f>
        <v/>
      </c>
      <c r="J1204" t="str">
        <f>IF($A1204&lt;&gt;"",1204,"")</f>
        <v/>
      </c>
    </row>
    <row r="1205" spans="1:10" x14ac:dyDescent="0.2">
      <c r="A1205" t="str">
        <f>IF(AND(UPPER(MAESTRO!$M1204)="VIP",UPPER(MAESTRO!$J1204)="SI",MAESTRO!$F1204&lt;&gt;""),MAESTRO!$P1204,"")</f>
        <v/>
      </c>
      <c r="B1205" t="str">
        <f>IF($A1205&lt;&gt;"",MAESTRO!$B1204,"")</f>
        <v/>
      </c>
      <c r="C1205" t="str">
        <f>IF($A1205&lt;&gt;"",MAESTRO!$A1204,"")</f>
        <v/>
      </c>
      <c r="D1205" t="str">
        <f>IF($A1205&lt;&gt;"",MAESTRO!$C1204,"")</f>
        <v/>
      </c>
      <c r="E1205" t="str">
        <f>IF($A1205&lt;&gt;"",MAESTRO!$M1204,"")</f>
        <v/>
      </c>
      <c r="F1205" t="str">
        <f>IF($A1205&lt;&gt;"",MAESTRO!$J1204,"")</f>
        <v/>
      </c>
      <c r="G1205" t="str">
        <f>IF($A1205&lt;&gt;"",MAESTRO!$D1204,"")</f>
        <v/>
      </c>
      <c r="H1205" t="str">
        <f>IF($A1205&lt;&gt;"",IF(TRIM(MAESTRO!$G1204&amp;" "&amp;MAESTRO!$H1204&amp;" "&amp;MAESTRO!$I1204)="",MAESTRO!$F1204,TRIM(MAESTRO!$G1204&amp;" "&amp;MAESTRO!$H1204&amp;" "&amp;MAESTRO!$I1204)),"")</f>
        <v/>
      </c>
      <c r="I1205" t="str">
        <f>IF($A1205&lt;&gt;"",MAESTRO!$K1204,"")</f>
        <v/>
      </c>
      <c r="J1205" t="str">
        <f>IF($A1205&lt;&gt;"",1205,"")</f>
        <v/>
      </c>
    </row>
    <row r="1206" spans="1:10" x14ac:dyDescent="0.2">
      <c r="A1206" t="str">
        <f>IF(AND(UPPER(MAESTRO!$M1205)="VIP",UPPER(MAESTRO!$J1205)="SI",MAESTRO!$F1205&lt;&gt;""),MAESTRO!$P1205,"")</f>
        <v/>
      </c>
      <c r="B1206" t="str">
        <f>IF($A1206&lt;&gt;"",MAESTRO!$B1205,"")</f>
        <v/>
      </c>
      <c r="C1206" t="str">
        <f>IF($A1206&lt;&gt;"",MAESTRO!$A1205,"")</f>
        <v/>
      </c>
      <c r="D1206" t="str">
        <f>IF($A1206&lt;&gt;"",MAESTRO!$C1205,"")</f>
        <v/>
      </c>
      <c r="E1206" t="str">
        <f>IF($A1206&lt;&gt;"",MAESTRO!$M1205,"")</f>
        <v/>
      </c>
      <c r="F1206" t="str">
        <f>IF($A1206&lt;&gt;"",MAESTRO!$J1205,"")</f>
        <v/>
      </c>
      <c r="G1206" t="str">
        <f>IF($A1206&lt;&gt;"",MAESTRO!$D1205,"")</f>
        <v/>
      </c>
      <c r="H1206" t="str">
        <f>IF($A1206&lt;&gt;"",IF(TRIM(MAESTRO!$G1205&amp;" "&amp;MAESTRO!$H1205&amp;" "&amp;MAESTRO!$I1205)="",MAESTRO!$F1205,TRIM(MAESTRO!$G1205&amp;" "&amp;MAESTRO!$H1205&amp;" "&amp;MAESTRO!$I1205)),"")</f>
        <v/>
      </c>
      <c r="I1206" t="str">
        <f>IF($A1206&lt;&gt;"",MAESTRO!$K1205,"")</f>
        <v/>
      </c>
      <c r="J1206" t="str">
        <f>IF($A1206&lt;&gt;"",1206,"")</f>
        <v/>
      </c>
    </row>
    <row r="1207" spans="1:10" x14ac:dyDescent="0.2">
      <c r="A1207" t="str">
        <f>IF(AND(UPPER(MAESTRO!$M1206)="VIP",UPPER(MAESTRO!$J1206)="SI",MAESTRO!$F1206&lt;&gt;""),MAESTRO!$P1206,"")</f>
        <v/>
      </c>
      <c r="B1207" t="str">
        <f>IF($A1207&lt;&gt;"",MAESTRO!$B1206,"")</f>
        <v/>
      </c>
      <c r="C1207" t="str">
        <f>IF($A1207&lt;&gt;"",MAESTRO!$A1206,"")</f>
        <v/>
      </c>
      <c r="D1207" t="str">
        <f>IF($A1207&lt;&gt;"",MAESTRO!$C1206,"")</f>
        <v/>
      </c>
      <c r="E1207" t="str">
        <f>IF($A1207&lt;&gt;"",MAESTRO!$M1206,"")</f>
        <v/>
      </c>
      <c r="F1207" t="str">
        <f>IF($A1207&lt;&gt;"",MAESTRO!$J1206,"")</f>
        <v/>
      </c>
      <c r="G1207" t="str">
        <f>IF($A1207&lt;&gt;"",MAESTRO!$D1206,"")</f>
        <v/>
      </c>
      <c r="H1207" t="str">
        <f>IF($A1207&lt;&gt;"",IF(TRIM(MAESTRO!$G1206&amp;" "&amp;MAESTRO!$H1206&amp;" "&amp;MAESTRO!$I1206)="",MAESTRO!$F1206,TRIM(MAESTRO!$G1206&amp;" "&amp;MAESTRO!$H1206&amp;" "&amp;MAESTRO!$I1206)),"")</f>
        <v/>
      </c>
      <c r="I1207" t="str">
        <f>IF($A1207&lt;&gt;"",MAESTRO!$K1206,"")</f>
        <v/>
      </c>
      <c r="J1207" t="str">
        <f>IF($A1207&lt;&gt;"",1207,"")</f>
        <v/>
      </c>
    </row>
    <row r="1208" spans="1:10" x14ac:dyDescent="0.2">
      <c r="A1208" t="str">
        <f>IF(AND(UPPER(MAESTRO!$M1207)="VIP",UPPER(MAESTRO!$J1207)="SI",MAESTRO!$F1207&lt;&gt;""),MAESTRO!$P1207,"")</f>
        <v/>
      </c>
      <c r="B1208" t="str">
        <f>IF($A1208&lt;&gt;"",MAESTRO!$B1207,"")</f>
        <v/>
      </c>
      <c r="C1208" t="str">
        <f>IF($A1208&lt;&gt;"",MAESTRO!$A1207,"")</f>
        <v/>
      </c>
      <c r="D1208" t="str">
        <f>IF($A1208&lt;&gt;"",MAESTRO!$C1207,"")</f>
        <v/>
      </c>
      <c r="E1208" t="str">
        <f>IF($A1208&lt;&gt;"",MAESTRO!$M1207,"")</f>
        <v/>
      </c>
      <c r="F1208" t="str">
        <f>IF($A1208&lt;&gt;"",MAESTRO!$J1207,"")</f>
        <v/>
      </c>
      <c r="G1208" t="str">
        <f>IF($A1208&lt;&gt;"",MAESTRO!$D1207,"")</f>
        <v/>
      </c>
      <c r="H1208" t="str">
        <f>IF($A1208&lt;&gt;"",IF(TRIM(MAESTRO!$G1207&amp;" "&amp;MAESTRO!$H1207&amp;" "&amp;MAESTRO!$I1207)="",MAESTRO!$F1207,TRIM(MAESTRO!$G1207&amp;" "&amp;MAESTRO!$H1207&amp;" "&amp;MAESTRO!$I1207)),"")</f>
        <v/>
      </c>
      <c r="I1208" t="str">
        <f>IF($A1208&lt;&gt;"",MAESTRO!$K1207,"")</f>
        <v/>
      </c>
      <c r="J1208" t="str">
        <f>IF($A1208&lt;&gt;"",1208,"")</f>
        <v/>
      </c>
    </row>
    <row r="1209" spans="1:10" x14ac:dyDescent="0.2">
      <c r="A1209" t="str">
        <f>IF(AND(UPPER(MAESTRO!$M1208)="VIP",UPPER(MAESTRO!$J1208)="SI",MAESTRO!$F1208&lt;&gt;""),MAESTRO!$P1208,"")</f>
        <v/>
      </c>
      <c r="B1209" t="str">
        <f>IF($A1209&lt;&gt;"",MAESTRO!$B1208,"")</f>
        <v/>
      </c>
      <c r="C1209" t="str">
        <f>IF($A1209&lt;&gt;"",MAESTRO!$A1208,"")</f>
        <v/>
      </c>
      <c r="D1209" t="str">
        <f>IF($A1209&lt;&gt;"",MAESTRO!$C1208,"")</f>
        <v/>
      </c>
      <c r="E1209" t="str">
        <f>IF($A1209&lt;&gt;"",MAESTRO!$M1208,"")</f>
        <v/>
      </c>
      <c r="F1209" t="str">
        <f>IF($A1209&lt;&gt;"",MAESTRO!$J1208,"")</f>
        <v/>
      </c>
      <c r="G1209" t="str">
        <f>IF($A1209&lt;&gt;"",MAESTRO!$D1208,"")</f>
        <v/>
      </c>
      <c r="H1209" t="str">
        <f>IF($A1209&lt;&gt;"",IF(TRIM(MAESTRO!$G1208&amp;" "&amp;MAESTRO!$H1208&amp;" "&amp;MAESTRO!$I1208)="",MAESTRO!$F1208,TRIM(MAESTRO!$G1208&amp;" "&amp;MAESTRO!$H1208&amp;" "&amp;MAESTRO!$I1208)),"")</f>
        <v/>
      </c>
      <c r="I1209" t="str">
        <f>IF($A1209&lt;&gt;"",MAESTRO!$K1208,"")</f>
        <v/>
      </c>
      <c r="J1209" t="str">
        <f>IF($A1209&lt;&gt;"",1209,"")</f>
        <v/>
      </c>
    </row>
    <row r="1210" spans="1:10" x14ac:dyDescent="0.2">
      <c r="A1210" t="str">
        <f>IF(AND(UPPER(MAESTRO!$M1209)="VIP",UPPER(MAESTRO!$J1209)="SI",MAESTRO!$F1209&lt;&gt;""),MAESTRO!$P1209,"")</f>
        <v/>
      </c>
      <c r="B1210" t="str">
        <f>IF($A1210&lt;&gt;"",MAESTRO!$B1209,"")</f>
        <v/>
      </c>
      <c r="C1210" t="str">
        <f>IF($A1210&lt;&gt;"",MAESTRO!$A1209,"")</f>
        <v/>
      </c>
      <c r="D1210" t="str">
        <f>IF($A1210&lt;&gt;"",MAESTRO!$C1209,"")</f>
        <v/>
      </c>
      <c r="E1210" t="str">
        <f>IF($A1210&lt;&gt;"",MAESTRO!$M1209,"")</f>
        <v/>
      </c>
      <c r="F1210" t="str">
        <f>IF($A1210&lt;&gt;"",MAESTRO!$J1209,"")</f>
        <v/>
      </c>
      <c r="G1210" t="str">
        <f>IF($A1210&lt;&gt;"",MAESTRO!$D1209,"")</f>
        <v/>
      </c>
      <c r="H1210" t="str">
        <f>IF($A1210&lt;&gt;"",IF(TRIM(MAESTRO!$G1209&amp;" "&amp;MAESTRO!$H1209&amp;" "&amp;MAESTRO!$I1209)="",MAESTRO!$F1209,TRIM(MAESTRO!$G1209&amp;" "&amp;MAESTRO!$H1209&amp;" "&amp;MAESTRO!$I1209)),"")</f>
        <v/>
      </c>
      <c r="I1210" t="str">
        <f>IF($A1210&lt;&gt;"",MAESTRO!$K1209,"")</f>
        <v/>
      </c>
      <c r="J1210" t="str">
        <f>IF($A1210&lt;&gt;"",1210,"")</f>
        <v/>
      </c>
    </row>
    <row r="1211" spans="1:10" x14ac:dyDescent="0.2">
      <c r="A1211" t="str">
        <f>IF(AND(UPPER(MAESTRO!$M1210)="VIP",UPPER(MAESTRO!$J1210)="SI",MAESTRO!$F1210&lt;&gt;""),MAESTRO!$P1210,"")</f>
        <v/>
      </c>
      <c r="B1211" t="str">
        <f>IF($A1211&lt;&gt;"",MAESTRO!$B1210,"")</f>
        <v/>
      </c>
      <c r="C1211" t="str">
        <f>IF($A1211&lt;&gt;"",MAESTRO!$A1210,"")</f>
        <v/>
      </c>
      <c r="D1211" t="str">
        <f>IF($A1211&lt;&gt;"",MAESTRO!$C1210,"")</f>
        <v/>
      </c>
      <c r="E1211" t="str">
        <f>IF($A1211&lt;&gt;"",MAESTRO!$M1210,"")</f>
        <v/>
      </c>
      <c r="F1211" t="str">
        <f>IF($A1211&lt;&gt;"",MAESTRO!$J1210,"")</f>
        <v/>
      </c>
      <c r="G1211" t="str">
        <f>IF($A1211&lt;&gt;"",MAESTRO!$D1210,"")</f>
        <v/>
      </c>
      <c r="H1211" t="str">
        <f>IF($A1211&lt;&gt;"",IF(TRIM(MAESTRO!$G1210&amp;" "&amp;MAESTRO!$H1210&amp;" "&amp;MAESTRO!$I1210)="",MAESTRO!$F1210,TRIM(MAESTRO!$G1210&amp;" "&amp;MAESTRO!$H1210&amp;" "&amp;MAESTRO!$I1210)),"")</f>
        <v/>
      </c>
      <c r="I1211" t="str">
        <f>IF($A1211&lt;&gt;"",MAESTRO!$K1210,"")</f>
        <v/>
      </c>
      <c r="J1211" t="str">
        <f>IF($A1211&lt;&gt;"",1211,"")</f>
        <v/>
      </c>
    </row>
    <row r="1212" spans="1:10" x14ac:dyDescent="0.2">
      <c r="A1212" t="str">
        <f>IF(AND(UPPER(MAESTRO!$M1211)="VIP",UPPER(MAESTRO!$J1211)="SI",MAESTRO!$F1211&lt;&gt;""),MAESTRO!$P1211,"")</f>
        <v/>
      </c>
      <c r="B1212" t="str">
        <f>IF($A1212&lt;&gt;"",MAESTRO!$B1211,"")</f>
        <v/>
      </c>
      <c r="C1212" t="str">
        <f>IF($A1212&lt;&gt;"",MAESTRO!$A1211,"")</f>
        <v/>
      </c>
      <c r="D1212" t="str">
        <f>IF($A1212&lt;&gt;"",MAESTRO!$C1211,"")</f>
        <v/>
      </c>
      <c r="E1212" t="str">
        <f>IF($A1212&lt;&gt;"",MAESTRO!$M1211,"")</f>
        <v/>
      </c>
      <c r="F1212" t="str">
        <f>IF($A1212&lt;&gt;"",MAESTRO!$J1211,"")</f>
        <v/>
      </c>
      <c r="G1212" t="str">
        <f>IF($A1212&lt;&gt;"",MAESTRO!$D1211,"")</f>
        <v/>
      </c>
      <c r="H1212" t="str">
        <f>IF($A1212&lt;&gt;"",IF(TRIM(MAESTRO!$G1211&amp;" "&amp;MAESTRO!$H1211&amp;" "&amp;MAESTRO!$I1211)="",MAESTRO!$F1211,TRIM(MAESTRO!$G1211&amp;" "&amp;MAESTRO!$H1211&amp;" "&amp;MAESTRO!$I1211)),"")</f>
        <v/>
      </c>
      <c r="I1212" t="str">
        <f>IF($A1212&lt;&gt;"",MAESTRO!$K1211,"")</f>
        <v/>
      </c>
      <c r="J1212" t="str">
        <f>IF($A1212&lt;&gt;"",1212,"")</f>
        <v/>
      </c>
    </row>
    <row r="1213" spans="1:10" x14ac:dyDescent="0.2">
      <c r="A1213" t="str">
        <f>IF(AND(UPPER(MAESTRO!$M1212)="VIP",UPPER(MAESTRO!$J1212)="SI",MAESTRO!$F1212&lt;&gt;""),MAESTRO!$P1212,"")</f>
        <v/>
      </c>
      <c r="B1213" t="str">
        <f>IF($A1213&lt;&gt;"",MAESTRO!$B1212,"")</f>
        <v/>
      </c>
      <c r="C1213" t="str">
        <f>IF($A1213&lt;&gt;"",MAESTRO!$A1212,"")</f>
        <v/>
      </c>
      <c r="D1213" t="str">
        <f>IF($A1213&lt;&gt;"",MAESTRO!$C1212,"")</f>
        <v/>
      </c>
      <c r="E1213" t="str">
        <f>IF($A1213&lt;&gt;"",MAESTRO!$M1212,"")</f>
        <v/>
      </c>
      <c r="F1213" t="str">
        <f>IF($A1213&lt;&gt;"",MAESTRO!$J1212,"")</f>
        <v/>
      </c>
      <c r="G1213" t="str">
        <f>IF($A1213&lt;&gt;"",MAESTRO!$D1212,"")</f>
        <v/>
      </c>
      <c r="H1213" t="str">
        <f>IF($A1213&lt;&gt;"",IF(TRIM(MAESTRO!$G1212&amp;" "&amp;MAESTRO!$H1212&amp;" "&amp;MAESTRO!$I1212)="",MAESTRO!$F1212,TRIM(MAESTRO!$G1212&amp;" "&amp;MAESTRO!$H1212&amp;" "&amp;MAESTRO!$I1212)),"")</f>
        <v/>
      </c>
      <c r="I1213" t="str">
        <f>IF($A1213&lt;&gt;"",MAESTRO!$K1212,"")</f>
        <v/>
      </c>
      <c r="J1213" t="str">
        <f>IF($A1213&lt;&gt;"",1213,"")</f>
        <v/>
      </c>
    </row>
    <row r="1214" spans="1:10" x14ac:dyDescent="0.2">
      <c r="A1214" t="str">
        <f>IF(AND(UPPER(MAESTRO!$M1213)="VIP",UPPER(MAESTRO!$J1213)="SI",MAESTRO!$F1213&lt;&gt;""),MAESTRO!$P1213,"")</f>
        <v/>
      </c>
      <c r="B1214" t="str">
        <f>IF($A1214&lt;&gt;"",MAESTRO!$B1213,"")</f>
        <v/>
      </c>
      <c r="C1214" t="str">
        <f>IF($A1214&lt;&gt;"",MAESTRO!$A1213,"")</f>
        <v/>
      </c>
      <c r="D1214" t="str">
        <f>IF($A1214&lt;&gt;"",MAESTRO!$C1213,"")</f>
        <v/>
      </c>
      <c r="E1214" t="str">
        <f>IF($A1214&lt;&gt;"",MAESTRO!$M1213,"")</f>
        <v/>
      </c>
      <c r="F1214" t="str">
        <f>IF($A1214&lt;&gt;"",MAESTRO!$J1213,"")</f>
        <v/>
      </c>
      <c r="G1214" t="str">
        <f>IF($A1214&lt;&gt;"",MAESTRO!$D1213,"")</f>
        <v/>
      </c>
      <c r="H1214" t="str">
        <f>IF($A1214&lt;&gt;"",IF(TRIM(MAESTRO!$G1213&amp;" "&amp;MAESTRO!$H1213&amp;" "&amp;MAESTRO!$I1213)="",MAESTRO!$F1213,TRIM(MAESTRO!$G1213&amp;" "&amp;MAESTRO!$H1213&amp;" "&amp;MAESTRO!$I1213)),"")</f>
        <v/>
      </c>
      <c r="I1214" t="str">
        <f>IF($A1214&lt;&gt;"",MAESTRO!$K1213,"")</f>
        <v/>
      </c>
      <c r="J1214" t="str">
        <f>IF($A1214&lt;&gt;"",1214,"")</f>
        <v/>
      </c>
    </row>
    <row r="1215" spans="1:10" x14ac:dyDescent="0.2">
      <c r="A1215" t="str">
        <f>IF(AND(UPPER(MAESTRO!$M1214)="VIP",UPPER(MAESTRO!$J1214)="SI",MAESTRO!$F1214&lt;&gt;""),MAESTRO!$P1214,"")</f>
        <v/>
      </c>
      <c r="B1215" t="str">
        <f>IF($A1215&lt;&gt;"",MAESTRO!$B1214,"")</f>
        <v/>
      </c>
      <c r="C1215" t="str">
        <f>IF($A1215&lt;&gt;"",MAESTRO!$A1214,"")</f>
        <v/>
      </c>
      <c r="D1215" t="str">
        <f>IF($A1215&lt;&gt;"",MAESTRO!$C1214,"")</f>
        <v/>
      </c>
      <c r="E1215" t="str">
        <f>IF($A1215&lt;&gt;"",MAESTRO!$M1214,"")</f>
        <v/>
      </c>
      <c r="F1215" t="str">
        <f>IF($A1215&lt;&gt;"",MAESTRO!$J1214,"")</f>
        <v/>
      </c>
      <c r="G1215" t="str">
        <f>IF($A1215&lt;&gt;"",MAESTRO!$D1214,"")</f>
        <v/>
      </c>
      <c r="H1215" t="str">
        <f>IF($A1215&lt;&gt;"",IF(TRIM(MAESTRO!$G1214&amp;" "&amp;MAESTRO!$H1214&amp;" "&amp;MAESTRO!$I1214)="",MAESTRO!$F1214,TRIM(MAESTRO!$G1214&amp;" "&amp;MAESTRO!$H1214&amp;" "&amp;MAESTRO!$I1214)),"")</f>
        <v/>
      </c>
      <c r="I1215" t="str">
        <f>IF($A1215&lt;&gt;"",MAESTRO!$K1214,"")</f>
        <v/>
      </c>
      <c r="J1215" t="str">
        <f>IF($A1215&lt;&gt;"",1215,"")</f>
        <v/>
      </c>
    </row>
    <row r="1216" spans="1:10" x14ac:dyDescent="0.2">
      <c r="A1216" t="str">
        <f>IF(AND(UPPER(MAESTRO!$M1215)="VIP",UPPER(MAESTRO!$J1215)="SI",MAESTRO!$F1215&lt;&gt;""),MAESTRO!$P1215,"")</f>
        <v/>
      </c>
      <c r="B1216" t="str">
        <f>IF($A1216&lt;&gt;"",MAESTRO!$B1215,"")</f>
        <v/>
      </c>
      <c r="C1216" t="str">
        <f>IF($A1216&lt;&gt;"",MAESTRO!$A1215,"")</f>
        <v/>
      </c>
      <c r="D1216" t="str">
        <f>IF($A1216&lt;&gt;"",MAESTRO!$C1215,"")</f>
        <v/>
      </c>
      <c r="E1216" t="str">
        <f>IF($A1216&lt;&gt;"",MAESTRO!$M1215,"")</f>
        <v/>
      </c>
      <c r="F1216" t="str">
        <f>IF($A1216&lt;&gt;"",MAESTRO!$J1215,"")</f>
        <v/>
      </c>
      <c r="G1216" t="str">
        <f>IF($A1216&lt;&gt;"",MAESTRO!$D1215,"")</f>
        <v/>
      </c>
      <c r="H1216" t="str">
        <f>IF($A1216&lt;&gt;"",IF(TRIM(MAESTRO!$G1215&amp;" "&amp;MAESTRO!$H1215&amp;" "&amp;MAESTRO!$I1215)="",MAESTRO!$F1215,TRIM(MAESTRO!$G1215&amp;" "&amp;MAESTRO!$H1215&amp;" "&amp;MAESTRO!$I1215)),"")</f>
        <v/>
      </c>
      <c r="I1216" t="str">
        <f>IF($A1216&lt;&gt;"",MAESTRO!$K1215,"")</f>
        <v/>
      </c>
      <c r="J1216" t="str">
        <f>IF($A1216&lt;&gt;"",1216,"")</f>
        <v/>
      </c>
    </row>
    <row r="1217" spans="1:10" x14ac:dyDescent="0.2">
      <c r="A1217" t="str">
        <f>IF(AND(UPPER(MAESTRO!$M1216)="VIP",UPPER(MAESTRO!$J1216)="SI",MAESTRO!$F1216&lt;&gt;""),MAESTRO!$P1216,"")</f>
        <v/>
      </c>
      <c r="B1217" t="str">
        <f>IF($A1217&lt;&gt;"",MAESTRO!$B1216,"")</f>
        <v/>
      </c>
      <c r="C1217" t="str">
        <f>IF($A1217&lt;&gt;"",MAESTRO!$A1216,"")</f>
        <v/>
      </c>
      <c r="D1217" t="str">
        <f>IF($A1217&lt;&gt;"",MAESTRO!$C1216,"")</f>
        <v/>
      </c>
      <c r="E1217" t="str">
        <f>IF($A1217&lt;&gt;"",MAESTRO!$M1216,"")</f>
        <v/>
      </c>
      <c r="F1217" t="str">
        <f>IF($A1217&lt;&gt;"",MAESTRO!$J1216,"")</f>
        <v/>
      </c>
      <c r="G1217" t="str">
        <f>IF($A1217&lt;&gt;"",MAESTRO!$D1216,"")</f>
        <v/>
      </c>
      <c r="H1217" t="str">
        <f>IF($A1217&lt;&gt;"",IF(TRIM(MAESTRO!$G1216&amp;" "&amp;MAESTRO!$H1216&amp;" "&amp;MAESTRO!$I1216)="",MAESTRO!$F1216,TRIM(MAESTRO!$G1216&amp;" "&amp;MAESTRO!$H1216&amp;" "&amp;MAESTRO!$I1216)),"")</f>
        <v/>
      </c>
      <c r="I1217" t="str">
        <f>IF($A1217&lt;&gt;"",MAESTRO!$K1216,"")</f>
        <v/>
      </c>
      <c r="J1217" t="str">
        <f>IF($A1217&lt;&gt;"",1217,"")</f>
        <v/>
      </c>
    </row>
    <row r="1218" spans="1:10" x14ac:dyDescent="0.2">
      <c r="A1218" t="str">
        <f>IF(AND(UPPER(MAESTRO!$M1217)="VIP",UPPER(MAESTRO!$J1217)="SI",MAESTRO!$F1217&lt;&gt;""),MAESTRO!$P1217,"")</f>
        <v/>
      </c>
      <c r="B1218" t="str">
        <f>IF($A1218&lt;&gt;"",MAESTRO!$B1217,"")</f>
        <v/>
      </c>
      <c r="C1218" t="str">
        <f>IF($A1218&lt;&gt;"",MAESTRO!$A1217,"")</f>
        <v/>
      </c>
      <c r="D1218" t="str">
        <f>IF($A1218&lt;&gt;"",MAESTRO!$C1217,"")</f>
        <v/>
      </c>
      <c r="E1218" t="str">
        <f>IF($A1218&lt;&gt;"",MAESTRO!$M1217,"")</f>
        <v/>
      </c>
      <c r="F1218" t="str">
        <f>IF($A1218&lt;&gt;"",MAESTRO!$J1217,"")</f>
        <v/>
      </c>
      <c r="G1218" t="str">
        <f>IF($A1218&lt;&gt;"",MAESTRO!$D1217,"")</f>
        <v/>
      </c>
      <c r="H1218" t="str">
        <f>IF($A1218&lt;&gt;"",IF(TRIM(MAESTRO!$G1217&amp;" "&amp;MAESTRO!$H1217&amp;" "&amp;MAESTRO!$I1217)="",MAESTRO!$F1217,TRIM(MAESTRO!$G1217&amp;" "&amp;MAESTRO!$H1217&amp;" "&amp;MAESTRO!$I1217)),"")</f>
        <v/>
      </c>
      <c r="I1218" t="str">
        <f>IF($A1218&lt;&gt;"",MAESTRO!$K1217,"")</f>
        <v/>
      </c>
      <c r="J1218" t="str">
        <f>IF($A1218&lt;&gt;"",1218,"")</f>
        <v/>
      </c>
    </row>
    <row r="1219" spans="1:10" x14ac:dyDescent="0.2">
      <c r="A1219" t="str">
        <f>IF(AND(UPPER(MAESTRO!$M1218)="VIP",UPPER(MAESTRO!$J1218)="SI",MAESTRO!$F1218&lt;&gt;""),MAESTRO!$P1218,"")</f>
        <v/>
      </c>
      <c r="B1219" t="str">
        <f>IF($A1219&lt;&gt;"",MAESTRO!$B1218,"")</f>
        <v/>
      </c>
      <c r="C1219" t="str">
        <f>IF($A1219&lt;&gt;"",MAESTRO!$A1218,"")</f>
        <v/>
      </c>
      <c r="D1219" t="str">
        <f>IF($A1219&lt;&gt;"",MAESTRO!$C1218,"")</f>
        <v/>
      </c>
      <c r="E1219" t="str">
        <f>IF($A1219&lt;&gt;"",MAESTRO!$M1218,"")</f>
        <v/>
      </c>
      <c r="F1219" t="str">
        <f>IF($A1219&lt;&gt;"",MAESTRO!$J1218,"")</f>
        <v/>
      </c>
      <c r="G1219" t="str">
        <f>IF($A1219&lt;&gt;"",MAESTRO!$D1218,"")</f>
        <v/>
      </c>
      <c r="H1219" t="str">
        <f>IF($A1219&lt;&gt;"",IF(TRIM(MAESTRO!$G1218&amp;" "&amp;MAESTRO!$H1218&amp;" "&amp;MAESTRO!$I1218)="",MAESTRO!$F1218,TRIM(MAESTRO!$G1218&amp;" "&amp;MAESTRO!$H1218&amp;" "&amp;MAESTRO!$I1218)),"")</f>
        <v/>
      </c>
      <c r="I1219" t="str">
        <f>IF($A1219&lt;&gt;"",MAESTRO!$K1218,"")</f>
        <v/>
      </c>
      <c r="J1219" t="str">
        <f>IF($A1219&lt;&gt;"",1219,"")</f>
        <v/>
      </c>
    </row>
    <row r="1220" spans="1:10" x14ac:dyDescent="0.2">
      <c r="A1220" t="str">
        <f>IF(AND(UPPER(MAESTRO!$M1219)="VIP",UPPER(MAESTRO!$J1219)="SI",MAESTRO!$F1219&lt;&gt;""),MAESTRO!$P1219,"")</f>
        <v/>
      </c>
      <c r="B1220" t="str">
        <f>IF($A1220&lt;&gt;"",MAESTRO!$B1219,"")</f>
        <v/>
      </c>
      <c r="C1220" t="str">
        <f>IF($A1220&lt;&gt;"",MAESTRO!$A1219,"")</f>
        <v/>
      </c>
      <c r="D1220" t="str">
        <f>IF($A1220&lt;&gt;"",MAESTRO!$C1219,"")</f>
        <v/>
      </c>
      <c r="E1220" t="str">
        <f>IF($A1220&lt;&gt;"",MAESTRO!$M1219,"")</f>
        <v/>
      </c>
      <c r="F1220" t="str">
        <f>IF($A1220&lt;&gt;"",MAESTRO!$J1219,"")</f>
        <v/>
      </c>
      <c r="G1220" t="str">
        <f>IF($A1220&lt;&gt;"",MAESTRO!$D1219,"")</f>
        <v/>
      </c>
      <c r="H1220" t="str">
        <f>IF($A1220&lt;&gt;"",IF(TRIM(MAESTRO!$G1219&amp;" "&amp;MAESTRO!$H1219&amp;" "&amp;MAESTRO!$I1219)="",MAESTRO!$F1219,TRIM(MAESTRO!$G1219&amp;" "&amp;MAESTRO!$H1219&amp;" "&amp;MAESTRO!$I1219)),"")</f>
        <v/>
      </c>
      <c r="I1220" t="str">
        <f>IF($A1220&lt;&gt;"",MAESTRO!$K1219,"")</f>
        <v/>
      </c>
      <c r="J1220" t="str">
        <f>IF($A1220&lt;&gt;"",1220,"")</f>
        <v/>
      </c>
    </row>
    <row r="1221" spans="1:10" x14ac:dyDescent="0.2">
      <c r="A1221" t="str">
        <f>IF(AND(UPPER(MAESTRO!$M1220)="VIP",UPPER(MAESTRO!$J1220)="SI",MAESTRO!$F1220&lt;&gt;""),MAESTRO!$P1220,"")</f>
        <v/>
      </c>
      <c r="B1221" t="str">
        <f>IF($A1221&lt;&gt;"",MAESTRO!$B1220,"")</f>
        <v/>
      </c>
      <c r="C1221" t="str">
        <f>IF($A1221&lt;&gt;"",MAESTRO!$A1220,"")</f>
        <v/>
      </c>
      <c r="D1221" t="str">
        <f>IF($A1221&lt;&gt;"",MAESTRO!$C1220,"")</f>
        <v/>
      </c>
      <c r="E1221" t="str">
        <f>IF($A1221&lt;&gt;"",MAESTRO!$M1220,"")</f>
        <v/>
      </c>
      <c r="F1221" t="str">
        <f>IF($A1221&lt;&gt;"",MAESTRO!$J1220,"")</f>
        <v/>
      </c>
      <c r="G1221" t="str">
        <f>IF($A1221&lt;&gt;"",MAESTRO!$D1220,"")</f>
        <v/>
      </c>
      <c r="H1221" t="str">
        <f>IF($A1221&lt;&gt;"",IF(TRIM(MAESTRO!$G1220&amp;" "&amp;MAESTRO!$H1220&amp;" "&amp;MAESTRO!$I1220)="",MAESTRO!$F1220,TRIM(MAESTRO!$G1220&amp;" "&amp;MAESTRO!$H1220&amp;" "&amp;MAESTRO!$I1220)),"")</f>
        <v/>
      </c>
      <c r="I1221" t="str">
        <f>IF($A1221&lt;&gt;"",MAESTRO!$K1220,"")</f>
        <v/>
      </c>
      <c r="J1221" t="str">
        <f>IF($A1221&lt;&gt;"",1221,"")</f>
        <v/>
      </c>
    </row>
    <row r="1222" spans="1:10" x14ac:dyDescent="0.2">
      <c r="A1222" t="str">
        <f>IF(AND(UPPER(MAESTRO!$M1221)="VIP",UPPER(MAESTRO!$J1221)="SI",MAESTRO!$F1221&lt;&gt;""),MAESTRO!$P1221,"")</f>
        <v/>
      </c>
      <c r="B1222" t="str">
        <f>IF($A1222&lt;&gt;"",MAESTRO!$B1221,"")</f>
        <v/>
      </c>
      <c r="C1222" t="str">
        <f>IF($A1222&lt;&gt;"",MAESTRO!$A1221,"")</f>
        <v/>
      </c>
      <c r="D1222" t="str">
        <f>IF($A1222&lt;&gt;"",MAESTRO!$C1221,"")</f>
        <v/>
      </c>
      <c r="E1222" t="str">
        <f>IF($A1222&lt;&gt;"",MAESTRO!$M1221,"")</f>
        <v/>
      </c>
      <c r="F1222" t="str">
        <f>IF($A1222&lt;&gt;"",MAESTRO!$J1221,"")</f>
        <v/>
      </c>
      <c r="G1222" t="str">
        <f>IF($A1222&lt;&gt;"",MAESTRO!$D1221,"")</f>
        <v/>
      </c>
      <c r="H1222" t="str">
        <f>IF($A1222&lt;&gt;"",IF(TRIM(MAESTRO!$G1221&amp;" "&amp;MAESTRO!$H1221&amp;" "&amp;MAESTRO!$I1221)="",MAESTRO!$F1221,TRIM(MAESTRO!$G1221&amp;" "&amp;MAESTRO!$H1221&amp;" "&amp;MAESTRO!$I1221)),"")</f>
        <v/>
      </c>
      <c r="I1222" t="str">
        <f>IF($A1222&lt;&gt;"",MAESTRO!$K1221,"")</f>
        <v/>
      </c>
      <c r="J1222" t="str">
        <f>IF($A1222&lt;&gt;"",1222,"")</f>
        <v/>
      </c>
    </row>
    <row r="1223" spans="1:10" x14ac:dyDescent="0.2">
      <c r="A1223" t="str">
        <f>IF(AND(UPPER(MAESTRO!$M1222)="VIP",UPPER(MAESTRO!$J1222)="SI",MAESTRO!$F1222&lt;&gt;""),MAESTRO!$P1222,"")</f>
        <v/>
      </c>
      <c r="B1223" t="str">
        <f>IF($A1223&lt;&gt;"",MAESTRO!$B1222,"")</f>
        <v/>
      </c>
      <c r="C1223" t="str">
        <f>IF($A1223&lt;&gt;"",MAESTRO!$A1222,"")</f>
        <v/>
      </c>
      <c r="D1223" t="str">
        <f>IF($A1223&lt;&gt;"",MAESTRO!$C1222,"")</f>
        <v/>
      </c>
      <c r="E1223" t="str">
        <f>IF($A1223&lt;&gt;"",MAESTRO!$M1222,"")</f>
        <v/>
      </c>
      <c r="F1223" t="str">
        <f>IF($A1223&lt;&gt;"",MAESTRO!$J1222,"")</f>
        <v/>
      </c>
      <c r="G1223" t="str">
        <f>IF($A1223&lt;&gt;"",MAESTRO!$D1222,"")</f>
        <v/>
      </c>
      <c r="H1223" t="str">
        <f>IF($A1223&lt;&gt;"",IF(TRIM(MAESTRO!$G1222&amp;" "&amp;MAESTRO!$H1222&amp;" "&amp;MAESTRO!$I1222)="",MAESTRO!$F1222,TRIM(MAESTRO!$G1222&amp;" "&amp;MAESTRO!$H1222&amp;" "&amp;MAESTRO!$I1222)),"")</f>
        <v/>
      </c>
      <c r="I1223" t="str">
        <f>IF($A1223&lt;&gt;"",MAESTRO!$K1222,"")</f>
        <v/>
      </c>
      <c r="J1223" t="str">
        <f>IF($A1223&lt;&gt;"",1223,"")</f>
        <v/>
      </c>
    </row>
    <row r="1224" spans="1:10" x14ac:dyDescent="0.2">
      <c r="A1224" t="str">
        <f>IF(AND(UPPER(MAESTRO!$M1223)="VIP",UPPER(MAESTRO!$J1223)="SI",MAESTRO!$F1223&lt;&gt;""),MAESTRO!$P1223,"")</f>
        <v/>
      </c>
      <c r="B1224" t="str">
        <f>IF($A1224&lt;&gt;"",MAESTRO!$B1223,"")</f>
        <v/>
      </c>
      <c r="C1224" t="str">
        <f>IF($A1224&lt;&gt;"",MAESTRO!$A1223,"")</f>
        <v/>
      </c>
      <c r="D1224" t="str">
        <f>IF($A1224&lt;&gt;"",MAESTRO!$C1223,"")</f>
        <v/>
      </c>
      <c r="E1224" t="str">
        <f>IF($A1224&lt;&gt;"",MAESTRO!$M1223,"")</f>
        <v/>
      </c>
      <c r="F1224" t="str">
        <f>IF($A1224&lt;&gt;"",MAESTRO!$J1223,"")</f>
        <v/>
      </c>
      <c r="G1224" t="str">
        <f>IF($A1224&lt;&gt;"",MAESTRO!$D1223,"")</f>
        <v/>
      </c>
      <c r="H1224" t="str">
        <f>IF($A1224&lt;&gt;"",IF(TRIM(MAESTRO!$G1223&amp;" "&amp;MAESTRO!$H1223&amp;" "&amp;MAESTRO!$I1223)="",MAESTRO!$F1223,TRIM(MAESTRO!$G1223&amp;" "&amp;MAESTRO!$H1223&amp;" "&amp;MAESTRO!$I1223)),"")</f>
        <v/>
      </c>
      <c r="I1224" t="str">
        <f>IF($A1224&lt;&gt;"",MAESTRO!$K1223,"")</f>
        <v/>
      </c>
      <c r="J1224" t="str">
        <f>IF($A1224&lt;&gt;"",1224,"")</f>
        <v/>
      </c>
    </row>
    <row r="1225" spans="1:10" x14ac:dyDescent="0.2">
      <c r="A1225" t="str">
        <f>IF(AND(UPPER(MAESTRO!$M1224)="VIP",UPPER(MAESTRO!$J1224)="SI",MAESTRO!$F1224&lt;&gt;""),MAESTRO!$P1224,"")</f>
        <v/>
      </c>
      <c r="B1225" t="str">
        <f>IF($A1225&lt;&gt;"",MAESTRO!$B1224,"")</f>
        <v/>
      </c>
      <c r="C1225" t="str">
        <f>IF($A1225&lt;&gt;"",MAESTRO!$A1224,"")</f>
        <v/>
      </c>
      <c r="D1225" t="str">
        <f>IF($A1225&lt;&gt;"",MAESTRO!$C1224,"")</f>
        <v/>
      </c>
      <c r="E1225" t="str">
        <f>IF($A1225&lt;&gt;"",MAESTRO!$M1224,"")</f>
        <v/>
      </c>
      <c r="F1225" t="str">
        <f>IF($A1225&lt;&gt;"",MAESTRO!$J1224,"")</f>
        <v/>
      </c>
      <c r="G1225" t="str">
        <f>IF($A1225&lt;&gt;"",MAESTRO!$D1224,"")</f>
        <v/>
      </c>
      <c r="H1225" t="str">
        <f>IF($A1225&lt;&gt;"",IF(TRIM(MAESTRO!$G1224&amp;" "&amp;MAESTRO!$H1224&amp;" "&amp;MAESTRO!$I1224)="",MAESTRO!$F1224,TRIM(MAESTRO!$G1224&amp;" "&amp;MAESTRO!$H1224&amp;" "&amp;MAESTRO!$I1224)),"")</f>
        <v/>
      </c>
      <c r="I1225" t="str">
        <f>IF($A1225&lt;&gt;"",MAESTRO!$K1224,"")</f>
        <v/>
      </c>
      <c r="J1225" t="str">
        <f>IF($A1225&lt;&gt;"",1225,"")</f>
        <v/>
      </c>
    </row>
    <row r="1226" spans="1:10" x14ac:dyDescent="0.2">
      <c r="A1226" t="str">
        <f>IF(AND(UPPER(MAESTRO!$M1225)="VIP",UPPER(MAESTRO!$J1225)="SI",MAESTRO!$F1225&lt;&gt;""),MAESTRO!$P1225,"")</f>
        <v/>
      </c>
      <c r="B1226" t="str">
        <f>IF($A1226&lt;&gt;"",MAESTRO!$B1225,"")</f>
        <v/>
      </c>
      <c r="C1226" t="str">
        <f>IF($A1226&lt;&gt;"",MAESTRO!$A1225,"")</f>
        <v/>
      </c>
      <c r="D1226" t="str">
        <f>IF($A1226&lt;&gt;"",MAESTRO!$C1225,"")</f>
        <v/>
      </c>
      <c r="E1226" t="str">
        <f>IF($A1226&lt;&gt;"",MAESTRO!$M1225,"")</f>
        <v/>
      </c>
      <c r="F1226" t="str">
        <f>IF($A1226&lt;&gt;"",MAESTRO!$J1225,"")</f>
        <v/>
      </c>
      <c r="G1226" t="str">
        <f>IF($A1226&lt;&gt;"",MAESTRO!$D1225,"")</f>
        <v/>
      </c>
      <c r="H1226" t="str">
        <f>IF($A1226&lt;&gt;"",IF(TRIM(MAESTRO!$G1225&amp;" "&amp;MAESTRO!$H1225&amp;" "&amp;MAESTRO!$I1225)="",MAESTRO!$F1225,TRIM(MAESTRO!$G1225&amp;" "&amp;MAESTRO!$H1225&amp;" "&amp;MAESTRO!$I1225)),"")</f>
        <v/>
      </c>
      <c r="I1226" t="str">
        <f>IF($A1226&lt;&gt;"",MAESTRO!$K1225,"")</f>
        <v/>
      </c>
      <c r="J1226" t="str">
        <f>IF($A1226&lt;&gt;"",1226,"")</f>
        <v/>
      </c>
    </row>
    <row r="1227" spans="1:10" x14ac:dyDescent="0.2">
      <c r="A1227" t="str">
        <f>IF(AND(UPPER(MAESTRO!$M1226)="VIP",UPPER(MAESTRO!$J1226)="SI",MAESTRO!$F1226&lt;&gt;""),MAESTRO!$P1226,"")</f>
        <v/>
      </c>
      <c r="B1227" t="str">
        <f>IF($A1227&lt;&gt;"",MAESTRO!$B1226,"")</f>
        <v/>
      </c>
      <c r="C1227" t="str">
        <f>IF($A1227&lt;&gt;"",MAESTRO!$A1226,"")</f>
        <v/>
      </c>
      <c r="D1227" t="str">
        <f>IF($A1227&lt;&gt;"",MAESTRO!$C1226,"")</f>
        <v/>
      </c>
      <c r="E1227" t="str">
        <f>IF($A1227&lt;&gt;"",MAESTRO!$M1226,"")</f>
        <v/>
      </c>
      <c r="F1227" t="str">
        <f>IF($A1227&lt;&gt;"",MAESTRO!$J1226,"")</f>
        <v/>
      </c>
      <c r="G1227" t="str">
        <f>IF($A1227&lt;&gt;"",MAESTRO!$D1226,"")</f>
        <v/>
      </c>
      <c r="H1227" t="str">
        <f>IF($A1227&lt;&gt;"",IF(TRIM(MAESTRO!$G1226&amp;" "&amp;MAESTRO!$H1226&amp;" "&amp;MAESTRO!$I1226)="",MAESTRO!$F1226,TRIM(MAESTRO!$G1226&amp;" "&amp;MAESTRO!$H1226&amp;" "&amp;MAESTRO!$I1226)),"")</f>
        <v/>
      </c>
      <c r="I1227" t="str">
        <f>IF($A1227&lt;&gt;"",MAESTRO!$K1226,"")</f>
        <v/>
      </c>
      <c r="J1227" t="str">
        <f>IF($A1227&lt;&gt;"",1227,"")</f>
        <v/>
      </c>
    </row>
    <row r="1228" spans="1:10" x14ac:dyDescent="0.2">
      <c r="A1228" t="str">
        <f>IF(AND(UPPER(MAESTRO!$M1227)="VIP",UPPER(MAESTRO!$J1227)="SI",MAESTRO!$F1227&lt;&gt;""),MAESTRO!$P1227,"")</f>
        <v/>
      </c>
      <c r="B1228" t="str">
        <f>IF($A1228&lt;&gt;"",MAESTRO!$B1227,"")</f>
        <v/>
      </c>
      <c r="C1228" t="str">
        <f>IF($A1228&lt;&gt;"",MAESTRO!$A1227,"")</f>
        <v/>
      </c>
      <c r="D1228" t="str">
        <f>IF($A1228&lt;&gt;"",MAESTRO!$C1227,"")</f>
        <v/>
      </c>
      <c r="E1228" t="str">
        <f>IF($A1228&lt;&gt;"",MAESTRO!$M1227,"")</f>
        <v/>
      </c>
      <c r="F1228" t="str">
        <f>IF($A1228&lt;&gt;"",MAESTRO!$J1227,"")</f>
        <v/>
      </c>
      <c r="G1228" t="str">
        <f>IF($A1228&lt;&gt;"",MAESTRO!$D1227,"")</f>
        <v/>
      </c>
      <c r="H1228" t="str">
        <f>IF($A1228&lt;&gt;"",IF(TRIM(MAESTRO!$G1227&amp;" "&amp;MAESTRO!$H1227&amp;" "&amp;MAESTRO!$I1227)="",MAESTRO!$F1227,TRIM(MAESTRO!$G1227&amp;" "&amp;MAESTRO!$H1227&amp;" "&amp;MAESTRO!$I1227)),"")</f>
        <v/>
      </c>
      <c r="I1228" t="str">
        <f>IF($A1228&lt;&gt;"",MAESTRO!$K1227,"")</f>
        <v/>
      </c>
      <c r="J1228" t="str">
        <f>IF($A1228&lt;&gt;"",1228,"")</f>
        <v/>
      </c>
    </row>
    <row r="1229" spans="1:10" x14ac:dyDescent="0.2">
      <c r="A1229" t="str">
        <f>IF(AND(UPPER(MAESTRO!$M1228)="VIP",UPPER(MAESTRO!$J1228)="SI",MAESTRO!$F1228&lt;&gt;""),MAESTRO!$P1228,"")</f>
        <v/>
      </c>
      <c r="B1229" t="str">
        <f>IF($A1229&lt;&gt;"",MAESTRO!$B1228,"")</f>
        <v/>
      </c>
      <c r="C1229" t="str">
        <f>IF($A1229&lt;&gt;"",MAESTRO!$A1228,"")</f>
        <v/>
      </c>
      <c r="D1229" t="str">
        <f>IF($A1229&lt;&gt;"",MAESTRO!$C1228,"")</f>
        <v/>
      </c>
      <c r="E1229" t="str">
        <f>IF($A1229&lt;&gt;"",MAESTRO!$M1228,"")</f>
        <v/>
      </c>
      <c r="F1229" t="str">
        <f>IF($A1229&lt;&gt;"",MAESTRO!$J1228,"")</f>
        <v/>
      </c>
      <c r="G1229" t="str">
        <f>IF($A1229&lt;&gt;"",MAESTRO!$D1228,"")</f>
        <v/>
      </c>
      <c r="H1229" t="str">
        <f>IF($A1229&lt;&gt;"",IF(TRIM(MAESTRO!$G1228&amp;" "&amp;MAESTRO!$H1228&amp;" "&amp;MAESTRO!$I1228)="",MAESTRO!$F1228,TRIM(MAESTRO!$G1228&amp;" "&amp;MAESTRO!$H1228&amp;" "&amp;MAESTRO!$I1228)),"")</f>
        <v/>
      </c>
      <c r="I1229" t="str">
        <f>IF($A1229&lt;&gt;"",MAESTRO!$K1228,"")</f>
        <v/>
      </c>
      <c r="J1229" t="str">
        <f>IF($A1229&lt;&gt;"",1229,"")</f>
        <v/>
      </c>
    </row>
    <row r="1230" spans="1:10" x14ac:dyDescent="0.2">
      <c r="A1230" t="str">
        <f>IF(AND(UPPER(MAESTRO!$M1229)="VIP",UPPER(MAESTRO!$J1229)="SI",MAESTRO!$F1229&lt;&gt;""),MAESTRO!$P1229,"")</f>
        <v/>
      </c>
      <c r="B1230" t="str">
        <f>IF($A1230&lt;&gt;"",MAESTRO!$B1229,"")</f>
        <v/>
      </c>
      <c r="C1230" t="str">
        <f>IF($A1230&lt;&gt;"",MAESTRO!$A1229,"")</f>
        <v/>
      </c>
      <c r="D1230" t="str">
        <f>IF($A1230&lt;&gt;"",MAESTRO!$C1229,"")</f>
        <v/>
      </c>
      <c r="E1230" t="str">
        <f>IF($A1230&lt;&gt;"",MAESTRO!$M1229,"")</f>
        <v/>
      </c>
      <c r="F1230" t="str">
        <f>IF($A1230&lt;&gt;"",MAESTRO!$J1229,"")</f>
        <v/>
      </c>
      <c r="G1230" t="str">
        <f>IF($A1230&lt;&gt;"",MAESTRO!$D1229,"")</f>
        <v/>
      </c>
      <c r="H1230" t="str">
        <f>IF($A1230&lt;&gt;"",IF(TRIM(MAESTRO!$G1229&amp;" "&amp;MAESTRO!$H1229&amp;" "&amp;MAESTRO!$I1229)="",MAESTRO!$F1229,TRIM(MAESTRO!$G1229&amp;" "&amp;MAESTRO!$H1229&amp;" "&amp;MAESTRO!$I1229)),"")</f>
        <v/>
      </c>
      <c r="I1230" t="str">
        <f>IF($A1230&lt;&gt;"",MAESTRO!$K1229,"")</f>
        <v/>
      </c>
      <c r="J1230" t="str">
        <f>IF($A1230&lt;&gt;"",1230,"")</f>
        <v/>
      </c>
    </row>
    <row r="1231" spans="1:10" x14ac:dyDescent="0.2">
      <c r="A1231" t="str">
        <f>IF(AND(UPPER(MAESTRO!$M1230)="VIP",UPPER(MAESTRO!$J1230)="SI",MAESTRO!$F1230&lt;&gt;""),MAESTRO!$P1230,"")</f>
        <v/>
      </c>
      <c r="B1231" t="str">
        <f>IF($A1231&lt;&gt;"",MAESTRO!$B1230,"")</f>
        <v/>
      </c>
      <c r="C1231" t="str">
        <f>IF($A1231&lt;&gt;"",MAESTRO!$A1230,"")</f>
        <v/>
      </c>
      <c r="D1231" t="str">
        <f>IF($A1231&lt;&gt;"",MAESTRO!$C1230,"")</f>
        <v/>
      </c>
      <c r="E1231" t="str">
        <f>IF($A1231&lt;&gt;"",MAESTRO!$M1230,"")</f>
        <v/>
      </c>
      <c r="F1231" t="str">
        <f>IF($A1231&lt;&gt;"",MAESTRO!$J1230,"")</f>
        <v/>
      </c>
      <c r="G1231" t="str">
        <f>IF($A1231&lt;&gt;"",MAESTRO!$D1230,"")</f>
        <v/>
      </c>
      <c r="H1231" t="str">
        <f>IF($A1231&lt;&gt;"",IF(TRIM(MAESTRO!$G1230&amp;" "&amp;MAESTRO!$H1230&amp;" "&amp;MAESTRO!$I1230)="",MAESTRO!$F1230,TRIM(MAESTRO!$G1230&amp;" "&amp;MAESTRO!$H1230&amp;" "&amp;MAESTRO!$I1230)),"")</f>
        <v/>
      </c>
      <c r="I1231" t="str">
        <f>IF($A1231&lt;&gt;"",MAESTRO!$K1230,"")</f>
        <v/>
      </c>
      <c r="J1231" t="str">
        <f>IF($A1231&lt;&gt;"",1231,"")</f>
        <v/>
      </c>
    </row>
    <row r="1232" spans="1:10" x14ac:dyDescent="0.2">
      <c r="A1232" t="str">
        <f>IF(AND(UPPER(MAESTRO!$M1231)="VIP",UPPER(MAESTRO!$J1231)="SI",MAESTRO!$F1231&lt;&gt;""),MAESTRO!$P1231,"")</f>
        <v/>
      </c>
      <c r="B1232" t="str">
        <f>IF($A1232&lt;&gt;"",MAESTRO!$B1231,"")</f>
        <v/>
      </c>
      <c r="C1232" t="str">
        <f>IF($A1232&lt;&gt;"",MAESTRO!$A1231,"")</f>
        <v/>
      </c>
      <c r="D1232" t="str">
        <f>IF($A1232&lt;&gt;"",MAESTRO!$C1231,"")</f>
        <v/>
      </c>
      <c r="E1232" t="str">
        <f>IF($A1232&lt;&gt;"",MAESTRO!$M1231,"")</f>
        <v/>
      </c>
      <c r="F1232" t="str">
        <f>IF($A1232&lt;&gt;"",MAESTRO!$J1231,"")</f>
        <v/>
      </c>
      <c r="G1232" t="str">
        <f>IF($A1232&lt;&gt;"",MAESTRO!$D1231,"")</f>
        <v/>
      </c>
      <c r="H1232" t="str">
        <f>IF($A1232&lt;&gt;"",IF(TRIM(MAESTRO!$G1231&amp;" "&amp;MAESTRO!$H1231&amp;" "&amp;MAESTRO!$I1231)="",MAESTRO!$F1231,TRIM(MAESTRO!$G1231&amp;" "&amp;MAESTRO!$H1231&amp;" "&amp;MAESTRO!$I1231)),"")</f>
        <v/>
      </c>
      <c r="I1232" t="str">
        <f>IF($A1232&lt;&gt;"",MAESTRO!$K1231,"")</f>
        <v/>
      </c>
      <c r="J1232" t="str">
        <f>IF($A1232&lt;&gt;"",1232,"")</f>
        <v/>
      </c>
    </row>
    <row r="1233" spans="1:10" x14ac:dyDescent="0.2">
      <c r="A1233" t="str">
        <f>IF(AND(UPPER(MAESTRO!$M1232)="VIP",UPPER(MAESTRO!$J1232)="SI",MAESTRO!$F1232&lt;&gt;""),MAESTRO!$P1232,"")</f>
        <v/>
      </c>
      <c r="B1233" t="str">
        <f>IF($A1233&lt;&gt;"",MAESTRO!$B1232,"")</f>
        <v/>
      </c>
      <c r="C1233" t="str">
        <f>IF($A1233&lt;&gt;"",MAESTRO!$A1232,"")</f>
        <v/>
      </c>
      <c r="D1233" t="str">
        <f>IF($A1233&lt;&gt;"",MAESTRO!$C1232,"")</f>
        <v/>
      </c>
      <c r="E1233" t="str">
        <f>IF($A1233&lt;&gt;"",MAESTRO!$M1232,"")</f>
        <v/>
      </c>
      <c r="F1233" t="str">
        <f>IF($A1233&lt;&gt;"",MAESTRO!$J1232,"")</f>
        <v/>
      </c>
      <c r="G1233" t="str">
        <f>IF($A1233&lt;&gt;"",MAESTRO!$D1232,"")</f>
        <v/>
      </c>
      <c r="H1233" t="str">
        <f>IF($A1233&lt;&gt;"",IF(TRIM(MAESTRO!$G1232&amp;" "&amp;MAESTRO!$H1232&amp;" "&amp;MAESTRO!$I1232)="",MAESTRO!$F1232,TRIM(MAESTRO!$G1232&amp;" "&amp;MAESTRO!$H1232&amp;" "&amp;MAESTRO!$I1232)),"")</f>
        <v/>
      </c>
      <c r="I1233" t="str">
        <f>IF($A1233&lt;&gt;"",MAESTRO!$K1232,"")</f>
        <v/>
      </c>
      <c r="J1233" t="str">
        <f>IF($A1233&lt;&gt;"",1233,"")</f>
        <v/>
      </c>
    </row>
    <row r="1234" spans="1:10" x14ac:dyDescent="0.2">
      <c r="A1234" t="str">
        <f>IF(AND(UPPER(MAESTRO!$M1233)="VIP",UPPER(MAESTRO!$J1233)="SI",MAESTRO!$F1233&lt;&gt;""),MAESTRO!$P1233,"")</f>
        <v/>
      </c>
      <c r="B1234" t="str">
        <f>IF($A1234&lt;&gt;"",MAESTRO!$B1233,"")</f>
        <v/>
      </c>
      <c r="C1234" t="str">
        <f>IF($A1234&lt;&gt;"",MAESTRO!$A1233,"")</f>
        <v/>
      </c>
      <c r="D1234" t="str">
        <f>IF($A1234&lt;&gt;"",MAESTRO!$C1233,"")</f>
        <v/>
      </c>
      <c r="E1234" t="str">
        <f>IF($A1234&lt;&gt;"",MAESTRO!$M1233,"")</f>
        <v/>
      </c>
      <c r="F1234" t="str">
        <f>IF($A1234&lt;&gt;"",MAESTRO!$J1233,"")</f>
        <v/>
      </c>
      <c r="G1234" t="str">
        <f>IF($A1234&lt;&gt;"",MAESTRO!$D1233,"")</f>
        <v/>
      </c>
      <c r="H1234" t="str">
        <f>IF($A1234&lt;&gt;"",IF(TRIM(MAESTRO!$G1233&amp;" "&amp;MAESTRO!$H1233&amp;" "&amp;MAESTRO!$I1233)="",MAESTRO!$F1233,TRIM(MAESTRO!$G1233&amp;" "&amp;MAESTRO!$H1233&amp;" "&amp;MAESTRO!$I1233)),"")</f>
        <v/>
      </c>
      <c r="I1234" t="str">
        <f>IF($A1234&lt;&gt;"",MAESTRO!$K1233,"")</f>
        <v/>
      </c>
      <c r="J1234" t="str">
        <f>IF($A1234&lt;&gt;"",1234,"")</f>
        <v/>
      </c>
    </row>
    <row r="1235" spans="1:10" x14ac:dyDescent="0.2">
      <c r="A1235" t="str">
        <f>IF(AND(UPPER(MAESTRO!$M1234)="VIP",UPPER(MAESTRO!$J1234)="SI",MAESTRO!$F1234&lt;&gt;""),MAESTRO!$P1234,"")</f>
        <v/>
      </c>
      <c r="B1235" t="str">
        <f>IF($A1235&lt;&gt;"",MAESTRO!$B1234,"")</f>
        <v/>
      </c>
      <c r="C1235" t="str">
        <f>IF($A1235&lt;&gt;"",MAESTRO!$A1234,"")</f>
        <v/>
      </c>
      <c r="D1235" t="str">
        <f>IF($A1235&lt;&gt;"",MAESTRO!$C1234,"")</f>
        <v/>
      </c>
      <c r="E1235" t="str">
        <f>IF($A1235&lt;&gt;"",MAESTRO!$M1234,"")</f>
        <v/>
      </c>
      <c r="F1235" t="str">
        <f>IF($A1235&lt;&gt;"",MAESTRO!$J1234,"")</f>
        <v/>
      </c>
      <c r="G1235" t="str">
        <f>IF($A1235&lt;&gt;"",MAESTRO!$D1234,"")</f>
        <v/>
      </c>
      <c r="H1235" t="str">
        <f>IF($A1235&lt;&gt;"",IF(TRIM(MAESTRO!$G1234&amp;" "&amp;MAESTRO!$H1234&amp;" "&amp;MAESTRO!$I1234)="",MAESTRO!$F1234,TRIM(MAESTRO!$G1234&amp;" "&amp;MAESTRO!$H1234&amp;" "&amp;MAESTRO!$I1234)),"")</f>
        <v/>
      </c>
      <c r="I1235" t="str">
        <f>IF($A1235&lt;&gt;"",MAESTRO!$K1234,"")</f>
        <v/>
      </c>
      <c r="J1235" t="str">
        <f>IF($A1235&lt;&gt;"",1235,"")</f>
        <v/>
      </c>
    </row>
    <row r="1236" spans="1:10" x14ac:dyDescent="0.2">
      <c r="A1236" t="str">
        <f>IF(AND(UPPER(MAESTRO!$M1235)="VIP",UPPER(MAESTRO!$J1235)="SI",MAESTRO!$F1235&lt;&gt;""),MAESTRO!$P1235,"")</f>
        <v/>
      </c>
      <c r="B1236" t="str">
        <f>IF($A1236&lt;&gt;"",MAESTRO!$B1235,"")</f>
        <v/>
      </c>
      <c r="C1236" t="str">
        <f>IF($A1236&lt;&gt;"",MAESTRO!$A1235,"")</f>
        <v/>
      </c>
      <c r="D1236" t="str">
        <f>IF($A1236&lt;&gt;"",MAESTRO!$C1235,"")</f>
        <v/>
      </c>
      <c r="E1236" t="str">
        <f>IF($A1236&lt;&gt;"",MAESTRO!$M1235,"")</f>
        <v/>
      </c>
      <c r="F1236" t="str">
        <f>IF($A1236&lt;&gt;"",MAESTRO!$J1235,"")</f>
        <v/>
      </c>
      <c r="G1236" t="str">
        <f>IF($A1236&lt;&gt;"",MAESTRO!$D1235,"")</f>
        <v/>
      </c>
      <c r="H1236" t="str">
        <f>IF($A1236&lt;&gt;"",IF(TRIM(MAESTRO!$G1235&amp;" "&amp;MAESTRO!$H1235&amp;" "&amp;MAESTRO!$I1235)="",MAESTRO!$F1235,TRIM(MAESTRO!$G1235&amp;" "&amp;MAESTRO!$H1235&amp;" "&amp;MAESTRO!$I1235)),"")</f>
        <v/>
      </c>
      <c r="I1236" t="str">
        <f>IF($A1236&lt;&gt;"",MAESTRO!$K1235,"")</f>
        <v/>
      </c>
      <c r="J1236" t="str">
        <f>IF($A1236&lt;&gt;"",1236,"")</f>
        <v/>
      </c>
    </row>
    <row r="1237" spans="1:10" x14ac:dyDescent="0.2">
      <c r="A1237" t="str">
        <f>IF(AND(UPPER(MAESTRO!$M1236)="VIP",UPPER(MAESTRO!$J1236)="SI",MAESTRO!$F1236&lt;&gt;""),MAESTRO!$P1236,"")</f>
        <v/>
      </c>
      <c r="B1237" t="str">
        <f>IF($A1237&lt;&gt;"",MAESTRO!$B1236,"")</f>
        <v/>
      </c>
      <c r="C1237" t="str">
        <f>IF($A1237&lt;&gt;"",MAESTRO!$A1236,"")</f>
        <v/>
      </c>
      <c r="D1237" t="str">
        <f>IF($A1237&lt;&gt;"",MAESTRO!$C1236,"")</f>
        <v/>
      </c>
      <c r="E1237" t="str">
        <f>IF($A1237&lt;&gt;"",MAESTRO!$M1236,"")</f>
        <v/>
      </c>
      <c r="F1237" t="str">
        <f>IF($A1237&lt;&gt;"",MAESTRO!$J1236,"")</f>
        <v/>
      </c>
      <c r="G1237" t="str">
        <f>IF($A1237&lt;&gt;"",MAESTRO!$D1236,"")</f>
        <v/>
      </c>
      <c r="H1237" t="str">
        <f>IF($A1237&lt;&gt;"",IF(TRIM(MAESTRO!$G1236&amp;" "&amp;MAESTRO!$H1236&amp;" "&amp;MAESTRO!$I1236)="",MAESTRO!$F1236,TRIM(MAESTRO!$G1236&amp;" "&amp;MAESTRO!$H1236&amp;" "&amp;MAESTRO!$I1236)),"")</f>
        <v/>
      </c>
      <c r="I1237" t="str">
        <f>IF($A1237&lt;&gt;"",MAESTRO!$K1236,"")</f>
        <v/>
      </c>
      <c r="J1237" t="str">
        <f>IF($A1237&lt;&gt;"",1237,"")</f>
        <v/>
      </c>
    </row>
    <row r="1238" spans="1:10" x14ac:dyDescent="0.2">
      <c r="A1238" t="str">
        <f>IF(AND(UPPER(MAESTRO!$M1237)="VIP",UPPER(MAESTRO!$J1237)="SI",MAESTRO!$F1237&lt;&gt;""),MAESTRO!$P1237,"")</f>
        <v/>
      </c>
      <c r="B1238" t="str">
        <f>IF($A1238&lt;&gt;"",MAESTRO!$B1237,"")</f>
        <v/>
      </c>
      <c r="C1238" t="str">
        <f>IF($A1238&lt;&gt;"",MAESTRO!$A1237,"")</f>
        <v/>
      </c>
      <c r="D1238" t="str">
        <f>IF($A1238&lt;&gt;"",MAESTRO!$C1237,"")</f>
        <v/>
      </c>
      <c r="E1238" t="str">
        <f>IF($A1238&lt;&gt;"",MAESTRO!$M1237,"")</f>
        <v/>
      </c>
      <c r="F1238" t="str">
        <f>IF($A1238&lt;&gt;"",MAESTRO!$J1237,"")</f>
        <v/>
      </c>
      <c r="G1238" t="str">
        <f>IF($A1238&lt;&gt;"",MAESTRO!$D1237,"")</f>
        <v/>
      </c>
      <c r="H1238" t="str">
        <f>IF($A1238&lt;&gt;"",IF(TRIM(MAESTRO!$G1237&amp;" "&amp;MAESTRO!$H1237&amp;" "&amp;MAESTRO!$I1237)="",MAESTRO!$F1237,TRIM(MAESTRO!$G1237&amp;" "&amp;MAESTRO!$H1237&amp;" "&amp;MAESTRO!$I1237)),"")</f>
        <v/>
      </c>
      <c r="I1238" t="str">
        <f>IF($A1238&lt;&gt;"",MAESTRO!$K1237,"")</f>
        <v/>
      </c>
      <c r="J1238" t="str">
        <f>IF($A1238&lt;&gt;"",1238,"")</f>
        <v/>
      </c>
    </row>
    <row r="1239" spans="1:10" x14ac:dyDescent="0.2">
      <c r="A1239" t="str">
        <f>IF(AND(UPPER(MAESTRO!$M1238)="VIP",UPPER(MAESTRO!$J1238)="SI",MAESTRO!$F1238&lt;&gt;""),MAESTRO!$P1238,"")</f>
        <v/>
      </c>
      <c r="B1239" t="str">
        <f>IF($A1239&lt;&gt;"",MAESTRO!$B1238,"")</f>
        <v/>
      </c>
      <c r="C1239" t="str">
        <f>IF($A1239&lt;&gt;"",MAESTRO!$A1238,"")</f>
        <v/>
      </c>
      <c r="D1239" t="str">
        <f>IF($A1239&lt;&gt;"",MAESTRO!$C1238,"")</f>
        <v/>
      </c>
      <c r="E1239" t="str">
        <f>IF($A1239&lt;&gt;"",MAESTRO!$M1238,"")</f>
        <v/>
      </c>
      <c r="F1239" t="str">
        <f>IF($A1239&lt;&gt;"",MAESTRO!$J1238,"")</f>
        <v/>
      </c>
      <c r="G1239" t="str">
        <f>IF($A1239&lt;&gt;"",MAESTRO!$D1238,"")</f>
        <v/>
      </c>
      <c r="H1239" t="str">
        <f>IF($A1239&lt;&gt;"",IF(TRIM(MAESTRO!$G1238&amp;" "&amp;MAESTRO!$H1238&amp;" "&amp;MAESTRO!$I1238)="",MAESTRO!$F1238,TRIM(MAESTRO!$G1238&amp;" "&amp;MAESTRO!$H1238&amp;" "&amp;MAESTRO!$I1238)),"")</f>
        <v/>
      </c>
      <c r="I1239" t="str">
        <f>IF($A1239&lt;&gt;"",MAESTRO!$K1238,"")</f>
        <v/>
      </c>
      <c r="J1239" t="str">
        <f>IF($A1239&lt;&gt;"",1239,"")</f>
        <v/>
      </c>
    </row>
    <row r="1240" spans="1:10" x14ac:dyDescent="0.2">
      <c r="A1240" t="str">
        <f>IF(AND(UPPER(MAESTRO!$M1239)="VIP",UPPER(MAESTRO!$J1239)="SI",MAESTRO!$F1239&lt;&gt;""),MAESTRO!$P1239,"")</f>
        <v/>
      </c>
      <c r="B1240" t="str">
        <f>IF($A1240&lt;&gt;"",MAESTRO!$B1239,"")</f>
        <v/>
      </c>
      <c r="C1240" t="str">
        <f>IF($A1240&lt;&gt;"",MAESTRO!$A1239,"")</f>
        <v/>
      </c>
      <c r="D1240" t="str">
        <f>IF($A1240&lt;&gt;"",MAESTRO!$C1239,"")</f>
        <v/>
      </c>
      <c r="E1240" t="str">
        <f>IF($A1240&lt;&gt;"",MAESTRO!$M1239,"")</f>
        <v/>
      </c>
      <c r="F1240" t="str">
        <f>IF($A1240&lt;&gt;"",MAESTRO!$J1239,"")</f>
        <v/>
      </c>
      <c r="G1240" t="str">
        <f>IF($A1240&lt;&gt;"",MAESTRO!$D1239,"")</f>
        <v/>
      </c>
      <c r="H1240" t="str">
        <f>IF($A1240&lt;&gt;"",IF(TRIM(MAESTRO!$G1239&amp;" "&amp;MAESTRO!$H1239&amp;" "&amp;MAESTRO!$I1239)="",MAESTRO!$F1239,TRIM(MAESTRO!$G1239&amp;" "&amp;MAESTRO!$H1239&amp;" "&amp;MAESTRO!$I1239)),"")</f>
        <v/>
      </c>
      <c r="I1240" t="str">
        <f>IF($A1240&lt;&gt;"",MAESTRO!$K1239,"")</f>
        <v/>
      </c>
      <c r="J1240" t="str">
        <f>IF($A1240&lt;&gt;"",1240,"")</f>
        <v/>
      </c>
    </row>
    <row r="1241" spans="1:10" x14ac:dyDescent="0.2">
      <c r="A1241" t="str">
        <f>IF(AND(UPPER(MAESTRO!$M1240)="VIP",UPPER(MAESTRO!$J1240)="SI",MAESTRO!$F1240&lt;&gt;""),MAESTRO!$P1240,"")</f>
        <v/>
      </c>
      <c r="B1241" t="str">
        <f>IF($A1241&lt;&gt;"",MAESTRO!$B1240,"")</f>
        <v/>
      </c>
      <c r="C1241" t="str">
        <f>IF($A1241&lt;&gt;"",MAESTRO!$A1240,"")</f>
        <v/>
      </c>
      <c r="D1241" t="str">
        <f>IF($A1241&lt;&gt;"",MAESTRO!$C1240,"")</f>
        <v/>
      </c>
      <c r="E1241" t="str">
        <f>IF($A1241&lt;&gt;"",MAESTRO!$M1240,"")</f>
        <v/>
      </c>
      <c r="F1241" t="str">
        <f>IF($A1241&lt;&gt;"",MAESTRO!$J1240,"")</f>
        <v/>
      </c>
      <c r="G1241" t="str">
        <f>IF($A1241&lt;&gt;"",MAESTRO!$D1240,"")</f>
        <v/>
      </c>
      <c r="H1241" t="str">
        <f>IF($A1241&lt;&gt;"",IF(TRIM(MAESTRO!$G1240&amp;" "&amp;MAESTRO!$H1240&amp;" "&amp;MAESTRO!$I1240)="",MAESTRO!$F1240,TRIM(MAESTRO!$G1240&amp;" "&amp;MAESTRO!$H1240&amp;" "&amp;MAESTRO!$I1240)),"")</f>
        <v/>
      </c>
      <c r="I1241" t="str">
        <f>IF($A1241&lt;&gt;"",MAESTRO!$K1240,"")</f>
        <v/>
      </c>
      <c r="J1241" t="str">
        <f>IF($A1241&lt;&gt;"",1241,"")</f>
        <v/>
      </c>
    </row>
    <row r="1242" spans="1:10" x14ac:dyDescent="0.2">
      <c r="A1242" t="str">
        <f>IF(AND(UPPER(MAESTRO!$M1241)="VIP",UPPER(MAESTRO!$J1241)="SI",MAESTRO!$F1241&lt;&gt;""),MAESTRO!$P1241,"")</f>
        <v/>
      </c>
      <c r="B1242" t="str">
        <f>IF($A1242&lt;&gt;"",MAESTRO!$B1241,"")</f>
        <v/>
      </c>
      <c r="C1242" t="str">
        <f>IF($A1242&lt;&gt;"",MAESTRO!$A1241,"")</f>
        <v/>
      </c>
      <c r="D1242" t="str">
        <f>IF($A1242&lt;&gt;"",MAESTRO!$C1241,"")</f>
        <v/>
      </c>
      <c r="E1242" t="str">
        <f>IF($A1242&lt;&gt;"",MAESTRO!$M1241,"")</f>
        <v/>
      </c>
      <c r="F1242" t="str">
        <f>IF($A1242&lt;&gt;"",MAESTRO!$J1241,"")</f>
        <v/>
      </c>
      <c r="G1242" t="str">
        <f>IF($A1242&lt;&gt;"",MAESTRO!$D1241,"")</f>
        <v/>
      </c>
      <c r="H1242" t="str">
        <f>IF($A1242&lt;&gt;"",IF(TRIM(MAESTRO!$G1241&amp;" "&amp;MAESTRO!$H1241&amp;" "&amp;MAESTRO!$I1241)="",MAESTRO!$F1241,TRIM(MAESTRO!$G1241&amp;" "&amp;MAESTRO!$H1241&amp;" "&amp;MAESTRO!$I1241)),"")</f>
        <v/>
      </c>
      <c r="I1242" t="str">
        <f>IF($A1242&lt;&gt;"",MAESTRO!$K1241,"")</f>
        <v/>
      </c>
      <c r="J1242" t="str">
        <f>IF($A1242&lt;&gt;"",1242,"")</f>
        <v/>
      </c>
    </row>
    <row r="1243" spans="1:10" x14ac:dyDescent="0.2">
      <c r="A1243" t="str">
        <f>IF(AND(UPPER(MAESTRO!$M1242)="VIP",UPPER(MAESTRO!$J1242)="SI",MAESTRO!$F1242&lt;&gt;""),MAESTRO!$P1242,"")</f>
        <v/>
      </c>
      <c r="B1243" t="str">
        <f>IF($A1243&lt;&gt;"",MAESTRO!$B1242,"")</f>
        <v/>
      </c>
      <c r="C1243" t="str">
        <f>IF($A1243&lt;&gt;"",MAESTRO!$A1242,"")</f>
        <v/>
      </c>
      <c r="D1243" t="str">
        <f>IF($A1243&lt;&gt;"",MAESTRO!$C1242,"")</f>
        <v/>
      </c>
      <c r="E1243" t="str">
        <f>IF($A1243&lt;&gt;"",MAESTRO!$M1242,"")</f>
        <v/>
      </c>
      <c r="F1243" t="str">
        <f>IF($A1243&lt;&gt;"",MAESTRO!$J1242,"")</f>
        <v/>
      </c>
      <c r="G1243" t="str">
        <f>IF($A1243&lt;&gt;"",MAESTRO!$D1242,"")</f>
        <v/>
      </c>
      <c r="H1243" t="str">
        <f>IF($A1243&lt;&gt;"",IF(TRIM(MAESTRO!$G1242&amp;" "&amp;MAESTRO!$H1242&amp;" "&amp;MAESTRO!$I1242)="",MAESTRO!$F1242,TRIM(MAESTRO!$G1242&amp;" "&amp;MAESTRO!$H1242&amp;" "&amp;MAESTRO!$I1242)),"")</f>
        <v/>
      </c>
      <c r="I1243" t="str">
        <f>IF($A1243&lt;&gt;"",MAESTRO!$K1242,"")</f>
        <v/>
      </c>
      <c r="J1243" t="str">
        <f>IF($A1243&lt;&gt;"",1243,"")</f>
        <v/>
      </c>
    </row>
    <row r="1244" spans="1:10" x14ac:dyDescent="0.2">
      <c r="A1244" t="str">
        <f>IF(AND(UPPER(MAESTRO!$M1243)="VIP",UPPER(MAESTRO!$J1243)="SI",MAESTRO!$F1243&lt;&gt;""),MAESTRO!$P1243,"")</f>
        <v/>
      </c>
      <c r="B1244" t="str">
        <f>IF($A1244&lt;&gt;"",MAESTRO!$B1243,"")</f>
        <v/>
      </c>
      <c r="C1244" t="str">
        <f>IF($A1244&lt;&gt;"",MAESTRO!$A1243,"")</f>
        <v/>
      </c>
      <c r="D1244" t="str">
        <f>IF($A1244&lt;&gt;"",MAESTRO!$C1243,"")</f>
        <v/>
      </c>
      <c r="E1244" t="str">
        <f>IF($A1244&lt;&gt;"",MAESTRO!$M1243,"")</f>
        <v/>
      </c>
      <c r="F1244" t="str">
        <f>IF($A1244&lt;&gt;"",MAESTRO!$J1243,"")</f>
        <v/>
      </c>
      <c r="G1244" t="str">
        <f>IF($A1244&lt;&gt;"",MAESTRO!$D1243,"")</f>
        <v/>
      </c>
      <c r="H1244" t="str">
        <f>IF($A1244&lt;&gt;"",IF(TRIM(MAESTRO!$G1243&amp;" "&amp;MAESTRO!$H1243&amp;" "&amp;MAESTRO!$I1243)="",MAESTRO!$F1243,TRIM(MAESTRO!$G1243&amp;" "&amp;MAESTRO!$H1243&amp;" "&amp;MAESTRO!$I1243)),"")</f>
        <v/>
      </c>
      <c r="I1244" t="str">
        <f>IF($A1244&lt;&gt;"",MAESTRO!$K1243,"")</f>
        <v/>
      </c>
      <c r="J1244" t="str">
        <f>IF($A1244&lt;&gt;"",1244,"")</f>
        <v/>
      </c>
    </row>
    <row r="1245" spans="1:10" x14ac:dyDescent="0.2">
      <c r="A1245" t="str">
        <f>IF(AND(UPPER(MAESTRO!$M1244)="VIP",UPPER(MAESTRO!$J1244)="SI",MAESTRO!$F1244&lt;&gt;""),MAESTRO!$P1244,"")</f>
        <v/>
      </c>
      <c r="B1245" t="str">
        <f>IF($A1245&lt;&gt;"",MAESTRO!$B1244,"")</f>
        <v/>
      </c>
      <c r="C1245" t="str">
        <f>IF($A1245&lt;&gt;"",MAESTRO!$A1244,"")</f>
        <v/>
      </c>
      <c r="D1245" t="str">
        <f>IF($A1245&lt;&gt;"",MAESTRO!$C1244,"")</f>
        <v/>
      </c>
      <c r="E1245" t="str">
        <f>IF($A1245&lt;&gt;"",MAESTRO!$M1244,"")</f>
        <v/>
      </c>
      <c r="F1245" t="str">
        <f>IF($A1245&lt;&gt;"",MAESTRO!$J1244,"")</f>
        <v/>
      </c>
      <c r="G1245" t="str">
        <f>IF($A1245&lt;&gt;"",MAESTRO!$D1244,"")</f>
        <v/>
      </c>
      <c r="H1245" t="str">
        <f>IF($A1245&lt;&gt;"",IF(TRIM(MAESTRO!$G1244&amp;" "&amp;MAESTRO!$H1244&amp;" "&amp;MAESTRO!$I1244)="",MAESTRO!$F1244,TRIM(MAESTRO!$G1244&amp;" "&amp;MAESTRO!$H1244&amp;" "&amp;MAESTRO!$I1244)),"")</f>
        <v/>
      </c>
      <c r="I1245" t="str">
        <f>IF($A1245&lt;&gt;"",MAESTRO!$K1244,"")</f>
        <v/>
      </c>
      <c r="J1245" t="str">
        <f>IF($A1245&lt;&gt;"",1245,"")</f>
        <v/>
      </c>
    </row>
    <row r="1246" spans="1:10" x14ac:dyDescent="0.2">
      <c r="A1246" t="str">
        <f>IF(AND(UPPER(MAESTRO!$M1245)="VIP",UPPER(MAESTRO!$J1245)="SI",MAESTRO!$F1245&lt;&gt;""),MAESTRO!$P1245,"")</f>
        <v/>
      </c>
      <c r="B1246" t="str">
        <f>IF($A1246&lt;&gt;"",MAESTRO!$B1245,"")</f>
        <v/>
      </c>
      <c r="C1246" t="str">
        <f>IF($A1246&lt;&gt;"",MAESTRO!$A1245,"")</f>
        <v/>
      </c>
      <c r="D1246" t="str">
        <f>IF($A1246&lt;&gt;"",MAESTRO!$C1245,"")</f>
        <v/>
      </c>
      <c r="E1246" t="str">
        <f>IF($A1246&lt;&gt;"",MAESTRO!$M1245,"")</f>
        <v/>
      </c>
      <c r="F1246" t="str">
        <f>IF($A1246&lt;&gt;"",MAESTRO!$J1245,"")</f>
        <v/>
      </c>
      <c r="G1246" t="str">
        <f>IF($A1246&lt;&gt;"",MAESTRO!$D1245,"")</f>
        <v/>
      </c>
      <c r="H1246" t="str">
        <f>IF($A1246&lt;&gt;"",IF(TRIM(MAESTRO!$G1245&amp;" "&amp;MAESTRO!$H1245&amp;" "&amp;MAESTRO!$I1245)="",MAESTRO!$F1245,TRIM(MAESTRO!$G1245&amp;" "&amp;MAESTRO!$H1245&amp;" "&amp;MAESTRO!$I1245)),"")</f>
        <v/>
      </c>
      <c r="I1246" t="str">
        <f>IF($A1246&lt;&gt;"",MAESTRO!$K1245,"")</f>
        <v/>
      </c>
      <c r="J1246" t="str">
        <f>IF($A1246&lt;&gt;"",1246,"")</f>
        <v/>
      </c>
    </row>
    <row r="1247" spans="1:10" x14ac:dyDescent="0.2">
      <c r="A1247" t="str">
        <f>IF(AND(UPPER(MAESTRO!$M1246)="VIP",UPPER(MAESTRO!$J1246)="SI",MAESTRO!$F1246&lt;&gt;""),MAESTRO!$P1246,"")</f>
        <v/>
      </c>
      <c r="B1247" t="str">
        <f>IF($A1247&lt;&gt;"",MAESTRO!$B1246,"")</f>
        <v/>
      </c>
      <c r="C1247" t="str">
        <f>IF($A1247&lt;&gt;"",MAESTRO!$A1246,"")</f>
        <v/>
      </c>
      <c r="D1247" t="str">
        <f>IF($A1247&lt;&gt;"",MAESTRO!$C1246,"")</f>
        <v/>
      </c>
      <c r="E1247" t="str">
        <f>IF($A1247&lt;&gt;"",MAESTRO!$M1246,"")</f>
        <v/>
      </c>
      <c r="F1247" t="str">
        <f>IF($A1247&lt;&gt;"",MAESTRO!$J1246,"")</f>
        <v/>
      </c>
      <c r="G1247" t="str">
        <f>IF($A1247&lt;&gt;"",MAESTRO!$D1246,"")</f>
        <v/>
      </c>
      <c r="H1247" t="str">
        <f>IF($A1247&lt;&gt;"",IF(TRIM(MAESTRO!$G1246&amp;" "&amp;MAESTRO!$H1246&amp;" "&amp;MAESTRO!$I1246)="",MAESTRO!$F1246,TRIM(MAESTRO!$G1246&amp;" "&amp;MAESTRO!$H1246&amp;" "&amp;MAESTRO!$I1246)),"")</f>
        <v/>
      </c>
      <c r="I1247" t="str">
        <f>IF($A1247&lt;&gt;"",MAESTRO!$K1246,"")</f>
        <v/>
      </c>
      <c r="J1247" t="str">
        <f>IF($A1247&lt;&gt;"",1247,"")</f>
        <v/>
      </c>
    </row>
    <row r="1248" spans="1:10" x14ac:dyDescent="0.2">
      <c r="A1248" t="str">
        <f>IF(AND(UPPER(MAESTRO!$M1247)="VIP",UPPER(MAESTRO!$J1247)="SI",MAESTRO!$F1247&lt;&gt;""),MAESTRO!$P1247,"")</f>
        <v/>
      </c>
      <c r="B1248" t="str">
        <f>IF($A1248&lt;&gt;"",MAESTRO!$B1247,"")</f>
        <v/>
      </c>
      <c r="C1248" t="str">
        <f>IF($A1248&lt;&gt;"",MAESTRO!$A1247,"")</f>
        <v/>
      </c>
      <c r="D1248" t="str">
        <f>IF($A1248&lt;&gt;"",MAESTRO!$C1247,"")</f>
        <v/>
      </c>
      <c r="E1248" t="str">
        <f>IF($A1248&lt;&gt;"",MAESTRO!$M1247,"")</f>
        <v/>
      </c>
      <c r="F1248" t="str">
        <f>IF($A1248&lt;&gt;"",MAESTRO!$J1247,"")</f>
        <v/>
      </c>
      <c r="G1248" t="str">
        <f>IF($A1248&lt;&gt;"",MAESTRO!$D1247,"")</f>
        <v/>
      </c>
      <c r="H1248" t="str">
        <f>IF($A1248&lt;&gt;"",IF(TRIM(MAESTRO!$G1247&amp;" "&amp;MAESTRO!$H1247&amp;" "&amp;MAESTRO!$I1247)="",MAESTRO!$F1247,TRIM(MAESTRO!$G1247&amp;" "&amp;MAESTRO!$H1247&amp;" "&amp;MAESTRO!$I1247)),"")</f>
        <v/>
      </c>
      <c r="I1248" t="str">
        <f>IF($A1248&lt;&gt;"",MAESTRO!$K1247,"")</f>
        <v/>
      </c>
      <c r="J1248" t="str">
        <f>IF($A1248&lt;&gt;"",1248,"")</f>
        <v/>
      </c>
    </row>
    <row r="1249" spans="1:10" x14ac:dyDescent="0.2">
      <c r="A1249" t="str">
        <f>IF(AND(UPPER(MAESTRO!$M1248)="VIP",UPPER(MAESTRO!$J1248)="SI",MAESTRO!$F1248&lt;&gt;""),MAESTRO!$P1248,"")</f>
        <v/>
      </c>
      <c r="B1249" t="str">
        <f>IF($A1249&lt;&gt;"",MAESTRO!$B1248,"")</f>
        <v/>
      </c>
      <c r="C1249" t="str">
        <f>IF($A1249&lt;&gt;"",MAESTRO!$A1248,"")</f>
        <v/>
      </c>
      <c r="D1249" t="str">
        <f>IF($A1249&lt;&gt;"",MAESTRO!$C1248,"")</f>
        <v/>
      </c>
      <c r="E1249" t="str">
        <f>IF($A1249&lt;&gt;"",MAESTRO!$M1248,"")</f>
        <v/>
      </c>
      <c r="F1249" t="str">
        <f>IF($A1249&lt;&gt;"",MAESTRO!$J1248,"")</f>
        <v/>
      </c>
      <c r="G1249" t="str">
        <f>IF($A1249&lt;&gt;"",MAESTRO!$D1248,"")</f>
        <v/>
      </c>
      <c r="H1249" t="str">
        <f>IF($A1249&lt;&gt;"",IF(TRIM(MAESTRO!$G1248&amp;" "&amp;MAESTRO!$H1248&amp;" "&amp;MAESTRO!$I1248)="",MAESTRO!$F1248,TRIM(MAESTRO!$G1248&amp;" "&amp;MAESTRO!$H1248&amp;" "&amp;MAESTRO!$I1248)),"")</f>
        <v/>
      </c>
      <c r="I1249" t="str">
        <f>IF($A1249&lt;&gt;"",MAESTRO!$K1248,"")</f>
        <v/>
      </c>
      <c r="J1249" t="str">
        <f>IF($A1249&lt;&gt;"",1249,"")</f>
        <v/>
      </c>
    </row>
    <row r="1250" spans="1:10" x14ac:dyDescent="0.2">
      <c r="A1250" t="str">
        <f>IF(AND(UPPER(MAESTRO!$M1249)="VIP",UPPER(MAESTRO!$J1249)="SI",MAESTRO!$F1249&lt;&gt;""),MAESTRO!$P1249,"")</f>
        <v/>
      </c>
      <c r="B1250" t="str">
        <f>IF($A1250&lt;&gt;"",MAESTRO!$B1249,"")</f>
        <v/>
      </c>
      <c r="C1250" t="str">
        <f>IF($A1250&lt;&gt;"",MAESTRO!$A1249,"")</f>
        <v/>
      </c>
      <c r="D1250" t="str">
        <f>IF($A1250&lt;&gt;"",MAESTRO!$C1249,"")</f>
        <v/>
      </c>
      <c r="E1250" t="str">
        <f>IF($A1250&lt;&gt;"",MAESTRO!$M1249,"")</f>
        <v/>
      </c>
      <c r="F1250" t="str">
        <f>IF($A1250&lt;&gt;"",MAESTRO!$J1249,"")</f>
        <v/>
      </c>
      <c r="G1250" t="str">
        <f>IF($A1250&lt;&gt;"",MAESTRO!$D1249,"")</f>
        <v/>
      </c>
      <c r="H1250" t="str">
        <f>IF($A1250&lt;&gt;"",IF(TRIM(MAESTRO!$G1249&amp;" "&amp;MAESTRO!$H1249&amp;" "&amp;MAESTRO!$I1249)="",MAESTRO!$F1249,TRIM(MAESTRO!$G1249&amp;" "&amp;MAESTRO!$H1249&amp;" "&amp;MAESTRO!$I1249)),"")</f>
        <v/>
      </c>
      <c r="I1250" t="str">
        <f>IF($A1250&lt;&gt;"",MAESTRO!$K1249,"")</f>
        <v/>
      </c>
      <c r="J1250" t="str">
        <f>IF($A1250&lt;&gt;"",1250,"")</f>
        <v/>
      </c>
    </row>
    <row r="1251" spans="1:10" x14ac:dyDescent="0.2">
      <c r="A1251" t="str">
        <f>IF(AND(UPPER(MAESTRO!$M1250)="VIP",UPPER(MAESTRO!$J1250)="SI",MAESTRO!$F1250&lt;&gt;""),MAESTRO!$P1250,"")</f>
        <v/>
      </c>
      <c r="B1251" t="str">
        <f>IF($A1251&lt;&gt;"",MAESTRO!$B1250,"")</f>
        <v/>
      </c>
      <c r="C1251" t="str">
        <f>IF($A1251&lt;&gt;"",MAESTRO!$A1250,"")</f>
        <v/>
      </c>
      <c r="D1251" t="str">
        <f>IF($A1251&lt;&gt;"",MAESTRO!$C1250,"")</f>
        <v/>
      </c>
      <c r="E1251" t="str">
        <f>IF($A1251&lt;&gt;"",MAESTRO!$M1250,"")</f>
        <v/>
      </c>
      <c r="F1251" t="str">
        <f>IF($A1251&lt;&gt;"",MAESTRO!$J1250,"")</f>
        <v/>
      </c>
      <c r="G1251" t="str">
        <f>IF($A1251&lt;&gt;"",MAESTRO!$D1250,"")</f>
        <v/>
      </c>
      <c r="H1251" t="str">
        <f>IF($A1251&lt;&gt;"",IF(TRIM(MAESTRO!$G1250&amp;" "&amp;MAESTRO!$H1250&amp;" "&amp;MAESTRO!$I1250)="",MAESTRO!$F1250,TRIM(MAESTRO!$G1250&amp;" "&amp;MAESTRO!$H1250&amp;" "&amp;MAESTRO!$I1250)),"")</f>
        <v/>
      </c>
      <c r="I1251" t="str">
        <f>IF($A1251&lt;&gt;"",MAESTRO!$K1250,"")</f>
        <v/>
      </c>
      <c r="J1251" t="str">
        <f>IF($A1251&lt;&gt;"",1251,"")</f>
        <v/>
      </c>
    </row>
    <row r="1252" spans="1:10" x14ac:dyDescent="0.2">
      <c r="A1252" t="str">
        <f>IF(AND(UPPER(MAESTRO!$M1251)="VIP",UPPER(MAESTRO!$J1251)="SI",MAESTRO!$F1251&lt;&gt;""),MAESTRO!$P1251,"")</f>
        <v/>
      </c>
      <c r="B1252" t="str">
        <f>IF($A1252&lt;&gt;"",MAESTRO!$B1251,"")</f>
        <v/>
      </c>
      <c r="C1252" t="str">
        <f>IF($A1252&lt;&gt;"",MAESTRO!$A1251,"")</f>
        <v/>
      </c>
      <c r="D1252" t="str">
        <f>IF($A1252&lt;&gt;"",MAESTRO!$C1251,"")</f>
        <v/>
      </c>
      <c r="E1252" t="str">
        <f>IF($A1252&lt;&gt;"",MAESTRO!$M1251,"")</f>
        <v/>
      </c>
      <c r="F1252" t="str">
        <f>IF($A1252&lt;&gt;"",MAESTRO!$J1251,"")</f>
        <v/>
      </c>
      <c r="G1252" t="str">
        <f>IF($A1252&lt;&gt;"",MAESTRO!$D1251,"")</f>
        <v/>
      </c>
      <c r="H1252" t="str">
        <f>IF($A1252&lt;&gt;"",IF(TRIM(MAESTRO!$G1251&amp;" "&amp;MAESTRO!$H1251&amp;" "&amp;MAESTRO!$I1251)="",MAESTRO!$F1251,TRIM(MAESTRO!$G1251&amp;" "&amp;MAESTRO!$H1251&amp;" "&amp;MAESTRO!$I1251)),"")</f>
        <v/>
      </c>
      <c r="I1252" t="str">
        <f>IF($A1252&lt;&gt;"",MAESTRO!$K1251,"")</f>
        <v/>
      </c>
      <c r="J1252" t="str">
        <f>IF($A1252&lt;&gt;"",1252,"")</f>
        <v/>
      </c>
    </row>
    <row r="1253" spans="1:10" x14ac:dyDescent="0.2">
      <c r="A1253" t="str">
        <f>IF(AND(UPPER(MAESTRO!$M1252)="VIP",UPPER(MAESTRO!$J1252)="SI",MAESTRO!$F1252&lt;&gt;""),MAESTRO!$P1252,"")</f>
        <v/>
      </c>
      <c r="B1253" t="str">
        <f>IF($A1253&lt;&gt;"",MAESTRO!$B1252,"")</f>
        <v/>
      </c>
      <c r="C1253" t="str">
        <f>IF($A1253&lt;&gt;"",MAESTRO!$A1252,"")</f>
        <v/>
      </c>
      <c r="D1253" t="str">
        <f>IF($A1253&lt;&gt;"",MAESTRO!$C1252,"")</f>
        <v/>
      </c>
      <c r="E1253" t="str">
        <f>IF($A1253&lt;&gt;"",MAESTRO!$M1252,"")</f>
        <v/>
      </c>
      <c r="F1253" t="str">
        <f>IF($A1253&lt;&gt;"",MAESTRO!$J1252,"")</f>
        <v/>
      </c>
      <c r="G1253" t="str">
        <f>IF($A1253&lt;&gt;"",MAESTRO!$D1252,"")</f>
        <v/>
      </c>
      <c r="H1253" t="str">
        <f>IF($A1253&lt;&gt;"",IF(TRIM(MAESTRO!$G1252&amp;" "&amp;MAESTRO!$H1252&amp;" "&amp;MAESTRO!$I1252)="",MAESTRO!$F1252,TRIM(MAESTRO!$G1252&amp;" "&amp;MAESTRO!$H1252&amp;" "&amp;MAESTRO!$I1252)),"")</f>
        <v/>
      </c>
      <c r="I1253" t="str">
        <f>IF($A1253&lt;&gt;"",MAESTRO!$K1252,"")</f>
        <v/>
      </c>
      <c r="J1253" t="str">
        <f>IF($A1253&lt;&gt;"",1253,"")</f>
        <v/>
      </c>
    </row>
    <row r="1254" spans="1:10" x14ac:dyDescent="0.2">
      <c r="A1254" t="str">
        <f>IF(AND(UPPER(MAESTRO!$M1253)="VIP",UPPER(MAESTRO!$J1253)="SI",MAESTRO!$F1253&lt;&gt;""),MAESTRO!$P1253,"")</f>
        <v/>
      </c>
      <c r="B1254" t="str">
        <f>IF($A1254&lt;&gt;"",MAESTRO!$B1253,"")</f>
        <v/>
      </c>
      <c r="C1254" t="str">
        <f>IF($A1254&lt;&gt;"",MAESTRO!$A1253,"")</f>
        <v/>
      </c>
      <c r="D1254" t="str">
        <f>IF($A1254&lt;&gt;"",MAESTRO!$C1253,"")</f>
        <v/>
      </c>
      <c r="E1254" t="str">
        <f>IF($A1254&lt;&gt;"",MAESTRO!$M1253,"")</f>
        <v/>
      </c>
      <c r="F1254" t="str">
        <f>IF($A1254&lt;&gt;"",MAESTRO!$J1253,"")</f>
        <v/>
      </c>
      <c r="G1254" t="str">
        <f>IF($A1254&lt;&gt;"",MAESTRO!$D1253,"")</f>
        <v/>
      </c>
      <c r="H1254" t="str">
        <f>IF($A1254&lt;&gt;"",IF(TRIM(MAESTRO!$G1253&amp;" "&amp;MAESTRO!$H1253&amp;" "&amp;MAESTRO!$I1253)="",MAESTRO!$F1253,TRIM(MAESTRO!$G1253&amp;" "&amp;MAESTRO!$H1253&amp;" "&amp;MAESTRO!$I1253)),"")</f>
        <v/>
      </c>
      <c r="I1254" t="str">
        <f>IF($A1254&lt;&gt;"",MAESTRO!$K1253,"")</f>
        <v/>
      </c>
      <c r="J1254" t="str">
        <f>IF($A1254&lt;&gt;"",1254,"")</f>
        <v/>
      </c>
    </row>
    <row r="1255" spans="1:10" x14ac:dyDescent="0.2">
      <c r="A1255" t="str">
        <f>IF(AND(UPPER(MAESTRO!$M1254)="VIP",UPPER(MAESTRO!$J1254)="SI",MAESTRO!$F1254&lt;&gt;""),MAESTRO!$P1254,"")</f>
        <v/>
      </c>
      <c r="B1255" t="str">
        <f>IF($A1255&lt;&gt;"",MAESTRO!$B1254,"")</f>
        <v/>
      </c>
      <c r="C1255" t="str">
        <f>IF($A1255&lt;&gt;"",MAESTRO!$A1254,"")</f>
        <v/>
      </c>
      <c r="D1255" t="str">
        <f>IF($A1255&lt;&gt;"",MAESTRO!$C1254,"")</f>
        <v/>
      </c>
      <c r="E1255" t="str">
        <f>IF($A1255&lt;&gt;"",MAESTRO!$M1254,"")</f>
        <v/>
      </c>
      <c r="F1255" t="str">
        <f>IF($A1255&lt;&gt;"",MAESTRO!$J1254,"")</f>
        <v/>
      </c>
      <c r="G1255" t="str">
        <f>IF($A1255&lt;&gt;"",MAESTRO!$D1254,"")</f>
        <v/>
      </c>
      <c r="H1255" t="str">
        <f>IF($A1255&lt;&gt;"",IF(TRIM(MAESTRO!$G1254&amp;" "&amp;MAESTRO!$H1254&amp;" "&amp;MAESTRO!$I1254)="",MAESTRO!$F1254,TRIM(MAESTRO!$G1254&amp;" "&amp;MAESTRO!$H1254&amp;" "&amp;MAESTRO!$I1254)),"")</f>
        <v/>
      </c>
      <c r="I1255" t="str">
        <f>IF($A1255&lt;&gt;"",MAESTRO!$K1254,"")</f>
        <v/>
      </c>
      <c r="J1255" t="str">
        <f>IF($A1255&lt;&gt;"",1255,"")</f>
        <v/>
      </c>
    </row>
    <row r="1256" spans="1:10" x14ac:dyDescent="0.2">
      <c r="A1256" t="str">
        <f>IF(AND(UPPER(MAESTRO!$M1255)="VIP",UPPER(MAESTRO!$J1255)="SI",MAESTRO!$F1255&lt;&gt;""),MAESTRO!$P1255,"")</f>
        <v/>
      </c>
      <c r="B1256" t="str">
        <f>IF($A1256&lt;&gt;"",MAESTRO!$B1255,"")</f>
        <v/>
      </c>
      <c r="C1256" t="str">
        <f>IF($A1256&lt;&gt;"",MAESTRO!$A1255,"")</f>
        <v/>
      </c>
      <c r="D1256" t="str">
        <f>IF($A1256&lt;&gt;"",MAESTRO!$C1255,"")</f>
        <v/>
      </c>
      <c r="E1256" t="str">
        <f>IF($A1256&lt;&gt;"",MAESTRO!$M1255,"")</f>
        <v/>
      </c>
      <c r="F1256" t="str">
        <f>IF($A1256&lt;&gt;"",MAESTRO!$J1255,"")</f>
        <v/>
      </c>
      <c r="G1256" t="str">
        <f>IF($A1256&lt;&gt;"",MAESTRO!$D1255,"")</f>
        <v/>
      </c>
      <c r="H1256" t="str">
        <f>IF($A1256&lt;&gt;"",IF(TRIM(MAESTRO!$G1255&amp;" "&amp;MAESTRO!$H1255&amp;" "&amp;MAESTRO!$I1255)="",MAESTRO!$F1255,TRIM(MAESTRO!$G1255&amp;" "&amp;MAESTRO!$H1255&amp;" "&amp;MAESTRO!$I1255)),"")</f>
        <v/>
      </c>
      <c r="I1256" t="str">
        <f>IF($A1256&lt;&gt;"",MAESTRO!$K1255,"")</f>
        <v/>
      </c>
      <c r="J1256" t="str">
        <f>IF($A1256&lt;&gt;"",1256,"")</f>
        <v/>
      </c>
    </row>
    <row r="1257" spans="1:10" x14ac:dyDescent="0.2">
      <c r="A1257" t="str">
        <f>IF(AND(UPPER(MAESTRO!$M1256)="VIP",UPPER(MAESTRO!$J1256)="SI",MAESTRO!$F1256&lt;&gt;""),MAESTRO!$P1256,"")</f>
        <v/>
      </c>
      <c r="B1257" t="str">
        <f>IF($A1257&lt;&gt;"",MAESTRO!$B1256,"")</f>
        <v/>
      </c>
      <c r="C1257" t="str">
        <f>IF($A1257&lt;&gt;"",MAESTRO!$A1256,"")</f>
        <v/>
      </c>
      <c r="D1257" t="str">
        <f>IF($A1257&lt;&gt;"",MAESTRO!$C1256,"")</f>
        <v/>
      </c>
      <c r="E1257" t="str">
        <f>IF($A1257&lt;&gt;"",MAESTRO!$M1256,"")</f>
        <v/>
      </c>
      <c r="F1257" t="str">
        <f>IF($A1257&lt;&gt;"",MAESTRO!$J1256,"")</f>
        <v/>
      </c>
      <c r="G1257" t="str">
        <f>IF($A1257&lt;&gt;"",MAESTRO!$D1256,"")</f>
        <v/>
      </c>
      <c r="H1257" t="str">
        <f>IF($A1257&lt;&gt;"",IF(TRIM(MAESTRO!$G1256&amp;" "&amp;MAESTRO!$H1256&amp;" "&amp;MAESTRO!$I1256)="",MAESTRO!$F1256,TRIM(MAESTRO!$G1256&amp;" "&amp;MAESTRO!$H1256&amp;" "&amp;MAESTRO!$I1256)),"")</f>
        <v/>
      </c>
      <c r="I1257" t="str">
        <f>IF($A1257&lt;&gt;"",MAESTRO!$K1256,"")</f>
        <v/>
      </c>
      <c r="J1257" t="str">
        <f>IF($A1257&lt;&gt;"",1257,"")</f>
        <v/>
      </c>
    </row>
    <row r="1258" spans="1:10" x14ac:dyDescent="0.2">
      <c r="A1258" t="str">
        <f>IF(AND(UPPER(MAESTRO!$M1257)="VIP",UPPER(MAESTRO!$J1257)="SI",MAESTRO!$F1257&lt;&gt;""),MAESTRO!$P1257,"")</f>
        <v/>
      </c>
      <c r="B1258" t="str">
        <f>IF($A1258&lt;&gt;"",MAESTRO!$B1257,"")</f>
        <v/>
      </c>
      <c r="C1258" t="str">
        <f>IF($A1258&lt;&gt;"",MAESTRO!$A1257,"")</f>
        <v/>
      </c>
      <c r="D1258" t="str">
        <f>IF($A1258&lt;&gt;"",MAESTRO!$C1257,"")</f>
        <v/>
      </c>
      <c r="E1258" t="str">
        <f>IF($A1258&lt;&gt;"",MAESTRO!$M1257,"")</f>
        <v/>
      </c>
      <c r="F1258" t="str">
        <f>IF($A1258&lt;&gt;"",MAESTRO!$J1257,"")</f>
        <v/>
      </c>
      <c r="G1258" t="str">
        <f>IF($A1258&lt;&gt;"",MAESTRO!$D1257,"")</f>
        <v/>
      </c>
      <c r="H1258" t="str">
        <f>IF($A1258&lt;&gt;"",IF(TRIM(MAESTRO!$G1257&amp;" "&amp;MAESTRO!$H1257&amp;" "&amp;MAESTRO!$I1257)="",MAESTRO!$F1257,TRIM(MAESTRO!$G1257&amp;" "&amp;MAESTRO!$H1257&amp;" "&amp;MAESTRO!$I1257)),"")</f>
        <v/>
      </c>
      <c r="I1258" t="str">
        <f>IF($A1258&lt;&gt;"",MAESTRO!$K1257,"")</f>
        <v/>
      </c>
      <c r="J1258" t="str">
        <f>IF($A1258&lt;&gt;"",1258,"")</f>
        <v/>
      </c>
    </row>
    <row r="1259" spans="1:10" x14ac:dyDescent="0.2">
      <c r="A1259" t="str">
        <f>IF(AND(UPPER(MAESTRO!$M1258)="VIP",UPPER(MAESTRO!$J1258)="SI",MAESTRO!$F1258&lt;&gt;""),MAESTRO!$P1258,"")</f>
        <v/>
      </c>
      <c r="B1259" t="str">
        <f>IF($A1259&lt;&gt;"",MAESTRO!$B1258,"")</f>
        <v/>
      </c>
      <c r="C1259" t="str">
        <f>IF($A1259&lt;&gt;"",MAESTRO!$A1258,"")</f>
        <v/>
      </c>
      <c r="D1259" t="str">
        <f>IF($A1259&lt;&gt;"",MAESTRO!$C1258,"")</f>
        <v/>
      </c>
      <c r="E1259" t="str">
        <f>IF($A1259&lt;&gt;"",MAESTRO!$M1258,"")</f>
        <v/>
      </c>
      <c r="F1259" t="str">
        <f>IF($A1259&lt;&gt;"",MAESTRO!$J1258,"")</f>
        <v/>
      </c>
      <c r="G1259" t="str">
        <f>IF($A1259&lt;&gt;"",MAESTRO!$D1258,"")</f>
        <v/>
      </c>
      <c r="H1259" t="str">
        <f>IF($A1259&lt;&gt;"",IF(TRIM(MAESTRO!$G1258&amp;" "&amp;MAESTRO!$H1258&amp;" "&amp;MAESTRO!$I1258)="",MAESTRO!$F1258,TRIM(MAESTRO!$G1258&amp;" "&amp;MAESTRO!$H1258&amp;" "&amp;MAESTRO!$I1258)),"")</f>
        <v/>
      </c>
      <c r="I1259" t="str">
        <f>IF($A1259&lt;&gt;"",MAESTRO!$K1258,"")</f>
        <v/>
      </c>
      <c r="J1259" t="str">
        <f>IF($A1259&lt;&gt;"",1259,"")</f>
        <v/>
      </c>
    </row>
    <row r="1260" spans="1:10" x14ac:dyDescent="0.2">
      <c r="A1260" t="str">
        <f>IF(AND(UPPER(MAESTRO!$M1259)="VIP",UPPER(MAESTRO!$J1259)="SI",MAESTRO!$F1259&lt;&gt;""),MAESTRO!$P1259,"")</f>
        <v/>
      </c>
      <c r="B1260" t="str">
        <f>IF($A1260&lt;&gt;"",MAESTRO!$B1259,"")</f>
        <v/>
      </c>
      <c r="C1260" t="str">
        <f>IF($A1260&lt;&gt;"",MAESTRO!$A1259,"")</f>
        <v/>
      </c>
      <c r="D1260" t="str">
        <f>IF($A1260&lt;&gt;"",MAESTRO!$C1259,"")</f>
        <v/>
      </c>
      <c r="E1260" t="str">
        <f>IF($A1260&lt;&gt;"",MAESTRO!$M1259,"")</f>
        <v/>
      </c>
      <c r="F1260" t="str">
        <f>IF($A1260&lt;&gt;"",MAESTRO!$J1259,"")</f>
        <v/>
      </c>
      <c r="G1260" t="str">
        <f>IF($A1260&lt;&gt;"",MAESTRO!$D1259,"")</f>
        <v/>
      </c>
      <c r="H1260" t="str">
        <f>IF($A1260&lt;&gt;"",IF(TRIM(MAESTRO!$G1259&amp;" "&amp;MAESTRO!$H1259&amp;" "&amp;MAESTRO!$I1259)="",MAESTRO!$F1259,TRIM(MAESTRO!$G1259&amp;" "&amp;MAESTRO!$H1259&amp;" "&amp;MAESTRO!$I1259)),"")</f>
        <v/>
      </c>
      <c r="I1260" t="str">
        <f>IF($A1260&lt;&gt;"",MAESTRO!$K1259,"")</f>
        <v/>
      </c>
      <c r="J1260" t="str">
        <f>IF($A1260&lt;&gt;"",1260,"")</f>
        <v/>
      </c>
    </row>
    <row r="1261" spans="1:10" x14ac:dyDescent="0.2">
      <c r="A1261" t="str">
        <f>IF(AND(UPPER(MAESTRO!$M1260)="VIP",UPPER(MAESTRO!$J1260)="SI",MAESTRO!$F1260&lt;&gt;""),MAESTRO!$P1260,"")</f>
        <v/>
      </c>
      <c r="B1261" t="str">
        <f>IF($A1261&lt;&gt;"",MAESTRO!$B1260,"")</f>
        <v/>
      </c>
      <c r="C1261" t="str">
        <f>IF($A1261&lt;&gt;"",MAESTRO!$A1260,"")</f>
        <v/>
      </c>
      <c r="D1261" t="str">
        <f>IF($A1261&lt;&gt;"",MAESTRO!$C1260,"")</f>
        <v/>
      </c>
      <c r="E1261" t="str">
        <f>IF($A1261&lt;&gt;"",MAESTRO!$M1260,"")</f>
        <v/>
      </c>
      <c r="F1261" t="str">
        <f>IF($A1261&lt;&gt;"",MAESTRO!$J1260,"")</f>
        <v/>
      </c>
      <c r="G1261" t="str">
        <f>IF($A1261&lt;&gt;"",MAESTRO!$D1260,"")</f>
        <v/>
      </c>
      <c r="H1261" t="str">
        <f>IF($A1261&lt;&gt;"",IF(TRIM(MAESTRO!$G1260&amp;" "&amp;MAESTRO!$H1260&amp;" "&amp;MAESTRO!$I1260)="",MAESTRO!$F1260,TRIM(MAESTRO!$G1260&amp;" "&amp;MAESTRO!$H1260&amp;" "&amp;MAESTRO!$I1260)),"")</f>
        <v/>
      </c>
      <c r="I1261" t="str">
        <f>IF($A1261&lt;&gt;"",MAESTRO!$K1260,"")</f>
        <v/>
      </c>
      <c r="J1261" t="str">
        <f>IF($A1261&lt;&gt;"",1261,"")</f>
        <v/>
      </c>
    </row>
    <row r="1262" spans="1:10" x14ac:dyDescent="0.2">
      <c r="A1262" t="str">
        <f>IF(AND(UPPER(MAESTRO!$M1261)="VIP",UPPER(MAESTRO!$J1261)="SI",MAESTRO!$F1261&lt;&gt;""),MAESTRO!$P1261,"")</f>
        <v/>
      </c>
      <c r="B1262" t="str">
        <f>IF($A1262&lt;&gt;"",MAESTRO!$B1261,"")</f>
        <v/>
      </c>
      <c r="C1262" t="str">
        <f>IF($A1262&lt;&gt;"",MAESTRO!$A1261,"")</f>
        <v/>
      </c>
      <c r="D1262" t="str">
        <f>IF($A1262&lt;&gt;"",MAESTRO!$C1261,"")</f>
        <v/>
      </c>
      <c r="E1262" t="str">
        <f>IF($A1262&lt;&gt;"",MAESTRO!$M1261,"")</f>
        <v/>
      </c>
      <c r="F1262" t="str">
        <f>IF($A1262&lt;&gt;"",MAESTRO!$J1261,"")</f>
        <v/>
      </c>
      <c r="G1262" t="str">
        <f>IF($A1262&lt;&gt;"",MAESTRO!$D1261,"")</f>
        <v/>
      </c>
      <c r="H1262" t="str">
        <f>IF($A1262&lt;&gt;"",IF(TRIM(MAESTRO!$G1261&amp;" "&amp;MAESTRO!$H1261&amp;" "&amp;MAESTRO!$I1261)="",MAESTRO!$F1261,TRIM(MAESTRO!$G1261&amp;" "&amp;MAESTRO!$H1261&amp;" "&amp;MAESTRO!$I1261)),"")</f>
        <v/>
      </c>
      <c r="I1262" t="str">
        <f>IF($A1262&lt;&gt;"",MAESTRO!$K1261,"")</f>
        <v/>
      </c>
      <c r="J1262" t="str">
        <f>IF($A1262&lt;&gt;"",1262,"")</f>
        <v/>
      </c>
    </row>
    <row r="1263" spans="1:10" x14ac:dyDescent="0.2">
      <c r="A1263" t="str">
        <f>IF(AND(UPPER(MAESTRO!$M1262)="VIP",UPPER(MAESTRO!$J1262)="SI",MAESTRO!$F1262&lt;&gt;""),MAESTRO!$P1262,"")</f>
        <v/>
      </c>
      <c r="B1263" t="str">
        <f>IF($A1263&lt;&gt;"",MAESTRO!$B1262,"")</f>
        <v/>
      </c>
      <c r="C1263" t="str">
        <f>IF($A1263&lt;&gt;"",MAESTRO!$A1262,"")</f>
        <v/>
      </c>
      <c r="D1263" t="str">
        <f>IF($A1263&lt;&gt;"",MAESTRO!$C1262,"")</f>
        <v/>
      </c>
      <c r="E1263" t="str">
        <f>IF($A1263&lt;&gt;"",MAESTRO!$M1262,"")</f>
        <v/>
      </c>
      <c r="F1263" t="str">
        <f>IF($A1263&lt;&gt;"",MAESTRO!$J1262,"")</f>
        <v/>
      </c>
      <c r="G1263" t="str">
        <f>IF($A1263&lt;&gt;"",MAESTRO!$D1262,"")</f>
        <v/>
      </c>
      <c r="H1263" t="str">
        <f>IF($A1263&lt;&gt;"",IF(TRIM(MAESTRO!$G1262&amp;" "&amp;MAESTRO!$H1262&amp;" "&amp;MAESTRO!$I1262)="",MAESTRO!$F1262,TRIM(MAESTRO!$G1262&amp;" "&amp;MAESTRO!$H1262&amp;" "&amp;MAESTRO!$I1262)),"")</f>
        <v/>
      </c>
      <c r="I1263" t="str">
        <f>IF($A1263&lt;&gt;"",MAESTRO!$K1262,"")</f>
        <v/>
      </c>
      <c r="J1263" t="str">
        <f>IF($A1263&lt;&gt;"",1263,"")</f>
        <v/>
      </c>
    </row>
    <row r="1264" spans="1:10" x14ac:dyDescent="0.2">
      <c r="A1264" t="str">
        <f>IF(AND(UPPER(MAESTRO!$M1263)="VIP",UPPER(MAESTRO!$J1263)="SI",MAESTRO!$F1263&lt;&gt;""),MAESTRO!$P1263,"")</f>
        <v/>
      </c>
      <c r="B1264" t="str">
        <f>IF($A1264&lt;&gt;"",MAESTRO!$B1263,"")</f>
        <v/>
      </c>
      <c r="C1264" t="str">
        <f>IF($A1264&lt;&gt;"",MAESTRO!$A1263,"")</f>
        <v/>
      </c>
      <c r="D1264" t="str">
        <f>IF($A1264&lt;&gt;"",MAESTRO!$C1263,"")</f>
        <v/>
      </c>
      <c r="E1264" t="str">
        <f>IF($A1264&lt;&gt;"",MAESTRO!$M1263,"")</f>
        <v/>
      </c>
      <c r="F1264" t="str">
        <f>IF($A1264&lt;&gt;"",MAESTRO!$J1263,"")</f>
        <v/>
      </c>
      <c r="G1264" t="str">
        <f>IF($A1264&lt;&gt;"",MAESTRO!$D1263,"")</f>
        <v/>
      </c>
      <c r="H1264" t="str">
        <f>IF($A1264&lt;&gt;"",IF(TRIM(MAESTRO!$G1263&amp;" "&amp;MAESTRO!$H1263&amp;" "&amp;MAESTRO!$I1263)="",MAESTRO!$F1263,TRIM(MAESTRO!$G1263&amp;" "&amp;MAESTRO!$H1263&amp;" "&amp;MAESTRO!$I1263)),"")</f>
        <v/>
      </c>
      <c r="I1264" t="str">
        <f>IF($A1264&lt;&gt;"",MAESTRO!$K1263,"")</f>
        <v/>
      </c>
      <c r="J1264" t="str">
        <f>IF($A1264&lt;&gt;"",1264,"")</f>
        <v/>
      </c>
    </row>
    <row r="1265" spans="1:10" x14ac:dyDescent="0.2">
      <c r="A1265" t="str">
        <f>IF(AND(UPPER(MAESTRO!$M1264)="VIP",UPPER(MAESTRO!$J1264)="SI",MAESTRO!$F1264&lt;&gt;""),MAESTRO!$P1264,"")</f>
        <v/>
      </c>
      <c r="B1265" t="str">
        <f>IF($A1265&lt;&gt;"",MAESTRO!$B1264,"")</f>
        <v/>
      </c>
      <c r="C1265" t="str">
        <f>IF($A1265&lt;&gt;"",MAESTRO!$A1264,"")</f>
        <v/>
      </c>
      <c r="D1265" t="str">
        <f>IF($A1265&lt;&gt;"",MAESTRO!$C1264,"")</f>
        <v/>
      </c>
      <c r="E1265" t="str">
        <f>IF($A1265&lt;&gt;"",MAESTRO!$M1264,"")</f>
        <v/>
      </c>
      <c r="F1265" t="str">
        <f>IF($A1265&lt;&gt;"",MAESTRO!$J1264,"")</f>
        <v/>
      </c>
      <c r="G1265" t="str">
        <f>IF($A1265&lt;&gt;"",MAESTRO!$D1264,"")</f>
        <v/>
      </c>
      <c r="H1265" t="str">
        <f>IF($A1265&lt;&gt;"",IF(TRIM(MAESTRO!$G1264&amp;" "&amp;MAESTRO!$H1264&amp;" "&amp;MAESTRO!$I1264)="",MAESTRO!$F1264,TRIM(MAESTRO!$G1264&amp;" "&amp;MAESTRO!$H1264&amp;" "&amp;MAESTRO!$I1264)),"")</f>
        <v/>
      </c>
      <c r="I1265" t="str">
        <f>IF($A1265&lt;&gt;"",MAESTRO!$K1264,"")</f>
        <v/>
      </c>
      <c r="J1265" t="str">
        <f>IF($A1265&lt;&gt;"",1265,"")</f>
        <v/>
      </c>
    </row>
    <row r="1266" spans="1:10" x14ac:dyDescent="0.2">
      <c r="A1266" t="str">
        <f>IF(AND(UPPER(MAESTRO!$M1265)="VIP",UPPER(MAESTRO!$J1265)="SI",MAESTRO!$F1265&lt;&gt;""),MAESTRO!$P1265,"")</f>
        <v/>
      </c>
      <c r="B1266" t="str">
        <f>IF($A1266&lt;&gt;"",MAESTRO!$B1265,"")</f>
        <v/>
      </c>
      <c r="C1266" t="str">
        <f>IF($A1266&lt;&gt;"",MAESTRO!$A1265,"")</f>
        <v/>
      </c>
      <c r="D1266" t="str">
        <f>IF($A1266&lt;&gt;"",MAESTRO!$C1265,"")</f>
        <v/>
      </c>
      <c r="E1266" t="str">
        <f>IF($A1266&lt;&gt;"",MAESTRO!$M1265,"")</f>
        <v/>
      </c>
      <c r="F1266" t="str">
        <f>IF($A1266&lt;&gt;"",MAESTRO!$J1265,"")</f>
        <v/>
      </c>
      <c r="G1266" t="str">
        <f>IF($A1266&lt;&gt;"",MAESTRO!$D1265,"")</f>
        <v/>
      </c>
      <c r="H1266" t="str">
        <f>IF($A1266&lt;&gt;"",IF(TRIM(MAESTRO!$G1265&amp;" "&amp;MAESTRO!$H1265&amp;" "&amp;MAESTRO!$I1265)="",MAESTRO!$F1265,TRIM(MAESTRO!$G1265&amp;" "&amp;MAESTRO!$H1265&amp;" "&amp;MAESTRO!$I1265)),"")</f>
        <v/>
      </c>
      <c r="I1266" t="str">
        <f>IF($A1266&lt;&gt;"",MAESTRO!$K1265,"")</f>
        <v/>
      </c>
      <c r="J1266" t="str">
        <f>IF($A1266&lt;&gt;"",1266,"")</f>
        <v/>
      </c>
    </row>
    <row r="1267" spans="1:10" x14ac:dyDescent="0.2">
      <c r="A1267" t="str">
        <f>IF(AND(UPPER(MAESTRO!$M1266)="VIP",UPPER(MAESTRO!$J1266)="SI",MAESTRO!$F1266&lt;&gt;""),MAESTRO!$P1266,"")</f>
        <v/>
      </c>
      <c r="B1267" t="str">
        <f>IF($A1267&lt;&gt;"",MAESTRO!$B1266,"")</f>
        <v/>
      </c>
      <c r="C1267" t="str">
        <f>IF($A1267&lt;&gt;"",MAESTRO!$A1266,"")</f>
        <v/>
      </c>
      <c r="D1267" t="str">
        <f>IF($A1267&lt;&gt;"",MAESTRO!$C1266,"")</f>
        <v/>
      </c>
      <c r="E1267" t="str">
        <f>IF($A1267&lt;&gt;"",MAESTRO!$M1266,"")</f>
        <v/>
      </c>
      <c r="F1267" t="str">
        <f>IF($A1267&lt;&gt;"",MAESTRO!$J1266,"")</f>
        <v/>
      </c>
      <c r="G1267" t="str">
        <f>IF($A1267&lt;&gt;"",MAESTRO!$D1266,"")</f>
        <v/>
      </c>
      <c r="H1267" t="str">
        <f>IF($A1267&lt;&gt;"",IF(TRIM(MAESTRO!$G1266&amp;" "&amp;MAESTRO!$H1266&amp;" "&amp;MAESTRO!$I1266)="",MAESTRO!$F1266,TRIM(MAESTRO!$G1266&amp;" "&amp;MAESTRO!$H1266&amp;" "&amp;MAESTRO!$I1266)),"")</f>
        <v/>
      </c>
      <c r="I1267" t="str">
        <f>IF($A1267&lt;&gt;"",MAESTRO!$K1266,"")</f>
        <v/>
      </c>
      <c r="J1267" t="str">
        <f>IF($A1267&lt;&gt;"",1267,"")</f>
        <v/>
      </c>
    </row>
    <row r="1268" spans="1:10" x14ac:dyDescent="0.2">
      <c r="A1268" t="str">
        <f>IF(AND(UPPER(MAESTRO!$M1267)="VIP",UPPER(MAESTRO!$J1267)="SI",MAESTRO!$F1267&lt;&gt;""),MAESTRO!$P1267,"")</f>
        <v/>
      </c>
      <c r="B1268" t="str">
        <f>IF($A1268&lt;&gt;"",MAESTRO!$B1267,"")</f>
        <v/>
      </c>
      <c r="C1268" t="str">
        <f>IF($A1268&lt;&gt;"",MAESTRO!$A1267,"")</f>
        <v/>
      </c>
      <c r="D1268" t="str">
        <f>IF($A1268&lt;&gt;"",MAESTRO!$C1267,"")</f>
        <v/>
      </c>
      <c r="E1268" t="str">
        <f>IF($A1268&lt;&gt;"",MAESTRO!$M1267,"")</f>
        <v/>
      </c>
      <c r="F1268" t="str">
        <f>IF($A1268&lt;&gt;"",MAESTRO!$J1267,"")</f>
        <v/>
      </c>
      <c r="G1268" t="str">
        <f>IF($A1268&lt;&gt;"",MAESTRO!$D1267,"")</f>
        <v/>
      </c>
      <c r="H1268" t="str">
        <f>IF($A1268&lt;&gt;"",IF(TRIM(MAESTRO!$G1267&amp;" "&amp;MAESTRO!$H1267&amp;" "&amp;MAESTRO!$I1267)="",MAESTRO!$F1267,TRIM(MAESTRO!$G1267&amp;" "&amp;MAESTRO!$H1267&amp;" "&amp;MAESTRO!$I1267)),"")</f>
        <v/>
      </c>
      <c r="I1268" t="str">
        <f>IF($A1268&lt;&gt;"",MAESTRO!$K1267,"")</f>
        <v/>
      </c>
      <c r="J1268" t="str">
        <f>IF($A1268&lt;&gt;"",1268,"")</f>
        <v/>
      </c>
    </row>
    <row r="1269" spans="1:10" x14ac:dyDescent="0.2">
      <c r="A1269" t="str">
        <f>IF(AND(UPPER(MAESTRO!$M1268)="VIP",UPPER(MAESTRO!$J1268)="SI",MAESTRO!$F1268&lt;&gt;""),MAESTRO!$P1268,"")</f>
        <v/>
      </c>
      <c r="B1269" t="str">
        <f>IF($A1269&lt;&gt;"",MAESTRO!$B1268,"")</f>
        <v/>
      </c>
      <c r="C1269" t="str">
        <f>IF($A1269&lt;&gt;"",MAESTRO!$A1268,"")</f>
        <v/>
      </c>
      <c r="D1269" t="str">
        <f>IF($A1269&lt;&gt;"",MAESTRO!$C1268,"")</f>
        <v/>
      </c>
      <c r="E1269" t="str">
        <f>IF($A1269&lt;&gt;"",MAESTRO!$M1268,"")</f>
        <v/>
      </c>
      <c r="F1269" t="str">
        <f>IF($A1269&lt;&gt;"",MAESTRO!$J1268,"")</f>
        <v/>
      </c>
      <c r="G1269" t="str">
        <f>IF($A1269&lt;&gt;"",MAESTRO!$D1268,"")</f>
        <v/>
      </c>
      <c r="H1269" t="str">
        <f>IF($A1269&lt;&gt;"",IF(TRIM(MAESTRO!$G1268&amp;" "&amp;MAESTRO!$H1268&amp;" "&amp;MAESTRO!$I1268)="",MAESTRO!$F1268,TRIM(MAESTRO!$G1268&amp;" "&amp;MAESTRO!$H1268&amp;" "&amp;MAESTRO!$I1268)),"")</f>
        <v/>
      </c>
      <c r="I1269" t="str">
        <f>IF($A1269&lt;&gt;"",MAESTRO!$K1268,"")</f>
        <v/>
      </c>
      <c r="J1269" t="str">
        <f>IF($A1269&lt;&gt;"",1269,"")</f>
        <v/>
      </c>
    </row>
    <row r="1270" spans="1:10" x14ac:dyDescent="0.2">
      <c r="A1270" t="str">
        <f>IF(AND(UPPER(MAESTRO!$M1269)="VIP",UPPER(MAESTRO!$J1269)="SI",MAESTRO!$F1269&lt;&gt;""),MAESTRO!$P1269,"")</f>
        <v/>
      </c>
      <c r="B1270" t="str">
        <f>IF($A1270&lt;&gt;"",MAESTRO!$B1269,"")</f>
        <v/>
      </c>
      <c r="C1270" t="str">
        <f>IF($A1270&lt;&gt;"",MAESTRO!$A1269,"")</f>
        <v/>
      </c>
      <c r="D1270" t="str">
        <f>IF($A1270&lt;&gt;"",MAESTRO!$C1269,"")</f>
        <v/>
      </c>
      <c r="E1270" t="str">
        <f>IF($A1270&lt;&gt;"",MAESTRO!$M1269,"")</f>
        <v/>
      </c>
      <c r="F1270" t="str">
        <f>IF($A1270&lt;&gt;"",MAESTRO!$J1269,"")</f>
        <v/>
      </c>
      <c r="G1270" t="str">
        <f>IF($A1270&lt;&gt;"",MAESTRO!$D1269,"")</f>
        <v/>
      </c>
      <c r="H1270" t="str">
        <f>IF($A1270&lt;&gt;"",IF(TRIM(MAESTRO!$G1269&amp;" "&amp;MAESTRO!$H1269&amp;" "&amp;MAESTRO!$I1269)="",MAESTRO!$F1269,TRIM(MAESTRO!$G1269&amp;" "&amp;MAESTRO!$H1269&amp;" "&amp;MAESTRO!$I1269)),"")</f>
        <v/>
      </c>
      <c r="I1270" t="str">
        <f>IF($A1270&lt;&gt;"",MAESTRO!$K1269,"")</f>
        <v/>
      </c>
      <c r="J1270" t="str">
        <f>IF($A1270&lt;&gt;"",1270,"")</f>
        <v/>
      </c>
    </row>
    <row r="1271" spans="1:10" x14ac:dyDescent="0.2">
      <c r="A1271" t="str">
        <f>IF(AND(UPPER(MAESTRO!$M1270)="VIP",UPPER(MAESTRO!$J1270)="SI",MAESTRO!$F1270&lt;&gt;""),MAESTRO!$P1270,"")</f>
        <v/>
      </c>
      <c r="B1271" t="str">
        <f>IF($A1271&lt;&gt;"",MAESTRO!$B1270,"")</f>
        <v/>
      </c>
      <c r="C1271" t="str">
        <f>IF($A1271&lt;&gt;"",MAESTRO!$A1270,"")</f>
        <v/>
      </c>
      <c r="D1271" t="str">
        <f>IF($A1271&lt;&gt;"",MAESTRO!$C1270,"")</f>
        <v/>
      </c>
      <c r="E1271" t="str">
        <f>IF($A1271&lt;&gt;"",MAESTRO!$M1270,"")</f>
        <v/>
      </c>
      <c r="F1271" t="str">
        <f>IF($A1271&lt;&gt;"",MAESTRO!$J1270,"")</f>
        <v/>
      </c>
      <c r="G1271" t="str">
        <f>IF($A1271&lt;&gt;"",MAESTRO!$D1270,"")</f>
        <v/>
      </c>
      <c r="H1271" t="str">
        <f>IF($A1271&lt;&gt;"",IF(TRIM(MAESTRO!$G1270&amp;" "&amp;MAESTRO!$H1270&amp;" "&amp;MAESTRO!$I1270)="",MAESTRO!$F1270,TRIM(MAESTRO!$G1270&amp;" "&amp;MAESTRO!$H1270&amp;" "&amp;MAESTRO!$I1270)),"")</f>
        <v/>
      </c>
      <c r="I1271" t="str">
        <f>IF($A1271&lt;&gt;"",MAESTRO!$K1270,"")</f>
        <v/>
      </c>
      <c r="J1271" t="str">
        <f>IF($A1271&lt;&gt;"",1271,"")</f>
        <v/>
      </c>
    </row>
    <row r="1272" spans="1:10" x14ac:dyDescent="0.2">
      <c r="A1272" t="str">
        <f>IF(AND(UPPER(MAESTRO!$M1271)="VIP",UPPER(MAESTRO!$J1271)="SI",MAESTRO!$F1271&lt;&gt;""),MAESTRO!$P1271,"")</f>
        <v/>
      </c>
      <c r="B1272" t="str">
        <f>IF($A1272&lt;&gt;"",MAESTRO!$B1271,"")</f>
        <v/>
      </c>
      <c r="C1272" t="str">
        <f>IF($A1272&lt;&gt;"",MAESTRO!$A1271,"")</f>
        <v/>
      </c>
      <c r="D1272" t="str">
        <f>IF($A1272&lt;&gt;"",MAESTRO!$C1271,"")</f>
        <v/>
      </c>
      <c r="E1272" t="str">
        <f>IF($A1272&lt;&gt;"",MAESTRO!$M1271,"")</f>
        <v/>
      </c>
      <c r="F1272" t="str">
        <f>IF($A1272&lt;&gt;"",MAESTRO!$J1271,"")</f>
        <v/>
      </c>
      <c r="G1272" t="str">
        <f>IF($A1272&lt;&gt;"",MAESTRO!$D1271,"")</f>
        <v/>
      </c>
      <c r="H1272" t="str">
        <f>IF($A1272&lt;&gt;"",IF(TRIM(MAESTRO!$G1271&amp;" "&amp;MAESTRO!$H1271&amp;" "&amp;MAESTRO!$I1271)="",MAESTRO!$F1271,TRIM(MAESTRO!$G1271&amp;" "&amp;MAESTRO!$H1271&amp;" "&amp;MAESTRO!$I1271)),"")</f>
        <v/>
      </c>
      <c r="I1272" t="str">
        <f>IF($A1272&lt;&gt;"",MAESTRO!$K1271,"")</f>
        <v/>
      </c>
      <c r="J1272" t="str">
        <f>IF($A1272&lt;&gt;"",1272,"")</f>
        <v/>
      </c>
    </row>
    <row r="1273" spans="1:10" x14ac:dyDescent="0.2">
      <c r="A1273" t="str">
        <f>IF(AND(UPPER(MAESTRO!$M1272)="VIP",UPPER(MAESTRO!$J1272)="SI",MAESTRO!$F1272&lt;&gt;""),MAESTRO!$P1272,"")</f>
        <v/>
      </c>
      <c r="B1273" t="str">
        <f>IF($A1273&lt;&gt;"",MAESTRO!$B1272,"")</f>
        <v/>
      </c>
      <c r="C1273" t="str">
        <f>IF($A1273&lt;&gt;"",MAESTRO!$A1272,"")</f>
        <v/>
      </c>
      <c r="D1273" t="str">
        <f>IF($A1273&lt;&gt;"",MAESTRO!$C1272,"")</f>
        <v/>
      </c>
      <c r="E1273" t="str">
        <f>IF($A1273&lt;&gt;"",MAESTRO!$M1272,"")</f>
        <v/>
      </c>
      <c r="F1273" t="str">
        <f>IF($A1273&lt;&gt;"",MAESTRO!$J1272,"")</f>
        <v/>
      </c>
      <c r="G1273" t="str">
        <f>IF($A1273&lt;&gt;"",MAESTRO!$D1272,"")</f>
        <v/>
      </c>
      <c r="H1273" t="str">
        <f>IF($A1273&lt;&gt;"",IF(TRIM(MAESTRO!$G1272&amp;" "&amp;MAESTRO!$H1272&amp;" "&amp;MAESTRO!$I1272)="",MAESTRO!$F1272,TRIM(MAESTRO!$G1272&amp;" "&amp;MAESTRO!$H1272&amp;" "&amp;MAESTRO!$I1272)),"")</f>
        <v/>
      </c>
      <c r="I1273" t="str">
        <f>IF($A1273&lt;&gt;"",MAESTRO!$K1272,"")</f>
        <v/>
      </c>
      <c r="J1273" t="str">
        <f>IF($A1273&lt;&gt;"",1273,"")</f>
        <v/>
      </c>
    </row>
    <row r="1274" spans="1:10" x14ac:dyDescent="0.2">
      <c r="A1274" t="str">
        <f>IF(AND(UPPER(MAESTRO!$M1273)="VIP",UPPER(MAESTRO!$J1273)="SI",MAESTRO!$F1273&lt;&gt;""),MAESTRO!$P1273,"")</f>
        <v/>
      </c>
      <c r="B1274" t="str">
        <f>IF($A1274&lt;&gt;"",MAESTRO!$B1273,"")</f>
        <v/>
      </c>
      <c r="C1274" t="str">
        <f>IF($A1274&lt;&gt;"",MAESTRO!$A1273,"")</f>
        <v/>
      </c>
      <c r="D1274" t="str">
        <f>IF($A1274&lt;&gt;"",MAESTRO!$C1273,"")</f>
        <v/>
      </c>
      <c r="E1274" t="str">
        <f>IF($A1274&lt;&gt;"",MAESTRO!$M1273,"")</f>
        <v/>
      </c>
      <c r="F1274" t="str">
        <f>IF($A1274&lt;&gt;"",MAESTRO!$J1273,"")</f>
        <v/>
      </c>
      <c r="G1274" t="str">
        <f>IF($A1274&lt;&gt;"",MAESTRO!$D1273,"")</f>
        <v/>
      </c>
      <c r="H1274" t="str">
        <f>IF($A1274&lt;&gt;"",IF(TRIM(MAESTRO!$G1273&amp;" "&amp;MAESTRO!$H1273&amp;" "&amp;MAESTRO!$I1273)="",MAESTRO!$F1273,TRIM(MAESTRO!$G1273&amp;" "&amp;MAESTRO!$H1273&amp;" "&amp;MAESTRO!$I1273)),"")</f>
        <v/>
      </c>
      <c r="I1274" t="str">
        <f>IF($A1274&lt;&gt;"",MAESTRO!$K1273,"")</f>
        <v/>
      </c>
      <c r="J1274" t="str">
        <f>IF($A1274&lt;&gt;"",1274,"")</f>
        <v/>
      </c>
    </row>
    <row r="1275" spans="1:10" x14ac:dyDescent="0.2">
      <c r="A1275" t="str">
        <f>IF(AND(UPPER(MAESTRO!$M1274)="VIP",UPPER(MAESTRO!$J1274)="SI",MAESTRO!$F1274&lt;&gt;""),MAESTRO!$P1274,"")</f>
        <v/>
      </c>
      <c r="B1275" t="str">
        <f>IF($A1275&lt;&gt;"",MAESTRO!$B1274,"")</f>
        <v/>
      </c>
      <c r="C1275" t="str">
        <f>IF($A1275&lt;&gt;"",MAESTRO!$A1274,"")</f>
        <v/>
      </c>
      <c r="D1275" t="str">
        <f>IF($A1275&lt;&gt;"",MAESTRO!$C1274,"")</f>
        <v/>
      </c>
      <c r="E1275" t="str">
        <f>IF($A1275&lt;&gt;"",MAESTRO!$M1274,"")</f>
        <v/>
      </c>
      <c r="F1275" t="str">
        <f>IF($A1275&lt;&gt;"",MAESTRO!$J1274,"")</f>
        <v/>
      </c>
      <c r="G1275" t="str">
        <f>IF($A1275&lt;&gt;"",MAESTRO!$D1274,"")</f>
        <v/>
      </c>
      <c r="H1275" t="str">
        <f>IF($A1275&lt;&gt;"",IF(TRIM(MAESTRO!$G1274&amp;" "&amp;MAESTRO!$H1274&amp;" "&amp;MAESTRO!$I1274)="",MAESTRO!$F1274,TRIM(MAESTRO!$G1274&amp;" "&amp;MAESTRO!$H1274&amp;" "&amp;MAESTRO!$I1274)),"")</f>
        <v/>
      </c>
      <c r="I1275" t="str">
        <f>IF($A1275&lt;&gt;"",MAESTRO!$K1274,"")</f>
        <v/>
      </c>
      <c r="J1275" t="str">
        <f>IF($A1275&lt;&gt;"",1275,"")</f>
        <v/>
      </c>
    </row>
    <row r="1276" spans="1:10" x14ac:dyDescent="0.2">
      <c r="A1276" t="str">
        <f>IF(AND(UPPER(MAESTRO!$M1275)="VIP",UPPER(MAESTRO!$J1275)="SI",MAESTRO!$F1275&lt;&gt;""),MAESTRO!$P1275,"")</f>
        <v/>
      </c>
      <c r="B1276" t="str">
        <f>IF($A1276&lt;&gt;"",MAESTRO!$B1275,"")</f>
        <v/>
      </c>
      <c r="C1276" t="str">
        <f>IF($A1276&lt;&gt;"",MAESTRO!$A1275,"")</f>
        <v/>
      </c>
      <c r="D1276" t="str">
        <f>IF($A1276&lt;&gt;"",MAESTRO!$C1275,"")</f>
        <v/>
      </c>
      <c r="E1276" t="str">
        <f>IF($A1276&lt;&gt;"",MAESTRO!$M1275,"")</f>
        <v/>
      </c>
      <c r="F1276" t="str">
        <f>IF($A1276&lt;&gt;"",MAESTRO!$J1275,"")</f>
        <v/>
      </c>
      <c r="G1276" t="str">
        <f>IF($A1276&lt;&gt;"",MAESTRO!$D1275,"")</f>
        <v/>
      </c>
      <c r="H1276" t="str">
        <f>IF($A1276&lt;&gt;"",IF(TRIM(MAESTRO!$G1275&amp;" "&amp;MAESTRO!$H1275&amp;" "&amp;MAESTRO!$I1275)="",MAESTRO!$F1275,TRIM(MAESTRO!$G1275&amp;" "&amp;MAESTRO!$H1275&amp;" "&amp;MAESTRO!$I1275)),"")</f>
        <v/>
      </c>
      <c r="I1276" t="str">
        <f>IF($A1276&lt;&gt;"",MAESTRO!$K1275,"")</f>
        <v/>
      </c>
      <c r="J1276" t="str">
        <f>IF($A1276&lt;&gt;"",1276,"")</f>
        <v/>
      </c>
    </row>
    <row r="1277" spans="1:10" x14ac:dyDescent="0.2">
      <c r="A1277" t="str">
        <f>IF(AND(UPPER(MAESTRO!$M1276)="VIP",UPPER(MAESTRO!$J1276)="SI",MAESTRO!$F1276&lt;&gt;""),MAESTRO!$P1276,"")</f>
        <v/>
      </c>
      <c r="B1277" t="str">
        <f>IF($A1277&lt;&gt;"",MAESTRO!$B1276,"")</f>
        <v/>
      </c>
      <c r="C1277" t="str">
        <f>IF($A1277&lt;&gt;"",MAESTRO!$A1276,"")</f>
        <v/>
      </c>
      <c r="D1277" t="str">
        <f>IF($A1277&lt;&gt;"",MAESTRO!$C1276,"")</f>
        <v/>
      </c>
      <c r="E1277" t="str">
        <f>IF($A1277&lt;&gt;"",MAESTRO!$M1276,"")</f>
        <v/>
      </c>
      <c r="F1277" t="str">
        <f>IF($A1277&lt;&gt;"",MAESTRO!$J1276,"")</f>
        <v/>
      </c>
      <c r="G1277" t="str">
        <f>IF($A1277&lt;&gt;"",MAESTRO!$D1276,"")</f>
        <v/>
      </c>
      <c r="H1277" t="str">
        <f>IF($A1277&lt;&gt;"",IF(TRIM(MAESTRO!$G1276&amp;" "&amp;MAESTRO!$H1276&amp;" "&amp;MAESTRO!$I1276)="",MAESTRO!$F1276,TRIM(MAESTRO!$G1276&amp;" "&amp;MAESTRO!$H1276&amp;" "&amp;MAESTRO!$I1276)),"")</f>
        <v/>
      </c>
      <c r="I1277" t="str">
        <f>IF($A1277&lt;&gt;"",MAESTRO!$K1276,"")</f>
        <v/>
      </c>
      <c r="J1277" t="str">
        <f>IF($A1277&lt;&gt;"",1277,"")</f>
        <v/>
      </c>
    </row>
    <row r="1278" spans="1:10" x14ac:dyDescent="0.2">
      <c r="A1278" t="str">
        <f>IF(AND(UPPER(MAESTRO!$M1277)="VIP",UPPER(MAESTRO!$J1277)="SI",MAESTRO!$F1277&lt;&gt;""),MAESTRO!$P1277,"")</f>
        <v/>
      </c>
      <c r="B1278" t="str">
        <f>IF($A1278&lt;&gt;"",MAESTRO!$B1277,"")</f>
        <v/>
      </c>
      <c r="C1278" t="str">
        <f>IF($A1278&lt;&gt;"",MAESTRO!$A1277,"")</f>
        <v/>
      </c>
      <c r="D1278" t="str">
        <f>IF($A1278&lt;&gt;"",MAESTRO!$C1277,"")</f>
        <v/>
      </c>
      <c r="E1278" t="str">
        <f>IF($A1278&lt;&gt;"",MAESTRO!$M1277,"")</f>
        <v/>
      </c>
      <c r="F1278" t="str">
        <f>IF($A1278&lt;&gt;"",MAESTRO!$J1277,"")</f>
        <v/>
      </c>
      <c r="G1278" t="str">
        <f>IF($A1278&lt;&gt;"",MAESTRO!$D1277,"")</f>
        <v/>
      </c>
      <c r="H1278" t="str">
        <f>IF($A1278&lt;&gt;"",IF(TRIM(MAESTRO!$G1277&amp;" "&amp;MAESTRO!$H1277&amp;" "&amp;MAESTRO!$I1277)="",MAESTRO!$F1277,TRIM(MAESTRO!$G1277&amp;" "&amp;MAESTRO!$H1277&amp;" "&amp;MAESTRO!$I1277)),"")</f>
        <v/>
      </c>
      <c r="I1278" t="str">
        <f>IF($A1278&lt;&gt;"",MAESTRO!$K1277,"")</f>
        <v/>
      </c>
      <c r="J1278" t="str">
        <f>IF($A1278&lt;&gt;"",1278,"")</f>
        <v/>
      </c>
    </row>
    <row r="1279" spans="1:10" x14ac:dyDescent="0.2">
      <c r="A1279" t="str">
        <f>IF(AND(UPPER(MAESTRO!$M1278)="VIP",UPPER(MAESTRO!$J1278)="SI",MAESTRO!$F1278&lt;&gt;""),MAESTRO!$P1278,"")</f>
        <v/>
      </c>
      <c r="B1279" t="str">
        <f>IF($A1279&lt;&gt;"",MAESTRO!$B1278,"")</f>
        <v/>
      </c>
      <c r="C1279" t="str">
        <f>IF($A1279&lt;&gt;"",MAESTRO!$A1278,"")</f>
        <v/>
      </c>
      <c r="D1279" t="str">
        <f>IF($A1279&lt;&gt;"",MAESTRO!$C1278,"")</f>
        <v/>
      </c>
      <c r="E1279" t="str">
        <f>IF($A1279&lt;&gt;"",MAESTRO!$M1278,"")</f>
        <v/>
      </c>
      <c r="F1279" t="str">
        <f>IF($A1279&lt;&gt;"",MAESTRO!$J1278,"")</f>
        <v/>
      </c>
      <c r="G1279" t="str">
        <f>IF($A1279&lt;&gt;"",MAESTRO!$D1278,"")</f>
        <v/>
      </c>
      <c r="H1279" t="str">
        <f>IF($A1279&lt;&gt;"",IF(TRIM(MAESTRO!$G1278&amp;" "&amp;MAESTRO!$H1278&amp;" "&amp;MAESTRO!$I1278)="",MAESTRO!$F1278,TRIM(MAESTRO!$G1278&amp;" "&amp;MAESTRO!$H1278&amp;" "&amp;MAESTRO!$I1278)),"")</f>
        <v/>
      </c>
      <c r="I1279" t="str">
        <f>IF($A1279&lt;&gt;"",MAESTRO!$K1278,"")</f>
        <v/>
      </c>
      <c r="J1279" t="str">
        <f>IF($A1279&lt;&gt;"",1279,"")</f>
        <v/>
      </c>
    </row>
    <row r="1280" spans="1:10" x14ac:dyDescent="0.2">
      <c r="A1280" t="str">
        <f>IF(AND(UPPER(MAESTRO!$M1279)="VIP",UPPER(MAESTRO!$J1279)="SI",MAESTRO!$F1279&lt;&gt;""),MAESTRO!$P1279,"")</f>
        <v/>
      </c>
      <c r="B1280" t="str">
        <f>IF($A1280&lt;&gt;"",MAESTRO!$B1279,"")</f>
        <v/>
      </c>
      <c r="C1280" t="str">
        <f>IF($A1280&lt;&gt;"",MAESTRO!$A1279,"")</f>
        <v/>
      </c>
      <c r="D1280" t="str">
        <f>IF($A1280&lt;&gt;"",MAESTRO!$C1279,"")</f>
        <v/>
      </c>
      <c r="E1280" t="str">
        <f>IF($A1280&lt;&gt;"",MAESTRO!$M1279,"")</f>
        <v/>
      </c>
      <c r="F1280" t="str">
        <f>IF($A1280&lt;&gt;"",MAESTRO!$J1279,"")</f>
        <v/>
      </c>
      <c r="G1280" t="str">
        <f>IF($A1280&lt;&gt;"",MAESTRO!$D1279,"")</f>
        <v/>
      </c>
      <c r="H1280" t="str">
        <f>IF($A1280&lt;&gt;"",IF(TRIM(MAESTRO!$G1279&amp;" "&amp;MAESTRO!$H1279&amp;" "&amp;MAESTRO!$I1279)="",MAESTRO!$F1279,TRIM(MAESTRO!$G1279&amp;" "&amp;MAESTRO!$H1279&amp;" "&amp;MAESTRO!$I1279)),"")</f>
        <v/>
      </c>
      <c r="I1280" t="str">
        <f>IF($A1280&lt;&gt;"",MAESTRO!$K1279,"")</f>
        <v/>
      </c>
      <c r="J1280" t="str">
        <f>IF($A1280&lt;&gt;"",1280,"")</f>
        <v/>
      </c>
    </row>
    <row r="1281" spans="1:10" x14ac:dyDescent="0.2">
      <c r="A1281" t="str">
        <f>IF(AND(UPPER(MAESTRO!$M1280)="VIP",UPPER(MAESTRO!$J1280)="SI",MAESTRO!$F1280&lt;&gt;""),MAESTRO!$P1280,"")</f>
        <v/>
      </c>
      <c r="B1281" t="str">
        <f>IF($A1281&lt;&gt;"",MAESTRO!$B1280,"")</f>
        <v/>
      </c>
      <c r="C1281" t="str">
        <f>IF($A1281&lt;&gt;"",MAESTRO!$A1280,"")</f>
        <v/>
      </c>
      <c r="D1281" t="str">
        <f>IF($A1281&lt;&gt;"",MAESTRO!$C1280,"")</f>
        <v/>
      </c>
      <c r="E1281" t="str">
        <f>IF($A1281&lt;&gt;"",MAESTRO!$M1280,"")</f>
        <v/>
      </c>
      <c r="F1281" t="str">
        <f>IF($A1281&lt;&gt;"",MAESTRO!$J1280,"")</f>
        <v/>
      </c>
      <c r="G1281" t="str">
        <f>IF($A1281&lt;&gt;"",MAESTRO!$D1280,"")</f>
        <v/>
      </c>
      <c r="H1281" t="str">
        <f>IF($A1281&lt;&gt;"",IF(TRIM(MAESTRO!$G1280&amp;" "&amp;MAESTRO!$H1280&amp;" "&amp;MAESTRO!$I1280)="",MAESTRO!$F1280,TRIM(MAESTRO!$G1280&amp;" "&amp;MAESTRO!$H1280&amp;" "&amp;MAESTRO!$I1280)),"")</f>
        <v/>
      </c>
      <c r="I1281" t="str">
        <f>IF($A1281&lt;&gt;"",MAESTRO!$K1280,"")</f>
        <v/>
      </c>
      <c r="J1281" t="str">
        <f>IF($A1281&lt;&gt;"",1281,"")</f>
        <v/>
      </c>
    </row>
    <row r="1282" spans="1:10" x14ac:dyDescent="0.2">
      <c r="A1282" t="str">
        <f>IF(AND(UPPER(MAESTRO!$M1281)="VIP",UPPER(MAESTRO!$J1281)="SI",MAESTRO!$F1281&lt;&gt;""),MAESTRO!$P1281,"")</f>
        <v/>
      </c>
      <c r="B1282" t="str">
        <f>IF($A1282&lt;&gt;"",MAESTRO!$B1281,"")</f>
        <v/>
      </c>
      <c r="C1282" t="str">
        <f>IF($A1282&lt;&gt;"",MAESTRO!$A1281,"")</f>
        <v/>
      </c>
      <c r="D1282" t="str">
        <f>IF($A1282&lt;&gt;"",MAESTRO!$C1281,"")</f>
        <v/>
      </c>
      <c r="E1282" t="str">
        <f>IF($A1282&lt;&gt;"",MAESTRO!$M1281,"")</f>
        <v/>
      </c>
      <c r="F1282" t="str">
        <f>IF($A1282&lt;&gt;"",MAESTRO!$J1281,"")</f>
        <v/>
      </c>
      <c r="G1282" t="str">
        <f>IF($A1282&lt;&gt;"",MAESTRO!$D1281,"")</f>
        <v/>
      </c>
      <c r="H1282" t="str">
        <f>IF($A1282&lt;&gt;"",IF(TRIM(MAESTRO!$G1281&amp;" "&amp;MAESTRO!$H1281&amp;" "&amp;MAESTRO!$I1281)="",MAESTRO!$F1281,TRIM(MAESTRO!$G1281&amp;" "&amp;MAESTRO!$H1281&amp;" "&amp;MAESTRO!$I1281)),"")</f>
        <v/>
      </c>
      <c r="I1282" t="str">
        <f>IF($A1282&lt;&gt;"",MAESTRO!$K1281,"")</f>
        <v/>
      </c>
      <c r="J1282" t="str">
        <f>IF($A1282&lt;&gt;"",1282,"")</f>
        <v/>
      </c>
    </row>
    <row r="1283" spans="1:10" x14ac:dyDescent="0.2">
      <c r="A1283" t="str">
        <f>IF(AND(UPPER(MAESTRO!$M1282)="VIP",UPPER(MAESTRO!$J1282)="SI",MAESTRO!$F1282&lt;&gt;""),MAESTRO!$P1282,"")</f>
        <v/>
      </c>
      <c r="B1283" t="str">
        <f>IF($A1283&lt;&gt;"",MAESTRO!$B1282,"")</f>
        <v/>
      </c>
      <c r="C1283" t="str">
        <f>IF($A1283&lt;&gt;"",MAESTRO!$A1282,"")</f>
        <v/>
      </c>
      <c r="D1283" t="str">
        <f>IF($A1283&lt;&gt;"",MAESTRO!$C1282,"")</f>
        <v/>
      </c>
      <c r="E1283" t="str">
        <f>IF($A1283&lt;&gt;"",MAESTRO!$M1282,"")</f>
        <v/>
      </c>
      <c r="F1283" t="str">
        <f>IF($A1283&lt;&gt;"",MAESTRO!$J1282,"")</f>
        <v/>
      </c>
      <c r="G1283" t="str">
        <f>IF($A1283&lt;&gt;"",MAESTRO!$D1282,"")</f>
        <v/>
      </c>
      <c r="H1283" t="str">
        <f>IF($A1283&lt;&gt;"",IF(TRIM(MAESTRO!$G1282&amp;" "&amp;MAESTRO!$H1282&amp;" "&amp;MAESTRO!$I1282)="",MAESTRO!$F1282,TRIM(MAESTRO!$G1282&amp;" "&amp;MAESTRO!$H1282&amp;" "&amp;MAESTRO!$I1282)),"")</f>
        <v/>
      </c>
      <c r="I1283" t="str">
        <f>IF($A1283&lt;&gt;"",MAESTRO!$K1282,"")</f>
        <v/>
      </c>
      <c r="J1283" t="str">
        <f>IF($A1283&lt;&gt;"",1283,"")</f>
        <v/>
      </c>
    </row>
    <row r="1284" spans="1:10" x14ac:dyDescent="0.2">
      <c r="A1284" t="str">
        <f>IF(AND(UPPER(MAESTRO!$M1283)="VIP",UPPER(MAESTRO!$J1283)="SI",MAESTRO!$F1283&lt;&gt;""),MAESTRO!$P1283,"")</f>
        <v/>
      </c>
      <c r="B1284" t="str">
        <f>IF($A1284&lt;&gt;"",MAESTRO!$B1283,"")</f>
        <v/>
      </c>
      <c r="C1284" t="str">
        <f>IF($A1284&lt;&gt;"",MAESTRO!$A1283,"")</f>
        <v/>
      </c>
      <c r="D1284" t="str">
        <f>IF($A1284&lt;&gt;"",MAESTRO!$C1283,"")</f>
        <v/>
      </c>
      <c r="E1284" t="str">
        <f>IF($A1284&lt;&gt;"",MAESTRO!$M1283,"")</f>
        <v/>
      </c>
      <c r="F1284" t="str">
        <f>IF($A1284&lt;&gt;"",MAESTRO!$J1283,"")</f>
        <v/>
      </c>
      <c r="G1284" t="str">
        <f>IF($A1284&lt;&gt;"",MAESTRO!$D1283,"")</f>
        <v/>
      </c>
      <c r="H1284" t="str">
        <f>IF($A1284&lt;&gt;"",IF(TRIM(MAESTRO!$G1283&amp;" "&amp;MAESTRO!$H1283&amp;" "&amp;MAESTRO!$I1283)="",MAESTRO!$F1283,TRIM(MAESTRO!$G1283&amp;" "&amp;MAESTRO!$H1283&amp;" "&amp;MAESTRO!$I1283)),"")</f>
        <v/>
      </c>
      <c r="I1284" t="str">
        <f>IF($A1284&lt;&gt;"",MAESTRO!$K1283,"")</f>
        <v/>
      </c>
      <c r="J1284" t="str">
        <f>IF($A1284&lt;&gt;"",1284,"")</f>
        <v/>
      </c>
    </row>
    <row r="1285" spans="1:10" x14ac:dyDescent="0.2">
      <c r="A1285" t="str">
        <f>IF(AND(UPPER(MAESTRO!$M1284)="VIP",UPPER(MAESTRO!$J1284)="SI",MAESTRO!$F1284&lt;&gt;""),MAESTRO!$P1284,"")</f>
        <v/>
      </c>
      <c r="B1285" t="str">
        <f>IF($A1285&lt;&gt;"",MAESTRO!$B1284,"")</f>
        <v/>
      </c>
      <c r="C1285" t="str">
        <f>IF($A1285&lt;&gt;"",MAESTRO!$A1284,"")</f>
        <v/>
      </c>
      <c r="D1285" t="str">
        <f>IF($A1285&lt;&gt;"",MAESTRO!$C1284,"")</f>
        <v/>
      </c>
      <c r="E1285" t="str">
        <f>IF($A1285&lt;&gt;"",MAESTRO!$M1284,"")</f>
        <v/>
      </c>
      <c r="F1285" t="str">
        <f>IF($A1285&lt;&gt;"",MAESTRO!$J1284,"")</f>
        <v/>
      </c>
      <c r="G1285" t="str">
        <f>IF($A1285&lt;&gt;"",MAESTRO!$D1284,"")</f>
        <v/>
      </c>
      <c r="H1285" t="str">
        <f>IF($A1285&lt;&gt;"",IF(TRIM(MAESTRO!$G1284&amp;" "&amp;MAESTRO!$H1284&amp;" "&amp;MAESTRO!$I1284)="",MAESTRO!$F1284,TRIM(MAESTRO!$G1284&amp;" "&amp;MAESTRO!$H1284&amp;" "&amp;MAESTRO!$I1284)),"")</f>
        <v/>
      </c>
      <c r="I1285" t="str">
        <f>IF($A1285&lt;&gt;"",MAESTRO!$K1284,"")</f>
        <v/>
      </c>
      <c r="J1285" t="str">
        <f>IF($A1285&lt;&gt;"",1285,"")</f>
        <v/>
      </c>
    </row>
    <row r="1286" spans="1:10" x14ac:dyDescent="0.2">
      <c r="A1286" t="str">
        <f>IF(AND(UPPER(MAESTRO!$M1285)="VIP",UPPER(MAESTRO!$J1285)="SI",MAESTRO!$F1285&lt;&gt;""),MAESTRO!$P1285,"")</f>
        <v/>
      </c>
      <c r="B1286" t="str">
        <f>IF($A1286&lt;&gt;"",MAESTRO!$B1285,"")</f>
        <v/>
      </c>
      <c r="C1286" t="str">
        <f>IF($A1286&lt;&gt;"",MAESTRO!$A1285,"")</f>
        <v/>
      </c>
      <c r="D1286" t="str">
        <f>IF($A1286&lt;&gt;"",MAESTRO!$C1285,"")</f>
        <v/>
      </c>
      <c r="E1286" t="str">
        <f>IF($A1286&lt;&gt;"",MAESTRO!$M1285,"")</f>
        <v/>
      </c>
      <c r="F1286" t="str">
        <f>IF($A1286&lt;&gt;"",MAESTRO!$J1285,"")</f>
        <v/>
      </c>
      <c r="G1286" t="str">
        <f>IF($A1286&lt;&gt;"",MAESTRO!$D1285,"")</f>
        <v/>
      </c>
      <c r="H1286" t="str">
        <f>IF($A1286&lt;&gt;"",IF(TRIM(MAESTRO!$G1285&amp;" "&amp;MAESTRO!$H1285&amp;" "&amp;MAESTRO!$I1285)="",MAESTRO!$F1285,TRIM(MAESTRO!$G1285&amp;" "&amp;MAESTRO!$H1285&amp;" "&amp;MAESTRO!$I1285)),"")</f>
        <v/>
      </c>
      <c r="I1286" t="str">
        <f>IF($A1286&lt;&gt;"",MAESTRO!$K1285,"")</f>
        <v/>
      </c>
      <c r="J1286" t="str">
        <f>IF($A1286&lt;&gt;"",1286,"")</f>
        <v/>
      </c>
    </row>
    <row r="1287" spans="1:10" x14ac:dyDescent="0.2">
      <c r="A1287" t="str">
        <f>IF(AND(UPPER(MAESTRO!$M1286)="VIP",UPPER(MAESTRO!$J1286)="SI",MAESTRO!$F1286&lt;&gt;""),MAESTRO!$P1286,"")</f>
        <v/>
      </c>
      <c r="B1287" t="str">
        <f>IF($A1287&lt;&gt;"",MAESTRO!$B1286,"")</f>
        <v/>
      </c>
      <c r="C1287" t="str">
        <f>IF($A1287&lt;&gt;"",MAESTRO!$A1286,"")</f>
        <v/>
      </c>
      <c r="D1287" t="str">
        <f>IF($A1287&lt;&gt;"",MAESTRO!$C1286,"")</f>
        <v/>
      </c>
      <c r="E1287" t="str">
        <f>IF($A1287&lt;&gt;"",MAESTRO!$M1286,"")</f>
        <v/>
      </c>
      <c r="F1287" t="str">
        <f>IF($A1287&lt;&gt;"",MAESTRO!$J1286,"")</f>
        <v/>
      </c>
      <c r="G1287" t="str">
        <f>IF($A1287&lt;&gt;"",MAESTRO!$D1286,"")</f>
        <v/>
      </c>
      <c r="H1287" t="str">
        <f>IF($A1287&lt;&gt;"",IF(TRIM(MAESTRO!$G1286&amp;" "&amp;MAESTRO!$H1286&amp;" "&amp;MAESTRO!$I1286)="",MAESTRO!$F1286,TRIM(MAESTRO!$G1286&amp;" "&amp;MAESTRO!$H1286&amp;" "&amp;MAESTRO!$I1286)),"")</f>
        <v/>
      </c>
      <c r="I1287" t="str">
        <f>IF($A1287&lt;&gt;"",MAESTRO!$K1286,"")</f>
        <v/>
      </c>
      <c r="J1287" t="str">
        <f>IF($A1287&lt;&gt;"",1287,"")</f>
        <v/>
      </c>
    </row>
    <row r="1288" spans="1:10" x14ac:dyDescent="0.2">
      <c r="A1288" t="str">
        <f>IF(AND(UPPER(MAESTRO!$M1287)="VIP",UPPER(MAESTRO!$J1287)="SI",MAESTRO!$F1287&lt;&gt;""),MAESTRO!$P1287,"")</f>
        <v/>
      </c>
      <c r="B1288" t="str">
        <f>IF($A1288&lt;&gt;"",MAESTRO!$B1287,"")</f>
        <v/>
      </c>
      <c r="C1288" t="str">
        <f>IF($A1288&lt;&gt;"",MAESTRO!$A1287,"")</f>
        <v/>
      </c>
      <c r="D1288" t="str">
        <f>IF($A1288&lt;&gt;"",MAESTRO!$C1287,"")</f>
        <v/>
      </c>
      <c r="E1288" t="str">
        <f>IF($A1288&lt;&gt;"",MAESTRO!$M1287,"")</f>
        <v/>
      </c>
      <c r="F1288" t="str">
        <f>IF($A1288&lt;&gt;"",MAESTRO!$J1287,"")</f>
        <v/>
      </c>
      <c r="G1288" t="str">
        <f>IF($A1288&lt;&gt;"",MAESTRO!$D1287,"")</f>
        <v/>
      </c>
      <c r="H1288" t="str">
        <f>IF($A1288&lt;&gt;"",IF(TRIM(MAESTRO!$G1287&amp;" "&amp;MAESTRO!$H1287&amp;" "&amp;MAESTRO!$I1287)="",MAESTRO!$F1287,TRIM(MAESTRO!$G1287&amp;" "&amp;MAESTRO!$H1287&amp;" "&amp;MAESTRO!$I1287)),"")</f>
        <v/>
      </c>
      <c r="I1288" t="str">
        <f>IF($A1288&lt;&gt;"",MAESTRO!$K1287,"")</f>
        <v/>
      </c>
      <c r="J1288" t="str">
        <f>IF($A1288&lt;&gt;"",1288,"")</f>
        <v/>
      </c>
    </row>
    <row r="1289" spans="1:10" x14ac:dyDescent="0.2">
      <c r="A1289" t="str">
        <f>IF(AND(UPPER(MAESTRO!$M1288)="VIP",UPPER(MAESTRO!$J1288)="SI",MAESTRO!$F1288&lt;&gt;""),MAESTRO!$P1288,"")</f>
        <v/>
      </c>
      <c r="B1289" t="str">
        <f>IF($A1289&lt;&gt;"",MAESTRO!$B1288,"")</f>
        <v/>
      </c>
      <c r="C1289" t="str">
        <f>IF($A1289&lt;&gt;"",MAESTRO!$A1288,"")</f>
        <v/>
      </c>
      <c r="D1289" t="str">
        <f>IF($A1289&lt;&gt;"",MAESTRO!$C1288,"")</f>
        <v/>
      </c>
      <c r="E1289" t="str">
        <f>IF($A1289&lt;&gt;"",MAESTRO!$M1288,"")</f>
        <v/>
      </c>
      <c r="F1289" t="str">
        <f>IF($A1289&lt;&gt;"",MAESTRO!$J1288,"")</f>
        <v/>
      </c>
      <c r="G1289" t="str">
        <f>IF($A1289&lt;&gt;"",MAESTRO!$D1288,"")</f>
        <v/>
      </c>
      <c r="H1289" t="str">
        <f>IF($A1289&lt;&gt;"",IF(TRIM(MAESTRO!$G1288&amp;" "&amp;MAESTRO!$H1288&amp;" "&amp;MAESTRO!$I1288)="",MAESTRO!$F1288,TRIM(MAESTRO!$G1288&amp;" "&amp;MAESTRO!$H1288&amp;" "&amp;MAESTRO!$I1288)),"")</f>
        <v/>
      </c>
      <c r="I1289" t="str">
        <f>IF($A1289&lt;&gt;"",MAESTRO!$K1288,"")</f>
        <v/>
      </c>
      <c r="J1289" t="str">
        <f>IF($A1289&lt;&gt;"",1289,"")</f>
        <v/>
      </c>
    </row>
    <row r="1290" spans="1:10" x14ac:dyDescent="0.2">
      <c r="A1290" t="str">
        <f>IF(AND(UPPER(MAESTRO!$M1289)="VIP",UPPER(MAESTRO!$J1289)="SI",MAESTRO!$F1289&lt;&gt;""),MAESTRO!$P1289,"")</f>
        <v/>
      </c>
      <c r="B1290" t="str">
        <f>IF($A1290&lt;&gt;"",MAESTRO!$B1289,"")</f>
        <v/>
      </c>
      <c r="C1290" t="str">
        <f>IF($A1290&lt;&gt;"",MAESTRO!$A1289,"")</f>
        <v/>
      </c>
      <c r="D1290" t="str">
        <f>IF($A1290&lt;&gt;"",MAESTRO!$C1289,"")</f>
        <v/>
      </c>
      <c r="E1290" t="str">
        <f>IF($A1290&lt;&gt;"",MAESTRO!$M1289,"")</f>
        <v/>
      </c>
      <c r="F1290" t="str">
        <f>IF($A1290&lt;&gt;"",MAESTRO!$J1289,"")</f>
        <v/>
      </c>
      <c r="G1290" t="str">
        <f>IF($A1290&lt;&gt;"",MAESTRO!$D1289,"")</f>
        <v/>
      </c>
      <c r="H1290" t="str">
        <f>IF($A1290&lt;&gt;"",IF(TRIM(MAESTRO!$G1289&amp;" "&amp;MAESTRO!$H1289&amp;" "&amp;MAESTRO!$I1289)="",MAESTRO!$F1289,TRIM(MAESTRO!$G1289&amp;" "&amp;MAESTRO!$H1289&amp;" "&amp;MAESTRO!$I1289)),"")</f>
        <v/>
      </c>
      <c r="I1290" t="str">
        <f>IF($A1290&lt;&gt;"",MAESTRO!$K1289,"")</f>
        <v/>
      </c>
      <c r="J1290" t="str">
        <f>IF($A1290&lt;&gt;"",1290,"")</f>
        <v/>
      </c>
    </row>
    <row r="1291" spans="1:10" x14ac:dyDescent="0.2">
      <c r="A1291" t="str">
        <f>IF(AND(UPPER(MAESTRO!$M1290)="VIP",UPPER(MAESTRO!$J1290)="SI",MAESTRO!$F1290&lt;&gt;""),MAESTRO!$P1290,"")</f>
        <v/>
      </c>
      <c r="B1291" t="str">
        <f>IF($A1291&lt;&gt;"",MAESTRO!$B1290,"")</f>
        <v/>
      </c>
      <c r="C1291" t="str">
        <f>IF($A1291&lt;&gt;"",MAESTRO!$A1290,"")</f>
        <v/>
      </c>
      <c r="D1291" t="str">
        <f>IF($A1291&lt;&gt;"",MAESTRO!$C1290,"")</f>
        <v/>
      </c>
      <c r="E1291" t="str">
        <f>IF($A1291&lt;&gt;"",MAESTRO!$M1290,"")</f>
        <v/>
      </c>
      <c r="F1291" t="str">
        <f>IF($A1291&lt;&gt;"",MAESTRO!$J1290,"")</f>
        <v/>
      </c>
      <c r="G1291" t="str">
        <f>IF($A1291&lt;&gt;"",MAESTRO!$D1290,"")</f>
        <v/>
      </c>
      <c r="H1291" t="str">
        <f>IF($A1291&lt;&gt;"",IF(TRIM(MAESTRO!$G1290&amp;" "&amp;MAESTRO!$H1290&amp;" "&amp;MAESTRO!$I1290)="",MAESTRO!$F1290,TRIM(MAESTRO!$G1290&amp;" "&amp;MAESTRO!$H1290&amp;" "&amp;MAESTRO!$I1290)),"")</f>
        <v/>
      </c>
      <c r="I1291" t="str">
        <f>IF($A1291&lt;&gt;"",MAESTRO!$K1290,"")</f>
        <v/>
      </c>
      <c r="J1291" t="str">
        <f>IF($A1291&lt;&gt;"",1291,"")</f>
        <v/>
      </c>
    </row>
    <row r="1292" spans="1:10" x14ac:dyDescent="0.2">
      <c r="A1292" t="str">
        <f>IF(AND(UPPER(MAESTRO!$M1291)="VIP",UPPER(MAESTRO!$J1291)="SI",MAESTRO!$F1291&lt;&gt;""),MAESTRO!$P1291,"")</f>
        <v/>
      </c>
      <c r="B1292" t="str">
        <f>IF($A1292&lt;&gt;"",MAESTRO!$B1291,"")</f>
        <v/>
      </c>
      <c r="C1292" t="str">
        <f>IF($A1292&lt;&gt;"",MAESTRO!$A1291,"")</f>
        <v/>
      </c>
      <c r="D1292" t="str">
        <f>IF($A1292&lt;&gt;"",MAESTRO!$C1291,"")</f>
        <v/>
      </c>
      <c r="E1292" t="str">
        <f>IF($A1292&lt;&gt;"",MAESTRO!$M1291,"")</f>
        <v/>
      </c>
      <c r="F1292" t="str">
        <f>IF($A1292&lt;&gt;"",MAESTRO!$J1291,"")</f>
        <v/>
      </c>
      <c r="G1292" t="str">
        <f>IF($A1292&lt;&gt;"",MAESTRO!$D1291,"")</f>
        <v/>
      </c>
      <c r="H1292" t="str">
        <f>IF($A1292&lt;&gt;"",IF(TRIM(MAESTRO!$G1291&amp;" "&amp;MAESTRO!$H1291&amp;" "&amp;MAESTRO!$I1291)="",MAESTRO!$F1291,TRIM(MAESTRO!$G1291&amp;" "&amp;MAESTRO!$H1291&amp;" "&amp;MAESTRO!$I1291)),"")</f>
        <v/>
      </c>
      <c r="I1292" t="str">
        <f>IF($A1292&lt;&gt;"",MAESTRO!$K1291,"")</f>
        <v/>
      </c>
      <c r="J1292" t="str">
        <f>IF($A1292&lt;&gt;"",1292,"")</f>
        <v/>
      </c>
    </row>
    <row r="1293" spans="1:10" x14ac:dyDescent="0.2">
      <c r="A1293" t="str">
        <f>IF(AND(UPPER(MAESTRO!$M1292)="VIP",UPPER(MAESTRO!$J1292)="SI",MAESTRO!$F1292&lt;&gt;""),MAESTRO!$P1292,"")</f>
        <v/>
      </c>
      <c r="B1293" t="str">
        <f>IF($A1293&lt;&gt;"",MAESTRO!$B1292,"")</f>
        <v/>
      </c>
      <c r="C1293" t="str">
        <f>IF($A1293&lt;&gt;"",MAESTRO!$A1292,"")</f>
        <v/>
      </c>
      <c r="D1293" t="str">
        <f>IF($A1293&lt;&gt;"",MAESTRO!$C1292,"")</f>
        <v/>
      </c>
      <c r="E1293" t="str">
        <f>IF($A1293&lt;&gt;"",MAESTRO!$M1292,"")</f>
        <v/>
      </c>
      <c r="F1293" t="str">
        <f>IF($A1293&lt;&gt;"",MAESTRO!$J1292,"")</f>
        <v/>
      </c>
      <c r="G1293" t="str">
        <f>IF($A1293&lt;&gt;"",MAESTRO!$D1292,"")</f>
        <v/>
      </c>
      <c r="H1293" t="str">
        <f>IF($A1293&lt;&gt;"",IF(TRIM(MAESTRO!$G1292&amp;" "&amp;MAESTRO!$H1292&amp;" "&amp;MAESTRO!$I1292)="",MAESTRO!$F1292,TRIM(MAESTRO!$G1292&amp;" "&amp;MAESTRO!$H1292&amp;" "&amp;MAESTRO!$I1292)),"")</f>
        <v/>
      </c>
      <c r="I1293" t="str">
        <f>IF($A1293&lt;&gt;"",MAESTRO!$K1292,"")</f>
        <v/>
      </c>
      <c r="J1293" t="str">
        <f>IF($A1293&lt;&gt;"",1293,"")</f>
        <v/>
      </c>
    </row>
    <row r="1294" spans="1:10" x14ac:dyDescent="0.2">
      <c r="A1294" t="str">
        <f>IF(AND(UPPER(MAESTRO!$M1293)="VIP",UPPER(MAESTRO!$J1293)="SI",MAESTRO!$F1293&lt;&gt;""),MAESTRO!$P1293,"")</f>
        <v/>
      </c>
      <c r="B1294" t="str">
        <f>IF($A1294&lt;&gt;"",MAESTRO!$B1293,"")</f>
        <v/>
      </c>
      <c r="C1294" t="str">
        <f>IF($A1294&lt;&gt;"",MAESTRO!$A1293,"")</f>
        <v/>
      </c>
      <c r="D1294" t="str">
        <f>IF($A1294&lt;&gt;"",MAESTRO!$C1293,"")</f>
        <v/>
      </c>
      <c r="E1294" t="str">
        <f>IF($A1294&lt;&gt;"",MAESTRO!$M1293,"")</f>
        <v/>
      </c>
      <c r="F1294" t="str">
        <f>IF($A1294&lt;&gt;"",MAESTRO!$J1293,"")</f>
        <v/>
      </c>
      <c r="G1294" t="str">
        <f>IF($A1294&lt;&gt;"",MAESTRO!$D1293,"")</f>
        <v/>
      </c>
      <c r="H1294" t="str">
        <f>IF($A1294&lt;&gt;"",IF(TRIM(MAESTRO!$G1293&amp;" "&amp;MAESTRO!$H1293&amp;" "&amp;MAESTRO!$I1293)="",MAESTRO!$F1293,TRIM(MAESTRO!$G1293&amp;" "&amp;MAESTRO!$H1293&amp;" "&amp;MAESTRO!$I1293)),"")</f>
        <v/>
      </c>
      <c r="I1294" t="str">
        <f>IF($A1294&lt;&gt;"",MAESTRO!$K1293,"")</f>
        <v/>
      </c>
      <c r="J1294" t="str">
        <f>IF($A1294&lt;&gt;"",1294,"")</f>
        <v/>
      </c>
    </row>
    <row r="1295" spans="1:10" x14ac:dyDescent="0.2">
      <c r="A1295" t="str">
        <f>IF(AND(UPPER(MAESTRO!$M1294)="VIP",UPPER(MAESTRO!$J1294)="SI",MAESTRO!$F1294&lt;&gt;""),MAESTRO!$P1294,"")</f>
        <v/>
      </c>
      <c r="B1295" t="str">
        <f>IF($A1295&lt;&gt;"",MAESTRO!$B1294,"")</f>
        <v/>
      </c>
      <c r="C1295" t="str">
        <f>IF($A1295&lt;&gt;"",MAESTRO!$A1294,"")</f>
        <v/>
      </c>
      <c r="D1295" t="str">
        <f>IF($A1295&lt;&gt;"",MAESTRO!$C1294,"")</f>
        <v/>
      </c>
      <c r="E1295" t="str">
        <f>IF($A1295&lt;&gt;"",MAESTRO!$M1294,"")</f>
        <v/>
      </c>
      <c r="F1295" t="str">
        <f>IF($A1295&lt;&gt;"",MAESTRO!$J1294,"")</f>
        <v/>
      </c>
      <c r="G1295" t="str">
        <f>IF($A1295&lt;&gt;"",MAESTRO!$D1294,"")</f>
        <v/>
      </c>
      <c r="H1295" t="str">
        <f>IF($A1295&lt;&gt;"",IF(TRIM(MAESTRO!$G1294&amp;" "&amp;MAESTRO!$H1294&amp;" "&amp;MAESTRO!$I1294)="",MAESTRO!$F1294,TRIM(MAESTRO!$G1294&amp;" "&amp;MAESTRO!$H1294&amp;" "&amp;MAESTRO!$I1294)),"")</f>
        <v/>
      </c>
      <c r="I1295" t="str">
        <f>IF($A1295&lt;&gt;"",MAESTRO!$K1294,"")</f>
        <v/>
      </c>
      <c r="J1295" t="str">
        <f>IF($A1295&lt;&gt;"",1295,"")</f>
        <v/>
      </c>
    </row>
    <row r="1296" spans="1:10" x14ac:dyDescent="0.2">
      <c r="A1296" t="str">
        <f>IF(AND(UPPER(MAESTRO!$M1295)="VIP",UPPER(MAESTRO!$J1295)="SI",MAESTRO!$F1295&lt;&gt;""),MAESTRO!$P1295,"")</f>
        <v/>
      </c>
      <c r="B1296" t="str">
        <f>IF($A1296&lt;&gt;"",MAESTRO!$B1295,"")</f>
        <v/>
      </c>
      <c r="C1296" t="str">
        <f>IF($A1296&lt;&gt;"",MAESTRO!$A1295,"")</f>
        <v/>
      </c>
      <c r="D1296" t="str">
        <f>IF($A1296&lt;&gt;"",MAESTRO!$C1295,"")</f>
        <v/>
      </c>
      <c r="E1296" t="str">
        <f>IF($A1296&lt;&gt;"",MAESTRO!$M1295,"")</f>
        <v/>
      </c>
      <c r="F1296" t="str">
        <f>IF($A1296&lt;&gt;"",MAESTRO!$J1295,"")</f>
        <v/>
      </c>
      <c r="G1296" t="str">
        <f>IF($A1296&lt;&gt;"",MAESTRO!$D1295,"")</f>
        <v/>
      </c>
      <c r="H1296" t="str">
        <f>IF($A1296&lt;&gt;"",IF(TRIM(MAESTRO!$G1295&amp;" "&amp;MAESTRO!$H1295&amp;" "&amp;MAESTRO!$I1295)="",MAESTRO!$F1295,TRIM(MAESTRO!$G1295&amp;" "&amp;MAESTRO!$H1295&amp;" "&amp;MAESTRO!$I1295)),"")</f>
        <v/>
      </c>
      <c r="I1296" t="str">
        <f>IF($A1296&lt;&gt;"",MAESTRO!$K1295,"")</f>
        <v/>
      </c>
      <c r="J1296" t="str">
        <f>IF($A1296&lt;&gt;"",1296,"")</f>
        <v/>
      </c>
    </row>
    <row r="1297" spans="1:10" x14ac:dyDescent="0.2">
      <c r="A1297" t="str">
        <f>IF(AND(UPPER(MAESTRO!$M1296)="VIP",UPPER(MAESTRO!$J1296)="SI",MAESTRO!$F1296&lt;&gt;""),MAESTRO!$P1296,"")</f>
        <v/>
      </c>
      <c r="B1297" t="str">
        <f>IF($A1297&lt;&gt;"",MAESTRO!$B1296,"")</f>
        <v/>
      </c>
      <c r="C1297" t="str">
        <f>IF($A1297&lt;&gt;"",MAESTRO!$A1296,"")</f>
        <v/>
      </c>
      <c r="D1297" t="str">
        <f>IF($A1297&lt;&gt;"",MAESTRO!$C1296,"")</f>
        <v/>
      </c>
      <c r="E1297" t="str">
        <f>IF($A1297&lt;&gt;"",MAESTRO!$M1296,"")</f>
        <v/>
      </c>
      <c r="F1297" t="str">
        <f>IF($A1297&lt;&gt;"",MAESTRO!$J1296,"")</f>
        <v/>
      </c>
      <c r="G1297" t="str">
        <f>IF($A1297&lt;&gt;"",MAESTRO!$D1296,"")</f>
        <v/>
      </c>
      <c r="H1297" t="str">
        <f>IF($A1297&lt;&gt;"",IF(TRIM(MAESTRO!$G1296&amp;" "&amp;MAESTRO!$H1296&amp;" "&amp;MAESTRO!$I1296)="",MAESTRO!$F1296,TRIM(MAESTRO!$G1296&amp;" "&amp;MAESTRO!$H1296&amp;" "&amp;MAESTRO!$I1296)),"")</f>
        <v/>
      </c>
      <c r="I1297" t="str">
        <f>IF($A1297&lt;&gt;"",MAESTRO!$K1296,"")</f>
        <v/>
      </c>
      <c r="J1297" t="str">
        <f>IF($A1297&lt;&gt;"",1297,"")</f>
        <v/>
      </c>
    </row>
    <row r="1298" spans="1:10" x14ac:dyDescent="0.2">
      <c r="A1298" t="str">
        <f>IF(AND(UPPER(MAESTRO!$M1297)="VIP",UPPER(MAESTRO!$J1297)="SI",MAESTRO!$F1297&lt;&gt;""),MAESTRO!$P1297,"")</f>
        <v/>
      </c>
      <c r="B1298" t="str">
        <f>IF($A1298&lt;&gt;"",MAESTRO!$B1297,"")</f>
        <v/>
      </c>
      <c r="C1298" t="str">
        <f>IF($A1298&lt;&gt;"",MAESTRO!$A1297,"")</f>
        <v/>
      </c>
      <c r="D1298" t="str">
        <f>IF($A1298&lt;&gt;"",MAESTRO!$C1297,"")</f>
        <v/>
      </c>
      <c r="E1298" t="str">
        <f>IF($A1298&lt;&gt;"",MAESTRO!$M1297,"")</f>
        <v/>
      </c>
      <c r="F1298" t="str">
        <f>IF($A1298&lt;&gt;"",MAESTRO!$J1297,"")</f>
        <v/>
      </c>
      <c r="G1298" t="str">
        <f>IF($A1298&lt;&gt;"",MAESTRO!$D1297,"")</f>
        <v/>
      </c>
      <c r="H1298" t="str">
        <f>IF($A1298&lt;&gt;"",IF(TRIM(MAESTRO!$G1297&amp;" "&amp;MAESTRO!$H1297&amp;" "&amp;MAESTRO!$I1297)="",MAESTRO!$F1297,TRIM(MAESTRO!$G1297&amp;" "&amp;MAESTRO!$H1297&amp;" "&amp;MAESTRO!$I1297)),"")</f>
        <v/>
      </c>
      <c r="I1298" t="str">
        <f>IF($A1298&lt;&gt;"",MAESTRO!$K1297,"")</f>
        <v/>
      </c>
      <c r="J1298" t="str">
        <f>IF($A1298&lt;&gt;"",1298,"")</f>
        <v/>
      </c>
    </row>
    <row r="1299" spans="1:10" x14ac:dyDescent="0.2">
      <c r="A1299" t="str">
        <f>IF(AND(UPPER(MAESTRO!$M1298)="VIP",UPPER(MAESTRO!$J1298)="SI",MAESTRO!$F1298&lt;&gt;""),MAESTRO!$P1298,"")</f>
        <v/>
      </c>
      <c r="B1299" t="str">
        <f>IF($A1299&lt;&gt;"",MAESTRO!$B1298,"")</f>
        <v/>
      </c>
      <c r="C1299" t="str">
        <f>IF($A1299&lt;&gt;"",MAESTRO!$A1298,"")</f>
        <v/>
      </c>
      <c r="D1299" t="str">
        <f>IF($A1299&lt;&gt;"",MAESTRO!$C1298,"")</f>
        <v/>
      </c>
      <c r="E1299" t="str">
        <f>IF($A1299&lt;&gt;"",MAESTRO!$M1298,"")</f>
        <v/>
      </c>
      <c r="F1299" t="str">
        <f>IF($A1299&lt;&gt;"",MAESTRO!$J1298,"")</f>
        <v/>
      </c>
      <c r="G1299" t="str">
        <f>IF($A1299&lt;&gt;"",MAESTRO!$D1298,"")</f>
        <v/>
      </c>
      <c r="H1299" t="str">
        <f>IF($A1299&lt;&gt;"",IF(TRIM(MAESTRO!$G1298&amp;" "&amp;MAESTRO!$H1298&amp;" "&amp;MAESTRO!$I1298)="",MAESTRO!$F1298,TRIM(MAESTRO!$G1298&amp;" "&amp;MAESTRO!$H1298&amp;" "&amp;MAESTRO!$I1298)),"")</f>
        <v/>
      </c>
      <c r="I1299" t="str">
        <f>IF($A1299&lt;&gt;"",MAESTRO!$K1298,"")</f>
        <v/>
      </c>
      <c r="J1299" t="str">
        <f>IF($A1299&lt;&gt;"",1299,"")</f>
        <v/>
      </c>
    </row>
    <row r="1300" spans="1:10" x14ac:dyDescent="0.2">
      <c r="A1300" t="str">
        <f>IF(AND(UPPER(MAESTRO!$M1299)="VIP",UPPER(MAESTRO!$J1299)="SI",MAESTRO!$F1299&lt;&gt;""),MAESTRO!$P1299,"")</f>
        <v/>
      </c>
      <c r="B1300" t="str">
        <f>IF($A1300&lt;&gt;"",MAESTRO!$B1299,"")</f>
        <v/>
      </c>
      <c r="C1300" t="str">
        <f>IF($A1300&lt;&gt;"",MAESTRO!$A1299,"")</f>
        <v/>
      </c>
      <c r="D1300" t="str">
        <f>IF($A1300&lt;&gt;"",MAESTRO!$C1299,"")</f>
        <v/>
      </c>
      <c r="E1300" t="str">
        <f>IF($A1300&lt;&gt;"",MAESTRO!$M1299,"")</f>
        <v/>
      </c>
      <c r="F1300" t="str">
        <f>IF($A1300&lt;&gt;"",MAESTRO!$J1299,"")</f>
        <v/>
      </c>
      <c r="G1300" t="str">
        <f>IF($A1300&lt;&gt;"",MAESTRO!$D1299,"")</f>
        <v/>
      </c>
      <c r="H1300" t="str">
        <f>IF($A1300&lt;&gt;"",IF(TRIM(MAESTRO!$G1299&amp;" "&amp;MAESTRO!$H1299&amp;" "&amp;MAESTRO!$I1299)="",MAESTRO!$F1299,TRIM(MAESTRO!$G1299&amp;" "&amp;MAESTRO!$H1299&amp;" "&amp;MAESTRO!$I1299)),"")</f>
        <v/>
      </c>
      <c r="I1300" t="str">
        <f>IF($A1300&lt;&gt;"",MAESTRO!$K1299,"")</f>
        <v/>
      </c>
      <c r="J1300" t="str">
        <f>IF($A1300&lt;&gt;"",1300,"")</f>
        <v/>
      </c>
    </row>
    <row r="1301" spans="1:10" x14ac:dyDescent="0.2">
      <c r="A1301" t="str">
        <f>IF(AND(UPPER(MAESTRO!$M1300)="VIP",UPPER(MAESTRO!$J1300)="SI",MAESTRO!$F1300&lt;&gt;""),MAESTRO!$P1300,"")</f>
        <v/>
      </c>
      <c r="B1301" t="str">
        <f>IF($A1301&lt;&gt;"",MAESTRO!$B1300,"")</f>
        <v/>
      </c>
      <c r="C1301" t="str">
        <f>IF($A1301&lt;&gt;"",MAESTRO!$A1300,"")</f>
        <v/>
      </c>
      <c r="D1301" t="str">
        <f>IF($A1301&lt;&gt;"",MAESTRO!$C1300,"")</f>
        <v/>
      </c>
      <c r="E1301" t="str">
        <f>IF($A1301&lt;&gt;"",MAESTRO!$M1300,"")</f>
        <v/>
      </c>
      <c r="F1301" t="str">
        <f>IF($A1301&lt;&gt;"",MAESTRO!$J1300,"")</f>
        <v/>
      </c>
      <c r="G1301" t="str">
        <f>IF($A1301&lt;&gt;"",MAESTRO!$D1300,"")</f>
        <v/>
      </c>
      <c r="H1301" t="str">
        <f>IF($A1301&lt;&gt;"",IF(TRIM(MAESTRO!$G1300&amp;" "&amp;MAESTRO!$H1300&amp;" "&amp;MAESTRO!$I1300)="",MAESTRO!$F1300,TRIM(MAESTRO!$G1300&amp;" "&amp;MAESTRO!$H1300&amp;" "&amp;MAESTRO!$I1300)),"")</f>
        <v/>
      </c>
      <c r="I1301" t="str">
        <f>IF($A1301&lt;&gt;"",MAESTRO!$K1300,"")</f>
        <v/>
      </c>
      <c r="J1301" t="str">
        <f>IF($A1301&lt;&gt;"",1301,"")</f>
        <v/>
      </c>
    </row>
    <row r="1302" spans="1:10" x14ac:dyDescent="0.2">
      <c r="A1302" t="str">
        <f>IF(AND(UPPER(MAESTRO!$M1301)="VIP",UPPER(MAESTRO!$J1301)="SI",MAESTRO!$F1301&lt;&gt;""),MAESTRO!$P1301,"")</f>
        <v/>
      </c>
      <c r="B1302" t="str">
        <f>IF($A1302&lt;&gt;"",MAESTRO!$B1301,"")</f>
        <v/>
      </c>
      <c r="C1302" t="str">
        <f>IF($A1302&lt;&gt;"",MAESTRO!$A1301,"")</f>
        <v/>
      </c>
      <c r="D1302" t="str">
        <f>IF($A1302&lt;&gt;"",MAESTRO!$C1301,"")</f>
        <v/>
      </c>
      <c r="E1302" t="str">
        <f>IF($A1302&lt;&gt;"",MAESTRO!$M1301,"")</f>
        <v/>
      </c>
      <c r="F1302" t="str">
        <f>IF($A1302&lt;&gt;"",MAESTRO!$J1301,"")</f>
        <v/>
      </c>
      <c r="G1302" t="str">
        <f>IF($A1302&lt;&gt;"",MAESTRO!$D1301,"")</f>
        <v/>
      </c>
      <c r="H1302" t="str">
        <f>IF($A1302&lt;&gt;"",IF(TRIM(MAESTRO!$G1301&amp;" "&amp;MAESTRO!$H1301&amp;" "&amp;MAESTRO!$I1301)="",MAESTRO!$F1301,TRIM(MAESTRO!$G1301&amp;" "&amp;MAESTRO!$H1301&amp;" "&amp;MAESTRO!$I1301)),"")</f>
        <v/>
      </c>
      <c r="I1302" t="str">
        <f>IF($A1302&lt;&gt;"",MAESTRO!$K1301,"")</f>
        <v/>
      </c>
      <c r="J1302" t="str">
        <f>IF($A1302&lt;&gt;"",1302,"")</f>
        <v/>
      </c>
    </row>
    <row r="1303" spans="1:10" x14ac:dyDescent="0.2">
      <c r="A1303" t="str">
        <f>IF(AND(UPPER(MAESTRO!$M1302)="VIP",UPPER(MAESTRO!$J1302)="SI",MAESTRO!$F1302&lt;&gt;""),MAESTRO!$P1302,"")</f>
        <v/>
      </c>
      <c r="B1303" t="str">
        <f>IF($A1303&lt;&gt;"",MAESTRO!$B1302,"")</f>
        <v/>
      </c>
      <c r="C1303" t="str">
        <f>IF($A1303&lt;&gt;"",MAESTRO!$A1302,"")</f>
        <v/>
      </c>
      <c r="D1303" t="str">
        <f>IF($A1303&lt;&gt;"",MAESTRO!$C1302,"")</f>
        <v/>
      </c>
      <c r="E1303" t="str">
        <f>IF($A1303&lt;&gt;"",MAESTRO!$M1302,"")</f>
        <v/>
      </c>
      <c r="F1303" t="str">
        <f>IF($A1303&lt;&gt;"",MAESTRO!$J1302,"")</f>
        <v/>
      </c>
      <c r="G1303" t="str">
        <f>IF($A1303&lt;&gt;"",MAESTRO!$D1302,"")</f>
        <v/>
      </c>
      <c r="H1303" t="str">
        <f>IF($A1303&lt;&gt;"",IF(TRIM(MAESTRO!$G1302&amp;" "&amp;MAESTRO!$H1302&amp;" "&amp;MAESTRO!$I1302)="",MAESTRO!$F1302,TRIM(MAESTRO!$G1302&amp;" "&amp;MAESTRO!$H1302&amp;" "&amp;MAESTRO!$I1302)),"")</f>
        <v/>
      </c>
      <c r="I1303" t="str">
        <f>IF($A1303&lt;&gt;"",MAESTRO!$K1302,"")</f>
        <v/>
      </c>
      <c r="J1303" t="str">
        <f>IF($A1303&lt;&gt;"",1303,"")</f>
        <v/>
      </c>
    </row>
    <row r="1304" spans="1:10" x14ac:dyDescent="0.2">
      <c r="A1304" t="str">
        <f>IF(AND(UPPER(MAESTRO!$M1303)="VIP",UPPER(MAESTRO!$J1303)="SI",MAESTRO!$F1303&lt;&gt;""),MAESTRO!$P1303,"")</f>
        <v/>
      </c>
      <c r="B1304" t="str">
        <f>IF($A1304&lt;&gt;"",MAESTRO!$B1303,"")</f>
        <v/>
      </c>
      <c r="C1304" t="str">
        <f>IF($A1304&lt;&gt;"",MAESTRO!$A1303,"")</f>
        <v/>
      </c>
      <c r="D1304" t="str">
        <f>IF($A1304&lt;&gt;"",MAESTRO!$C1303,"")</f>
        <v/>
      </c>
      <c r="E1304" t="str">
        <f>IF($A1304&lt;&gt;"",MAESTRO!$M1303,"")</f>
        <v/>
      </c>
      <c r="F1304" t="str">
        <f>IF($A1304&lt;&gt;"",MAESTRO!$J1303,"")</f>
        <v/>
      </c>
      <c r="G1304" t="str">
        <f>IF($A1304&lt;&gt;"",MAESTRO!$D1303,"")</f>
        <v/>
      </c>
      <c r="H1304" t="str">
        <f>IF($A1304&lt;&gt;"",IF(TRIM(MAESTRO!$G1303&amp;" "&amp;MAESTRO!$H1303&amp;" "&amp;MAESTRO!$I1303)="",MAESTRO!$F1303,TRIM(MAESTRO!$G1303&amp;" "&amp;MAESTRO!$H1303&amp;" "&amp;MAESTRO!$I1303)),"")</f>
        <v/>
      </c>
      <c r="I1304" t="str">
        <f>IF($A1304&lt;&gt;"",MAESTRO!$K1303,"")</f>
        <v/>
      </c>
      <c r="J1304" t="str">
        <f>IF($A1304&lt;&gt;"",1304,"")</f>
        <v/>
      </c>
    </row>
    <row r="1305" spans="1:10" x14ac:dyDescent="0.2">
      <c r="A1305" t="str">
        <f>IF(AND(UPPER(MAESTRO!$M1304)="VIP",UPPER(MAESTRO!$J1304)="SI",MAESTRO!$F1304&lt;&gt;""),MAESTRO!$P1304,"")</f>
        <v/>
      </c>
      <c r="B1305" t="str">
        <f>IF($A1305&lt;&gt;"",MAESTRO!$B1304,"")</f>
        <v/>
      </c>
      <c r="C1305" t="str">
        <f>IF($A1305&lt;&gt;"",MAESTRO!$A1304,"")</f>
        <v/>
      </c>
      <c r="D1305" t="str">
        <f>IF($A1305&lt;&gt;"",MAESTRO!$C1304,"")</f>
        <v/>
      </c>
      <c r="E1305" t="str">
        <f>IF($A1305&lt;&gt;"",MAESTRO!$M1304,"")</f>
        <v/>
      </c>
      <c r="F1305" t="str">
        <f>IF($A1305&lt;&gt;"",MAESTRO!$J1304,"")</f>
        <v/>
      </c>
      <c r="G1305" t="str">
        <f>IF($A1305&lt;&gt;"",MAESTRO!$D1304,"")</f>
        <v/>
      </c>
      <c r="H1305" t="str">
        <f>IF($A1305&lt;&gt;"",IF(TRIM(MAESTRO!$G1304&amp;" "&amp;MAESTRO!$H1304&amp;" "&amp;MAESTRO!$I1304)="",MAESTRO!$F1304,TRIM(MAESTRO!$G1304&amp;" "&amp;MAESTRO!$H1304&amp;" "&amp;MAESTRO!$I1304)),"")</f>
        <v/>
      </c>
      <c r="I1305" t="str">
        <f>IF($A1305&lt;&gt;"",MAESTRO!$K1304,"")</f>
        <v/>
      </c>
      <c r="J1305" t="str">
        <f>IF($A1305&lt;&gt;"",1305,"")</f>
        <v/>
      </c>
    </row>
    <row r="1306" spans="1:10" x14ac:dyDescent="0.2">
      <c r="A1306" t="str">
        <f>IF(AND(UPPER(MAESTRO!$M1305)="VIP",UPPER(MAESTRO!$J1305)="SI",MAESTRO!$F1305&lt;&gt;""),MAESTRO!$P1305,"")</f>
        <v/>
      </c>
      <c r="B1306" t="str">
        <f>IF($A1306&lt;&gt;"",MAESTRO!$B1305,"")</f>
        <v/>
      </c>
      <c r="C1306" t="str">
        <f>IF($A1306&lt;&gt;"",MAESTRO!$A1305,"")</f>
        <v/>
      </c>
      <c r="D1306" t="str">
        <f>IF($A1306&lt;&gt;"",MAESTRO!$C1305,"")</f>
        <v/>
      </c>
      <c r="E1306" t="str">
        <f>IF($A1306&lt;&gt;"",MAESTRO!$M1305,"")</f>
        <v/>
      </c>
      <c r="F1306" t="str">
        <f>IF($A1306&lt;&gt;"",MAESTRO!$J1305,"")</f>
        <v/>
      </c>
      <c r="G1306" t="str">
        <f>IF($A1306&lt;&gt;"",MAESTRO!$D1305,"")</f>
        <v/>
      </c>
      <c r="H1306" t="str">
        <f>IF($A1306&lt;&gt;"",IF(TRIM(MAESTRO!$G1305&amp;" "&amp;MAESTRO!$H1305&amp;" "&amp;MAESTRO!$I1305)="",MAESTRO!$F1305,TRIM(MAESTRO!$G1305&amp;" "&amp;MAESTRO!$H1305&amp;" "&amp;MAESTRO!$I1305)),"")</f>
        <v/>
      </c>
      <c r="I1306" t="str">
        <f>IF($A1306&lt;&gt;"",MAESTRO!$K1305,"")</f>
        <v/>
      </c>
      <c r="J1306" t="str">
        <f>IF($A1306&lt;&gt;"",1306,"")</f>
        <v/>
      </c>
    </row>
    <row r="1307" spans="1:10" x14ac:dyDescent="0.2">
      <c r="A1307" t="str">
        <f>IF(AND(UPPER(MAESTRO!$M1306)="VIP",UPPER(MAESTRO!$J1306)="SI",MAESTRO!$F1306&lt;&gt;""),MAESTRO!$P1306,"")</f>
        <v/>
      </c>
      <c r="B1307" t="str">
        <f>IF($A1307&lt;&gt;"",MAESTRO!$B1306,"")</f>
        <v/>
      </c>
      <c r="C1307" t="str">
        <f>IF($A1307&lt;&gt;"",MAESTRO!$A1306,"")</f>
        <v/>
      </c>
      <c r="D1307" t="str">
        <f>IF($A1307&lt;&gt;"",MAESTRO!$C1306,"")</f>
        <v/>
      </c>
      <c r="E1307" t="str">
        <f>IF($A1307&lt;&gt;"",MAESTRO!$M1306,"")</f>
        <v/>
      </c>
      <c r="F1307" t="str">
        <f>IF($A1307&lt;&gt;"",MAESTRO!$J1306,"")</f>
        <v/>
      </c>
      <c r="G1307" t="str">
        <f>IF($A1307&lt;&gt;"",MAESTRO!$D1306,"")</f>
        <v/>
      </c>
      <c r="H1307" t="str">
        <f>IF($A1307&lt;&gt;"",IF(TRIM(MAESTRO!$G1306&amp;" "&amp;MAESTRO!$H1306&amp;" "&amp;MAESTRO!$I1306)="",MAESTRO!$F1306,TRIM(MAESTRO!$G1306&amp;" "&amp;MAESTRO!$H1306&amp;" "&amp;MAESTRO!$I1306)),"")</f>
        <v/>
      </c>
      <c r="I1307" t="str">
        <f>IF($A1307&lt;&gt;"",MAESTRO!$K1306,"")</f>
        <v/>
      </c>
      <c r="J1307" t="str">
        <f>IF($A1307&lt;&gt;"",1307,"")</f>
        <v/>
      </c>
    </row>
    <row r="1308" spans="1:10" x14ac:dyDescent="0.2">
      <c r="A1308" t="str">
        <f>IF(AND(UPPER(MAESTRO!$M1307)="VIP",UPPER(MAESTRO!$J1307)="SI",MAESTRO!$F1307&lt;&gt;""),MAESTRO!$P1307,"")</f>
        <v/>
      </c>
      <c r="B1308" t="str">
        <f>IF($A1308&lt;&gt;"",MAESTRO!$B1307,"")</f>
        <v/>
      </c>
      <c r="C1308" t="str">
        <f>IF($A1308&lt;&gt;"",MAESTRO!$A1307,"")</f>
        <v/>
      </c>
      <c r="D1308" t="str">
        <f>IF($A1308&lt;&gt;"",MAESTRO!$C1307,"")</f>
        <v/>
      </c>
      <c r="E1308" t="str">
        <f>IF($A1308&lt;&gt;"",MAESTRO!$M1307,"")</f>
        <v/>
      </c>
      <c r="F1308" t="str">
        <f>IF($A1308&lt;&gt;"",MAESTRO!$J1307,"")</f>
        <v/>
      </c>
      <c r="G1308" t="str">
        <f>IF($A1308&lt;&gt;"",MAESTRO!$D1307,"")</f>
        <v/>
      </c>
      <c r="H1308" t="str">
        <f>IF($A1308&lt;&gt;"",IF(TRIM(MAESTRO!$G1307&amp;" "&amp;MAESTRO!$H1307&amp;" "&amp;MAESTRO!$I1307)="",MAESTRO!$F1307,TRIM(MAESTRO!$G1307&amp;" "&amp;MAESTRO!$H1307&amp;" "&amp;MAESTRO!$I1307)),"")</f>
        <v/>
      </c>
      <c r="I1308" t="str">
        <f>IF($A1308&lt;&gt;"",MAESTRO!$K1307,"")</f>
        <v/>
      </c>
      <c r="J1308" t="str">
        <f>IF($A1308&lt;&gt;"",1308,"")</f>
        <v/>
      </c>
    </row>
    <row r="1309" spans="1:10" x14ac:dyDescent="0.2">
      <c r="A1309" t="str">
        <f>IF(AND(UPPER(MAESTRO!$M1308)="VIP",UPPER(MAESTRO!$J1308)="SI",MAESTRO!$F1308&lt;&gt;""),MAESTRO!$P1308,"")</f>
        <v/>
      </c>
      <c r="B1309" t="str">
        <f>IF($A1309&lt;&gt;"",MAESTRO!$B1308,"")</f>
        <v/>
      </c>
      <c r="C1309" t="str">
        <f>IF($A1309&lt;&gt;"",MAESTRO!$A1308,"")</f>
        <v/>
      </c>
      <c r="D1309" t="str">
        <f>IF($A1309&lt;&gt;"",MAESTRO!$C1308,"")</f>
        <v/>
      </c>
      <c r="E1309" t="str">
        <f>IF($A1309&lt;&gt;"",MAESTRO!$M1308,"")</f>
        <v/>
      </c>
      <c r="F1309" t="str">
        <f>IF($A1309&lt;&gt;"",MAESTRO!$J1308,"")</f>
        <v/>
      </c>
      <c r="G1309" t="str">
        <f>IF($A1309&lt;&gt;"",MAESTRO!$D1308,"")</f>
        <v/>
      </c>
      <c r="H1309" t="str">
        <f>IF($A1309&lt;&gt;"",IF(TRIM(MAESTRO!$G1308&amp;" "&amp;MAESTRO!$H1308&amp;" "&amp;MAESTRO!$I1308)="",MAESTRO!$F1308,TRIM(MAESTRO!$G1308&amp;" "&amp;MAESTRO!$H1308&amp;" "&amp;MAESTRO!$I1308)),"")</f>
        <v/>
      </c>
      <c r="I1309" t="str">
        <f>IF($A1309&lt;&gt;"",MAESTRO!$K1308,"")</f>
        <v/>
      </c>
      <c r="J1309" t="str">
        <f>IF($A1309&lt;&gt;"",1309,"")</f>
        <v/>
      </c>
    </row>
    <row r="1310" spans="1:10" x14ac:dyDescent="0.2">
      <c r="A1310" t="str">
        <f>IF(AND(UPPER(MAESTRO!$M1309)="VIP",UPPER(MAESTRO!$J1309)="SI",MAESTRO!$F1309&lt;&gt;""),MAESTRO!$P1309,"")</f>
        <v/>
      </c>
      <c r="B1310" t="str">
        <f>IF($A1310&lt;&gt;"",MAESTRO!$B1309,"")</f>
        <v/>
      </c>
      <c r="C1310" t="str">
        <f>IF($A1310&lt;&gt;"",MAESTRO!$A1309,"")</f>
        <v/>
      </c>
      <c r="D1310" t="str">
        <f>IF($A1310&lt;&gt;"",MAESTRO!$C1309,"")</f>
        <v/>
      </c>
      <c r="E1310" t="str">
        <f>IF($A1310&lt;&gt;"",MAESTRO!$M1309,"")</f>
        <v/>
      </c>
      <c r="F1310" t="str">
        <f>IF($A1310&lt;&gt;"",MAESTRO!$J1309,"")</f>
        <v/>
      </c>
      <c r="G1310" t="str">
        <f>IF($A1310&lt;&gt;"",MAESTRO!$D1309,"")</f>
        <v/>
      </c>
      <c r="H1310" t="str">
        <f>IF($A1310&lt;&gt;"",IF(TRIM(MAESTRO!$G1309&amp;" "&amp;MAESTRO!$H1309&amp;" "&amp;MAESTRO!$I1309)="",MAESTRO!$F1309,TRIM(MAESTRO!$G1309&amp;" "&amp;MAESTRO!$H1309&amp;" "&amp;MAESTRO!$I1309)),"")</f>
        <v/>
      </c>
      <c r="I1310" t="str">
        <f>IF($A1310&lt;&gt;"",MAESTRO!$K1309,"")</f>
        <v/>
      </c>
      <c r="J1310" t="str">
        <f>IF($A1310&lt;&gt;"",1310,"")</f>
        <v/>
      </c>
    </row>
    <row r="1311" spans="1:10" x14ac:dyDescent="0.2">
      <c r="A1311" t="str">
        <f>IF(AND(UPPER(MAESTRO!$M1310)="VIP",UPPER(MAESTRO!$J1310)="SI",MAESTRO!$F1310&lt;&gt;""),MAESTRO!$P1310,"")</f>
        <v/>
      </c>
      <c r="B1311" t="str">
        <f>IF($A1311&lt;&gt;"",MAESTRO!$B1310,"")</f>
        <v/>
      </c>
      <c r="C1311" t="str">
        <f>IF($A1311&lt;&gt;"",MAESTRO!$A1310,"")</f>
        <v/>
      </c>
      <c r="D1311" t="str">
        <f>IF($A1311&lt;&gt;"",MAESTRO!$C1310,"")</f>
        <v/>
      </c>
      <c r="E1311" t="str">
        <f>IF($A1311&lt;&gt;"",MAESTRO!$M1310,"")</f>
        <v/>
      </c>
      <c r="F1311" t="str">
        <f>IF($A1311&lt;&gt;"",MAESTRO!$J1310,"")</f>
        <v/>
      </c>
      <c r="G1311" t="str">
        <f>IF($A1311&lt;&gt;"",MAESTRO!$D1310,"")</f>
        <v/>
      </c>
      <c r="H1311" t="str">
        <f>IF($A1311&lt;&gt;"",IF(TRIM(MAESTRO!$G1310&amp;" "&amp;MAESTRO!$H1310&amp;" "&amp;MAESTRO!$I1310)="",MAESTRO!$F1310,TRIM(MAESTRO!$G1310&amp;" "&amp;MAESTRO!$H1310&amp;" "&amp;MAESTRO!$I1310)),"")</f>
        <v/>
      </c>
      <c r="I1311" t="str">
        <f>IF($A1311&lt;&gt;"",MAESTRO!$K1310,"")</f>
        <v/>
      </c>
      <c r="J1311" t="str">
        <f>IF($A1311&lt;&gt;"",1311,"")</f>
        <v/>
      </c>
    </row>
    <row r="1312" spans="1:10" x14ac:dyDescent="0.2">
      <c r="A1312" t="str">
        <f>IF(AND(UPPER(MAESTRO!$M1311)="VIP",UPPER(MAESTRO!$J1311)="SI",MAESTRO!$F1311&lt;&gt;""),MAESTRO!$P1311,"")</f>
        <v/>
      </c>
      <c r="B1312" t="str">
        <f>IF($A1312&lt;&gt;"",MAESTRO!$B1311,"")</f>
        <v/>
      </c>
      <c r="C1312" t="str">
        <f>IF($A1312&lt;&gt;"",MAESTRO!$A1311,"")</f>
        <v/>
      </c>
      <c r="D1312" t="str">
        <f>IF($A1312&lt;&gt;"",MAESTRO!$C1311,"")</f>
        <v/>
      </c>
      <c r="E1312" t="str">
        <f>IF($A1312&lt;&gt;"",MAESTRO!$M1311,"")</f>
        <v/>
      </c>
      <c r="F1312" t="str">
        <f>IF($A1312&lt;&gt;"",MAESTRO!$J1311,"")</f>
        <v/>
      </c>
      <c r="G1312" t="str">
        <f>IF($A1312&lt;&gt;"",MAESTRO!$D1311,"")</f>
        <v/>
      </c>
      <c r="H1312" t="str">
        <f>IF($A1312&lt;&gt;"",IF(TRIM(MAESTRO!$G1311&amp;" "&amp;MAESTRO!$H1311&amp;" "&amp;MAESTRO!$I1311)="",MAESTRO!$F1311,TRIM(MAESTRO!$G1311&amp;" "&amp;MAESTRO!$H1311&amp;" "&amp;MAESTRO!$I1311)),"")</f>
        <v/>
      </c>
      <c r="I1312" t="str">
        <f>IF($A1312&lt;&gt;"",MAESTRO!$K1311,"")</f>
        <v/>
      </c>
      <c r="J1312" t="str">
        <f>IF($A1312&lt;&gt;"",1312,"")</f>
        <v/>
      </c>
    </row>
    <row r="1313" spans="1:10" x14ac:dyDescent="0.2">
      <c r="A1313" t="str">
        <f>IF(AND(UPPER(MAESTRO!$M1312)="VIP",UPPER(MAESTRO!$J1312)="SI",MAESTRO!$F1312&lt;&gt;""),MAESTRO!$P1312,"")</f>
        <v/>
      </c>
      <c r="B1313" t="str">
        <f>IF($A1313&lt;&gt;"",MAESTRO!$B1312,"")</f>
        <v/>
      </c>
      <c r="C1313" t="str">
        <f>IF($A1313&lt;&gt;"",MAESTRO!$A1312,"")</f>
        <v/>
      </c>
      <c r="D1313" t="str">
        <f>IF($A1313&lt;&gt;"",MAESTRO!$C1312,"")</f>
        <v/>
      </c>
      <c r="E1313" t="str">
        <f>IF($A1313&lt;&gt;"",MAESTRO!$M1312,"")</f>
        <v/>
      </c>
      <c r="F1313" t="str">
        <f>IF($A1313&lt;&gt;"",MAESTRO!$J1312,"")</f>
        <v/>
      </c>
      <c r="G1313" t="str">
        <f>IF($A1313&lt;&gt;"",MAESTRO!$D1312,"")</f>
        <v/>
      </c>
      <c r="H1313" t="str">
        <f>IF($A1313&lt;&gt;"",IF(TRIM(MAESTRO!$G1312&amp;" "&amp;MAESTRO!$H1312&amp;" "&amp;MAESTRO!$I1312)="",MAESTRO!$F1312,TRIM(MAESTRO!$G1312&amp;" "&amp;MAESTRO!$H1312&amp;" "&amp;MAESTRO!$I1312)),"")</f>
        <v/>
      </c>
      <c r="I1313" t="str">
        <f>IF($A1313&lt;&gt;"",MAESTRO!$K1312,"")</f>
        <v/>
      </c>
      <c r="J1313" t="str">
        <f>IF($A1313&lt;&gt;"",1313,"")</f>
        <v/>
      </c>
    </row>
    <row r="1314" spans="1:10" x14ac:dyDescent="0.2">
      <c r="A1314" t="str">
        <f>IF(AND(UPPER(MAESTRO!$M1313)="VIP",UPPER(MAESTRO!$J1313)="SI",MAESTRO!$F1313&lt;&gt;""),MAESTRO!$P1313,"")</f>
        <v/>
      </c>
      <c r="B1314" t="str">
        <f>IF($A1314&lt;&gt;"",MAESTRO!$B1313,"")</f>
        <v/>
      </c>
      <c r="C1314" t="str">
        <f>IF($A1314&lt;&gt;"",MAESTRO!$A1313,"")</f>
        <v/>
      </c>
      <c r="D1314" t="str">
        <f>IF($A1314&lt;&gt;"",MAESTRO!$C1313,"")</f>
        <v/>
      </c>
      <c r="E1314" t="str">
        <f>IF($A1314&lt;&gt;"",MAESTRO!$M1313,"")</f>
        <v/>
      </c>
      <c r="F1314" t="str">
        <f>IF($A1314&lt;&gt;"",MAESTRO!$J1313,"")</f>
        <v/>
      </c>
      <c r="G1314" t="str">
        <f>IF($A1314&lt;&gt;"",MAESTRO!$D1313,"")</f>
        <v/>
      </c>
      <c r="H1314" t="str">
        <f>IF($A1314&lt;&gt;"",IF(TRIM(MAESTRO!$G1313&amp;" "&amp;MAESTRO!$H1313&amp;" "&amp;MAESTRO!$I1313)="",MAESTRO!$F1313,TRIM(MAESTRO!$G1313&amp;" "&amp;MAESTRO!$H1313&amp;" "&amp;MAESTRO!$I1313)),"")</f>
        <v/>
      </c>
      <c r="I1314" t="str">
        <f>IF($A1314&lt;&gt;"",MAESTRO!$K1313,"")</f>
        <v/>
      </c>
      <c r="J1314" t="str">
        <f>IF($A1314&lt;&gt;"",1314,"")</f>
        <v/>
      </c>
    </row>
    <row r="1315" spans="1:10" x14ac:dyDescent="0.2">
      <c r="A1315" t="str">
        <f>IF(AND(UPPER(MAESTRO!$M1314)="VIP",UPPER(MAESTRO!$J1314)="SI",MAESTRO!$F1314&lt;&gt;""),MAESTRO!$P1314,"")</f>
        <v/>
      </c>
      <c r="B1315" t="str">
        <f>IF($A1315&lt;&gt;"",MAESTRO!$B1314,"")</f>
        <v/>
      </c>
      <c r="C1315" t="str">
        <f>IF($A1315&lt;&gt;"",MAESTRO!$A1314,"")</f>
        <v/>
      </c>
      <c r="D1315" t="str">
        <f>IF($A1315&lt;&gt;"",MAESTRO!$C1314,"")</f>
        <v/>
      </c>
      <c r="E1315" t="str">
        <f>IF($A1315&lt;&gt;"",MAESTRO!$M1314,"")</f>
        <v/>
      </c>
      <c r="F1315" t="str">
        <f>IF($A1315&lt;&gt;"",MAESTRO!$J1314,"")</f>
        <v/>
      </c>
      <c r="G1315" t="str">
        <f>IF($A1315&lt;&gt;"",MAESTRO!$D1314,"")</f>
        <v/>
      </c>
      <c r="H1315" t="str">
        <f>IF($A1315&lt;&gt;"",IF(TRIM(MAESTRO!$G1314&amp;" "&amp;MAESTRO!$H1314&amp;" "&amp;MAESTRO!$I1314)="",MAESTRO!$F1314,TRIM(MAESTRO!$G1314&amp;" "&amp;MAESTRO!$H1314&amp;" "&amp;MAESTRO!$I1314)),"")</f>
        <v/>
      </c>
      <c r="I1315" t="str">
        <f>IF($A1315&lt;&gt;"",MAESTRO!$K1314,"")</f>
        <v/>
      </c>
      <c r="J1315" t="str">
        <f>IF($A1315&lt;&gt;"",1315,"")</f>
        <v/>
      </c>
    </row>
    <row r="1316" spans="1:10" x14ac:dyDescent="0.2">
      <c r="A1316" t="str">
        <f>IF(AND(UPPER(MAESTRO!$M1315)="VIP",UPPER(MAESTRO!$J1315)="SI",MAESTRO!$F1315&lt;&gt;""),MAESTRO!$P1315,"")</f>
        <v/>
      </c>
      <c r="B1316" t="str">
        <f>IF($A1316&lt;&gt;"",MAESTRO!$B1315,"")</f>
        <v/>
      </c>
      <c r="C1316" t="str">
        <f>IF($A1316&lt;&gt;"",MAESTRO!$A1315,"")</f>
        <v/>
      </c>
      <c r="D1316" t="str">
        <f>IF($A1316&lt;&gt;"",MAESTRO!$C1315,"")</f>
        <v/>
      </c>
      <c r="E1316" t="str">
        <f>IF($A1316&lt;&gt;"",MAESTRO!$M1315,"")</f>
        <v/>
      </c>
      <c r="F1316" t="str">
        <f>IF($A1316&lt;&gt;"",MAESTRO!$J1315,"")</f>
        <v/>
      </c>
      <c r="G1316" t="str">
        <f>IF($A1316&lt;&gt;"",MAESTRO!$D1315,"")</f>
        <v/>
      </c>
      <c r="H1316" t="str">
        <f>IF($A1316&lt;&gt;"",IF(TRIM(MAESTRO!$G1315&amp;" "&amp;MAESTRO!$H1315&amp;" "&amp;MAESTRO!$I1315)="",MAESTRO!$F1315,TRIM(MAESTRO!$G1315&amp;" "&amp;MAESTRO!$H1315&amp;" "&amp;MAESTRO!$I1315)),"")</f>
        <v/>
      </c>
      <c r="I1316" t="str">
        <f>IF($A1316&lt;&gt;"",MAESTRO!$K1315,"")</f>
        <v/>
      </c>
      <c r="J1316" t="str">
        <f>IF($A1316&lt;&gt;"",1316,"")</f>
        <v/>
      </c>
    </row>
    <row r="1317" spans="1:10" x14ac:dyDescent="0.2">
      <c r="A1317" t="str">
        <f>IF(AND(UPPER(MAESTRO!$M1316)="VIP",UPPER(MAESTRO!$J1316)="SI",MAESTRO!$F1316&lt;&gt;""),MAESTRO!$P1316,"")</f>
        <v/>
      </c>
      <c r="B1317" t="str">
        <f>IF($A1317&lt;&gt;"",MAESTRO!$B1316,"")</f>
        <v/>
      </c>
      <c r="C1317" t="str">
        <f>IF($A1317&lt;&gt;"",MAESTRO!$A1316,"")</f>
        <v/>
      </c>
      <c r="D1317" t="str">
        <f>IF($A1317&lt;&gt;"",MAESTRO!$C1316,"")</f>
        <v/>
      </c>
      <c r="E1317" t="str">
        <f>IF($A1317&lt;&gt;"",MAESTRO!$M1316,"")</f>
        <v/>
      </c>
      <c r="F1317" t="str">
        <f>IF($A1317&lt;&gt;"",MAESTRO!$J1316,"")</f>
        <v/>
      </c>
      <c r="G1317" t="str">
        <f>IF($A1317&lt;&gt;"",MAESTRO!$D1316,"")</f>
        <v/>
      </c>
      <c r="H1317" t="str">
        <f>IF($A1317&lt;&gt;"",IF(TRIM(MAESTRO!$G1316&amp;" "&amp;MAESTRO!$H1316&amp;" "&amp;MAESTRO!$I1316)="",MAESTRO!$F1316,TRIM(MAESTRO!$G1316&amp;" "&amp;MAESTRO!$H1316&amp;" "&amp;MAESTRO!$I1316)),"")</f>
        <v/>
      </c>
      <c r="I1317" t="str">
        <f>IF($A1317&lt;&gt;"",MAESTRO!$K1316,"")</f>
        <v/>
      </c>
      <c r="J1317" t="str">
        <f>IF($A1317&lt;&gt;"",1317,"")</f>
        <v/>
      </c>
    </row>
    <row r="1318" spans="1:10" x14ac:dyDescent="0.2">
      <c r="A1318" t="str">
        <f>IF(AND(UPPER(MAESTRO!$M1317)="VIP",UPPER(MAESTRO!$J1317)="SI",MAESTRO!$F1317&lt;&gt;""),MAESTRO!$P1317,"")</f>
        <v/>
      </c>
      <c r="B1318" t="str">
        <f>IF($A1318&lt;&gt;"",MAESTRO!$B1317,"")</f>
        <v/>
      </c>
      <c r="C1318" t="str">
        <f>IF($A1318&lt;&gt;"",MAESTRO!$A1317,"")</f>
        <v/>
      </c>
      <c r="D1318" t="str">
        <f>IF($A1318&lt;&gt;"",MAESTRO!$C1317,"")</f>
        <v/>
      </c>
      <c r="E1318" t="str">
        <f>IF($A1318&lt;&gt;"",MAESTRO!$M1317,"")</f>
        <v/>
      </c>
      <c r="F1318" t="str">
        <f>IF($A1318&lt;&gt;"",MAESTRO!$J1317,"")</f>
        <v/>
      </c>
      <c r="G1318" t="str">
        <f>IF($A1318&lt;&gt;"",MAESTRO!$D1317,"")</f>
        <v/>
      </c>
      <c r="H1318" t="str">
        <f>IF($A1318&lt;&gt;"",IF(TRIM(MAESTRO!$G1317&amp;" "&amp;MAESTRO!$H1317&amp;" "&amp;MAESTRO!$I1317)="",MAESTRO!$F1317,TRIM(MAESTRO!$G1317&amp;" "&amp;MAESTRO!$H1317&amp;" "&amp;MAESTRO!$I1317)),"")</f>
        <v/>
      </c>
      <c r="I1318" t="str">
        <f>IF($A1318&lt;&gt;"",MAESTRO!$K1317,"")</f>
        <v/>
      </c>
      <c r="J1318" t="str">
        <f>IF($A1318&lt;&gt;"",1318,"")</f>
        <v/>
      </c>
    </row>
    <row r="1319" spans="1:10" x14ac:dyDescent="0.2">
      <c r="A1319" t="str">
        <f>IF(AND(UPPER(MAESTRO!$M1318)="VIP",UPPER(MAESTRO!$J1318)="SI",MAESTRO!$F1318&lt;&gt;""),MAESTRO!$P1318,"")</f>
        <v/>
      </c>
      <c r="B1319" t="str">
        <f>IF($A1319&lt;&gt;"",MAESTRO!$B1318,"")</f>
        <v/>
      </c>
      <c r="C1319" t="str">
        <f>IF($A1319&lt;&gt;"",MAESTRO!$A1318,"")</f>
        <v/>
      </c>
      <c r="D1319" t="str">
        <f>IF($A1319&lt;&gt;"",MAESTRO!$C1318,"")</f>
        <v/>
      </c>
      <c r="E1319" t="str">
        <f>IF($A1319&lt;&gt;"",MAESTRO!$M1318,"")</f>
        <v/>
      </c>
      <c r="F1319" t="str">
        <f>IF($A1319&lt;&gt;"",MAESTRO!$J1318,"")</f>
        <v/>
      </c>
      <c r="G1319" t="str">
        <f>IF($A1319&lt;&gt;"",MAESTRO!$D1318,"")</f>
        <v/>
      </c>
      <c r="H1319" t="str">
        <f>IF($A1319&lt;&gt;"",IF(TRIM(MAESTRO!$G1318&amp;" "&amp;MAESTRO!$H1318&amp;" "&amp;MAESTRO!$I1318)="",MAESTRO!$F1318,TRIM(MAESTRO!$G1318&amp;" "&amp;MAESTRO!$H1318&amp;" "&amp;MAESTRO!$I1318)),"")</f>
        <v/>
      </c>
      <c r="I1319" t="str">
        <f>IF($A1319&lt;&gt;"",MAESTRO!$K1318,"")</f>
        <v/>
      </c>
      <c r="J1319" t="str">
        <f>IF($A1319&lt;&gt;"",1319,"")</f>
        <v/>
      </c>
    </row>
    <row r="1320" spans="1:10" x14ac:dyDescent="0.2">
      <c r="A1320" t="str">
        <f>IF(AND(UPPER(MAESTRO!$M1319)="VIP",UPPER(MAESTRO!$J1319)="SI",MAESTRO!$F1319&lt;&gt;""),MAESTRO!$P1319,"")</f>
        <v/>
      </c>
      <c r="B1320" t="str">
        <f>IF($A1320&lt;&gt;"",MAESTRO!$B1319,"")</f>
        <v/>
      </c>
      <c r="C1320" t="str">
        <f>IF($A1320&lt;&gt;"",MAESTRO!$A1319,"")</f>
        <v/>
      </c>
      <c r="D1320" t="str">
        <f>IF($A1320&lt;&gt;"",MAESTRO!$C1319,"")</f>
        <v/>
      </c>
      <c r="E1320" t="str">
        <f>IF($A1320&lt;&gt;"",MAESTRO!$M1319,"")</f>
        <v/>
      </c>
      <c r="F1320" t="str">
        <f>IF($A1320&lt;&gt;"",MAESTRO!$J1319,"")</f>
        <v/>
      </c>
      <c r="G1320" t="str">
        <f>IF($A1320&lt;&gt;"",MAESTRO!$D1319,"")</f>
        <v/>
      </c>
      <c r="H1320" t="str">
        <f>IF($A1320&lt;&gt;"",IF(TRIM(MAESTRO!$G1319&amp;" "&amp;MAESTRO!$H1319&amp;" "&amp;MAESTRO!$I1319)="",MAESTRO!$F1319,TRIM(MAESTRO!$G1319&amp;" "&amp;MAESTRO!$H1319&amp;" "&amp;MAESTRO!$I1319)),"")</f>
        <v/>
      </c>
      <c r="I1320" t="str">
        <f>IF($A1320&lt;&gt;"",MAESTRO!$K1319,"")</f>
        <v/>
      </c>
      <c r="J1320" t="str">
        <f>IF($A1320&lt;&gt;"",1320,"")</f>
        <v/>
      </c>
    </row>
    <row r="1321" spans="1:10" x14ac:dyDescent="0.2">
      <c r="A1321" t="str">
        <f>IF(AND(UPPER(MAESTRO!$M1320)="VIP",UPPER(MAESTRO!$J1320)="SI",MAESTRO!$F1320&lt;&gt;""),MAESTRO!$P1320,"")</f>
        <v/>
      </c>
      <c r="B1321" t="str">
        <f>IF($A1321&lt;&gt;"",MAESTRO!$B1320,"")</f>
        <v/>
      </c>
      <c r="C1321" t="str">
        <f>IF($A1321&lt;&gt;"",MAESTRO!$A1320,"")</f>
        <v/>
      </c>
      <c r="D1321" t="str">
        <f>IF($A1321&lt;&gt;"",MAESTRO!$C1320,"")</f>
        <v/>
      </c>
      <c r="E1321" t="str">
        <f>IF($A1321&lt;&gt;"",MAESTRO!$M1320,"")</f>
        <v/>
      </c>
      <c r="F1321" t="str">
        <f>IF($A1321&lt;&gt;"",MAESTRO!$J1320,"")</f>
        <v/>
      </c>
      <c r="G1321" t="str">
        <f>IF($A1321&lt;&gt;"",MAESTRO!$D1320,"")</f>
        <v/>
      </c>
      <c r="H1321" t="str">
        <f>IF($A1321&lt;&gt;"",IF(TRIM(MAESTRO!$G1320&amp;" "&amp;MAESTRO!$H1320&amp;" "&amp;MAESTRO!$I1320)="",MAESTRO!$F1320,TRIM(MAESTRO!$G1320&amp;" "&amp;MAESTRO!$H1320&amp;" "&amp;MAESTRO!$I1320)),"")</f>
        <v/>
      </c>
      <c r="I1321" t="str">
        <f>IF($A1321&lt;&gt;"",MAESTRO!$K1320,"")</f>
        <v/>
      </c>
      <c r="J1321" t="str">
        <f>IF($A1321&lt;&gt;"",1321,"")</f>
        <v/>
      </c>
    </row>
    <row r="1322" spans="1:10" x14ac:dyDescent="0.2">
      <c r="A1322" t="str">
        <f>IF(AND(UPPER(MAESTRO!$M1321)="VIP",UPPER(MAESTRO!$J1321)="SI",MAESTRO!$F1321&lt;&gt;""),MAESTRO!$P1321,"")</f>
        <v/>
      </c>
      <c r="B1322" t="str">
        <f>IF($A1322&lt;&gt;"",MAESTRO!$B1321,"")</f>
        <v/>
      </c>
      <c r="C1322" t="str">
        <f>IF($A1322&lt;&gt;"",MAESTRO!$A1321,"")</f>
        <v/>
      </c>
      <c r="D1322" t="str">
        <f>IF($A1322&lt;&gt;"",MAESTRO!$C1321,"")</f>
        <v/>
      </c>
      <c r="E1322" t="str">
        <f>IF($A1322&lt;&gt;"",MAESTRO!$M1321,"")</f>
        <v/>
      </c>
      <c r="F1322" t="str">
        <f>IF($A1322&lt;&gt;"",MAESTRO!$J1321,"")</f>
        <v/>
      </c>
      <c r="G1322" t="str">
        <f>IF($A1322&lt;&gt;"",MAESTRO!$D1321,"")</f>
        <v/>
      </c>
      <c r="H1322" t="str">
        <f>IF($A1322&lt;&gt;"",IF(TRIM(MAESTRO!$G1321&amp;" "&amp;MAESTRO!$H1321&amp;" "&amp;MAESTRO!$I1321)="",MAESTRO!$F1321,TRIM(MAESTRO!$G1321&amp;" "&amp;MAESTRO!$H1321&amp;" "&amp;MAESTRO!$I1321)),"")</f>
        <v/>
      </c>
      <c r="I1322" t="str">
        <f>IF($A1322&lt;&gt;"",MAESTRO!$K1321,"")</f>
        <v/>
      </c>
      <c r="J1322" t="str">
        <f>IF($A1322&lt;&gt;"",1322,"")</f>
        <v/>
      </c>
    </row>
    <row r="1323" spans="1:10" x14ac:dyDescent="0.2">
      <c r="A1323" t="str">
        <f>IF(AND(UPPER(MAESTRO!$M1322)="VIP",UPPER(MAESTRO!$J1322)="SI",MAESTRO!$F1322&lt;&gt;""),MAESTRO!$P1322,"")</f>
        <v/>
      </c>
      <c r="B1323" t="str">
        <f>IF($A1323&lt;&gt;"",MAESTRO!$B1322,"")</f>
        <v/>
      </c>
      <c r="C1323" t="str">
        <f>IF($A1323&lt;&gt;"",MAESTRO!$A1322,"")</f>
        <v/>
      </c>
      <c r="D1323" t="str">
        <f>IF($A1323&lt;&gt;"",MAESTRO!$C1322,"")</f>
        <v/>
      </c>
      <c r="E1323" t="str">
        <f>IF($A1323&lt;&gt;"",MAESTRO!$M1322,"")</f>
        <v/>
      </c>
      <c r="F1323" t="str">
        <f>IF($A1323&lt;&gt;"",MAESTRO!$J1322,"")</f>
        <v/>
      </c>
      <c r="G1323" t="str">
        <f>IF($A1323&lt;&gt;"",MAESTRO!$D1322,"")</f>
        <v/>
      </c>
      <c r="H1323" t="str">
        <f>IF($A1323&lt;&gt;"",IF(TRIM(MAESTRO!$G1322&amp;" "&amp;MAESTRO!$H1322&amp;" "&amp;MAESTRO!$I1322)="",MAESTRO!$F1322,TRIM(MAESTRO!$G1322&amp;" "&amp;MAESTRO!$H1322&amp;" "&amp;MAESTRO!$I1322)),"")</f>
        <v/>
      </c>
      <c r="I1323" t="str">
        <f>IF($A1323&lt;&gt;"",MAESTRO!$K1322,"")</f>
        <v/>
      </c>
      <c r="J1323" t="str">
        <f>IF($A1323&lt;&gt;"",1323,"")</f>
        <v/>
      </c>
    </row>
    <row r="1324" spans="1:10" x14ac:dyDescent="0.2">
      <c r="A1324" t="str">
        <f>IF(AND(UPPER(MAESTRO!$M1323)="VIP",UPPER(MAESTRO!$J1323)="SI",MAESTRO!$F1323&lt;&gt;""),MAESTRO!$P1323,"")</f>
        <v/>
      </c>
      <c r="B1324" t="str">
        <f>IF($A1324&lt;&gt;"",MAESTRO!$B1323,"")</f>
        <v/>
      </c>
      <c r="C1324" t="str">
        <f>IF($A1324&lt;&gt;"",MAESTRO!$A1323,"")</f>
        <v/>
      </c>
      <c r="D1324" t="str">
        <f>IF($A1324&lt;&gt;"",MAESTRO!$C1323,"")</f>
        <v/>
      </c>
      <c r="E1324" t="str">
        <f>IF($A1324&lt;&gt;"",MAESTRO!$M1323,"")</f>
        <v/>
      </c>
      <c r="F1324" t="str">
        <f>IF($A1324&lt;&gt;"",MAESTRO!$J1323,"")</f>
        <v/>
      </c>
      <c r="G1324" t="str">
        <f>IF($A1324&lt;&gt;"",MAESTRO!$D1323,"")</f>
        <v/>
      </c>
      <c r="H1324" t="str">
        <f>IF($A1324&lt;&gt;"",IF(TRIM(MAESTRO!$G1323&amp;" "&amp;MAESTRO!$H1323&amp;" "&amp;MAESTRO!$I1323)="",MAESTRO!$F1323,TRIM(MAESTRO!$G1323&amp;" "&amp;MAESTRO!$H1323&amp;" "&amp;MAESTRO!$I1323)),"")</f>
        <v/>
      </c>
      <c r="I1324" t="str">
        <f>IF($A1324&lt;&gt;"",MAESTRO!$K1323,"")</f>
        <v/>
      </c>
      <c r="J1324" t="str">
        <f>IF($A1324&lt;&gt;"",1324,"")</f>
        <v/>
      </c>
    </row>
    <row r="1325" spans="1:10" x14ac:dyDescent="0.2">
      <c r="A1325" t="str">
        <f>IF(AND(UPPER(MAESTRO!$M1324)="VIP",UPPER(MAESTRO!$J1324)="SI",MAESTRO!$F1324&lt;&gt;""),MAESTRO!$P1324,"")</f>
        <v/>
      </c>
      <c r="B1325" t="str">
        <f>IF($A1325&lt;&gt;"",MAESTRO!$B1324,"")</f>
        <v/>
      </c>
      <c r="C1325" t="str">
        <f>IF($A1325&lt;&gt;"",MAESTRO!$A1324,"")</f>
        <v/>
      </c>
      <c r="D1325" t="str">
        <f>IF($A1325&lt;&gt;"",MAESTRO!$C1324,"")</f>
        <v/>
      </c>
      <c r="E1325" t="str">
        <f>IF($A1325&lt;&gt;"",MAESTRO!$M1324,"")</f>
        <v/>
      </c>
      <c r="F1325" t="str">
        <f>IF($A1325&lt;&gt;"",MAESTRO!$J1324,"")</f>
        <v/>
      </c>
      <c r="G1325" t="str">
        <f>IF($A1325&lt;&gt;"",MAESTRO!$D1324,"")</f>
        <v/>
      </c>
      <c r="H1325" t="str">
        <f>IF($A1325&lt;&gt;"",IF(TRIM(MAESTRO!$G1324&amp;" "&amp;MAESTRO!$H1324&amp;" "&amp;MAESTRO!$I1324)="",MAESTRO!$F1324,TRIM(MAESTRO!$G1324&amp;" "&amp;MAESTRO!$H1324&amp;" "&amp;MAESTRO!$I1324)),"")</f>
        <v/>
      </c>
      <c r="I1325" t="str">
        <f>IF($A1325&lt;&gt;"",MAESTRO!$K1324,"")</f>
        <v/>
      </c>
      <c r="J1325" t="str">
        <f>IF($A1325&lt;&gt;"",1325,"")</f>
        <v/>
      </c>
    </row>
    <row r="1326" spans="1:10" x14ac:dyDescent="0.2">
      <c r="A1326" t="str">
        <f>IF(AND(UPPER(MAESTRO!$M1325)="VIP",UPPER(MAESTRO!$J1325)="SI",MAESTRO!$F1325&lt;&gt;""),MAESTRO!$P1325,"")</f>
        <v/>
      </c>
      <c r="B1326" t="str">
        <f>IF($A1326&lt;&gt;"",MAESTRO!$B1325,"")</f>
        <v/>
      </c>
      <c r="C1326" t="str">
        <f>IF($A1326&lt;&gt;"",MAESTRO!$A1325,"")</f>
        <v/>
      </c>
      <c r="D1326" t="str">
        <f>IF($A1326&lt;&gt;"",MAESTRO!$C1325,"")</f>
        <v/>
      </c>
      <c r="E1326" t="str">
        <f>IF($A1326&lt;&gt;"",MAESTRO!$M1325,"")</f>
        <v/>
      </c>
      <c r="F1326" t="str">
        <f>IF($A1326&lt;&gt;"",MAESTRO!$J1325,"")</f>
        <v/>
      </c>
      <c r="G1326" t="str">
        <f>IF($A1326&lt;&gt;"",MAESTRO!$D1325,"")</f>
        <v/>
      </c>
      <c r="H1326" t="str">
        <f>IF($A1326&lt;&gt;"",IF(TRIM(MAESTRO!$G1325&amp;" "&amp;MAESTRO!$H1325&amp;" "&amp;MAESTRO!$I1325)="",MAESTRO!$F1325,TRIM(MAESTRO!$G1325&amp;" "&amp;MAESTRO!$H1325&amp;" "&amp;MAESTRO!$I1325)),"")</f>
        <v/>
      </c>
      <c r="I1326" t="str">
        <f>IF($A1326&lt;&gt;"",MAESTRO!$K1325,"")</f>
        <v/>
      </c>
      <c r="J1326" t="str">
        <f>IF($A1326&lt;&gt;"",1326,"")</f>
        <v/>
      </c>
    </row>
    <row r="1327" spans="1:10" x14ac:dyDescent="0.2">
      <c r="A1327" t="str">
        <f>IF(AND(UPPER(MAESTRO!$M1326)="VIP",UPPER(MAESTRO!$J1326)="SI",MAESTRO!$F1326&lt;&gt;""),MAESTRO!$P1326,"")</f>
        <v/>
      </c>
      <c r="B1327" t="str">
        <f>IF($A1327&lt;&gt;"",MAESTRO!$B1326,"")</f>
        <v/>
      </c>
      <c r="C1327" t="str">
        <f>IF($A1327&lt;&gt;"",MAESTRO!$A1326,"")</f>
        <v/>
      </c>
      <c r="D1327" t="str">
        <f>IF($A1327&lt;&gt;"",MAESTRO!$C1326,"")</f>
        <v/>
      </c>
      <c r="E1327" t="str">
        <f>IF($A1327&lt;&gt;"",MAESTRO!$M1326,"")</f>
        <v/>
      </c>
      <c r="F1327" t="str">
        <f>IF($A1327&lt;&gt;"",MAESTRO!$J1326,"")</f>
        <v/>
      </c>
      <c r="G1327" t="str">
        <f>IF($A1327&lt;&gt;"",MAESTRO!$D1326,"")</f>
        <v/>
      </c>
      <c r="H1327" t="str">
        <f>IF($A1327&lt;&gt;"",IF(TRIM(MAESTRO!$G1326&amp;" "&amp;MAESTRO!$H1326&amp;" "&amp;MAESTRO!$I1326)="",MAESTRO!$F1326,TRIM(MAESTRO!$G1326&amp;" "&amp;MAESTRO!$H1326&amp;" "&amp;MAESTRO!$I1326)),"")</f>
        <v/>
      </c>
      <c r="I1327" t="str">
        <f>IF($A1327&lt;&gt;"",MAESTRO!$K1326,"")</f>
        <v/>
      </c>
      <c r="J1327" t="str">
        <f>IF($A1327&lt;&gt;"",1327,"")</f>
        <v/>
      </c>
    </row>
    <row r="1328" spans="1:10" x14ac:dyDescent="0.2">
      <c r="A1328" t="str">
        <f>IF(AND(UPPER(MAESTRO!$M1327)="VIP",UPPER(MAESTRO!$J1327)="SI",MAESTRO!$F1327&lt;&gt;""),MAESTRO!$P1327,"")</f>
        <v/>
      </c>
      <c r="B1328" t="str">
        <f>IF($A1328&lt;&gt;"",MAESTRO!$B1327,"")</f>
        <v/>
      </c>
      <c r="C1328" t="str">
        <f>IF($A1328&lt;&gt;"",MAESTRO!$A1327,"")</f>
        <v/>
      </c>
      <c r="D1328" t="str">
        <f>IF($A1328&lt;&gt;"",MAESTRO!$C1327,"")</f>
        <v/>
      </c>
      <c r="E1328" t="str">
        <f>IF($A1328&lt;&gt;"",MAESTRO!$M1327,"")</f>
        <v/>
      </c>
      <c r="F1328" t="str">
        <f>IF($A1328&lt;&gt;"",MAESTRO!$J1327,"")</f>
        <v/>
      </c>
      <c r="G1328" t="str">
        <f>IF($A1328&lt;&gt;"",MAESTRO!$D1327,"")</f>
        <v/>
      </c>
      <c r="H1328" t="str">
        <f>IF($A1328&lt;&gt;"",IF(TRIM(MAESTRO!$G1327&amp;" "&amp;MAESTRO!$H1327&amp;" "&amp;MAESTRO!$I1327)="",MAESTRO!$F1327,TRIM(MAESTRO!$G1327&amp;" "&amp;MAESTRO!$H1327&amp;" "&amp;MAESTRO!$I1327)),"")</f>
        <v/>
      </c>
      <c r="I1328" t="str">
        <f>IF($A1328&lt;&gt;"",MAESTRO!$K1327,"")</f>
        <v/>
      </c>
      <c r="J1328" t="str">
        <f>IF($A1328&lt;&gt;"",1328,"")</f>
        <v/>
      </c>
    </row>
    <row r="1329" spans="1:10" x14ac:dyDescent="0.2">
      <c r="A1329" t="str">
        <f>IF(AND(UPPER(MAESTRO!$M1328)="VIP",UPPER(MAESTRO!$J1328)="SI",MAESTRO!$F1328&lt;&gt;""),MAESTRO!$P1328,"")</f>
        <v/>
      </c>
      <c r="B1329" t="str">
        <f>IF($A1329&lt;&gt;"",MAESTRO!$B1328,"")</f>
        <v/>
      </c>
      <c r="C1329" t="str">
        <f>IF($A1329&lt;&gt;"",MAESTRO!$A1328,"")</f>
        <v/>
      </c>
      <c r="D1329" t="str">
        <f>IF($A1329&lt;&gt;"",MAESTRO!$C1328,"")</f>
        <v/>
      </c>
      <c r="E1329" t="str">
        <f>IF($A1329&lt;&gt;"",MAESTRO!$M1328,"")</f>
        <v/>
      </c>
      <c r="F1329" t="str">
        <f>IF($A1329&lt;&gt;"",MAESTRO!$J1328,"")</f>
        <v/>
      </c>
      <c r="G1329" t="str">
        <f>IF($A1329&lt;&gt;"",MAESTRO!$D1328,"")</f>
        <v/>
      </c>
      <c r="H1329" t="str">
        <f>IF($A1329&lt;&gt;"",IF(TRIM(MAESTRO!$G1328&amp;" "&amp;MAESTRO!$H1328&amp;" "&amp;MAESTRO!$I1328)="",MAESTRO!$F1328,TRIM(MAESTRO!$G1328&amp;" "&amp;MAESTRO!$H1328&amp;" "&amp;MAESTRO!$I1328)),"")</f>
        <v/>
      </c>
      <c r="I1329" t="str">
        <f>IF($A1329&lt;&gt;"",MAESTRO!$K1328,"")</f>
        <v/>
      </c>
      <c r="J1329" t="str">
        <f>IF($A1329&lt;&gt;"",1329,"")</f>
        <v/>
      </c>
    </row>
    <row r="1330" spans="1:10" x14ac:dyDescent="0.2">
      <c r="A1330" t="str">
        <f>IF(AND(UPPER(MAESTRO!$M1329)="VIP",UPPER(MAESTRO!$J1329)="SI",MAESTRO!$F1329&lt;&gt;""),MAESTRO!$P1329,"")</f>
        <v/>
      </c>
      <c r="B1330" t="str">
        <f>IF($A1330&lt;&gt;"",MAESTRO!$B1329,"")</f>
        <v/>
      </c>
      <c r="C1330" t="str">
        <f>IF($A1330&lt;&gt;"",MAESTRO!$A1329,"")</f>
        <v/>
      </c>
      <c r="D1330" t="str">
        <f>IF($A1330&lt;&gt;"",MAESTRO!$C1329,"")</f>
        <v/>
      </c>
      <c r="E1330" t="str">
        <f>IF($A1330&lt;&gt;"",MAESTRO!$M1329,"")</f>
        <v/>
      </c>
      <c r="F1330" t="str">
        <f>IF($A1330&lt;&gt;"",MAESTRO!$J1329,"")</f>
        <v/>
      </c>
      <c r="G1330" t="str">
        <f>IF($A1330&lt;&gt;"",MAESTRO!$D1329,"")</f>
        <v/>
      </c>
      <c r="H1330" t="str">
        <f>IF($A1330&lt;&gt;"",IF(TRIM(MAESTRO!$G1329&amp;" "&amp;MAESTRO!$H1329&amp;" "&amp;MAESTRO!$I1329)="",MAESTRO!$F1329,TRIM(MAESTRO!$G1329&amp;" "&amp;MAESTRO!$H1329&amp;" "&amp;MAESTRO!$I1329)),"")</f>
        <v/>
      </c>
      <c r="I1330" t="str">
        <f>IF($A1330&lt;&gt;"",MAESTRO!$K1329,"")</f>
        <v/>
      </c>
      <c r="J1330" t="str">
        <f>IF($A1330&lt;&gt;"",1330,"")</f>
        <v/>
      </c>
    </row>
    <row r="1331" spans="1:10" x14ac:dyDescent="0.2">
      <c r="A1331" t="str">
        <f>IF(AND(UPPER(MAESTRO!$M1330)="VIP",UPPER(MAESTRO!$J1330)="SI",MAESTRO!$F1330&lt;&gt;""),MAESTRO!$P1330,"")</f>
        <v/>
      </c>
      <c r="B1331" t="str">
        <f>IF($A1331&lt;&gt;"",MAESTRO!$B1330,"")</f>
        <v/>
      </c>
      <c r="C1331" t="str">
        <f>IF($A1331&lt;&gt;"",MAESTRO!$A1330,"")</f>
        <v/>
      </c>
      <c r="D1331" t="str">
        <f>IF($A1331&lt;&gt;"",MAESTRO!$C1330,"")</f>
        <v/>
      </c>
      <c r="E1331" t="str">
        <f>IF($A1331&lt;&gt;"",MAESTRO!$M1330,"")</f>
        <v/>
      </c>
      <c r="F1331" t="str">
        <f>IF($A1331&lt;&gt;"",MAESTRO!$J1330,"")</f>
        <v/>
      </c>
      <c r="G1331" t="str">
        <f>IF($A1331&lt;&gt;"",MAESTRO!$D1330,"")</f>
        <v/>
      </c>
      <c r="H1331" t="str">
        <f>IF($A1331&lt;&gt;"",IF(TRIM(MAESTRO!$G1330&amp;" "&amp;MAESTRO!$H1330&amp;" "&amp;MAESTRO!$I1330)="",MAESTRO!$F1330,TRIM(MAESTRO!$G1330&amp;" "&amp;MAESTRO!$H1330&amp;" "&amp;MAESTRO!$I1330)),"")</f>
        <v/>
      </c>
      <c r="I1331" t="str">
        <f>IF($A1331&lt;&gt;"",MAESTRO!$K1330,"")</f>
        <v/>
      </c>
      <c r="J1331" t="str">
        <f>IF($A1331&lt;&gt;"",1331,"")</f>
        <v/>
      </c>
    </row>
    <row r="1332" spans="1:10" x14ac:dyDescent="0.2">
      <c r="A1332" t="str">
        <f>IF(AND(UPPER(MAESTRO!$M1331)="VIP",UPPER(MAESTRO!$J1331)="SI",MAESTRO!$F1331&lt;&gt;""),MAESTRO!$P1331,"")</f>
        <v/>
      </c>
      <c r="B1332" t="str">
        <f>IF($A1332&lt;&gt;"",MAESTRO!$B1331,"")</f>
        <v/>
      </c>
      <c r="C1332" t="str">
        <f>IF($A1332&lt;&gt;"",MAESTRO!$A1331,"")</f>
        <v/>
      </c>
      <c r="D1332" t="str">
        <f>IF($A1332&lt;&gt;"",MAESTRO!$C1331,"")</f>
        <v/>
      </c>
      <c r="E1332" t="str">
        <f>IF($A1332&lt;&gt;"",MAESTRO!$M1331,"")</f>
        <v/>
      </c>
      <c r="F1332" t="str">
        <f>IF($A1332&lt;&gt;"",MAESTRO!$J1331,"")</f>
        <v/>
      </c>
      <c r="G1332" t="str">
        <f>IF($A1332&lt;&gt;"",MAESTRO!$D1331,"")</f>
        <v/>
      </c>
      <c r="H1332" t="str">
        <f>IF($A1332&lt;&gt;"",IF(TRIM(MAESTRO!$G1331&amp;" "&amp;MAESTRO!$H1331&amp;" "&amp;MAESTRO!$I1331)="",MAESTRO!$F1331,TRIM(MAESTRO!$G1331&amp;" "&amp;MAESTRO!$H1331&amp;" "&amp;MAESTRO!$I1331)),"")</f>
        <v/>
      </c>
      <c r="I1332" t="str">
        <f>IF($A1332&lt;&gt;"",MAESTRO!$K1331,"")</f>
        <v/>
      </c>
      <c r="J1332" t="str">
        <f>IF($A1332&lt;&gt;"",1332,"")</f>
        <v/>
      </c>
    </row>
    <row r="1333" spans="1:10" x14ac:dyDescent="0.2">
      <c r="A1333" t="str">
        <f>IF(AND(UPPER(MAESTRO!$M1332)="VIP",UPPER(MAESTRO!$J1332)="SI",MAESTRO!$F1332&lt;&gt;""),MAESTRO!$P1332,"")</f>
        <v/>
      </c>
      <c r="B1333" t="str">
        <f>IF($A1333&lt;&gt;"",MAESTRO!$B1332,"")</f>
        <v/>
      </c>
      <c r="C1333" t="str">
        <f>IF($A1333&lt;&gt;"",MAESTRO!$A1332,"")</f>
        <v/>
      </c>
      <c r="D1333" t="str">
        <f>IF($A1333&lt;&gt;"",MAESTRO!$C1332,"")</f>
        <v/>
      </c>
      <c r="E1333" t="str">
        <f>IF($A1333&lt;&gt;"",MAESTRO!$M1332,"")</f>
        <v/>
      </c>
      <c r="F1333" t="str">
        <f>IF($A1333&lt;&gt;"",MAESTRO!$J1332,"")</f>
        <v/>
      </c>
      <c r="G1333" t="str">
        <f>IF($A1333&lt;&gt;"",MAESTRO!$D1332,"")</f>
        <v/>
      </c>
      <c r="H1333" t="str">
        <f>IF($A1333&lt;&gt;"",IF(TRIM(MAESTRO!$G1332&amp;" "&amp;MAESTRO!$H1332&amp;" "&amp;MAESTRO!$I1332)="",MAESTRO!$F1332,TRIM(MAESTRO!$G1332&amp;" "&amp;MAESTRO!$H1332&amp;" "&amp;MAESTRO!$I1332)),"")</f>
        <v/>
      </c>
      <c r="I1333" t="str">
        <f>IF($A1333&lt;&gt;"",MAESTRO!$K1332,"")</f>
        <v/>
      </c>
      <c r="J1333" t="str">
        <f>IF($A1333&lt;&gt;"",1333,"")</f>
        <v/>
      </c>
    </row>
    <row r="1334" spans="1:10" x14ac:dyDescent="0.2">
      <c r="A1334" t="str">
        <f>IF(AND(UPPER(MAESTRO!$M1333)="VIP",UPPER(MAESTRO!$J1333)="SI",MAESTRO!$F1333&lt;&gt;""),MAESTRO!$P1333,"")</f>
        <v/>
      </c>
      <c r="B1334" t="str">
        <f>IF($A1334&lt;&gt;"",MAESTRO!$B1333,"")</f>
        <v/>
      </c>
      <c r="C1334" t="str">
        <f>IF($A1334&lt;&gt;"",MAESTRO!$A1333,"")</f>
        <v/>
      </c>
      <c r="D1334" t="str">
        <f>IF($A1334&lt;&gt;"",MAESTRO!$C1333,"")</f>
        <v/>
      </c>
      <c r="E1334" t="str">
        <f>IF($A1334&lt;&gt;"",MAESTRO!$M1333,"")</f>
        <v/>
      </c>
      <c r="F1334" t="str">
        <f>IF($A1334&lt;&gt;"",MAESTRO!$J1333,"")</f>
        <v/>
      </c>
      <c r="G1334" t="str">
        <f>IF($A1334&lt;&gt;"",MAESTRO!$D1333,"")</f>
        <v/>
      </c>
      <c r="H1334" t="str">
        <f>IF($A1334&lt;&gt;"",IF(TRIM(MAESTRO!$G1333&amp;" "&amp;MAESTRO!$H1333&amp;" "&amp;MAESTRO!$I1333)="",MAESTRO!$F1333,TRIM(MAESTRO!$G1333&amp;" "&amp;MAESTRO!$H1333&amp;" "&amp;MAESTRO!$I1333)),"")</f>
        <v/>
      </c>
      <c r="I1334" t="str">
        <f>IF($A1334&lt;&gt;"",MAESTRO!$K1333,"")</f>
        <v/>
      </c>
      <c r="J1334" t="str">
        <f>IF($A1334&lt;&gt;"",1334,"")</f>
        <v/>
      </c>
    </row>
    <row r="1335" spans="1:10" x14ac:dyDescent="0.2">
      <c r="A1335" t="str">
        <f>IF(AND(UPPER(MAESTRO!$M1334)="VIP",UPPER(MAESTRO!$J1334)="SI",MAESTRO!$F1334&lt;&gt;""),MAESTRO!$P1334,"")</f>
        <v/>
      </c>
      <c r="B1335" t="str">
        <f>IF($A1335&lt;&gt;"",MAESTRO!$B1334,"")</f>
        <v/>
      </c>
      <c r="C1335" t="str">
        <f>IF($A1335&lt;&gt;"",MAESTRO!$A1334,"")</f>
        <v/>
      </c>
      <c r="D1335" t="str">
        <f>IF($A1335&lt;&gt;"",MAESTRO!$C1334,"")</f>
        <v/>
      </c>
      <c r="E1335" t="str">
        <f>IF($A1335&lt;&gt;"",MAESTRO!$M1334,"")</f>
        <v/>
      </c>
      <c r="F1335" t="str">
        <f>IF($A1335&lt;&gt;"",MAESTRO!$J1334,"")</f>
        <v/>
      </c>
      <c r="G1335" t="str">
        <f>IF($A1335&lt;&gt;"",MAESTRO!$D1334,"")</f>
        <v/>
      </c>
      <c r="H1335" t="str">
        <f>IF($A1335&lt;&gt;"",IF(TRIM(MAESTRO!$G1334&amp;" "&amp;MAESTRO!$H1334&amp;" "&amp;MAESTRO!$I1334)="",MAESTRO!$F1334,TRIM(MAESTRO!$G1334&amp;" "&amp;MAESTRO!$H1334&amp;" "&amp;MAESTRO!$I1334)),"")</f>
        <v/>
      </c>
      <c r="I1335" t="str">
        <f>IF($A1335&lt;&gt;"",MAESTRO!$K1334,"")</f>
        <v/>
      </c>
      <c r="J1335" t="str">
        <f>IF($A1335&lt;&gt;"",1335,"")</f>
        <v/>
      </c>
    </row>
    <row r="1336" spans="1:10" x14ac:dyDescent="0.2">
      <c r="A1336" t="str">
        <f>IF(AND(UPPER(MAESTRO!$M1335)="VIP",UPPER(MAESTRO!$J1335)="SI",MAESTRO!$F1335&lt;&gt;""),MAESTRO!$P1335,"")</f>
        <v/>
      </c>
      <c r="B1336" t="str">
        <f>IF($A1336&lt;&gt;"",MAESTRO!$B1335,"")</f>
        <v/>
      </c>
      <c r="C1336" t="str">
        <f>IF($A1336&lt;&gt;"",MAESTRO!$A1335,"")</f>
        <v/>
      </c>
      <c r="D1336" t="str">
        <f>IF($A1336&lt;&gt;"",MAESTRO!$C1335,"")</f>
        <v/>
      </c>
      <c r="E1336" t="str">
        <f>IF($A1336&lt;&gt;"",MAESTRO!$M1335,"")</f>
        <v/>
      </c>
      <c r="F1336" t="str">
        <f>IF($A1336&lt;&gt;"",MAESTRO!$J1335,"")</f>
        <v/>
      </c>
      <c r="G1336" t="str">
        <f>IF($A1336&lt;&gt;"",MAESTRO!$D1335,"")</f>
        <v/>
      </c>
      <c r="H1336" t="str">
        <f>IF($A1336&lt;&gt;"",IF(TRIM(MAESTRO!$G1335&amp;" "&amp;MAESTRO!$H1335&amp;" "&amp;MAESTRO!$I1335)="",MAESTRO!$F1335,TRIM(MAESTRO!$G1335&amp;" "&amp;MAESTRO!$H1335&amp;" "&amp;MAESTRO!$I1335)),"")</f>
        <v/>
      </c>
      <c r="I1336" t="str">
        <f>IF($A1336&lt;&gt;"",MAESTRO!$K1335,"")</f>
        <v/>
      </c>
      <c r="J1336" t="str">
        <f>IF($A1336&lt;&gt;"",1336,"")</f>
        <v/>
      </c>
    </row>
    <row r="1337" spans="1:10" x14ac:dyDescent="0.2">
      <c r="A1337" t="str">
        <f>IF(AND(UPPER(MAESTRO!$M1336)="VIP",UPPER(MAESTRO!$J1336)="SI",MAESTRO!$F1336&lt;&gt;""),MAESTRO!$P1336,"")</f>
        <v/>
      </c>
      <c r="B1337" t="str">
        <f>IF($A1337&lt;&gt;"",MAESTRO!$B1336,"")</f>
        <v/>
      </c>
      <c r="C1337" t="str">
        <f>IF($A1337&lt;&gt;"",MAESTRO!$A1336,"")</f>
        <v/>
      </c>
      <c r="D1337" t="str">
        <f>IF($A1337&lt;&gt;"",MAESTRO!$C1336,"")</f>
        <v/>
      </c>
      <c r="E1337" t="str">
        <f>IF($A1337&lt;&gt;"",MAESTRO!$M1336,"")</f>
        <v/>
      </c>
      <c r="F1337" t="str">
        <f>IF($A1337&lt;&gt;"",MAESTRO!$J1336,"")</f>
        <v/>
      </c>
      <c r="G1337" t="str">
        <f>IF($A1337&lt;&gt;"",MAESTRO!$D1336,"")</f>
        <v/>
      </c>
      <c r="H1337" t="str">
        <f>IF($A1337&lt;&gt;"",IF(TRIM(MAESTRO!$G1336&amp;" "&amp;MAESTRO!$H1336&amp;" "&amp;MAESTRO!$I1336)="",MAESTRO!$F1336,TRIM(MAESTRO!$G1336&amp;" "&amp;MAESTRO!$H1336&amp;" "&amp;MAESTRO!$I1336)),"")</f>
        <v/>
      </c>
      <c r="I1337" t="str">
        <f>IF($A1337&lt;&gt;"",MAESTRO!$K1336,"")</f>
        <v/>
      </c>
      <c r="J1337" t="str">
        <f>IF($A1337&lt;&gt;"",1337,"")</f>
        <v/>
      </c>
    </row>
    <row r="1338" spans="1:10" x14ac:dyDescent="0.2">
      <c r="A1338" t="str">
        <f>IF(AND(UPPER(MAESTRO!$M1337)="VIP",UPPER(MAESTRO!$J1337)="SI",MAESTRO!$F1337&lt;&gt;""),MAESTRO!$P1337,"")</f>
        <v/>
      </c>
      <c r="B1338" t="str">
        <f>IF($A1338&lt;&gt;"",MAESTRO!$B1337,"")</f>
        <v/>
      </c>
      <c r="C1338" t="str">
        <f>IF($A1338&lt;&gt;"",MAESTRO!$A1337,"")</f>
        <v/>
      </c>
      <c r="D1338" t="str">
        <f>IF($A1338&lt;&gt;"",MAESTRO!$C1337,"")</f>
        <v/>
      </c>
      <c r="E1338" t="str">
        <f>IF($A1338&lt;&gt;"",MAESTRO!$M1337,"")</f>
        <v/>
      </c>
      <c r="F1338" t="str">
        <f>IF($A1338&lt;&gt;"",MAESTRO!$J1337,"")</f>
        <v/>
      </c>
      <c r="G1338" t="str">
        <f>IF($A1338&lt;&gt;"",MAESTRO!$D1337,"")</f>
        <v/>
      </c>
      <c r="H1338" t="str">
        <f>IF($A1338&lt;&gt;"",IF(TRIM(MAESTRO!$G1337&amp;" "&amp;MAESTRO!$H1337&amp;" "&amp;MAESTRO!$I1337)="",MAESTRO!$F1337,TRIM(MAESTRO!$G1337&amp;" "&amp;MAESTRO!$H1337&amp;" "&amp;MAESTRO!$I1337)),"")</f>
        <v/>
      </c>
      <c r="I1338" t="str">
        <f>IF($A1338&lt;&gt;"",MAESTRO!$K1337,"")</f>
        <v/>
      </c>
      <c r="J1338" t="str">
        <f>IF($A1338&lt;&gt;"",1338,"")</f>
        <v/>
      </c>
    </row>
    <row r="1339" spans="1:10" x14ac:dyDescent="0.2">
      <c r="A1339" t="str">
        <f>IF(AND(UPPER(MAESTRO!$M1338)="VIP",UPPER(MAESTRO!$J1338)="SI",MAESTRO!$F1338&lt;&gt;""),MAESTRO!$P1338,"")</f>
        <v/>
      </c>
      <c r="B1339" t="str">
        <f>IF($A1339&lt;&gt;"",MAESTRO!$B1338,"")</f>
        <v/>
      </c>
      <c r="C1339" t="str">
        <f>IF($A1339&lt;&gt;"",MAESTRO!$A1338,"")</f>
        <v/>
      </c>
      <c r="D1339" t="str">
        <f>IF($A1339&lt;&gt;"",MAESTRO!$C1338,"")</f>
        <v/>
      </c>
      <c r="E1339" t="str">
        <f>IF($A1339&lt;&gt;"",MAESTRO!$M1338,"")</f>
        <v/>
      </c>
      <c r="F1339" t="str">
        <f>IF($A1339&lt;&gt;"",MAESTRO!$J1338,"")</f>
        <v/>
      </c>
      <c r="G1339" t="str">
        <f>IF($A1339&lt;&gt;"",MAESTRO!$D1338,"")</f>
        <v/>
      </c>
      <c r="H1339" t="str">
        <f>IF($A1339&lt;&gt;"",IF(TRIM(MAESTRO!$G1338&amp;" "&amp;MAESTRO!$H1338&amp;" "&amp;MAESTRO!$I1338)="",MAESTRO!$F1338,TRIM(MAESTRO!$G1338&amp;" "&amp;MAESTRO!$H1338&amp;" "&amp;MAESTRO!$I1338)),"")</f>
        <v/>
      </c>
      <c r="I1339" t="str">
        <f>IF($A1339&lt;&gt;"",MAESTRO!$K1338,"")</f>
        <v/>
      </c>
      <c r="J1339" t="str">
        <f>IF($A1339&lt;&gt;"",1339,"")</f>
        <v/>
      </c>
    </row>
    <row r="1340" spans="1:10" x14ac:dyDescent="0.2">
      <c r="A1340" t="str">
        <f>IF(AND(UPPER(MAESTRO!$M1339)="VIP",UPPER(MAESTRO!$J1339)="SI",MAESTRO!$F1339&lt;&gt;""),MAESTRO!$P1339,"")</f>
        <v/>
      </c>
      <c r="B1340" t="str">
        <f>IF($A1340&lt;&gt;"",MAESTRO!$B1339,"")</f>
        <v/>
      </c>
      <c r="C1340" t="str">
        <f>IF($A1340&lt;&gt;"",MAESTRO!$A1339,"")</f>
        <v/>
      </c>
      <c r="D1340" t="str">
        <f>IF($A1340&lt;&gt;"",MAESTRO!$C1339,"")</f>
        <v/>
      </c>
      <c r="E1340" t="str">
        <f>IF($A1340&lt;&gt;"",MAESTRO!$M1339,"")</f>
        <v/>
      </c>
      <c r="F1340" t="str">
        <f>IF($A1340&lt;&gt;"",MAESTRO!$J1339,"")</f>
        <v/>
      </c>
      <c r="G1340" t="str">
        <f>IF($A1340&lt;&gt;"",MAESTRO!$D1339,"")</f>
        <v/>
      </c>
      <c r="H1340" t="str">
        <f>IF($A1340&lt;&gt;"",IF(TRIM(MAESTRO!$G1339&amp;" "&amp;MAESTRO!$H1339&amp;" "&amp;MAESTRO!$I1339)="",MAESTRO!$F1339,TRIM(MAESTRO!$G1339&amp;" "&amp;MAESTRO!$H1339&amp;" "&amp;MAESTRO!$I1339)),"")</f>
        <v/>
      </c>
      <c r="I1340" t="str">
        <f>IF($A1340&lt;&gt;"",MAESTRO!$K1339,"")</f>
        <v/>
      </c>
      <c r="J1340" t="str">
        <f>IF($A1340&lt;&gt;"",1340,"")</f>
        <v/>
      </c>
    </row>
    <row r="1341" spans="1:10" x14ac:dyDescent="0.2">
      <c r="A1341" t="str">
        <f>IF(AND(UPPER(MAESTRO!$M1340)="VIP",UPPER(MAESTRO!$J1340)="SI",MAESTRO!$F1340&lt;&gt;""),MAESTRO!$P1340,"")</f>
        <v/>
      </c>
      <c r="B1341" t="str">
        <f>IF($A1341&lt;&gt;"",MAESTRO!$B1340,"")</f>
        <v/>
      </c>
      <c r="C1341" t="str">
        <f>IF($A1341&lt;&gt;"",MAESTRO!$A1340,"")</f>
        <v/>
      </c>
      <c r="D1341" t="str">
        <f>IF($A1341&lt;&gt;"",MAESTRO!$C1340,"")</f>
        <v/>
      </c>
      <c r="E1341" t="str">
        <f>IF($A1341&lt;&gt;"",MAESTRO!$M1340,"")</f>
        <v/>
      </c>
      <c r="F1341" t="str">
        <f>IF($A1341&lt;&gt;"",MAESTRO!$J1340,"")</f>
        <v/>
      </c>
      <c r="G1341" t="str">
        <f>IF($A1341&lt;&gt;"",MAESTRO!$D1340,"")</f>
        <v/>
      </c>
      <c r="H1341" t="str">
        <f>IF($A1341&lt;&gt;"",IF(TRIM(MAESTRO!$G1340&amp;" "&amp;MAESTRO!$H1340&amp;" "&amp;MAESTRO!$I1340)="",MAESTRO!$F1340,TRIM(MAESTRO!$G1340&amp;" "&amp;MAESTRO!$H1340&amp;" "&amp;MAESTRO!$I1340)),"")</f>
        <v/>
      </c>
      <c r="I1341" t="str">
        <f>IF($A1341&lt;&gt;"",MAESTRO!$K1340,"")</f>
        <v/>
      </c>
      <c r="J1341" t="str">
        <f>IF($A1341&lt;&gt;"",1341,"")</f>
        <v/>
      </c>
    </row>
    <row r="1342" spans="1:10" x14ac:dyDescent="0.2">
      <c r="A1342" t="str">
        <f>IF(AND(UPPER(MAESTRO!$M1341)="VIP",UPPER(MAESTRO!$J1341)="SI",MAESTRO!$F1341&lt;&gt;""),MAESTRO!$P1341,"")</f>
        <v/>
      </c>
      <c r="B1342" t="str">
        <f>IF($A1342&lt;&gt;"",MAESTRO!$B1341,"")</f>
        <v/>
      </c>
      <c r="C1342" t="str">
        <f>IF($A1342&lt;&gt;"",MAESTRO!$A1341,"")</f>
        <v/>
      </c>
      <c r="D1342" t="str">
        <f>IF($A1342&lt;&gt;"",MAESTRO!$C1341,"")</f>
        <v/>
      </c>
      <c r="E1342" t="str">
        <f>IF($A1342&lt;&gt;"",MAESTRO!$M1341,"")</f>
        <v/>
      </c>
      <c r="F1342" t="str">
        <f>IF($A1342&lt;&gt;"",MAESTRO!$J1341,"")</f>
        <v/>
      </c>
      <c r="G1342" t="str">
        <f>IF($A1342&lt;&gt;"",MAESTRO!$D1341,"")</f>
        <v/>
      </c>
      <c r="H1342" t="str">
        <f>IF($A1342&lt;&gt;"",IF(TRIM(MAESTRO!$G1341&amp;" "&amp;MAESTRO!$H1341&amp;" "&amp;MAESTRO!$I1341)="",MAESTRO!$F1341,TRIM(MAESTRO!$G1341&amp;" "&amp;MAESTRO!$H1341&amp;" "&amp;MAESTRO!$I1341)),"")</f>
        <v/>
      </c>
      <c r="I1342" t="str">
        <f>IF($A1342&lt;&gt;"",MAESTRO!$K1341,"")</f>
        <v/>
      </c>
      <c r="J1342" t="str">
        <f>IF($A1342&lt;&gt;"",1342,"")</f>
        <v/>
      </c>
    </row>
    <row r="1343" spans="1:10" x14ac:dyDescent="0.2">
      <c r="A1343" t="str">
        <f>IF(AND(UPPER(MAESTRO!$M1342)="VIP",UPPER(MAESTRO!$J1342)="SI",MAESTRO!$F1342&lt;&gt;""),MAESTRO!$P1342,"")</f>
        <v/>
      </c>
      <c r="B1343" t="str">
        <f>IF($A1343&lt;&gt;"",MAESTRO!$B1342,"")</f>
        <v/>
      </c>
      <c r="C1343" t="str">
        <f>IF($A1343&lt;&gt;"",MAESTRO!$A1342,"")</f>
        <v/>
      </c>
      <c r="D1343" t="str">
        <f>IF($A1343&lt;&gt;"",MAESTRO!$C1342,"")</f>
        <v/>
      </c>
      <c r="E1343" t="str">
        <f>IF($A1343&lt;&gt;"",MAESTRO!$M1342,"")</f>
        <v/>
      </c>
      <c r="F1343" t="str">
        <f>IF($A1343&lt;&gt;"",MAESTRO!$J1342,"")</f>
        <v/>
      </c>
      <c r="G1343" t="str">
        <f>IF($A1343&lt;&gt;"",MAESTRO!$D1342,"")</f>
        <v/>
      </c>
      <c r="H1343" t="str">
        <f>IF($A1343&lt;&gt;"",IF(TRIM(MAESTRO!$G1342&amp;" "&amp;MAESTRO!$H1342&amp;" "&amp;MAESTRO!$I1342)="",MAESTRO!$F1342,TRIM(MAESTRO!$G1342&amp;" "&amp;MAESTRO!$H1342&amp;" "&amp;MAESTRO!$I1342)),"")</f>
        <v/>
      </c>
      <c r="I1343" t="str">
        <f>IF($A1343&lt;&gt;"",MAESTRO!$K1342,"")</f>
        <v/>
      </c>
      <c r="J1343" t="str">
        <f>IF($A1343&lt;&gt;"",1343,"")</f>
        <v/>
      </c>
    </row>
    <row r="1344" spans="1:10" x14ac:dyDescent="0.2">
      <c r="A1344" t="str">
        <f>IF(AND(UPPER(MAESTRO!$M1343)="VIP",UPPER(MAESTRO!$J1343)="SI",MAESTRO!$F1343&lt;&gt;""),MAESTRO!$P1343,"")</f>
        <v/>
      </c>
      <c r="B1344" t="str">
        <f>IF($A1344&lt;&gt;"",MAESTRO!$B1343,"")</f>
        <v/>
      </c>
      <c r="C1344" t="str">
        <f>IF($A1344&lt;&gt;"",MAESTRO!$A1343,"")</f>
        <v/>
      </c>
      <c r="D1344" t="str">
        <f>IF($A1344&lt;&gt;"",MAESTRO!$C1343,"")</f>
        <v/>
      </c>
      <c r="E1344" t="str">
        <f>IF($A1344&lt;&gt;"",MAESTRO!$M1343,"")</f>
        <v/>
      </c>
      <c r="F1344" t="str">
        <f>IF($A1344&lt;&gt;"",MAESTRO!$J1343,"")</f>
        <v/>
      </c>
      <c r="G1344" t="str">
        <f>IF($A1344&lt;&gt;"",MAESTRO!$D1343,"")</f>
        <v/>
      </c>
      <c r="H1344" t="str">
        <f>IF($A1344&lt;&gt;"",IF(TRIM(MAESTRO!$G1343&amp;" "&amp;MAESTRO!$H1343&amp;" "&amp;MAESTRO!$I1343)="",MAESTRO!$F1343,TRIM(MAESTRO!$G1343&amp;" "&amp;MAESTRO!$H1343&amp;" "&amp;MAESTRO!$I1343)),"")</f>
        <v/>
      </c>
      <c r="I1344" t="str">
        <f>IF($A1344&lt;&gt;"",MAESTRO!$K1343,"")</f>
        <v/>
      </c>
      <c r="J1344" t="str">
        <f>IF($A1344&lt;&gt;"",1344,"")</f>
        <v/>
      </c>
    </row>
    <row r="1345" spans="1:10" x14ac:dyDescent="0.2">
      <c r="A1345" t="str">
        <f>IF(AND(UPPER(MAESTRO!$M1344)="VIP",UPPER(MAESTRO!$J1344)="SI",MAESTRO!$F1344&lt;&gt;""),MAESTRO!$P1344,"")</f>
        <v/>
      </c>
      <c r="B1345" t="str">
        <f>IF($A1345&lt;&gt;"",MAESTRO!$B1344,"")</f>
        <v/>
      </c>
      <c r="C1345" t="str">
        <f>IF($A1345&lt;&gt;"",MAESTRO!$A1344,"")</f>
        <v/>
      </c>
      <c r="D1345" t="str">
        <f>IF($A1345&lt;&gt;"",MAESTRO!$C1344,"")</f>
        <v/>
      </c>
      <c r="E1345" t="str">
        <f>IF($A1345&lt;&gt;"",MAESTRO!$M1344,"")</f>
        <v/>
      </c>
      <c r="F1345" t="str">
        <f>IF($A1345&lt;&gt;"",MAESTRO!$J1344,"")</f>
        <v/>
      </c>
      <c r="G1345" t="str">
        <f>IF($A1345&lt;&gt;"",MAESTRO!$D1344,"")</f>
        <v/>
      </c>
      <c r="H1345" t="str">
        <f>IF($A1345&lt;&gt;"",IF(TRIM(MAESTRO!$G1344&amp;" "&amp;MAESTRO!$H1344&amp;" "&amp;MAESTRO!$I1344)="",MAESTRO!$F1344,TRIM(MAESTRO!$G1344&amp;" "&amp;MAESTRO!$H1344&amp;" "&amp;MAESTRO!$I1344)),"")</f>
        <v/>
      </c>
      <c r="I1345" t="str">
        <f>IF($A1345&lt;&gt;"",MAESTRO!$K1344,"")</f>
        <v/>
      </c>
      <c r="J1345" t="str">
        <f>IF($A1345&lt;&gt;"",1345,"")</f>
        <v/>
      </c>
    </row>
    <row r="1346" spans="1:10" x14ac:dyDescent="0.2">
      <c r="A1346" t="str">
        <f>IF(AND(UPPER(MAESTRO!$M1345)="VIP",UPPER(MAESTRO!$J1345)="SI",MAESTRO!$F1345&lt;&gt;""),MAESTRO!$P1345,"")</f>
        <v/>
      </c>
      <c r="B1346" t="str">
        <f>IF($A1346&lt;&gt;"",MAESTRO!$B1345,"")</f>
        <v/>
      </c>
      <c r="C1346" t="str">
        <f>IF($A1346&lt;&gt;"",MAESTRO!$A1345,"")</f>
        <v/>
      </c>
      <c r="D1346" t="str">
        <f>IF($A1346&lt;&gt;"",MAESTRO!$C1345,"")</f>
        <v/>
      </c>
      <c r="E1346" t="str">
        <f>IF($A1346&lt;&gt;"",MAESTRO!$M1345,"")</f>
        <v/>
      </c>
      <c r="F1346" t="str">
        <f>IF($A1346&lt;&gt;"",MAESTRO!$J1345,"")</f>
        <v/>
      </c>
      <c r="G1346" t="str">
        <f>IF($A1346&lt;&gt;"",MAESTRO!$D1345,"")</f>
        <v/>
      </c>
      <c r="H1346" t="str">
        <f>IF($A1346&lt;&gt;"",IF(TRIM(MAESTRO!$G1345&amp;" "&amp;MAESTRO!$H1345&amp;" "&amp;MAESTRO!$I1345)="",MAESTRO!$F1345,TRIM(MAESTRO!$G1345&amp;" "&amp;MAESTRO!$H1345&amp;" "&amp;MAESTRO!$I1345)),"")</f>
        <v/>
      </c>
      <c r="I1346" t="str">
        <f>IF($A1346&lt;&gt;"",MAESTRO!$K1345,"")</f>
        <v/>
      </c>
      <c r="J1346" t="str">
        <f>IF($A1346&lt;&gt;"",1346,"")</f>
        <v/>
      </c>
    </row>
    <row r="1347" spans="1:10" x14ac:dyDescent="0.2">
      <c r="A1347" t="str">
        <f>IF(AND(UPPER(MAESTRO!$M1346)="VIP",UPPER(MAESTRO!$J1346)="SI",MAESTRO!$F1346&lt;&gt;""),MAESTRO!$P1346,"")</f>
        <v/>
      </c>
      <c r="B1347" t="str">
        <f>IF($A1347&lt;&gt;"",MAESTRO!$B1346,"")</f>
        <v/>
      </c>
      <c r="C1347" t="str">
        <f>IF($A1347&lt;&gt;"",MAESTRO!$A1346,"")</f>
        <v/>
      </c>
      <c r="D1347" t="str">
        <f>IF($A1347&lt;&gt;"",MAESTRO!$C1346,"")</f>
        <v/>
      </c>
      <c r="E1347" t="str">
        <f>IF($A1347&lt;&gt;"",MAESTRO!$M1346,"")</f>
        <v/>
      </c>
      <c r="F1347" t="str">
        <f>IF($A1347&lt;&gt;"",MAESTRO!$J1346,"")</f>
        <v/>
      </c>
      <c r="G1347" t="str">
        <f>IF($A1347&lt;&gt;"",MAESTRO!$D1346,"")</f>
        <v/>
      </c>
      <c r="H1347" t="str">
        <f>IF($A1347&lt;&gt;"",IF(TRIM(MAESTRO!$G1346&amp;" "&amp;MAESTRO!$H1346&amp;" "&amp;MAESTRO!$I1346)="",MAESTRO!$F1346,TRIM(MAESTRO!$G1346&amp;" "&amp;MAESTRO!$H1346&amp;" "&amp;MAESTRO!$I1346)),"")</f>
        <v/>
      </c>
      <c r="I1347" t="str">
        <f>IF($A1347&lt;&gt;"",MAESTRO!$K1346,"")</f>
        <v/>
      </c>
      <c r="J1347" t="str">
        <f>IF($A1347&lt;&gt;"",1347,"")</f>
        <v/>
      </c>
    </row>
    <row r="1348" spans="1:10" x14ac:dyDescent="0.2">
      <c r="A1348" t="str">
        <f>IF(AND(UPPER(MAESTRO!$M1347)="VIP",UPPER(MAESTRO!$J1347)="SI",MAESTRO!$F1347&lt;&gt;""),MAESTRO!$P1347,"")</f>
        <v/>
      </c>
      <c r="B1348" t="str">
        <f>IF($A1348&lt;&gt;"",MAESTRO!$B1347,"")</f>
        <v/>
      </c>
      <c r="C1348" t="str">
        <f>IF($A1348&lt;&gt;"",MAESTRO!$A1347,"")</f>
        <v/>
      </c>
      <c r="D1348" t="str">
        <f>IF($A1348&lt;&gt;"",MAESTRO!$C1347,"")</f>
        <v/>
      </c>
      <c r="E1348" t="str">
        <f>IF($A1348&lt;&gt;"",MAESTRO!$M1347,"")</f>
        <v/>
      </c>
      <c r="F1348" t="str">
        <f>IF($A1348&lt;&gt;"",MAESTRO!$J1347,"")</f>
        <v/>
      </c>
      <c r="G1348" t="str">
        <f>IF($A1348&lt;&gt;"",MAESTRO!$D1347,"")</f>
        <v/>
      </c>
      <c r="H1348" t="str">
        <f>IF($A1348&lt;&gt;"",IF(TRIM(MAESTRO!$G1347&amp;" "&amp;MAESTRO!$H1347&amp;" "&amp;MAESTRO!$I1347)="",MAESTRO!$F1347,TRIM(MAESTRO!$G1347&amp;" "&amp;MAESTRO!$H1347&amp;" "&amp;MAESTRO!$I1347)),"")</f>
        <v/>
      </c>
      <c r="I1348" t="str">
        <f>IF($A1348&lt;&gt;"",MAESTRO!$K1347,"")</f>
        <v/>
      </c>
      <c r="J1348" t="str">
        <f>IF($A1348&lt;&gt;"",1348,"")</f>
        <v/>
      </c>
    </row>
    <row r="1349" spans="1:10" x14ac:dyDescent="0.2">
      <c r="A1349" t="str">
        <f>IF(AND(UPPER(MAESTRO!$M1348)="VIP",UPPER(MAESTRO!$J1348)="SI",MAESTRO!$F1348&lt;&gt;""),MAESTRO!$P1348,"")</f>
        <v/>
      </c>
      <c r="B1349" t="str">
        <f>IF($A1349&lt;&gt;"",MAESTRO!$B1348,"")</f>
        <v/>
      </c>
      <c r="C1349" t="str">
        <f>IF($A1349&lt;&gt;"",MAESTRO!$A1348,"")</f>
        <v/>
      </c>
      <c r="D1349" t="str">
        <f>IF($A1349&lt;&gt;"",MAESTRO!$C1348,"")</f>
        <v/>
      </c>
      <c r="E1349" t="str">
        <f>IF($A1349&lt;&gt;"",MAESTRO!$M1348,"")</f>
        <v/>
      </c>
      <c r="F1349" t="str">
        <f>IF($A1349&lt;&gt;"",MAESTRO!$J1348,"")</f>
        <v/>
      </c>
      <c r="G1349" t="str">
        <f>IF($A1349&lt;&gt;"",MAESTRO!$D1348,"")</f>
        <v/>
      </c>
      <c r="H1349" t="str">
        <f>IF($A1349&lt;&gt;"",IF(TRIM(MAESTRO!$G1348&amp;" "&amp;MAESTRO!$H1348&amp;" "&amp;MAESTRO!$I1348)="",MAESTRO!$F1348,TRIM(MAESTRO!$G1348&amp;" "&amp;MAESTRO!$H1348&amp;" "&amp;MAESTRO!$I1348)),"")</f>
        <v/>
      </c>
      <c r="I1349" t="str">
        <f>IF($A1349&lt;&gt;"",MAESTRO!$K1348,"")</f>
        <v/>
      </c>
      <c r="J1349" t="str">
        <f>IF($A1349&lt;&gt;"",1349,"")</f>
        <v/>
      </c>
    </row>
    <row r="1350" spans="1:10" x14ac:dyDescent="0.2">
      <c r="A1350" t="str">
        <f>IF(AND(UPPER(MAESTRO!$M1349)="VIP",UPPER(MAESTRO!$J1349)="SI",MAESTRO!$F1349&lt;&gt;""),MAESTRO!$P1349,"")</f>
        <v/>
      </c>
      <c r="B1350" t="str">
        <f>IF($A1350&lt;&gt;"",MAESTRO!$B1349,"")</f>
        <v/>
      </c>
      <c r="C1350" t="str">
        <f>IF($A1350&lt;&gt;"",MAESTRO!$A1349,"")</f>
        <v/>
      </c>
      <c r="D1350" t="str">
        <f>IF($A1350&lt;&gt;"",MAESTRO!$C1349,"")</f>
        <v/>
      </c>
      <c r="E1350" t="str">
        <f>IF($A1350&lt;&gt;"",MAESTRO!$M1349,"")</f>
        <v/>
      </c>
      <c r="F1350" t="str">
        <f>IF($A1350&lt;&gt;"",MAESTRO!$J1349,"")</f>
        <v/>
      </c>
      <c r="G1350" t="str">
        <f>IF($A1350&lt;&gt;"",MAESTRO!$D1349,"")</f>
        <v/>
      </c>
      <c r="H1350" t="str">
        <f>IF($A1350&lt;&gt;"",IF(TRIM(MAESTRO!$G1349&amp;" "&amp;MAESTRO!$H1349&amp;" "&amp;MAESTRO!$I1349)="",MAESTRO!$F1349,TRIM(MAESTRO!$G1349&amp;" "&amp;MAESTRO!$H1349&amp;" "&amp;MAESTRO!$I1349)),"")</f>
        <v/>
      </c>
      <c r="I1350" t="str">
        <f>IF($A1350&lt;&gt;"",MAESTRO!$K1349,"")</f>
        <v/>
      </c>
      <c r="J1350" t="str">
        <f>IF($A1350&lt;&gt;"",1350,"")</f>
        <v/>
      </c>
    </row>
    <row r="1351" spans="1:10" x14ac:dyDescent="0.2">
      <c r="A1351" t="str">
        <f>IF(AND(UPPER(MAESTRO!$M1350)="VIP",UPPER(MAESTRO!$J1350)="SI",MAESTRO!$F1350&lt;&gt;""),MAESTRO!$P1350,"")</f>
        <v/>
      </c>
      <c r="B1351" t="str">
        <f>IF($A1351&lt;&gt;"",MAESTRO!$B1350,"")</f>
        <v/>
      </c>
      <c r="C1351" t="str">
        <f>IF($A1351&lt;&gt;"",MAESTRO!$A1350,"")</f>
        <v/>
      </c>
      <c r="D1351" t="str">
        <f>IF($A1351&lt;&gt;"",MAESTRO!$C1350,"")</f>
        <v/>
      </c>
      <c r="E1351" t="str">
        <f>IF($A1351&lt;&gt;"",MAESTRO!$M1350,"")</f>
        <v/>
      </c>
      <c r="F1351" t="str">
        <f>IF($A1351&lt;&gt;"",MAESTRO!$J1350,"")</f>
        <v/>
      </c>
      <c r="G1351" t="str">
        <f>IF($A1351&lt;&gt;"",MAESTRO!$D1350,"")</f>
        <v/>
      </c>
      <c r="H1351" t="str">
        <f>IF($A1351&lt;&gt;"",IF(TRIM(MAESTRO!$G1350&amp;" "&amp;MAESTRO!$H1350&amp;" "&amp;MAESTRO!$I1350)="",MAESTRO!$F1350,TRIM(MAESTRO!$G1350&amp;" "&amp;MAESTRO!$H1350&amp;" "&amp;MAESTRO!$I1350)),"")</f>
        <v/>
      </c>
      <c r="I1351" t="str">
        <f>IF($A1351&lt;&gt;"",MAESTRO!$K1350,"")</f>
        <v/>
      </c>
      <c r="J1351" t="str">
        <f>IF($A1351&lt;&gt;"",1351,"")</f>
        <v/>
      </c>
    </row>
    <row r="1352" spans="1:10" x14ac:dyDescent="0.2">
      <c r="A1352" t="str">
        <f>IF(AND(UPPER(MAESTRO!$M1351)="VIP",UPPER(MAESTRO!$J1351)="SI",MAESTRO!$F1351&lt;&gt;""),MAESTRO!$P1351,"")</f>
        <v/>
      </c>
      <c r="B1352" t="str">
        <f>IF($A1352&lt;&gt;"",MAESTRO!$B1351,"")</f>
        <v/>
      </c>
      <c r="C1352" t="str">
        <f>IF($A1352&lt;&gt;"",MAESTRO!$A1351,"")</f>
        <v/>
      </c>
      <c r="D1352" t="str">
        <f>IF($A1352&lt;&gt;"",MAESTRO!$C1351,"")</f>
        <v/>
      </c>
      <c r="E1352" t="str">
        <f>IF($A1352&lt;&gt;"",MAESTRO!$M1351,"")</f>
        <v/>
      </c>
      <c r="F1352" t="str">
        <f>IF($A1352&lt;&gt;"",MAESTRO!$J1351,"")</f>
        <v/>
      </c>
      <c r="G1352" t="str">
        <f>IF($A1352&lt;&gt;"",MAESTRO!$D1351,"")</f>
        <v/>
      </c>
      <c r="H1352" t="str">
        <f>IF($A1352&lt;&gt;"",IF(TRIM(MAESTRO!$G1351&amp;" "&amp;MAESTRO!$H1351&amp;" "&amp;MAESTRO!$I1351)="",MAESTRO!$F1351,TRIM(MAESTRO!$G1351&amp;" "&amp;MAESTRO!$H1351&amp;" "&amp;MAESTRO!$I1351)),"")</f>
        <v/>
      </c>
      <c r="I1352" t="str">
        <f>IF($A1352&lt;&gt;"",MAESTRO!$K1351,"")</f>
        <v/>
      </c>
      <c r="J1352" t="str">
        <f>IF($A1352&lt;&gt;"",1352,"")</f>
        <v/>
      </c>
    </row>
    <row r="1353" spans="1:10" x14ac:dyDescent="0.2">
      <c r="A1353" t="str">
        <f>IF(AND(UPPER(MAESTRO!$M1352)="VIP",UPPER(MAESTRO!$J1352)="SI",MAESTRO!$F1352&lt;&gt;""),MAESTRO!$P1352,"")</f>
        <v/>
      </c>
      <c r="B1353" t="str">
        <f>IF($A1353&lt;&gt;"",MAESTRO!$B1352,"")</f>
        <v/>
      </c>
      <c r="C1353" t="str">
        <f>IF($A1353&lt;&gt;"",MAESTRO!$A1352,"")</f>
        <v/>
      </c>
      <c r="D1353" t="str">
        <f>IF($A1353&lt;&gt;"",MAESTRO!$C1352,"")</f>
        <v/>
      </c>
      <c r="E1353" t="str">
        <f>IF($A1353&lt;&gt;"",MAESTRO!$M1352,"")</f>
        <v/>
      </c>
      <c r="F1353" t="str">
        <f>IF($A1353&lt;&gt;"",MAESTRO!$J1352,"")</f>
        <v/>
      </c>
      <c r="G1353" t="str">
        <f>IF($A1353&lt;&gt;"",MAESTRO!$D1352,"")</f>
        <v/>
      </c>
      <c r="H1353" t="str">
        <f>IF($A1353&lt;&gt;"",IF(TRIM(MAESTRO!$G1352&amp;" "&amp;MAESTRO!$H1352&amp;" "&amp;MAESTRO!$I1352)="",MAESTRO!$F1352,TRIM(MAESTRO!$G1352&amp;" "&amp;MAESTRO!$H1352&amp;" "&amp;MAESTRO!$I1352)),"")</f>
        <v/>
      </c>
      <c r="I1353" t="str">
        <f>IF($A1353&lt;&gt;"",MAESTRO!$K1352,"")</f>
        <v/>
      </c>
      <c r="J1353" t="str">
        <f>IF($A1353&lt;&gt;"",1353,"")</f>
        <v/>
      </c>
    </row>
    <row r="1354" spans="1:10" x14ac:dyDescent="0.2">
      <c r="A1354" t="str">
        <f>IF(AND(UPPER(MAESTRO!$M1353)="VIP",UPPER(MAESTRO!$J1353)="SI",MAESTRO!$F1353&lt;&gt;""),MAESTRO!$P1353,"")</f>
        <v/>
      </c>
      <c r="B1354" t="str">
        <f>IF($A1354&lt;&gt;"",MAESTRO!$B1353,"")</f>
        <v/>
      </c>
      <c r="C1354" t="str">
        <f>IF($A1354&lt;&gt;"",MAESTRO!$A1353,"")</f>
        <v/>
      </c>
      <c r="D1354" t="str">
        <f>IF($A1354&lt;&gt;"",MAESTRO!$C1353,"")</f>
        <v/>
      </c>
      <c r="E1354" t="str">
        <f>IF($A1354&lt;&gt;"",MAESTRO!$M1353,"")</f>
        <v/>
      </c>
      <c r="F1354" t="str">
        <f>IF($A1354&lt;&gt;"",MAESTRO!$J1353,"")</f>
        <v/>
      </c>
      <c r="G1354" t="str">
        <f>IF($A1354&lt;&gt;"",MAESTRO!$D1353,"")</f>
        <v/>
      </c>
      <c r="H1354" t="str">
        <f>IF($A1354&lt;&gt;"",IF(TRIM(MAESTRO!$G1353&amp;" "&amp;MAESTRO!$H1353&amp;" "&amp;MAESTRO!$I1353)="",MAESTRO!$F1353,TRIM(MAESTRO!$G1353&amp;" "&amp;MAESTRO!$H1353&amp;" "&amp;MAESTRO!$I1353)),"")</f>
        <v/>
      </c>
      <c r="I1354" t="str">
        <f>IF($A1354&lt;&gt;"",MAESTRO!$K1353,"")</f>
        <v/>
      </c>
      <c r="J1354" t="str">
        <f>IF($A1354&lt;&gt;"",1354,"")</f>
        <v/>
      </c>
    </row>
    <row r="1355" spans="1:10" x14ac:dyDescent="0.2">
      <c r="A1355" t="str">
        <f>IF(AND(UPPER(MAESTRO!$M1354)="VIP",UPPER(MAESTRO!$J1354)="SI",MAESTRO!$F1354&lt;&gt;""),MAESTRO!$P1354,"")</f>
        <v/>
      </c>
      <c r="B1355" t="str">
        <f>IF($A1355&lt;&gt;"",MAESTRO!$B1354,"")</f>
        <v/>
      </c>
      <c r="C1355" t="str">
        <f>IF($A1355&lt;&gt;"",MAESTRO!$A1354,"")</f>
        <v/>
      </c>
      <c r="D1355" t="str">
        <f>IF($A1355&lt;&gt;"",MAESTRO!$C1354,"")</f>
        <v/>
      </c>
      <c r="E1355" t="str">
        <f>IF($A1355&lt;&gt;"",MAESTRO!$M1354,"")</f>
        <v/>
      </c>
      <c r="F1355" t="str">
        <f>IF($A1355&lt;&gt;"",MAESTRO!$J1354,"")</f>
        <v/>
      </c>
      <c r="G1355" t="str">
        <f>IF($A1355&lt;&gt;"",MAESTRO!$D1354,"")</f>
        <v/>
      </c>
      <c r="H1355" t="str">
        <f>IF($A1355&lt;&gt;"",IF(TRIM(MAESTRO!$G1354&amp;" "&amp;MAESTRO!$H1354&amp;" "&amp;MAESTRO!$I1354)="",MAESTRO!$F1354,TRIM(MAESTRO!$G1354&amp;" "&amp;MAESTRO!$H1354&amp;" "&amp;MAESTRO!$I1354)),"")</f>
        <v/>
      </c>
      <c r="I1355" t="str">
        <f>IF($A1355&lt;&gt;"",MAESTRO!$K1354,"")</f>
        <v/>
      </c>
      <c r="J1355" t="str">
        <f>IF($A1355&lt;&gt;"",1355,"")</f>
        <v/>
      </c>
    </row>
    <row r="1356" spans="1:10" x14ac:dyDescent="0.2">
      <c r="A1356" t="str">
        <f>IF(AND(UPPER(MAESTRO!$M1355)="VIP",UPPER(MAESTRO!$J1355)="SI",MAESTRO!$F1355&lt;&gt;""),MAESTRO!$P1355,"")</f>
        <v/>
      </c>
      <c r="B1356" t="str">
        <f>IF($A1356&lt;&gt;"",MAESTRO!$B1355,"")</f>
        <v/>
      </c>
      <c r="C1356" t="str">
        <f>IF($A1356&lt;&gt;"",MAESTRO!$A1355,"")</f>
        <v/>
      </c>
      <c r="D1356" t="str">
        <f>IF($A1356&lt;&gt;"",MAESTRO!$C1355,"")</f>
        <v/>
      </c>
      <c r="E1356" t="str">
        <f>IF($A1356&lt;&gt;"",MAESTRO!$M1355,"")</f>
        <v/>
      </c>
      <c r="F1356" t="str">
        <f>IF($A1356&lt;&gt;"",MAESTRO!$J1355,"")</f>
        <v/>
      </c>
      <c r="G1356" t="str">
        <f>IF($A1356&lt;&gt;"",MAESTRO!$D1355,"")</f>
        <v/>
      </c>
      <c r="H1356" t="str">
        <f>IF($A1356&lt;&gt;"",IF(TRIM(MAESTRO!$G1355&amp;" "&amp;MAESTRO!$H1355&amp;" "&amp;MAESTRO!$I1355)="",MAESTRO!$F1355,TRIM(MAESTRO!$G1355&amp;" "&amp;MAESTRO!$H1355&amp;" "&amp;MAESTRO!$I1355)),"")</f>
        <v/>
      </c>
      <c r="I1356" t="str">
        <f>IF($A1356&lt;&gt;"",MAESTRO!$K1355,"")</f>
        <v/>
      </c>
      <c r="J1356" t="str">
        <f>IF($A1356&lt;&gt;"",1356,"")</f>
        <v/>
      </c>
    </row>
    <row r="1357" spans="1:10" x14ac:dyDescent="0.2">
      <c r="A1357" t="str">
        <f>IF(AND(UPPER(MAESTRO!$M1356)="VIP",UPPER(MAESTRO!$J1356)="SI",MAESTRO!$F1356&lt;&gt;""),MAESTRO!$P1356,"")</f>
        <v/>
      </c>
      <c r="B1357" t="str">
        <f>IF($A1357&lt;&gt;"",MAESTRO!$B1356,"")</f>
        <v/>
      </c>
      <c r="C1357" t="str">
        <f>IF($A1357&lt;&gt;"",MAESTRO!$A1356,"")</f>
        <v/>
      </c>
      <c r="D1357" t="str">
        <f>IF($A1357&lt;&gt;"",MAESTRO!$C1356,"")</f>
        <v/>
      </c>
      <c r="E1357" t="str">
        <f>IF($A1357&lt;&gt;"",MAESTRO!$M1356,"")</f>
        <v/>
      </c>
      <c r="F1357" t="str">
        <f>IF($A1357&lt;&gt;"",MAESTRO!$J1356,"")</f>
        <v/>
      </c>
      <c r="G1357" t="str">
        <f>IF($A1357&lt;&gt;"",MAESTRO!$D1356,"")</f>
        <v/>
      </c>
      <c r="H1357" t="str">
        <f>IF($A1357&lt;&gt;"",IF(TRIM(MAESTRO!$G1356&amp;" "&amp;MAESTRO!$H1356&amp;" "&amp;MAESTRO!$I1356)="",MAESTRO!$F1356,TRIM(MAESTRO!$G1356&amp;" "&amp;MAESTRO!$H1356&amp;" "&amp;MAESTRO!$I1356)),"")</f>
        <v/>
      </c>
      <c r="I1357" t="str">
        <f>IF($A1357&lt;&gt;"",MAESTRO!$K1356,"")</f>
        <v/>
      </c>
      <c r="J1357" t="str">
        <f>IF($A1357&lt;&gt;"",1357,"")</f>
        <v/>
      </c>
    </row>
    <row r="1358" spans="1:10" x14ac:dyDescent="0.2">
      <c r="A1358" t="str">
        <f>IF(AND(UPPER(MAESTRO!$M1357)="VIP",UPPER(MAESTRO!$J1357)="SI",MAESTRO!$F1357&lt;&gt;""),MAESTRO!$P1357,"")</f>
        <v/>
      </c>
      <c r="B1358" t="str">
        <f>IF($A1358&lt;&gt;"",MAESTRO!$B1357,"")</f>
        <v/>
      </c>
      <c r="C1358" t="str">
        <f>IF($A1358&lt;&gt;"",MAESTRO!$A1357,"")</f>
        <v/>
      </c>
      <c r="D1358" t="str">
        <f>IF($A1358&lt;&gt;"",MAESTRO!$C1357,"")</f>
        <v/>
      </c>
      <c r="E1358" t="str">
        <f>IF($A1358&lt;&gt;"",MAESTRO!$M1357,"")</f>
        <v/>
      </c>
      <c r="F1358" t="str">
        <f>IF($A1358&lt;&gt;"",MAESTRO!$J1357,"")</f>
        <v/>
      </c>
      <c r="G1358" t="str">
        <f>IF($A1358&lt;&gt;"",MAESTRO!$D1357,"")</f>
        <v/>
      </c>
      <c r="H1358" t="str">
        <f>IF($A1358&lt;&gt;"",IF(TRIM(MAESTRO!$G1357&amp;" "&amp;MAESTRO!$H1357&amp;" "&amp;MAESTRO!$I1357)="",MAESTRO!$F1357,TRIM(MAESTRO!$G1357&amp;" "&amp;MAESTRO!$H1357&amp;" "&amp;MAESTRO!$I1357)),"")</f>
        <v/>
      </c>
      <c r="I1358" t="str">
        <f>IF($A1358&lt;&gt;"",MAESTRO!$K1357,"")</f>
        <v/>
      </c>
      <c r="J1358" t="str">
        <f>IF($A1358&lt;&gt;"",1358,"")</f>
        <v/>
      </c>
    </row>
    <row r="1359" spans="1:10" x14ac:dyDescent="0.2">
      <c r="A1359" t="str">
        <f>IF(AND(UPPER(MAESTRO!$M1358)="VIP",UPPER(MAESTRO!$J1358)="SI",MAESTRO!$F1358&lt;&gt;""),MAESTRO!$P1358,"")</f>
        <v/>
      </c>
      <c r="B1359" t="str">
        <f>IF($A1359&lt;&gt;"",MAESTRO!$B1358,"")</f>
        <v/>
      </c>
      <c r="C1359" t="str">
        <f>IF($A1359&lt;&gt;"",MAESTRO!$A1358,"")</f>
        <v/>
      </c>
      <c r="D1359" t="str">
        <f>IF($A1359&lt;&gt;"",MAESTRO!$C1358,"")</f>
        <v/>
      </c>
      <c r="E1359" t="str">
        <f>IF($A1359&lt;&gt;"",MAESTRO!$M1358,"")</f>
        <v/>
      </c>
      <c r="F1359" t="str">
        <f>IF($A1359&lt;&gt;"",MAESTRO!$J1358,"")</f>
        <v/>
      </c>
      <c r="G1359" t="str">
        <f>IF($A1359&lt;&gt;"",MAESTRO!$D1358,"")</f>
        <v/>
      </c>
      <c r="H1359" t="str">
        <f>IF($A1359&lt;&gt;"",IF(TRIM(MAESTRO!$G1358&amp;" "&amp;MAESTRO!$H1358&amp;" "&amp;MAESTRO!$I1358)="",MAESTRO!$F1358,TRIM(MAESTRO!$G1358&amp;" "&amp;MAESTRO!$H1358&amp;" "&amp;MAESTRO!$I1358)),"")</f>
        <v/>
      </c>
      <c r="I1359" t="str">
        <f>IF($A1359&lt;&gt;"",MAESTRO!$K1358,"")</f>
        <v/>
      </c>
      <c r="J1359" t="str">
        <f>IF($A1359&lt;&gt;"",1359,"")</f>
        <v/>
      </c>
    </row>
    <row r="1360" spans="1:10" x14ac:dyDescent="0.2">
      <c r="A1360" t="str">
        <f>IF(AND(UPPER(MAESTRO!$M1359)="VIP",UPPER(MAESTRO!$J1359)="SI",MAESTRO!$F1359&lt;&gt;""),MAESTRO!$P1359,"")</f>
        <v/>
      </c>
      <c r="B1360" t="str">
        <f>IF($A1360&lt;&gt;"",MAESTRO!$B1359,"")</f>
        <v/>
      </c>
      <c r="C1360" t="str">
        <f>IF($A1360&lt;&gt;"",MAESTRO!$A1359,"")</f>
        <v/>
      </c>
      <c r="D1360" t="str">
        <f>IF($A1360&lt;&gt;"",MAESTRO!$C1359,"")</f>
        <v/>
      </c>
      <c r="E1360" t="str">
        <f>IF($A1360&lt;&gt;"",MAESTRO!$M1359,"")</f>
        <v/>
      </c>
      <c r="F1360" t="str">
        <f>IF($A1360&lt;&gt;"",MAESTRO!$J1359,"")</f>
        <v/>
      </c>
      <c r="G1360" t="str">
        <f>IF($A1360&lt;&gt;"",MAESTRO!$D1359,"")</f>
        <v/>
      </c>
      <c r="H1360" t="str">
        <f>IF($A1360&lt;&gt;"",IF(TRIM(MAESTRO!$G1359&amp;" "&amp;MAESTRO!$H1359&amp;" "&amp;MAESTRO!$I1359)="",MAESTRO!$F1359,TRIM(MAESTRO!$G1359&amp;" "&amp;MAESTRO!$H1359&amp;" "&amp;MAESTRO!$I1359)),"")</f>
        <v/>
      </c>
      <c r="I1360" t="str">
        <f>IF($A1360&lt;&gt;"",MAESTRO!$K1359,"")</f>
        <v/>
      </c>
      <c r="J1360" t="str">
        <f>IF($A1360&lt;&gt;"",1360,"")</f>
        <v/>
      </c>
    </row>
    <row r="1361" spans="1:10" x14ac:dyDescent="0.2">
      <c r="A1361" t="str">
        <f>IF(AND(UPPER(MAESTRO!$M1360)="VIP",UPPER(MAESTRO!$J1360)="SI",MAESTRO!$F1360&lt;&gt;""),MAESTRO!$P1360,"")</f>
        <v/>
      </c>
      <c r="B1361" t="str">
        <f>IF($A1361&lt;&gt;"",MAESTRO!$B1360,"")</f>
        <v/>
      </c>
      <c r="C1361" t="str">
        <f>IF($A1361&lt;&gt;"",MAESTRO!$A1360,"")</f>
        <v/>
      </c>
      <c r="D1361" t="str">
        <f>IF($A1361&lt;&gt;"",MAESTRO!$C1360,"")</f>
        <v/>
      </c>
      <c r="E1361" t="str">
        <f>IF($A1361&lt;&gt;"",MAESTRO!$M1360,"")</f>
        <v/>
      </c>
      <c r="F1361" t="str">
        <f>IF($A1361&lt;&gt;"",MAESTRO!$J1360,"")</f>
        <v/>
      </c>
      <c r="G1361" t="str">
        <f>IF($A1361&lt;&gt;"",MAESTRO!$D1360,"")</f>
        <v/>
      </c>
      <c r="H1361" t="str">
        <f>IF($A1361&lt;&gt;"",IF(TRIM(MAESTRO!$G1360&amp;" "&amp;MAESTRO!$H1360&amp;" "&amp;MAESTRO!$I1360)="",MAESTRO!$F1360,TRIM(MAESTRO!$G1360&amp;" "&amp;MAESTRO!$H1360&amp;" "&amp;MAESTRO!$I1360)),"")</f>
        <v/>
      </c>
      <c r="I1361" t="str">
        <f>IF($A1361&lt;&gt;"",MAESTRO!$K1360,"")</f>
        <v/>
      </c>
      <c r="J1361" t="str">
        <f>IF($A1361&lt;&gt;"",1361,"")</f>
        <v/>
      </c>
    </row>
    <row r="1362" spans="1:10" x14ac:dyDescent="0.2">
      <c r="A1362" t="str">
        <f>IF(AND(UPPER(MAESTRO!$M1361)="VIP",UPPER(MAESTRO!$J1361)="SI",MAESTRO!$F1361&lt;&gt;""),MAESTRO!$P1361,"")</f>
        <v/>
      </c>
      <c r="B1362" t="str">
        <f>IF($A1362&lt;&gt;"",MAESTRO!$B1361,"")</f>
        <v/>
      </c>
      <c r="C1362" t="str">
        <f>IF($A1362&lt;&gt;"",MAESTRO!$A1361,"")</f>
        <v/>
      </c>
      <c r="D1362" t="str">
        <f>IF($A1362&lt;&gt;"",MAESTRO!$C1361,"")</f>
        <v/>
      </c>
      <c r="E1362" t="str">
        <f>IF($A1362&lt;&gt;"",MAESTRO!$M1361,"")</f>
        <v/>
      </c>
      <c r="F1362" t="str">
        <f>IF($A1362&lt;&gt;"",MAESTRO!$J1361,"")</f>
        <v/>
      </c>
      <c r="G1362" t="str">
        <f>IF($A1362&lt;&gt;"",MAESTRO!$D1361,"")</f>
        <v/>
      </c>
      <c r="H1362" t="str">
        <f>IF($A1362&lt;&gt;"",IF(TRIM(MAESTRO!$G1361&amp;" "&amp;MAESTRO!$H1361&amp;" "&amp;MAESTRO!$I1361)="",MAESTRO!$F1361,TRIM(MAESTRO!$G1361&amp;" "&amp;MAESTRO!$H1361&amp;" "&amp;MAESTRO!$I1361)),"")</f>
        <v/>
      </c>
      <c r="I1362" t="str">
        <f>IF($A1362&lt;&gt;"",MAESTRO!$K1361,"")</f>
        <v/>
      </c>
      <c r="J1362" t="str">
        <f>IF($A1362&lt;&gt;"",1362,"")</f>
        <v/>
      </c>
    </row>
    <row r="1363" spans="1:10" x14ac:dyDescent="0.2">
      <c r="A1363" t="str">
        <f>IF(AND(UPPER(MAESTRO!$M1362)="VIP",UPPER(MAESTRO!$J1362)="SI",MAESTRO!$F1362&lt;&gt;""),MAESTRO!$P1362,"")</f>
        <v/>
      </c>
      <c r="B1363" t="str">
        <f>IF($A1363&lt;&gt;"",MAESTRO!$B1362,"")</f>
        <v/>
      </c>
      <c r="C1363" t="str">
        <f>IF($A1363&lt;&gt;"",MAESTRO!$A1362,"")</f>
        <v/>
      </c>
      <c r="D1363" t="str">
        <f>IF($A1363&lt;&gt;"",MAESTRO!$C1362,"")</f>
        <v/>
      </c>
      <c r="E1363" t="str">
        <f>IF($A1363&lt;&gt;"",MAESTRO!$M1362,"")</f>
        <v/>
      </c>
      <c r="F1363" t="str">
        <f>IF($A1363&lt;&gt;"",MAESTRO!$J1362,"")</f>
        <v/>
      </c>
      <c r="G1363" t="str">
        <f>IF($A1363&lt;&gt;"",MAESTRO!$D1362,"")</f>
        <v/>
      </c>
      <c r="H1363" t="str">
        <f>IF($A1363&lt;&gt;"",IF(TRIM(MAESTRO!$G1362&amp;" "&amp;MAESTRO!$H1362&amp;" "&amp;MAESTRO!$I1362)="",MAESTRO!$F1362,TRIM(MAESTRO!$G1362&amp;" "&amp;MAESTRO!$H1362&amp;" "&amp;MAESTRO!$I1362)),"")</f>
        <v/>
      </c>
      <c r="I1363" t="str">
        <f>IF($A1363&lt;&gt;"",MAESTRO!$K1362,"")</f>
        <v/>
      </c>
      <c r="J1363" t="str">
        <f>IF($A1363&lt;&gt;"",1363,"")</f>
        <v/>
      </c>
    </row>
    <row r="1364" spans="1:10" x14ac:dyDescent="0.2">
      <c r="A1364" t="str">
        <f>IF(AND(UPPER(MAESTRO!$M1363)="VIP",UPPER(MAESTRO!$J1363)="SI",MAESTRO!$F1363&lt;&gt;""),MAESTRO!$P1363,"")</f>
        <v/>
      </c>
      <c r="B1364" t="str">
        <f>IF($A1364&lt;&gt;"",MAESTRO!$B1363,"")</f>
        <v/>
      </c>
      <c r="C1364" t="str">
        <f>IF($A1364&lt;&gt;"",MAESTRO!$A1363,"")</f>
        <v/>
      </c>
      <c r="D1364" t="str">
        <f>IF($A1364&lt;&gt;"",MAESTRO!$C1363,"")</f>
        <v/>
      </c>
      <c r="E1364" t="str">
        <f>IF($A1364&lt;&gt;"",MAESTRO!$M1363,"")</f>
        <v/>
      </c>
      <c r="F1364" t="str">
        <f>IF($A1364&lt;&gt;"",MAESTRO!$J1363,"")</f>
        <v/>
      </c>
      <c r="G1364" t="str">
        <f>IF($A1364&lt;&gt;"",MAESTRO!$D1363,"")</f>
        <v/>
      </c>
      <c r="H1364" t="str">
        <f>IF($A1364&lt;&gt;"",IF(TRIM(MAESTRO!$G1363&amp;" "&amp;MAESTRO!$H1363&amp;" "&amp;MAESTRO!$I1363)="",MAESTRO!$F1363,TRIM(MAESTRO!$G1363&amp;" "&amp;MAESTRO!$H1363&amp;" "&amp;MAESTRO!$I1363)),"")</f>
        <v/>
      </c>
      <c r="I1364" t="str">
        <f>IF($A1364&lt;&gt;"",MAESTRO!$K1363,"")</f>
        <v/>
      </c>
      <c r="J1364" t="str">
        <f>IF($A1364&lt;&gt;"",1364,"")</f>
        <v/>
      </c>
    </row>
    <row r="1365" spans="1:10" x14ac:dyDescent="0.2">
      <c r="A1365" t="str">
        <f>IF(AND(UPPER(MAESTRO!$M1364)="VIP",UPPER(MAESTRO!$J1364)="SI",MAESTRO!$F1364&lt;&gt;""),MAESTRO!$P1364,"")</f>
        <v/>
      </c>
      <c r="B1365" t="str">
        <f>IF($A1365&lt;&gt;"",MAESTRO!$B1364,"")</f>
        <v/>
      </c>
      <c r="C1365" t="str">
        <f>IF($A1365&lt;&gt;"",MAESTRO!$A1364,"")</f>
        <v/>
      </c>
      <c r="D1365" t="str">
        <f>IF($A1365&lt;&gt;"",MAESTRO!$C1364,"")</f>
        <v/>
      </c>
      <c r="E1365" t="str">
        <f>IF($A1365&lt;&gt;"",MAESTRO!$M1364,"")</f>
        <v/>
      </c>
      <c r="F1365" t="str">
        <f>IF($A1365&lt;&gt;"",MAESTRO!$J1364,"")</f>
        <v/>
      </c>
      <c r="G1365" t="str">
        <f>IF($A1365&lt;&gt;"",MAESTRO!$D1364,"")</f>
        <v/>
      </c>
      <c r="H1365" t="str">
        <f>IF($A1365&lt;&gt;"",IF(TRIM(MAESTRO!$G1364&amp;" "&amp;MAESTRO!$H1364&amp;" "&amp;MAESTRO!$I1364)="",MAESTRO!$F1364,TRIM(MAESTRO!$G1364&amp;" "&amp;MAESTRO!$H1364&amp;" "&amp;MAESTRO!$I1364)),"")</f>
        <v/>
      </c>
      <c r="I1365" t="str">
        <f>IF($A1365&lt;&gt;"",MAESTRO!$K1364,"")</f>
        <v/>
      </c>
      <c r="J1365" t="str">
        <f>IF($A1365&lt;&gt;"",1365,"")</f>
        <v/>
      </c>
    </row>
    <row r="1366" spans="1:10" x14ac:dyDescent="0.2">
      <c r="A1366" t="str">
        <f>IF(AND(UPPER(MAESTRO!$M1365)="VIP",UPPER(MAESTRO!$J1365)="SI",MAESTRO!$F1365&lt;&gt;""),MAESTRO!$P1365,"")</f>
        <v/>
      </c>
      <c r="B1366" t="str">
        <f>IF($A1366&lt;&gt;"",MAESTRO!$B1365,"")</f>
        <v/>
      </c>
      <c r="C1366" t="str">
        <f>IF($A1366&lt;&gt;"",MAESTRO!$A1365,"")</f>
        <v/>
      </c>
      <c r="D1366" t="str">
        <f>IF($A1366&lt;&gt;"",MAESTRO!$C1365,"")</f>
        <v/>
      </c>
      <c r="E1366" t="str">
        <f>IF($A1366&lt;&gt;"",MAESTRO!$M1365,"")</f>
        <v/>
      </c>
      <c r="F1366" t="str">
        <f>IF($A1366&lt;&gt;"",MAESTRO!$J1365,"")</f>
        <v/>
      </c>
      <c r="G1366" t="str">
        <f>IF($A1366&lt;&gt;"",MAESTRO!$D1365,"")</f>
        <v/>
      </c>
      <c r="H1366" t="str">
        <f>IF($A1366&lt;&gt;"",IF(TRIM(MAESTRO!$G1365&amp;" "&amp;MAESTRO!$H1365&amp;" "&amp;MAESTRO!$I1365)="",MAESTRO!$F1365,TRIM(MAESTRO!$G1365&amp;" "&amp;MAESTRO!$H1365&amp;" "&amp;MAESTRO!$I1365)),"")</f>
        <v/>
      </c>
      <c r="I1366" t="str">
        <f>IF($A1366&lt;&gt;"",MAESTRO!$K1365,"")</f>
        <v/>
      </c>
      <c r="J1366" t="str">
        <f>IF($A1366&lt;&gt;"",1366,"")</f>
        <v/>
      </c>
    </row>
    <row r="1367" spans="1:10" x14ac:dyDescent="0.2">
      <c r="A1367" t="str">
        <f>IF(AND(UPPER(MAESTRO!$M1366)="VIP",UPPER(MAESTRO!$J1366)="SI",MAESTRO!$F1366&lt;&gt;""),MAESTRO!$P1366,"")</f>
        <v/>
      </c>
      <c r="B1367" t="str">
        <f>IF($A1367&lt;&gt;"",MAESTRO!$B1366,"")</f>
        <v/>
      </c>
      <c r="C1367" t="str">
        <f>IF($A1367&lt;&gt;"",MAESTRO!$A1366,"")</f>
        <v/>
      </c>
      <c r="D1367" t="str">
        <f>IF($A1367&lt;&gt;"",MAESTRO!$C1366,"")</f>
        <v/>
      </c>
      <c r="E1367" t="str">
        <f>IF($A1367&lt;&gt;"",MAESTRO!$M1366,"")</f>
        <v/>
      </c>
      <c r="F1367" t="str">
        <f>IF($A1367&lt;&gt;"",MAESTRO!$J1366,"")</f>
        <v/>
      </c>
      <c r="G1367" t="str">
        <f>IF($A1367&lt;&gt;"",MAESTRO!$D1366,"")</f>
        <v/>
      </c>
      <c r="H1367" t="str">
        <f>IF($A1367&lt;&gt;"",IF(TRIM(MAESTRO!$G1366&amp;" "&amp;MAESTRO!$H1366&amp;" "&amp;MAESTRO!$I1366)="",MAESTRO!$F1366,TRIM(MAESTRO!$G1366&amp;" "&amp;MAESTRO!$H1366&amp;" "&amp;MAESTRO!$I1366)),"")</f>
        <v/>
      </c>
      <c r="I1367" t="str">
        <f>IF($A1367&lt;&gt;"",MAESTRO!$K1366,"")</f>
        <v/>
      </c>
      <c r="J1367" t="str">
        <f>IF($A1367&lt;&gt;"",1367,"")</f>
        <v/>
      </c>
    </row>
    <row r="1368" spans="1:10" x14ac:dyDescent="0.2">
      <c r="A1368" t="str">
        <f>IF(AND(UPPER(MAESTRO!$M1367)="VIP",UPPER(MAESTRO!$J1367)="SI",MAESTRO!$F1367&lt;&gt;""),MAESTRO!$P1367,"")</f>
        <v/>
      </c>
      <c r="B1368" t="str">
        <f>IF($A1368&lt;&gt;"",MAESTRO!$B1367,"")</f>
        <v/>
      </c>
      <c r="C1368" t="str">
        <f>IF($A1368&lt;&gt;"",MAESTRO!$A1367,"")</f>
        <v/>
      </c>
      <c r="D1368" t="str">
        <f>IF($A1368&lt;&gt;"",MAESTRO!$C1367,"")</f>
        <v/>
      </c>
      <c r="E1368" t="str">
        <f>IF($A1368&lt;&gt;"",MAESTRO!$M1367,"")</f>
        <v/>
      </c>
      <c r="F1368" t="str">
        <f>IF($A1368&lt;&gt;"",MAESTRO!$J1367,"")</f>
        <v/>
      </c>
      <c r="G1368" t="str">
        <f>IF($A1368&lt;&gt;"",MAESTRO!$D1367,"")</f>
        <v/>
      </c>
      <c r="H1368" t="str">
        <f>IF($A1368&lt;&gt;"",IF(TRIM(MAESTRO!$G1367&amp;" "&amp;MAESTRO!$H1367&amp;" "&amp;MAESTRO!$I1367)="",MAESTRO!$F1367,TRIM(MAESTRO!$G1367&amp;" "&amp;MAESTRO!$H1367&amp;" "&amp;MAESTRO!$I1367)),"")</f>
        <v/>
      </c>
      <c r="I1368" t="str">
        <f>IF($A1368&lt;&gt;"",MAESTRO!$K1367,"")</f>
        <v/>
      </c>
      <c r="J1368" t="str">
        <f>IF($A1368&lt;&gt;"",1368,"")</f>
        <v/>
      </c>
    </row>
    <row r="1369" spans="1:10" x14ac:dyDescent="0.2">
      <c r="A1369" t="str">
        <f>IF(AND(UPPER(MAESTRO!$M1368)="VIP",UPPER(MAESTRO!$J1368)="SI",MAESTRO!$F1368&lt;&gt;""),MAESTRO!$P1368,"")</f>
        <v/>
      </c>
      <c r="B1369" t="str">
        <f>IF($A1369&lt;&gt;"",MAESTRO!$B1368,"")</f>
        <v/>
      </c>
      <c r="C1369" t="str">
        <f>IF($A1369&lt;&gt;"",MAESTRO!$A1368,"")</f>
        <v/>
      </c>
      <c r="D1369" t="str">
        <f>IF($A1369&lt;&gt;"",MAESTRO!$C1368,"")</f>
        <v/>
      </c>
      <c r="E1369" t="str">
        <f>IF($A1369&lt;&gt;"",MAESTRO!$M1368,"")</f>
        <v/>
      </c>
      <c r="F1369" t="str">
        <f>IF($A1369&lt;&gt;"",MAESTRO!$J1368,"")</f>
        <v/>
      </c>
      <c r="G1369" t="str">
        <f>IF($A1369&lt;&gt;"",MAESTRO!$D1368,"")</f>
        <v/>
      </c>
      <c r="H1369" t="str">
        <f>IF($A1369&lt;&gt;"",IF(TRIM(MAESTRO!$G1368&amp;" "&amp;MAESTRO!$H1368&amp;" "&amp;MAESTRO!$I1368)="",MAESTRO!$F1368,TRIM(MAESTRO!$G1368&amp;" "&amp;MAESTRO!$H1368&amp;" "&amp;MAESTRO!$I1368)),"")</f>
        <v/>
      </c>
      <c r="I1369" t="str">
        <f>IF($A1369&lt;&gt;"",MAESTRO!$K1368,"")</f>
        <v/>
      </c>
      <c r="J1369" t="str">
        <f>IF($A1369&lt;&gt;"",1369,"")</f>
        <v/>
      </c>
    </row>
    <row r="1370" spans="1:10" x14ac:dyDescent="0.2">
      <c r="A1370" t="str">
        <f>IF(AND(UPPER(MAESTRO!$M1369)="VIP",UPPER(MAESTRO!$J1369)="SI",MAESTRO!$F1369&lt;&gt;""),MAESTRO!$P1369,"")</f>
        <v/>
      </c>
      <c r="B1370" t="str">
        <f>IF($A1370&lt;&gt;"",MAESTRO!$B1369,"")</f>
        <v/>
      </c>
      <c r="C1370" t="str">
        <f>IF($A1370&lt;&gt;"",MAESTRO!$A1369,"")</f>
        <v/>
      </c>
      <c r="D1370" t="str">
        <f>IF($A1370&lt;&gt;"",MAESTRO!$C1369,"")</f>
        <v/>
      </c>
      <c r="E1370" t="str">
        <f>IF($A1370&lt;&gt;"",MAESTRO!$M1369,"")</f>
        <v/>
      </c>
      <c r="F1370" t="str">
        <f>IF($A1370&lt;&gt;"",MAESTRO!$J1369,"")</f>
        <v/>
      </c>
      <c r="G1370" t="str">
        <f>IF($A1370&lt;&gt;"",MAESTRO!$D1369,"")</f>
        <v/>
      </c>
      <c r="H1370" t="str">
        <f>IF($A1370&lt;&gt;"",IF(TRIM(MAESTRO!$G1369&amp;" "&amp;MAESTRO!$H1369&amp;" "&amp;MAESTRO!$I1369)="",MAESTRO!$F1369,TRIM(MAESTRO!$G1369&amp;" "&amp;MAESTRO!$H1369&amp;" "&amp;MAESTRO!$I1369)),"")</f>
        <v/>
      </c>
      <c r="I1370" t="str">
        <f>IF($A1370&lt;&gt;"",MAESTRO!$K1369,"")</f>
        <v/>
      </c>
      <c r="J1370" t="str">
        <f>IF($A1370&lt;&gt;"",1370,"")</f>
        <v/>
      </c>
    </row>
    <row r="1371" spans="1:10" x14ac:dyDescent="0.2">
      <c r="A1371" t="str">
        <f>IF(AND(UPPER(MAESTRO!$M1370)="VIP",UPPER(MAESTRO!$J1370)="SI",MAESTRO!$F1370&lt;&gt;""),MAESTRO!$P1370,"")</f>
        <v/>
      </c>
      <c r="B1371" t="str">
        <f>IF($A1371&lt;&gt;"",MAESTRO!$B1370,"")</f>
        <v/>
      </c>
      <c r="C1371" t="str">
        <f>IF($A1371&lt;&gt;"",MAESTRO!$A1370,"")</f>
        <v/>
      </c>
      <c r="D1371" t="str">
        <f>IF($A1371&lt;&gt;"",MAESTRO!$C1370,"")</f>
        <v/>
      </c>
      <c r="E1371" t="str">
        <f>IF($A1371&lt;&gt;"",MAESTRO!$M1370,"")</f>
        <v/>
      </c>
      <c r="F1371" t="str">
        <f>IF($A1371&lt;&gt;"",MAESTRO!$J1370,"")</f>
        <v/>
      </c>
      <c r="G1371" t="str">
        <f>IF($A1371&lt;&gt;"",MAESTRO!$D1370,"")</f>
        <v/>
      </c>
      <c r="H1371" t="str">
        <f>IF($A1371&lt;&gt;"",IF(TRIM(MAESTRO!$G1370&amp;" "&amp;MAESTRO!$H1370&amp;" "&amp;MAESTRO!$I1370)="",MAESTRO!$F1370,TRIM(MAESTRO!$G1370&amp;" "&amp;MAESTRO!$H1370&amp;" "&amp;MAESTRO!$I1370)),"")</f>
        <v/>
      </c>
      <c r="I1371" t="str">
        <f>IF($A1371&lt;&gt;"",MAESTRO!$K1370,"")</f>
        <v/>
      </c>
      <c r="J1371" t="str">
        <f>IF($A1371&lt;&gt;"",1371,"")</f>
        <v/>
      </c>
    </row>
    <row r="1372" spans="1:10" x14ac:dyDescent="0.2">
      <c r="A1372" t="str">
        <f>IF(AND(UPPER(MAESTRO!$M1371)="VIP",UPPER(MAESTRO!$J1371)="SI",MAESTRO!$F1371&lt;&gt;""),MAESTRO!$P1371,"")</f>
        <v/>
      </c>
      <c r="B1372" t="str">
        <f>IF($A1372&lt;&gt;"",MAESTRO!$B1371,"")</f>
        <v/>
      </c>
      <c r="C1372" t="str">
        <f>IF($A1372&lt;&gt;"",MAESTRO!$A1371,"")</f>
        <v/>
      </c>
      <c r="D1372" t="str">
        <f>IF($A1372&lt;&gt;"",MAESTRO!$C1371,"")</f>
        <v/>
      </c>
      <c r="E1372" t="str">
        <f>IF($A1372&lt;&gt;"",MAESTRO!$M1371,"")</f>
        <v/>
      </c>
      <c r="F1372" t="str">
        <f>IF($A1372&lt;&gt;"",MAESTRO!$J1371,"")</f>
        <v/>
      </c>
      <c r="G1372" t="str">
        <f>IF($A1372&lt;&gt;"",MAESTRO!$D1371,"")</f>
        <v/>
      </c>
      <c r="H1372" t="str">
        <f>IF($A1372&lt;&gt;"",IF(TRIM(MAESTRO!$G1371&amp;" "&amp;MAESTRO!$H1371&amp;" "&amp;MAESTRO!$I1371)="",MAESTRO!$F1371,TRIM(MAESTRO!$G1371&amp;" "&amp;MAESTRO!$H1371&amp;" "&amp;MAESTRO!$I1371)),"")</f>
        <v/>
      </c>
      <c r="I1372" t="str">
        <f>IF($A1372&lt;&gt;"",MAESTRO!$K1371,"")</f>
        <v/>
      </c>
      <c r="J1372" t="str">
        <f>IF($A1372&lt;&gt;"",1372,"")</f>
        <v/>
      </c>
    </row>
    <row r="1373" spans="1:10" x14ac:dyDescent="0.2">
      <c r="A1373" t="str">
        <f>IF(AND(UPPER(MAESTRO!$M1372)="VIP",UPPER(MAESTRO!$J1372)="SI",MAESTRO!$F1372&lt;&gt;""),MAESTRO!$P1372,"")</f>
        <v/>
      </c>
      <c r="B1373" t="str">
        <f>IF($A1373&lt;&gt;"",MAESTRO!$B1372,"")</f>
        <v/>
      </c>
      <c r="C1373" t="str">
        <f>IF($A1373&lt;&gt;"",MAESTRO!$A1372,"")</f>
        <v/>
      </c>
      <c r="D1373" t="str">
        <f>IF($A1373&lt;&gt;"",MAESTRO!$C1372,"")</f>
        <v/>
      </c>
      <c r="E1373" t="str">
        <f>IF($A1373&lt;&gt;"",MAESTRO!$M1372,"")</f>
        <v/>
      </c>
      <c r="F1373" t="str">
        <f>IF($A1373&lt;&gt;"",MAESTRO!$J1372,"")</f>
        <v/>
      </c>
      <c r="G1373" t="str">
        <f>IF($A1373&lt;&gt;"",MAESTRO!$D1372,"")</f>
        <v/>
      </c>
      <c r="H1373" t="str">
        <f>IF($A1373&lt;&gt;"",IF(TRIM(MAESTRO!$G1372&amp;" "&amp;MAESTRO!$H1372&amp;" "&amp;MAESTRO!$I1372)="",MAESTRO!$F1372,TRIM(MAESTRO!$G1372&amp;" "&amp;MAESTRO!$H1372&amp;" "&amp;MAESTRO!$I1372)),"")</f>
        <v/>
      </c>
      <c r="I1373" t="str">
        <f>IF($A1373&lt;&gt;"",MAESTRO!$K1372,"")</f>
        <v/>
      </c>
      <c r="J1373" t="str">
        <f>IF($A1373&lt;&gt;"",1373,"")</f>
        <v/>
      </c>
    </row>
    <row r="1374" spans="1:10" x14ac:dyDescent="0.2">
      <c r="A1374" t="str">
        <f>IF(AND(UPPER(MAESTRO!$M1373)="VIP",UPPER(MAESTRO!$J1373)="SI",MAESTRO!$F1373&lt;&gt;""),MAESTRO!$P1373,"")</f>
        <v/>
      </c>
      <c r="B1374" t="str">
        <f>IF($A1374&lt;&gt;"",MAESTRO!$B1373,"")</f>
        <v/>
      </c>
      <c r="C1374" t="str">
        <f>IF($A1374&lt;&gt;"",MAESTRO!$A1373,"")</f>
        <v/>
      </c>
      <c r="D1374" t="str">
        <f>IF($A1374&lt;&gt;"",MAESTRO!$C1373,"")</f>
        <v/>
      </c>
      <c r="E1374" t="str">
        <f>IF($A1374&lt;&gt;"",MAESTRO!$M1373,"")</f>
        <v/>
      </c>
      <c r="F1374" t="str">
        <f>IF($A1374&lt;&gt;"",MAESTRO!$J1373,"")</f>
        <v/>
      </c>
      <c r="G1374" t="str">
        <f>IF($A1374&lt;&gt;"",MAESTRO!$D1373,"")</f>
        <v/>
      </c>
      <c r="H1374" t="str">
        <f>IF($A1374&lt;&gt;"",IF(TRIM(MAESTRO!$G1373&amp;" "&amp;MAESTRO!$H1373&amp;" "&amp;MAESTRO!$I1373)="",MAESTRO!$F1373,TRIM(MAESTRO!$G1373&amp;" "&amp;MAESTRO!$H1373&amp;" "&amp;MAESTRO!$I1373)),"")</f>
        <v/>
      </c>
      <c r="I1374" t="str">
        <f>IF($A1374&lt;&gt;"",MAESTRO!$K1373,"")</f>
        <v/>
      </c>
      <c r="J1374" t="str">
        <f>IF($A1374&lt;&gt;"",1374,"")</f>
        <v/>
      </c>
    </row>
    <row r="1375" spans="1:10" x14ac:dyDescent="0.2">
      <c r="A1375" t="str">
        <f>IF(AND(UPPER(MAESTRO!$M1374)="VIP",UPPER(MAESTRO!$J1374)="SI",MAESTRO!$F1374&lt;&gt;""),MAESTRO!$P1374,"")</f>
        <v/>
      </c>
      <c r="B1375" t="str">
        <f>IF($A1375&lt;&gt;"",MAESTRO!$B1374,"")</f>
        <v/>
      </c>
      <c r="C1375" t="str">
        <f>IF($A1375&lt;&gt;"",MAESTRO!$A1374,"")</f>
        <v/>
      </c>
      <c r="D1375" t="str">
        <f>IF($A1375&lt;&gt;"",MAESTRO!$C1374,"")</f>
        <v/>
      </c>
      <c r="E1375" t="str">
        <f>IF($A1375&lt;&gt;"",MAESTRO!$M1374,"")</f>
        <v/>
      </c>
      <c r="F1375" t="str">
        <f>IF($A1375&lt;&gt;"",MAESTRO!$J1374,"")</f>
        <v/>
      </c>
      <c r="G1375" t="str">
        <f>IF($A1375&lt;&gt;"",MAESTRO!$D1374,"")</f>
        <v/>
      </c>
      <c r="H1375" t="str">
        <f>IF($A1375&lt;&gt;"",IF(TRIM(MAESTRO!$G1374&amp;" "&amp;MAESTRO!$H1374&amp;" "&amp;MAESTRO!$I1374)="",MAESTRO!$F1374,TRIM(MAESTRO!$G1374&amp;" "&amp;MAESTRO!$H1374&amp;" "&amp;MAESTRO!$I1374)),"")</f>
        <v/>
      </c>
      <c r="I1375" t="str">
        <f>IF($A1375&lt;&gt;"",MAESTRO!$K1374,"")</f>
        <v/>
      </c>
      <c r="J1375" t="str">
        <f>IF($A1375&lt;&gt;"",1375,"")</f>
        <v/>
      </c>
    </row>
    <row r="1376" spans="1:10" x14ac:dyDescent="0.2">
      <c r="A1376" t="str">
        <f>IF(AND(UPPER(MAESTRO!$M1375)="VIP",UPPER(MAESTRO!$J1375)="SI",MAESTRO!$F1375&lt;&gt;""),MAESTRO!$P1375,"")</f>
        <v/>
      </c>
      <c r="B1376" t="str">
        <f>IF($A1376&lt;&gt;"",MAESTRO!$B1375,"")</f>
        <v/>
      </c>
      <c r="C1376" t="str">
        <f>IF($A1376&lt;&gt;"",MAESTRO!$A1375,"")</f>
        <v/>
      </c>
      <c r="D1376" t="str">
        <f>IF($A1376&lt;&gt;"",MAESTRO!$C1375,"")</f>
        <v/>
      </c>
      <c r="E1376" t="str">
        <f>IF($A1376&lt;&gt;"",MAESTRO!$M1375,"")</f>
        <v/>
      </c>
      <c r="F1376" t="str">
        <f>IF($A1376&lt;&gt;"",MAESTRO!$J1375,"")</f>
        <v/>
      </c>
      <c r="G1376" t="str">
        <f>IF($A1376&lt;&gt;"",MAESTRO!$D1375,"")</f>
        <v/>
      </c>
      <c r="H1376" t="str">
        <f>IF($A1376&lt;&gt;"",IF(TRIM(MAESTRO!$G1375&amp;" "&amp;MAESTRO!$H1375&amp;" "&amp;MAESTRO!$I1375)="",MAESTRO!$F1375,TRIM(MAESTRO!$G1375&amp;" "&amp;MAESTRO!$H1375&amp;" "&amp;MAESTRO!$I1375)),"")</f>
        <v/>
      </c>
      <c r="I1376" t="str">
        <f>IF($A1376&lt;&gt;"",MAESTRO!$K1375,"")</f>
        <v/>
      </c>
      <c r="J1376" t="str">
        <f>IF($A1376&lt;&gt;"",1376,"")</f>
        <v/>
      </c>
    </row>
    <row r="1377" spans="1:10" x14ac:dyDescent="0.2">
      <c r="A1377" t="str">
        <f>IF(AND(UPPER(MAESTRO!$M1376)="VIP",UPPER(MAESTRO!$J1376)="SI",MAESTRO!$F1376&lt;&gt;""),MAESTRO!$P1376,"")</f>
        <v/>
      </c>
      <c r="B1377" t="str">
        <f>IF($A1377&lt;&gt;"",MAESTRO!$B1376,"")</f>
        <v/>
      </c>
      <c r="C1377" t="str">
        <f>IF($A1377&lt;&gt;"",MAESTRO!$A1376,"")</f>
        <v/>
      </c>
      <c r="D1377" t="str">
        <f>IF($A1377&lt;&gt;"",MAESTRO!$C1376,"")</f>
        <v/>
      </c>
      <c r="E1377" t="str">
        <f>IF($A1377&lt;&gt;"",MAESTRO!$M1376,"")</f>
        <v/>
      </c>
      <c r="F1377" t="str">
        <f>IF($A1377&lt;&gt;"",MAESTRO!$J1376,"")</f>
        <v/>
      </c>
      <c r="G1377" t="str">
        <f>IF($A1377&lt;&gt;"",MAESTRO!$D1376,"")</f>
        <v/>
      </c>
      <c r="H1377" t="str">
        <f>IF($A1377&lt;&gt;"",IF(TRIM(MAESTRO!$G1376&amp;" "&amp;MAESTRO!$H1376&amp;" "&amp;MAESTRO!$I1376)="",MAESTRO!$F1376,TRIM(MAESTRO!$G1376&amp;" "&amp;MAESTRO!$H1376&amp;" "&amp;MAESTRO!$I1376)),"")</f>
        <v/>
      </c>
      <c r="I1377" t="str">
        <f>IF($A1377&lt;&gt;"",MAESTRO!$K1376,"")</f>
        <v/>
      </c>
      <c r="J1377" t="str">
        <f>IF($A1377&lt;&gt;"",1377,"")</f>
        <v/>
      </c>
    </row>
    <row r="1378" spans="1:10" x14ac:dyDescent="0.2">
      <c r="A1378" t="str">
        <f>IF(AND(UPPER(MAESTRO!$M1377)="VIP",UPPER(MAESTRO!$J1377)="SI",MAESTRO!$F1377&lt;&gt;""),MAESTRO!$P1377,"")</f>
        <v/>
      </c>
      <c r="B1378" t="str">
        <f>IF($A1378&lt;&gt;"",MAESTRO!$B1377,"")</f>
        <v/>
      </c>
      <c r="C1378" t="str">
        <f>IF($A1378&lt;&gt;"",MAESTRO!$A1377,"")</f>
        <v/>
      </c>
      <c r="D1378" t="str">
        <f>IF($A1378&lt;&gt;"",MAESTRO!$C1377,"")</f>
        <v/>
      </c>
      <c r="E1378" t="str">
        <f>IF($A1378&lt;&gt;"",MAESTRO!$M1377,"")</f>
        <v/>
      </c>
      <c r="F1378" t="str">
        <f>IF($A1378&lt;&gt;"",MAESTRO!$J1377,"")</f>
        <v/>
      </c>
      <c r="G1378" t="str">
        <f>IF($A1378&lt;&gt;"",MAESTRO!$D1377,"")</f>
        <v/>
      </c>
      <c r="H1378" t="str">
        <f>IF($A1378&lt;&gt;"",IF(TRIM(MAESTRO!$G1377&amp;" "&amp;MAESTRO!$H1377&amp;" "&amp;MAESTRO!$I1377)="",MAESTRO!$F1377,TRIM(MAESTRO!$G1377&amp;" "&amp;MAESTRO!$H1377&amp;" "&amp;MAESTRO!$I1377)),"")</f>
        <v/>
      </c>
      <c r="I1378" t="str">
        <f>IF($A1378&lt;&gt;"",MAESTRO!$K1377,"")</f>
        <v/>
      </c>
      <c r="J1378" t="str">
        <f>IF($A1378&lt;&gt;"",1378,"")</f>
        <v/>
      </c>
    </row>
    <row r="1379" spans="1:10" x14ac:dyDescent="0.2">
      <c r="A1379" t="str">
        <f>IF(AND(UPPER(MAESTRO!$M1378)="VIP",UPPER(MAESTRO!$J1378)="SI",MAESTRO!$F1378&lt;&gt;""),MAESTRO!$P1378,"")</f>
        <v/>
      </c>
      <c r="B1379" t="str">
        <f>IF($A1379&lt;&gt;"",MAESTRO!$B1378,"")</f>
        <v/>
      </c>
      <c r="C1379" t="str">
        <f>IF($A1379&lt;&gt;"",MAESTRO!$A1378,"")</f>
        <v/>
      </c>
      <c r="D1379" t="str">
        <f>IF($A1379&lt;&gt;"",MAESTRO!$C1378,"")</f>
        <v/>
      </c>
      <c r="E1379" t="str">
        <f>IF($A1379&lt;&gt;"",MAESTRO!$M1378,"")</f>
        <v/>
      </c>
      <c r="F1379" t="str">
        <f>IF($A1379&lt;&gt;"",MAESTRO!$J1378,"")</f>
        <v/>
      </c>
      <c r="G1379" t="str">
        <f>IF($A1379&lt;&gt;"",MAESTRO!$D1378,"")</f>
        <v/>
      </c>
      <c r="H1379" t="str">
        <f>IF($A1379&lt;&gt;"",IF(TRIM(MAESTRO!$G1378&amp;" "&amp;MAESTRO!$H1378&amp;" "&amp;MAESTRO!$I1378)="",MAESTRO!$F1378,TRIM(MAESTRO!$G1378&amp;" "&amp;MAESTRO!$H1378&amp;" "&amp;MAESTRO!$I1378)),"")</f>
        <v/>
      </c>
      <c r="I1379" t="str">
        <f>IF($A1379&lt;&gt;"",MAESTRO!$K1378,"")</f>
        <v/>
      </c>
      <c r="J1379" t="str">
        <f>IF($A1379&lt;&gt;"",1379,"")</f>
        <v/>
      </c>
    </row>
    <row r="1380" spans="1:10" x14ac:dyDescent="0.2">
      <c r="A1380" t="str">
        <f>IF(AND(UPPER(MAESTRO!$M1379)="VIP",UPPER(MAESTRO!$J1379)="SI",MAESTRO!$F1379&lt;&gt;""),MAESTRO!$P1379,"")</f>
        <v/>
      </c>
      <c r="B1380" t="str">
        <f>IF($A1380&lt;&gt;"",MAESTRO!$B1379,"")</f>
        <v/>
      </c>
      <c r="C1380" t="str">
        <f>IF($A1380&lt;&gt;"",MAESTRO!$A1379,"")</f>
        <v/>
      </c>
      <c r="D1380" t="str">
        <f>IF($A1380&lt;&gt;"",MAESTRO!$C1379,"")</f>
        <v/>
      </c>
      <c r="E1380" t="str">
        <f>IF($A1380&lt;&gt;"",MAESTRO!$M1379,"")</f>
        <v/>
      </c>
      <c r="F1380" t="str">
        <f>IF($A1380&lt;&gt;"",MAESTRO!$J1379,"")</f>
        <v/>
      </c>
      <c r="G1380" t="str">
        <f>IF($A1380&lt;&gt;"",MAESTRO!$D1379,"")</f>
        <v/>
      </c>
      <c r="H1380" t="str">
        <f>IF($A1380&lt;&gt;"",IF(TRIM(MAESTRO!$G1379&amp;" "&amp;MAESTRO!$H1379&amp;" "&amp;MAESTRO!$I1379)="",MAESTRO!$F1379,TRIM(MAESTRO!$G1379&amp;" "&amp;MAESTRO!$H1379&amp;" "&amp;MAESTRO!$I1379)),"")</f>
        <v/>
      </c>
      <c r="I1380" t="str">
        <f>IF($A1380&lt;&gt;"",MAESTRO!$K1379,"")</f>
        <v/>
      </c>
      <c r="J1380" t="str">
        <f>IF($A1380&lt;&gt;"",1380,"")</f>
        <v/>
      </c>
    </row>
    <row r="1381" spans="1:10" x14ac:dyDescent="0.2">
      <c r="A1381" t="str">
        <f>IF(AND(UPPER(MAESTRO!$M1380)="VIP",UPPER(MAESTRO!$J1380)="SI",MAESTRO!$F1380&lt;&gt;""),MAESTRO!$P1380,"")</f>
        <v/>
      </c>
      <c r="B1381" t="str">
        <f>IF($A1381&lt;&gt;"",MAESTRO!$B1380,"")</f>
        <v/>
      </c>
      <c r="C1381" t="str">
        <f>IF($A1381&lt;&gt;"",MAESTRO!$A1380,"")</f>
        <v/>
      </c>
      <c r="D1381" t="str">
        <f>IF($A1381&lt;&gt;"",MAESTRO!$C1380,"")</f>
        <v/>
      </c>
      <c r="E1381" t="str">
        <f>IF($A1381&lt;&gt;"",MAESTRO!$M1380,"")</f>
        <v/>
      </c>
      <c r="F1381" t="str">
        <f>IF($A1381&lt;&gt;"",MAESTRO!$J1380,"")</f>
        <v/>
      </c>
      <c r="G1381" t="str">
        <f>IF($A1381&lt;&gt;"",MAESTRO!$D1380,"")</f>
        <v/>
      </c>
      <c r="H1381" t="str">
        <f>IF($A1381&lt;&gt;"",IF(TRIM(MAESTRO!$G1380&amp;" "&amp;MAESTRO!$H1380&amp;" "&amp;MAESTRO!$I1380)="",MAESTRO!$F1380,TRIM(MAESTRO!$G1380&amp;" "&amp;MAESTRO!$H1380&amp;" "&amp;MAESTRO!$I1380)),"")</f>
        <v/>
      </c>
      <c r="I1381" t="str">
        <f>IF($A1381&lt;&gt;"",MAESTRO!$K1380,"")</f>
        <v/>
      </c>
      <c r="J1381" t="str">
        <f>IF($A1381&lt;&gt;"",1381,"")</f>
        <v/>
      </c>
    </row>
    <row r="1382" spans="1:10" x14ac:dyDescent="0.2">
      <c r="A1382" t="str">
        <f>IF(AND(UPPER(MAESTRO!$M1381)="VIP",UPPER(MAESTRO!$J1381)="SI",MAESTRO!$F1381&lt;&gt;""),MAESTRO!$P1381,"")</f>
        <v/>
      </c>
      <c r="B1382" t="str">
        <f>IF($A1382&lt;&gt;"",MAESTRO!$B1381,"")</f>
        <v/>
      </c>
      <c r="C1382" t="str">
        <f>IF($A1382&lt;&gt;"",MAESTRO!$A1381,"")</f>
        <v/>
      </c>
      <c r="D1382" t="str">
        <f>IF($A1382&lt;&gt;"",MAESTRO!$C1381,"")</f>
        <v/>
      </c>
      <c r="E1382" t="str">
        <f>IF($A1382&lt;&gt;"",MAESTRO!$M1381,"")</f>
        <v/>
      </c>
      <c r="F1382" t="str">
        <f>IF($A1382&lt;&gt;"",MAESTRO!$J1381,"")</f>
        <v/>
      </c>
      <c r="G1382" t="str">
        <f>IF($A1382&lt;&gt;"",MAESTRO!$D1381,"")</f>
        <v/>
      </c>
      <c r="H1382" t="str">
        <f>IF($A1382&lt;&gt;"",IF(TRIM(MAESTRO!$G1381&amp;" "&amp;MAESTRO!$H1381&amp;" "&amp;MAESTRO!$I1381)="",MAESTRO!$F1381,TRIM(MAESTRO!$G1381&amp;" "&amp;MAESTRO!$H1381&amp;" "&amp;MAESTRO!$I1381)),"")</f>
        <v/>
      </c>
      <c r="I1382" t="str">
        <f>IF($A1382&lt;&gt;"",MAESTRO!$K1381,"")</f>
        <v/>
      </c>
      <c r="J1382" t="str">
        <f>IF($A1382&lt;&gt;"",1382,"")</f>
        <v/>
      </c>
    </row>
    <row r="1383" spans="1:10" x14ac:dyDescent="0.2">
      <c r="A1383" t="str">
        <f>IF(AND(UPPER(MAESTRO!$M1382)="VIP",UPPER(MAESTRO!$J1382)="SI",MAESTRO!$F1382&lt;&gt;""),MAESTRO!$P1382,"")</f>
        <v/>
      </c>
      <c r="B1383" t="str">
        <f>IF($A1383&lt;&gt;"",MAESTRO!$B1382,"")</f>
        <v/>
      </c>
      <c r="C1383" t="str">
        <f>IF($A1383&lt;&gt;"",MAESTRO!$A1382,"")</f>
        <v/>
      </c>
      <c r="D1383" t="str">
        <f>IF($A1383&lt;&gt;"",MAESTRO!$C1382,"")</f>
        <v/>
      </c>
      <c r="E1383" t="str">
        <f>IF($A1383&lt;&gt;"",MAESTRO!$M1382,"")</f>
        <v/>
      </c>
      <c r="F1383" t="str">
        <f>IF($A1383&lt;&gt;"",MAESTRO!$J1382,"")</f>
        <v/>
      </c>
      <c r="G1383" t="str">
        <f>IF($A1383&lt;&gt;"",MAESTRO!$D1382,"")</f>
        <v/>
      </c>
      <c r="H1383" t="str">
        <f>IF($A1383&lt;&gt;"",IF(TRIM(MAESTRO!$G1382&amp;" "&amp;MAESTRO!$H1382&amp;" "&amp;MAESTRO!$I1382)="",MAESTRO!$F1382,TRIM(MAESTRO!$G1382&amp;" "&amp;MAESTRO!$H1382&amp;" "&amp;MAESTRO!$I1382)),"")</f>
        <v/>
      </c>
      <c r="I1383" t="str">
        <f>IF($A1383&lt;&gt;"",MAESTRO!$K1382,"")</f>
        <v/>
      </c>
      <c r="J1383" t="str">
        <f>IF($A1383&lt;&gt;"",1383,"")</f>
        <v/>
      </c>
    </row>
    <row r="1384" spans="1:10" x14ac:dyDescent="0.2">
      <c r="A1384" t="str">
        <f>IF(AND(UPPER(MAESTRO!$M1383)="VIP",UPPER(MAESTRO!$J1383)="SI",MAESTRO!$F1383&lt;&gt;""),MAESTRO!$P1383,"")</f>
        <v/>
      </c>
      <c r="B1384" t="str">
        <f>IF($A1384&lt;&gt;"",MAESTRO!$B1383,"")</f>
        <v/>
      </c>
      <c r="C1384" t="str">
        <f>IF($A1384&lt;&gt;"",MAESTRO!$A1383,"")</f>
        <v/>
      </c>
      <c r="D1384" t="str">
        <f>IF($A1384&lt;&gt;"",MAESTRO!$C1383,"")</f>
        <v/>
      </c>
      <c r="E1384" t="str">
        <f>IF($A1384&lt;&gt;"",MAESTRO!$M1383,"")</f>
        <v/>
      </c>
      <c r="F1384" t="str">
        <f>IF($A1384&lt;&gt;"",MAESTRO!$J1383,"")</f>
        <v/>
      </c>
      <c r="G1384" t="str">
        <f>IF($A1384&lt;&gt;"",MAESTRO!$D1383,"")</f>
        <v/>
      </c>
      <c r="H1384" t="str">
        <f>IF($A1384&lt;&gt;"",IF(TRIM(MAESTRO!$G1383&amp;" "&amp;MAESTRO!$H1383&amp;" "&amp;MAESTRO!$I1383)="",MAESTRO!$F1383,TRIM(MAESTRO!$G1383&amp;" "&amp;MAESTRO!$H1383&amp;" "&amp;MAESTRO!$I1383)),"")</f>
        <v/>
      </c>
      <c r="I1384" t="str">
        <f>IF($A1384&lt;&gt;"",MAESTRO!$K1383,"")</f>
        <v/>
      </c>
      <c r="J1384" t="str">
        <f>IF($A1384&lt;&gt;"",1384,"")</f>
        <v/>
      </c>
    </row>
    <row r="1385" spans="1:10" x14ac:dyDescent="0.2">
      <c r="A1385" t="str">
        <f>IF(AND(UPPER(MAESTRO!$M1384)="VIP",UPPER(MAESTRO!$J1384)="SI",MAESTRO!$F1384&lt;&gt;""),MAESTRO!$P1384,"")</f>
        <v/>
      </c>
      <c r="B1385" t="str">
        <f>IF($A1385&lt;&gt;"",MAESTRO!$B1384,"")</f>
        <v/>
      </c>
      <c r="C1385" t="str">
        <f>IF($A1385&lt;&gt;"",MAESTRO!$A1384,"")</f>
        <v/>
      </c>
      <c r="D1385" t="str">
        <f>IF($A1385&lt;&gt;"",MAESTRO!$C1384,"")</f>
        <v/>
      </c>
      <c r="E1385" t="str">
        <f>IF($A1385&lt;&gt;"",MAESTRO!$M1384,"")</f>
        <v/>
      </c>
      <c r="F1385" t="str">
        <f>IF($A1385&lt;&gt;"",MAESTRO!$J1384,"")</f>
        <v/>
      </c>
      <c r="G1385" t="str">
        <f>IF($A1385&lt;&gt;"",MAESTRO!$D1384,"")</f>
        <v/>
      </c>
      <c r="H1385" t="str">
        <f>IF($A1385&lt;&gt;"",IF(TRIM(MAESTRO!$G1384&amp;" "&amp;MAESTRO!$H1384&amp;" "&amp;MAESTRO!$I1384)="",MAESTRO!$F1384,TRIM(MAESTRO!$G1384&amp;" "&amp;MAESTRO!$H1384&amp;" "&amp;MAESTRO!$I1384)),"")</f>
        <v/>
      </c>
      <c r="I1385" t="str">
        <f>IF($A1385&lt;&gt;"",MAESTRO!$K1384,"")</f>
        <v/>
      </c>
      <c r="J1385" t="str">
        <f>IF($A1385&lt;&gt;"",1385,"")</f>
        <v/>
      </c>
    </row>
    <row r="1386" spans="1:10" x14ac:dyDescent="0.2">
      <c r="A1386" t="str">
        <f>IF(AND(UPPER(MAESTRO!$M1385)="VIP",UPPER(MAESTRO!$J1385)="SI",MAESTRO!$F1385&lt;&gt;""),MAESTRO!$P1385,"")</f>
        <v/>
      </c>
      <c r="B1386" t="str">
        <f>IF($A1386&lt;&gt;"",MAESTRO!$B1385,"")</f>
        <v/>
      </c>
      <c r="C1386" t="str">
        <f>IF($A1386&lt;&gt;"",MAESTRO!$A1385,"")</f>
        <v/>
      </c>
      <c r="D1386" t="str">
        <f>IF($A1386&lt;&gt;"",MAESTRO!$C1385,"")</f>
        <v/>
      </c>
      <c r="E1386" t="str">
        <f>IF($A1386&lt;&gt;"",MAESTRO!$M1385,"")</f>
        <v/>
      </c>
      <c r="F1386" t="str">
        <f>IF($A1386&lt;&gt;"",MAESTRO!$J1385,"")</f>
        <v/>
      </c>
      <c r="G1386" t="str">
        <f>IF($A1386&lt;&gt;"",MAESTRO!$D1385,"")</f>
        <v/>
      </c>
      <c r="H1386" t="str">
        <f>IF($A1386&lt;&gt;"",IF(TRIM(MAESTRO!$G1385&amp;" "&amp;MAESTRO!$H1385&amp;" "&amp;MAESTRO!$I1385)="",MAESTRO!$F1385,TRIM(MAESTRO!$G1385&amp;" "&amp;MAESTRO!$H1385&amp;" "&amp;MAESTRO!$I1385)),"")</f>
        <v/>
      </c>
      <c r="I1386" t="str">
        <f>IF($A1386&lt;&gt;"",MAESTRO!$K1385,"")</f>
        <v/>
      </c>
      <c r="J1386" t="str">
        <f>IF($A1386&lt;&gt;"",1386,"")</f>
        <v/>
      </c>
    </row>
    <row r="1387" spans="1:10" x14ac:dyDescent="0.2">
      <c r="A1387" t="str">
        <f>IF(AND(UPPER(MAESTRO!$M1386)="VIP",UPPER(MAESTRO!$J1386)="SI",MAESTRO!$F1386&lt;&gt;""),MAESTRO!$P1386,"")</f>
        <v/>
      </c>
      <c r="B1387" t="str">
        <f>IF($A1387&lt;&gt;"",MAESTRO!$B1386,"")</f>
        <v/>
      </c>
      <c r="C1387" t="str">
        <f>IF($A1387&lt;&gt;"",MAESTRO!$A1386,"")</f>
        <v/>
      </c>
      <c r="D1387" t="str">
        <f>IF($A1387&lt;&gt;"",MAESTRO!$C1386,"")</f>
        <v/>
      </c>
      <c r="E1387" t="str">
        <f>IF($A1387&lt;&gt;"",MAESTRO!$M1386,"")</f>
        <v/>
      </c>
      <c r="F1387" t="str">
        <f>IF($A1387&lt;&gt;"",MAESTRO!$J1386,"")</f>
        <v/>
      </c>
      <c r="G1387" t="str">
        <f>IF($A1387&lt;&gt;"",MAESTRO!$D1386,"")</f>
        <v/>
      </c>
      <c r="H1387" t="str">
        <f>IF($A1387&lt;&gt;"",IF(TRIM(MAESTRO!$G1386&amp;" "&amp;MAESTRO!$H1386&amp;" "&amp;MAESTRO!$I1386)="",MAESTRO!$F1386,TRIM(MAESTRO!$G1386&amp;" "&amp;MAESTRO!$H1386&amp;" "&amp;MAESTRO!$I1386)),"")</f>
        <v/>
      </c>
      <c r="I1387" t="str">
        <f>IF($A1387&lt;&gt;"",MAESTRO!$K1386,"")</f>
        <v/>
      </c>
      <c r="J1387" t="str">
        <f>IF($A1387&lt;&gt;"",1387,"")</f>
        <v/>
      </c>
    </row>
    <row r="1388" spans="1:10" x14ac:dyDescent="0.2">
      <c r="A1388" t="str">
        <f>IF(AND(UPPER(MAESTRO!$M1387)="VIP",UPPER(MAESTRO!$J1387)="SI",MAESTRO!$F1387&lt;&gt;""),MAESTRO!$P1387,"")</f>
        <v/>
      </c>
      <c r="B1388" t="str">
        <f>IF($A1388&lt;&gt;"",MAESTRO!$B1387,"")</f>
        <v/>
      </c>
      <c r="C1388" t="str">
        <f>IF($A1388&lt;&gt;"",MAESTRO!$A1387,"")</f>
        <v/>
      </c>
      <c r="D1388" t="str">
        <f>IF($A1388&lt;&gt;"",MAESTRO!$C1387,"")</f>
        <v/>
      </c>
      <c r="E1388" t="str">
        <f>IF($A1388&lt;&gt;"",MAESTRO!$M1387,"")</f>
        <v/>
      </c>
      <c r="F1388" t="str">
        <f>IF($A1388&lt;&gt;"",MAESTRO!$J1387,"")</f>
        <v/>
      </c>
      <c r="G1388" t="str">
        <f>IF($A1388&lt;&gt;"",MAESTRO!$D1387,"")</f>
        <v/>
      </c>
      <c r="H1388" t="str">
        <f>IF($A1388&lt;&gt;"",IF(TRIM(MAESTRO!$G1387&amp;" "&amp;MAESTRO!$H1387&amp;" "&amp;MAESTRO!$I1387)="",MAESTRO!$F1387,TRIM(MAESTRO!$G1387&amp;" "&amp;MAESTRO!$H1387&amp;" "&amp;MAESTRO!$I1387)),"")</f>
        <v/>
      </c>
      <c r="I1388" t="str">
        <f>IF($A1388&lt;&gt;"",MAESTRO!$K1387,"")</f>
        <v/>
      </c>
      <c r="J1388" t="str">
        <f>IF($A1388&lt;&gt;"",1388,"")</f>
        <v/>
      </c>
    </row>
    <row r="1389" spans="1:10" x14ac:dyDescent="0.2">
      <c r="A1389" t="str">
        <f>IF(AND(UPPER(MAESTRO!$M1388)="VIP",UPPER(MAESTRO!$J1388)="SI",MAESTRO!$F1388&lt;&gt;""),MAESTRO!$P1388,"")</f>
        <v/>
      </c>
      <c r="B1389" t="str">
        <f>IF($A1389&lt;&gt;"",MAESTRO!$B1388,"")</f>
        <v/>
      </c>
      <c r="C1389" t="str">
        <f>IF($A1389&lt;&gt;"",MAESTRO!$A1388,"")</f>
        <v/>
      </c>
      <c r="D1389" t="str">
        <f>IF($A1389&lt;&gt;"",MAESTRO!$C1388,"")</f>
        <v/>
      </c>
      <c r="E1389" t="str">
        <f>IF($A1389&lt;&gt;"",MAESTRO!$M1388,"")</f>
        <v/>
      </c>
      <c r="F1389" t="str">
        <f>IF($A1389&lt;&gt;"",MAESTRO!$J1388,"")</f>
        <v/>
      </c>
      <c r="G1389" t="str">
        <f>IF($A1389&lt;&gt;"",MAESTRO!$D1388,"")</f>
        <v/>
      </c>
      <c r="H1389" t="str">
        <f>IF($A1389&lt;&gt;"",IF(TRIM(MAESTRO!$G1388&amp;" "&amp;MAESTRO!$H1388&amp;" "&amp;MAESTRO!$I1388)="",MAESTRO!$F1388,TRIM(MAESTRO!$G1388&amp;" "&amp;MAESTRO!$H1388&amp;" "&amp;MAESTRO!$I1388)),"")</f>
        <v/>
      </c>
      <c r="I1389" t="str">
        <f>IF($A1389&lt;&gt;"",MAESTRO!$K1388,"")</f>
        <v/>
      </c>
      <c r="J1389" t="str">
        <f>IF($A1389&lt;&gt;"",1389,"")</f>
        <v/>
      </c>
    </row>
    <row r="1390" spans="1:10" x14ac:dyDescent="0.2">
      <c r="A1390" t="str">
        <f>IF(AND(UPPER(MAESTRO!$M1389)="VIP",UPPER(MAESTRO!$J1389)="SI",MAESTRO!$F1389&lt;&gt;""),MAESTRO!$P1389,"")</f>
        <v/>
      </c>
      <c r="B1390" t="str">
        <f>IF($A1390&lt;&gt;"",MAESTRO!$B1389,"")</f>
        <v/>
      </c>
      <c r="C1390" t="str">
        <f>IF($A1390&lt;&gt;"",MAESTRO!$A1389,"")</f>
        <v/>
      </c>
      <c r="D1390" t="str">
        <f>IF($A1390&lt;&gt;"",MAESTRO!$C1389,"")</f>
        <v/>
      </c>
      <c r="E1390" t="str">
        <f>IF($A1390&lt;&gt;"",MAESTRO!$M1389,"")</f>
        <v/>
      </c>
      <c r="F1390" t="str">
        <f>IF($A1390&lt;&gt;"",MAESTRO!$J1389,"")</f>
        <v/>
      </c>
      <c r="G1390" t="str">
        <f>IF($A1390&lt;&gt;"",MAESTRO!$D1389,"")</f>
        <v/>
      </c>
      <c r="H1390" t="str">
        <f>IF($A1390&lt;&gt;"",IF(TRIM(MAESTRO!$G1389&amp;" "&amp;MAESTRO!$H1389&amp;" "&amp;MAESTRO!$I1389)="",MAESTRO!$F1389,TRIM(MAESTRO!$G1389&amp;" "&amp;MAESTRO!$H1389&amp;" "&amp;MAESTRO!$I1389)),"")</f>
        <v/>
      </c>
      <c r="I1390" t="str">
        <f>IF($A1390&lt;&gt;"",MAESTRO!$K1389,"")</f>
        <v/>
      </c>
      <c r="J1390" t="str">
        <f>IF($A1390&lt;&gt;"",1390,"")</f>
        <v/>
      </c>
    </row>
    <row r="1391" spans="1:10" x14ac:dyDescent="0.2">
      <c r="A1391" t="str">
        <f>IF(AND(UPPER(MAESTRO!$M1390)="VIP",UPPER(MAESTRO!$J1390)="SI",MAESTRO!$F1390&lt;&gt;""),MAESTRO!$P1390,"")</f>
        <v/>
      </c>
      <c r="B1391" t="str">
        <f>IF($A1391&lt;&gt;"",MAESTRO!$B1390,"")</f>
        <v/>
      </c>
      <c r="C1391" t="str">
        <f>IF($A1391&lt;&gt;"",MAESTRO!$A1390,"")</f>
        <v/>
      </c>
      <c r="D1391" t="str">
        <f>IF($A1391&lt;&gt;"",MAESTRO!$C1390,"")</f>
        <v/>
      </c>
      <c r="E1391" t="str">
        <f>IF($A1391&lt;&gt;"",MAESTRO!$M1390,"")</f>
        <v/>
      </c>
      <c r="F1391" t="str">
        <f>IF($A1391&lt;&gt;"",MAESTRO!$J1390,"")</f>
        <v/>
      </c>
      <c r="G1391" t="str">
        <f>IF($A1391&lt;&gt;"",MAESTRO!$D1390,"")</f>
        <v/>
      </c>
      <c r="H1391" t="str">
        <f>IF($A1391&lt;&gt;"",IF(TRIM(MAESTRO!$G1390&amp;" "&amp;MAESTRO!$H1390&amp;" "&amp;MAESTRO!$I1390)="",MAESTRO!$F1390,TRIM(MAESTRO!$G1390&amp;" "&amp;MAESTRO!$H1390&amp;" "&amp;MAESTRO!$I1390)),"")</f>
        <v/>
      </c>
      <c r="I1391" t="str">
        <f>IF($A1391&lt;&gt;"",MAESTRO!$K1390,"")</f>
        <v/>
      </c>
      <c r="J1391" t="str">
        <f>IF($A1391&lt;&gt;"",1391,"")</f>
        <v/>
      </c>
    </row>
    <row r="1392" spans="1:10" x14ac:dyDescent="0.2">
      <c r="A1392" t="str">
        <f>IF(AND(UPPER(MAESTRO!$M1391)="VIP",UPPER(MAESTRO!$J1391)="SI",MAESTRO!$F1391&lt;&gt;""),MAESTRO!$P1391,"")</f>
        <v/>
      </c>
      <c r="B1392" t="str">
        <f>IF($A1392&lt;&gt;"",MAESTRO!$B1391,"")</f>
        <v/>
      </c>
      <c r="C1392" t="str">
        <f>IF($A1392&lt;&gt;"",MAESTRO!$A1391,"")</f>
        <v/>
      </c>
      <c r="D1392" t="str">
        <f>IF($A1392&lt;&gt;"",MAESTRO!$C1391,"")</f>
        <v/>
      </c>
      <c r="E1392" t="str">
        <f>IF($A1392&lt;&gt;"",MAESTRO!$M1391,"")</f>
        <v/>
      </c>
      <c r="F1392" t="str">
        <f>IF($A1392&lt;&gt;"",MAESTRO!$J1391,"")</f>
        <v/>
      </c>
      <c r="G1392" t="str">
        <f>IF($A1392&lt;&gt;"",MAESTRO!$D1391,"")</f>
        <v/>
      </c>
      <c r="H1392" t="str">
        <f>IF($A1392&lt;&gt;"",IF(TRIM(MAESTRO!$G1391&amp;" "&amp;MAESTRO!$H1391&amp;" "&amp;MAESTRO!$I1391)="",MAESTRO!$F1391,TRIM(MAESTRO!$G1391&amp;" "&amp;MAESTRO!$H1391&amp;" "&amp;MAESTRO!$I1391)),"")</f>
        <v/>
      </c>
      <c r="I1392" t="str">
        <f>IF($A1392&lt;&gt;"",MAESTRO!$K1391,"")</f>
        <v/>
      </c>
      <c r="J1392" t="str">
        <f>IF($A1392&lt;&gt;"",1392,"")</f>
        <v/>
      </c>
    </row>
    <row r="1393" spans="1:10" x14ac:dyDescent="0.2">
      <c r="A1393" t="str">
        <f>IF(AND(UPPER(MAESTRO!$M1392)="VIP",UPPER(MAESTRO!$J1392)="SI",MAESTRO!$F1392&lt;&gt;""),MAESTRO!$P1392,"")</f>
        <v/>
      </c>
      <c r="B1393" t="str">
        <f>IF($A1393&lt;&gt;"",MAESTRO!$B1392,"")</f>
        <v/>
      </c>
      <c r="C1393" t="str">
        <f>IF($A1393&lt;&gt;"",MAESTRO!$A1392,"")</f>
        <v/>
      </c>
      <c r="D1393" t="str">
        <f>IF($A1393&lt;&gt;"",MAESTRO!$C1392,"")</f>
        <v/>
      </c>
      <c r="E1393" t="str">
        <f>IF($A1393&lt;&gt;"",MAESTRO!$M1392,"")</f>
        <v/>
      </c>
      <c r="F1393" t="str">
        <f>IF($A1393&lt;&gt;"",MAESTRO!$J1392,"")</f>
        <v/>
      </c>
      <c r="G1393" t="str">
        <f>IF($A1393&lt;&gt;"",MAESTRO!$D1392,"")</f>
        <v/>
      </c>
      <c r="H1393" t="str">
        <f>IF($A1393&lt;&gt;"",IF(TRIM(MAESTRO!$G1392&amp;" "&amp;MAESTRO!$H1392&amp;" "&amp;MAESTRO!$I1392)="",MAESTRO!$F1392,TRIM(MAESTRO!$G1392&amp;" "&amp;MAESTRO!$H1392&amp;" "&amp;MAESTRO!$I1392)),"")</f>
        <v/>
      </c>
      <c r="I1393" t="str">
        <f>IF($A1393&lt;&gt;"",MAESTRO!$K1392,"")</f>
        <v/>
      </c>
      <c r="J1393" t="str">
        <f>IF($A1393&lt;&gt;"",1393,"")</f>
        <v/>
      </c>
    </row>
    <row r="1394" spans="1:10" x14ac:dyDescent="0.2">
      <c r="A1394" t="str">
        <f>IF(AND(UPPER(MAESTRO!$M1393)="VIP",UPPER(MAESTRO!$J1393)="SI",MAESTRO!$F1393&lt;&gt;""),MAESTRO!$P1393,"")</f>
        <v/>
      </c>
      <c r="B1394" t="str">
        <f>IF($A1394&lt;&gt;"",MAESTRO!$B1393,"")</f>
        <v/>
      </c>
      <c r="C1394" t="str">
        <f>IF($A1394&lt;&gt;"",MAESTRO!$A1393,"")</f>
        <v/>
      </c>
      <c r="D1394" t="str">
        <f>IF($A1394&lt;&gt;"",MAESTRO!$C1393,"")</f>
        <v/>
      </c>
      <c r="E1394" t="str">
        <f>IF($A1394&lt;&gt;"",MAESTRO!$M1393,"")</f>
        <v/>
      </c>
      <c r="F1394" t="str">
        <f>IF($A1394&lt;&gt;"",MAESTRO!$J1393,"")</f>
        <v/>
      </c>
      <c r="G1394" t="str">
        <f>IF($A1394&lt;&gt;"",MAESTRO!$D1393,"")</f>
        <v/>
      </c>
      <c r="H1394" t="str">
        <f>IF($A1394&lt;&gt;"",IF(TRIM(MAESTRO!$G1393&amp;" "&amp;MAESTRO!$H1393&amp;" "&amp;MAESTRO!$I1393)="",MAESTRO!$F1393,TRIM(MAESTRO!$G1393&amp;" "&amp;MAESTRO!$H1393&amp;" "&amp;MAESTRO!$I1393)),"")</f>
        <v/>
      </c>
      <c r="I1394" t="str">
        <f>IF($A1394&lt;&gt;"",MAESTRO!$K1393,"")</f>
        <v/>
      </c>
      <c r="J1394" t="str">
        <f>IF($A1394&lt;&gt;"",1394,"")</f>
        <v/>
      </c>
    </row>
    <row r="1395" spans="1:10" x14ac:dyDescent="0.2">
      <c r="A1395" t="str">
        <f>IF(AND(UPPER(MAESTRO!$M1394)="VIP",UPPER(MAESTRO!$J1394)="SI",MAESTRO!$F1394&lt;&gt;""),MAESTRO!$P1394,"")</f>
        <v/>
      </c>
      <c r="B1395" t="str">
        <f>IF($A1395&lt;&gt;"",MAESTRO!$B1394,"")</f>
        <v/>
      </c>
      <c r="C1395" t="str">
        <f>IF($A1395&lt;&gt;"",MAESTRO!$A1394,"")</f>
        <v/>
      </c>
      <c r="D1395" t="str">
        <f>IF($A1395&lt;&gt;"",MAESTRO!$C1394,"")</f>
        <v/>
      </c>
      <c r="E1395" t="str">
        <f>IF($A1395&lt;&gt;"",MAESTRO!$M1394,"")</f>
        <v/>
      </c>
      <c r="F1395" t="str">
        <f>IF($A1395&lt;&gt;"",MAESTRO!$J1394,"")</f>
        <v/>
      </c>
      <c r="G1395" t="str">
        <f>IF($A1395&lt;&gt;"",MAESTRO!$D1394,"")</f>
        <v/>
      </c>
      <c r="H1395" t="str">
        <f>IF($A1395&lt;&gt;"",IF(TRIM(MAESTRO!$G1394&amp;" "&amp;MAESTRO!$H1394&amp;" "&amp;MAESTRO!$I1394)="",MAESTRO!$F1394,TRIM(MAESTRO!$G1394&amp;" "&amp;MAESTRO!$H1394&amp;" "&amp;MAESTRO!$I1394)),"")</f>
        <v/>
      </c>
      <c r="I1395" t="str">
        <f>IF($A1395&lt;&gt;"",MAESTRO!$K1394,"")</f>
        <v/>
      </c>
      <c r="J1395" t="str">
        <f>IF($A1395&lt;&gt;"",1395,"")</f>
        <v/>
      </c>
    </row>
    <row r="1396" spans="1:10" x14ac:dyDescent="0.2">
      <c r="A1396" t="str">
        <f>IF(AND(UPPER(MAESTRO!$M1395)="VIP",UPPER(MAESTRO!$J1395)="SI",MAESTRO!$F1395&lt;&gt;""),MAESTRO!$P1395,"")</f>
        <v/>
      </c>
      <c r="B1396" t="str">
        <f>IF($A1396&lt;&gt;"",MAESTRO!$B1395,"")</f>
        <v/>
      </c>
      <c r="C1396" t="str">
        <f>IF($A1396&lt;&gt;"",MAESTRO!$A1395,"")</f>
        <v/>
      </c>
      <c r="D1396" t="str">
        <f>IF($A1396&lt;&gt;"",MAESTRO!$C1395,"")</f>
        <v/>
      </c>
      <c r="E1396" t="str">
        <f>IF($A1396&lt;&gt;"",MAESTRO!$M1395,"")</f>
        <v/>
      </c>
      <c r="F1396" t="str">
        <f>IF($A1396&lt;&gt;"",MAESTRO!$J1395,"")</f>
        <v/>
      </c>
      <c r="G1396" t="str">
        <f>IF($A1396&lt;&gt;"",MAESTRO!$D1395,"")</f>
        <v/>
      </c>
      <c r="H1396" t="str">
        <f>IF($A1396&lt;&gt;"",IF(TRIM(MAESTRO!$G1395&amp;" "&amp;MAESTRO!$H1395&amp;" "&amp;MAESTRO!$I1395)="",MAESTRO!$F1395,TRIM(MAESTRO!$G1395&amp;" "&amp;MAESTRO!$H1395&amp;" "&amp;MAESTRO!$I1395)),"")</f>
        <v/>
      </c>
      <c r="I1396" t="str">
        <f>IF($A1396&lt;&gt;"",MAESTRO!$K1395,"")</f>
        <v/>
      </c>
      <c r="J1396" t="str">
        <f>IF($A1396&lt;&gt;"",1396,"")</f>
        <v/>
      </c>
    </row>
    <row r="1397" spans="1:10" x14ac:dyDescent="0.2">
      <c r="A1397" t="str">
        <f>IF(AND(UPPER(MAESTRO!$M1396)="VIP",UPPER(MAESTRO!$J1396)="SI",MAESTRO!$F1396&lt;&gt;""),MAESTRO!$P1396,"")</f>
        <v/>
      </c>
      <c r="B1397" t="str">
        <f>IF($A1397&lt;&gt;"",MAESTRO!$B1396,"")</f>
        <v/>
      </c>
      <c r="C1397" t="str">
        <f>IF($A1397&lt;&gt;"",MAESTRO!$A1396,"")</f>
        <v/>
      </c>
      <c r="D1397" t="str">
        <f>IF($A1397&lt;&gt;"",MAESTRO!$C1396,"")</f>
        <v/>
      </c>
      <c r="E1397" t="str">
        <f>IF($A1397&lt;&gt;"",MAESTRO!$M1396,"")</f>
        <v/>
      </c>
      <c r="F1397" t="str">
        <f>IF($A1397&lt;&gt;"",MAESTRO!$J1396,"")</f>
        <v/>
      </c>
      <c r="G1397" t="str">
        <f>IF($A1397&lt;&gt;"",MAESTRO!$D1396,"")</f>
        <v/>
      </c>
      <c r="H1397" t="str">
        <f>IF($A1397&lt;&gt;"",IF(TRIM(MAESTRO!$G1396&amp;" "&amp;MAESTRO!$H1396&amp;" "&amp;MAESTRO!$I1396)="",MAESTRO!$F1396,TRIM(MAESTRO!$G1396&amp;" "&amp;MAESTRO!$H1396&amp;" "&amp;MAESTRO!$I1396)),"")</f>
        <v/>
      </c>
      <c r="I1397" t="str">
        <f>IF($A1397&lt;&gt;"",MAESTRO!$K1396,"")</f>
        <v/>
      </c>
      <c r="J1397" t="str">
        <f>IF($A1397&lt;&gt;"",1397,"")</f>
        <v/>
      </c>
    </row>
    <row r="1398" spans="1:10" x14ac:dyDescent="0.2">
      <c r="A1398" t="str">
        <f>IF(AND(UPPER(MAESTRO!$M1397)="VIP",UPPER(MAESTRO!$J1397)="SI",MAESTRO!$F1397&lt;&gt;""),MAESTRO!$P1397,"")</f>
        <v/>
      </c>
      <c r="B1398" t="str">
        <f>IF($A1398&lt;&gt;"",MAESTRO!$B1397,"")</f>
        <v/>
      </c>
      <c r="C1398" t="str">
        <f>IF($A1398&lt;&gt;"",MAESTRO!$A1397,"")</f>
        <v/>
      </c>
      <c r="D1398" t="str">
        <f>IF($A1398&lt;&gt;"",MAESTRO!$C1397,"")</f>
        <v/>
      </c>
      <c r="E1398" t="str">
        <f>IF($A1398&lt;&gt;"",MAESTRO!$M1397,"")</f>
        <v/>
      </c>
      <c r="F1398" t="str">
        <f>IF($A1398&lt;&gt;"",MAESTRO!$J1397,"")</f>
        <v/>
      </c>
      <c r="G1398" t="str">
        <f>IF($A1398&lt;&gt;"",MAESTRO!$D1397,"")</f>
        <v/>
      </c>
      <c r="H1398" t="str">
        <f>IF($A1398&lt;&gt;"",IF(TRIM(MAESTRO!$G1397&amp;" "&amp;MAESTRO!$H1397&amp;" "&amp;MAESTRO!$I1397)="",MAESTRO!$F1397,TRIM(MAESTRO!$G1397&amp;" "&amp;MAESTRO!$H1397&amp;" "&amp;MAESTRO!$I1397)),"")</f>
        <v/>
      </c>
      <c r="I1398" t="str">
        <f>IF($A1398&lt;&gt;"",MAESTRO!$K1397,"")</f>
        <v/>
      </c>
      <c r="J1398" t="str">
        <f>IF($A1398&lt;&gt;"",1398,"")</f>
        <v/>
      </c>
    </row>
    <row r="1399" spans="1:10" x14ac:dyDescent="0.2">
      <c r="A1399" t="str">
        <f>IF(AND(UPPER(MAESTRO!$M1398)="VIP",UPPER(MAESTRO!$J1398)="SI",MAESTRO!$F1398&lt;&gt;""),MAESTRO!$P1398,"")</f>
        <v/>
      </c>
      <c r="B1399" t="str">
        <f>IF($A1399&lt;&gt;"",MAESTRO!$B1398,"")</f>
        <v/>
      </c>
      <c r="C1399" t="str">
        <f>IF($A1399&lt;&gt;"",MAESTRO!$A1398,"")</f>
        <v/>
      </c>
      <c r="D1399" t="str">
        <f>IF($A1399&lt;&gt;"",MAESTRO!$C1398,"")</f>
        <v/>
      </c>
      <c r="E1399" t="str">
        <f>IF($A1399&lt;&gt;"",MAESTRO!$M1398,"")</f>
        <v/>
      </c>
      <c r="F1399" t="str">
        <f>IF($A1399&lt;&gt;"",MAESTRO!$J1398,"")</f>
        <v/>
      </c>
      <c r="G1399" t="str">
        <f>IF($A1399&lt;&gt;"",MAESTRO!$D1398,"")</f>
        <v/>
      </c>
      <c r="H1399" t="str">
        <f>IF($A1399&lt;&gt;"",IF(TRIM(MAESTRO!$G1398&amp;" "&amp;MAESTRO!$H1398&amp;" "&amp;MAESTRO!$I1398)="",MAESTRO!$F1398,TRIM(MAESTRO!$G1398&amp;" "&amp;MAESTRO!$H1398&amp;" "&amp;MAESTRO!$I1398)),"")</f>
        <v/>
      </c>
      <c r="I1399" t="str">
        <f>IF($A1399&lt;&gt;"",MAESTRO!$K1398,"")</f>
        <v/>
      </c>
      <c r="J1399" t="str">
        <f>IF($A1399&lt;&gt;"",1399,"")</f>
        <v/>
      </c>
    </row>
    <row r="1400" spans="1:10" x14ac:dyDescent="0.2">
      <c r="A1400" t="str">
        <f>IF(AND(UPPER(MAESTRO!$M1399)="VIP",UPPER(MAESTRO!$J1399)="SI",MAESTRO!$F1399&lt;&gt;""),MAESTRO!$P1399,"")</f>
        <v/>
      </c>
      <c r="B1400" t="str">
        <f>IF($A1400&lt;&gt;"",MAESTRO!$B1399,"")</f>
        <v/>
      </c>
      <c r="C1400" t="str">
        <f>IF($A1400&lt;&gt;"",MAESTRO!$A1399,"")</f>
        <v/>
      </c>
      <c r="D1400" t="str">
        <f>IF($A1400&lt;&gt;"",MAESTRO!$C1399,"")</f>
        <v/>
      </c>
      <c r="E1400" t="str">
        <f>IF($A1400&lt;&gt;"",MAESTRO!$M1399,"")</f>
        <v/>
      </c>
      <c r="F1400" t="str">
        <f>IF($A1400&lt;&gt;"",MAESTRO!$J1399,"")</f>
        <v/>
      </c>
      <c r="G1400" t="str">
        <f>IF($A1400&lt;&gt;"",MAESTRO!$D1399,"")</f>
        <v/>
      </c>
      <c r="H1400" t="str">
        <f>IF($A1400&lt;&gt;"",IF(TRIM(MAESTRO!$G1399&amp;" "&amp;MAESTRO!$H1399&amp;" "&amp;MAESTRO!$I1399)="",MAESTRO!$F1399,TRIM(MAESTRO!$G1399&amp;" "&amp;MAESTRO!$H1399&amp;" "&amp;MAESTRO!$I1399)),"")</f>
        <v/>
      </c>
      <c r="I1400" t="str">
        <f>IF($A1400&lt;&gt;"",MAESTRO!$K1399,"")</f>
        <v/>
      </c>
      <c r="J1400" t="str">
        <f>IF($A1400&lt;&gt;"",1400,"")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"/>
  <sheetViews>
    <sheetView workbookViewId="0"/>
  </sheetViews>
  <sheetFormatPr baseColWidth="10" defaultColWidth="9" defaultRowHeight="12.75" x14ac:dyDescent="0.2"/>
  <cols>
    <col min="1" max="1" width="24" customWidth="1"/>
    <col min="2" max="2" width="12" customWidth="1"/>
    <col min="3" max="3" width="8" customWidth="1"/>
    <col min="4" max="4" width="18" customWidth="1"/>
    <col min="5" max="5" width="12" customWidth="1"/>
    <col min="6" max="6" width="10" customWidth="1"/>
    <col min="7" max="7" width="22" customWidth="1"/>
    <col min="8" max="8" width="34" customWidth="1"/>
    <col min="9" max="9" width="48" customWidth="1"/>
  </cols>
  <sheetData>
    <row r="1" spans="1:9" ht="18" customHeight="1" x14ac:dyDescent="0.2">
      <c r="A1" s="58" t="s">
        <v>2893</v>
      </c>
      <c r="B1" s="58"/>
      <c r="C1" s="58"/>
      <c r="D1" s="58"/>
      <c r="E1" s="58"/>
      <c r="F1" s="58"/>
      <c r="G1" s="58"/>
      <c r="H1" s="58"/>
      <c r="I1" s="58"/>
    </row>
    <row r="2" spans="1:9" x14ac:dyDescent="0.2">
      <c r="A2" t="s">
        <v>2894</v>
      </c>
    </row>
    <row r="3" spans="1:9" ht="15" x14ac:dyDescent="0.2">
      <c r="A3" s="53" t="s">
        <v>15</v>
      </c>
      <c r="B3" s="53" t="s">
        <v>1</v>
      </c>
      <c r="C3" s="53" t="s">
        <v>0</v>
      </c>
      <c r="D3" s="53" t="s">
        <v>2</v>
      </c>
      <c r="E3" s="53" t="s">
        <v>4</v>
      </c>
      <c r="F3" s="53" t="s">
        <v>9</v>
      </c>
      <c r="G3" s="53" t="s">
        <v>3</v>
      </c>
      <c r="H3" s="53" t="s">
        <v>5</v>
      </c>
      <c r="I3" s="53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8"/>
  <sheetViews>
    <sheetView workbookViewId="0"/>
  </sheetViews>
  <sheetFormatPr baseColWidth="10" defaultColWidth="9" defaultRowHeight="12.75" x14ac:dyDescent="0.2"/>
  <cols>
    <col min="1" max="1" width="30" customWidth="1"/>
    <col min="2" max="2" width="90" customWidth="1"/>
  </cols>
  <sheetData>
    <row r="1" spans="1:2" ht="18" customHeight="1" x14ac:dyDescent="0.25">
      <c r="A1" s="62" t="s">
        <v>2895</v>
      </c>
      <c r="B1" s="62"/>
    </row>
    <row r="2" spans="1:2" ht="18" customHeight="1" x14ac:dyDescent="0.2">
      <c r="A2" t="s">
        <v>2896</v>
      </c>
      <c r="B2" t="s">
        <v>2897</v>
      </c>
    </row>
    <row r="3" spans="1:2" ht="18" customHeight="1" x14ac:dyDescent="0.2">
      <c r="A3" t="s">
        <v>2898</v>
      </c>
      <c r="B3" t="s">
        <v>2899</v>
      </c>
    </row>
    <row r="4" spans="1:2" ht="18" customHeight="1" x14ac:dyDescent="0.2">
      <c r="A4" t="s">
        <v>25</v>
      </c>
      <c r="B4" t="str">
        <f>IFERROR(INDEX('LISTADO VIP'!$H$2:$H$1400,MATCH("A23",'LISTADO VIP'!$A$2:$A$1400,0)),"Sin ocupante")</f>
        <v>José Antonio Kast Rist</v>
      </c>
    </row>
    <row r="5" spans="1:2" ht="18" customHeight="1" x14ac:dyDescent="0.2">
      <c r="A5" t="s">
        <v>441</v>
      </c>
      <c r="B5" t="str">
        <f>IFERROR(INDEX('LISTADO VIP'!$H$2:$H$1400,MATCH("B23",'LISTADO VIP'!$A$2:$A$1400,0)),"Sin ocupante")</f>
        <v>Alfonso De Urresti Longton</v>
      </c>
    </row>
    <row r="6" spans="1:2" ht="18" customHeight="1" x14ac:dyDescent="0.2">
      <c r="A6" t="s">
        <v>2900</v>
      </c>
      <c r="B6" t="s">
        <v>2901</v>
      </c>
    </row>
    <row r="7" spans="1:2" ht="18" customHeight="1" x14ac:dyDescent="0.2">
      <c r="A7" t="s">
        <v>2902</v>
      </c>
      <c r="B7" t="s">
        <v>2903</v>
      </c>
    </row>
    <row r="8" spans="1:2" x14ac:dyDescent="0.2">
      <c r="A8" t="s">
        <v>2904</v>
      </c>
      <c r="B8" t="s">
        <v>2905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80"/>
  <sheetViews>
    <sheetView showGridLines="0" workbookViewId="0"/>
  </sheetViews>
  <sheetFormatPr baseColWidth="10" defaultColWidth="8.7109375" defaultRowHeight="15" x14ac:dyDescent="0.25"/>
  <cols>
    <col min="1" max="1" width="18" style="6" customWidth="1"/>
    <col min="3" max="3" width="18" style="6" customWidth="1"/>
    <col min="5" max="5" width="18" style="6" customWidth="1"/>
    <col min="7" max="7" width="18" style="6" customWidth="1"/>
    <col min="9" max="9" width="18" customWidth="1"/>
  </cols>
  <sheetData>
    <row r="1" spans="1:9" ht="18" customHeight="1" x14ac:dyDescent="0.2">
      <c r="A1" s="63" t="s">
        <v>2870</v>
      </c>
      <c r="B1" s="64"/>
      <c r="C1" s="64"/>
      <c r="D1" s="64"/>
      <c r="E1" s="64"/>
      <c r="F1" s="64"/>
      <c r="G1" s="64"/>
      <c r="H1" s="64"/>
      <c r="I1" s="9"/>
    </row>
    <row r="2" spans="1:9" ht="18" customHeight="1" x14ac:dyDescent="0.2">
      <c r="A2" s="9"/>
      <c r="B2" s="9"/>
      <c r="C2" s="9"/>
      <c r="D2" s="9"/>
      <c r="E2" s="9"/>
      <c r="F2" s="9"/>
      <c r="G2" s="9"/>
      <c r="H2" s="9"/>
      <c r="I2" s="9"/>
    </row>
    <row r="3" spans="1:9" ht="18" customHeight="1" x14ac:dyDescent="0.2">
      <c r="A3" s="50" t="s">
        <v>2871</v>
      </c>
      <c r="B3" s="9"/>
      <c r="C3" s="50" t="s">
        <v>2872</v>
      </c>
      <c r="D3" s="9"/>
      <c r="E3" s="50" t="s">
        <v>2873</v>
      </c>
      <c r="F3" s="9"/>
      <c r="G3" s="50" t="s">
        <v>2874</v>
      </c>
      <c r="H3" s="9"/>
      <c r="I3" s="50" t="s">
        <v>2875</v>
      </c>
    </row>
    <row r="4" spans="1:9" ht="18" customHeight="1" x14ac:dyDescent="0.2">
      <c r="A4" s="51" t="s">
        <v>22</v>
      </c>
      <c r="B4" s="9"/>
      <c r="C4" s="51" t="s">
        <v>24</v>
      </c>
      <c r="D4" s="9"/>
      <c r="E4" s="51" t="s">
        <v>1138</v>
      </c>
      <c r="F4" s="9"/>
      <c r="G4" s="51" t="s">
        <v>16</v>
      </c>
      <c r="H4" s="9"/>
      <c r="I4" s="51" t="s">
        <v>2876</v>
      </c>
    </row>
    <row r="5" spans="1:9" ht="18" customHeight="1" x14ac:dyDescent="0.2">
      <c r="A5" s="51" t="s">
        <v>71</v>
      </c>
      <c r="B5" s="9"/>
      <c r="C5" s="51" t="s">
        <v>659</v>
      </c>
      <c r="D5" s="9"/>
      <c r="E5" s="51" t="s">
        <v>2868</v>
      </c>
      <c r="F5" s="9"/>
      <c r="G5" s="51" t="s">
        <v>844</v>
      </c>
      <c r="H5" s="9"/>
      <c r="I5" s="51" t="s">
        <v>2877</v>
      </c>
    </row>
    <row r="6" spans="1:9" ht="18" customHeight="1" x14ac:dyDescent="0.2">
      <c r="A6" s="51" t="s">
        <v>57</v>
      </c>
      <c r="B6" s="9"/>
      <c r="C6" s="51" t="s">
        <v>1261</v>
      </c>
      <c r="D6" s="9"/>
      <c r="E6" s="51" t="s">
        <v>2468</v>
      </c>
      <c r="F6" s="9"/>
      <c r="G6" s="51" t="s">
        <v>942</v>
      </c>
      <c r="H6" s="9"/>
      <c r="I6" s="51" t="s">
        <v>2878</v>
      </c>
    </row>
    <row r="7" spans="1:9" ht="18" customHeight="1" x14ac:dyDescent="0.2">
      <c r="A7" s="9"/>
      <c r="B7" s="9"/>
      <c r="C7" s="9"/>
      <c r="D7" s="9"/>
      <c r="E7" s="51" t="s">
        <v>2828</v>
      </c>
      <c r="F7" s="9"/>
      <c r="G7" s="51" t="s">
        <v>907</v>
      </c>
      <c r="H7" s="9"/>
      <c r="I7" s="9"/>
    </row>
    <row r="8" spans="1:9" ht="18" customHeight="1" x14ac:dyDescent="0.2">
      <c r="A8" s="9"/>
      <c r="B8" s="9"/>
      <c r="C8" s="9"/>
      <c r="D8" s="9"/>
      <c r="E8" s="51" t="s">
        <v>2596</v>
      </c>
      <c r="F8" s="9"/>
      <c r="G8" s="51" t="s">
        <v>1017</v>
      </c>
      <c r="H8" s="9"/>
      <c r="I8" s="9"/>
    </row>
    <row r="9" spans="1:9" ht="18" customHeight="1" x14ac:dyDescent="0.2">
      <c r="A9" s="9"/>
      <c r="B9" s="9"/>
      <c r="C9" s="9"/>
      <c r="D9" s="9"/>
      <c r="E9" s="51" t="s">
        <v>2559</v>
      </c>
      <c r="F9" s="9"/>
      <c r="G9" s="9"/>
      <c r="H9" s="9"/>
      <c r="I9" s="9"/>
    </row>
    <row r="10" spans="1:9" ht="18" customHeight="1" x14ac:dyDescent="0.2">
      <c r="A10" s="9"/>
      <c r="B10" s="9"/>
      <c r="C10" s="9"/>
      <c r="D10" s="9"/>
      <c r="E10" s="51" t="s">
        <v>1386</v>
      </c>
      <c r="F10" s="9"/>
      <c r="G10" s="9"/>
      <c r="H10" s="9"/>
      <c r="I10" s="9"/>
    </row>
    <row r="11" spans="1:9" ht="18" customHeight="1" x14ac:dyDescent="0.2">
      <c r="A11" s="9"/>
      <c r="B11" s="9"/>
      <c r="C11" s="9"/>
      <c r="D11" s="9"/>
      <c r="E11" s="51" t="s">
        <v>2869</v>
      </c>
      <c r="F11" s="9"/>
      <c r="G11" s="9"/>
      <c r="H11" s="9"/>
      <c r="I11" s="9"/>
    </row>
    <row r="12" spans="1:9" ht="18" customHeight="1" x14ac:dyDescent="0.2">
      <c r="A12" s="9"/>
      <c r="B12" s="9"/>
      <c r="C12" s="9"/>
      <c r="D12" s="9"/>
      <c r="E12" s="51" t="s">
        <v>1325</v>
      </c>
      <c r="F12" s="9"/>
      <c r="G12" s="9"/>
      <c r="H12" s="9"/>
      <c r="I12" s="9"/>
    </row>
    <row r="13" spans="1:9" ht="18" customHeight="1" x14ac:dyDescent="0.2">
      <c r="A13" s="9"/>
      <c r="B13" s="9"/>
      <c r="C13" s="9"/>
      <c r="D13" s="9"/>
      <c r="E13" s="51" t="s">
        <v>1229</v>
      </c>
      <c r="F13" s="9"/>
      <c r="G13" s="9"/>
      <c r="H13" s="9"/>
      <c r="I13" s="9"/>
    </row>
    <row r="14" spans="1:9" ht="18" customHeight="1" x14ac:dyDescent="0.2">
      <c r="A14" s="9"/>
      <c r="B14" s="9"/>
      <c r="C14" s="9"/>
      <c r="D14" s="9"/>
      <c r="E14" s="51" t="s">
        <v>1582</v>
      </c>
      <c r="F14" s="9"/>
      <c r="G14" s="9"/>
      <c r="H14" s="9"/>
      <c r="I14" s="9"/>
    </row>
    <row r="15" spans="1:9" ht="18" customHeight="1" x14ac:dyDescent="0.2">
      <c r="A15" s="9"/>
      <c r="B15" s="9"/>
      <c r="C15" s="9"/>
      <c r="D15" s="9"/>
      <c r="E15" s="51" t="s">
        <v>1401</v>
      </c>
      <c r="F15" s="9"/>
      <c r="G15" s="9"/>
      <c r="H15" s="9"/>
      <c r="I15" s="9"/>
    </row>
    <row r="16" spans="1:9" ht="18" customHeight="1" x14ac:dyDescent="0.2">
      <c r="A16" s="9"/>
      <c r="B16" s="9"/>
      <c r="C16" s="9"/>
      <c r="D16" s="9"/>
      <c r="E16" s="51" t="s">
        <v>16</v>
      </c>
      <c r="F16" s="9"/>
      <c r="G16" s="9"/>
      <c r="H16" s="9"/>
      <c r="I16" s="9"/>
    </row>
    <row r="17" spans="1:9" ht="18" customHeight="1" x14ac:dyDescent="0.2">
      <c r="A17" s="9"/>
      <c r="B17" s="9"/>
      <c r="C17" s="9"/>
      <c r="D17" s="9"/>
      <c r="E17" s="51" t="s">
        <v>844</v>
      </c>
      <c r="F17" s="9"/>
      <c r="G17" s="9"/>
      <c r="H17" s="9"/>
      <c r="I17" s="9"/>
    </row>
    <row r="18" spans="1:9" ht="18" customHeight="1" x14ac:dyDescent="0.2">
      <c r="A18" s="9"/>
      <c r="B18" s="9"/>
      <c r="C18" s="9"/>
      <c r="D18" s="9"/>
      <c r="E18" s="51" t="s">
        <v>942</v>
      </c>
      <c r="F18" s="9"/>
      <c r="G18" s="9"/>
      <c r="H18" s="9"/>
      <c r="I18" s="9"/>
    </row>
    <row r="19" spans="1:9" ht="18" customHeight="1" x14ac:dyDescent="0.2">
      <c r="A19" s="9"/>
      <c r="B19" s="9"/>
      <c r="C19" s="9"/>
      <c r="D19" s="9"/>
      <c r="E19" s="51" t="s">
        <v>907</v>
      </c>
      <c r="F19" s="9"/>
      <c r="G19" s="9"/>
      <c r="H19" s="9"/>
      <c r="I19" s="9"/>
    </row>
    <row r="20" spans="1:9" ht="18" customHeight="1" x14ac:dyDescent="0.2">
      <c r="A20" s="9"/>
      <c r="B20" s="9"/>
      <c r="C20" s="9"/>
      <c r="D20" s="9"/>
      <c r="E20" s="51" t="s">
        <v>1017</v>
      </c>
      <c r="F20" s="9"/>
      <c r="G20" s="9"/>
      <c r="H20" s="9"/>
      <c r="I20" s="9"/>
    </row>
    <row r="21" spans="1:9" ht="18" customHeight="1" x14ac:dyDescent="0.2">
      <c r="A21" s="9"/>
      <c r="B21" s="9"/>
      <c r="C21" s="9"/>
      <c r="D21" s="9"/>
      <c r="E21" s="51" t="s">
        <v>1752</v>
      </c>
      <c r="F21" s="9"/>
      <c r="G21" s="9"/>
      <c r="H21" s="9"/>
      <c r="I21" s="9"/>
    </row>
    <row r="22" spans="1:9" ht="18" customHeight="1" x14ac:dyDescent="0.2">
      <c r="A22" s="9"/>
      <c r="B22" s="9"/>
      <c r="C22" s="9"/>
      <c r="D22" s="9"/>
      <c r="E22" s="51" t="s">
        <v>2186</v>
      </c>
      <c r="F22" s="9"/>
      <c r="G22" s="9"/>
      <c r="H22" s="9"/>
      <c r="I22" s="9"/>
    </row>
    <row r="23" spans="1:9" ht="18" customHeight="1" x14ac:dyDescent="0.2">
      <c r="A23" s="9"/>
      <c r="B23" s="9"/>
      <c r="C23" s="9"/>
      <c r="D23" s="9"/>
      <c r="E23" s="9"/>
      <c r="F23" s="9"/>
      <c r="G23" s="9"/>
      <c r="H23" s="9"/>
      <c r="I23" s="9"/>
    </row>
    <row r="24" spans="1:9" ht="18" customHeight="1" x14ac:dyDescent="0.2">
      <c r="A24" s="9"/>
      <c r="B24" s="9"/>
      <c r="C24" s="9"/>
      <c r="D24" s="9"/>
      <c r="E24" s="9"/>
      <c r="F24" s="9"/>
      <c r="G24" s="9"/>
      <c r="H24" s="9"/>
      <c r="I24" s="9"/>
    </row>
    <row r="25" spans="1:9" ht="18" customHeight="1" x14ac:dyDescent="0.2">
      <c r="A25" s="9"/>
      <c r="B25" s="9"/>
      <c r="C25" s="9"/>
      <c r="D25" s="9"/>
      <c r="E25" s="9"/>
      <c r="F25" s="9"/>
      <c r="G25" s="9"/>
      <c r="H25" s="9"/>
      <c r="I25" s="9"/>
    </row>
    <row r="26" spans="1:9" ht="18" customHeight="1" x14ac:dyDescent="0.2">
      <c r="A26" s="9"/>
      <c r="B26" s="9"/>
      <c r="C26" s="9"/>
      <c r="D26" s="9"/>
      <c r="E26" s="9"/>
      <c r="F26" s="9"/>
      <c r="G26" s="9"/>
      <c r="H26" s="9"/>
      <c r="I26" s="9"/>
    </row>
    <row r="27" spans="1:9" ht="18" customHeight="1" x14ac:dyDescent="0.2">
      <c r="A27" s="9"/>
      <c r="B27" s="9"/>
      <c r="C27" s="9"/>
      <c r="D27" s="9"/>
      <c r="E27" s="9"/>
      <c r="F27" s="9"/>
      <c r="G27" s="9"/>
      <c r="H27" s="9"/>
      <c r="I27" s="9"/>
    </row>
    <row r="28" spans="1:9" ht="18" customHeight="1" x14ac:dyDescent="0.2">
      <c r="A28" s="9"/>
      <c r="B28" s="9"/>
      <c r="C28" s="9"/>
      <c r="D28" s="9"/>
      <c r="E28" s="9"/>
      <c r="F28" s="9"/>
      <c r="G28" s="9"/>
      <c r="H28" s="9"/>
      <c r="I28" s="9"/>
    </row>
    <row r="29" spans="1:9" ht="18" customHeight="1" x14ac:dyDescent="0.2">
      <c r="A29" s="9"/>
      <c r="B29" s="9"/>
      <c r="C29" s="9"/>
      <c r="D29" s="9"/>
      <c r="E29" s="9"/>
      <c r="F29" s="9"/>
      <c r="G29" s="9"/>
      <c r="H29" s="9"/>
      <c r="I29" s="9"/>
    </row>
    <row r="30" spans="1:9" ht="18" customHeight="1" x14ac:dyDescent="0.2">
      <c r="A30" s="9"/>
      <c r="B30" s="9"/>
      <c r="C30" s="9"/>
      <c r="D30" s="9"/>
      <c r="E30" s="9"/>
      <c r="F30" s="9"/>
      <c r="G30" s="9"/>
      <c r="H30" s="9"/>
      <c r="I30" s="9"/>
    </row>
    <row r="31" spans="1:9" ht="18" customHeight="1" x14ac:dyDescent="0.2">
      <c r="A31" s="9"/>
      <c r="B31" s="9"/>
      <c r="C31" s="9"/>
      <c r="D31" s="9"/>
      <c r="E31" s="9"/>
      <c r="F31" s="9"/>
      <c r="G31" s="9"/>
      <c r="H31" s="9"/>
      <c r="I31" s="9"/>
    </row>
    <row r="32" spans="1:9" ht="18" customHeight="1" x14ac:dyDescent="0.2">
      <c r="A32" s="9"/>
      <c r="B32" s="9"/>
      <c r="C32" s="9"/>
      <c r="D32" s="9"/>
      <c r="E32" s="9"/>
      <c r="F32" s="9"/>
      <c r="G32" s="9"/>
      <c r="H32" s="9"/>
      <c r="I32" s="9"/>
    </row>
    <row r="33" spans="1:9" ht="18" customHeight="1" x14ac:dyDescent="0.2">
      <c r="A33" s="9"/>
      <c r="B33" s="9"/>
      <c r="C33" s="9"/>
      <c r="D33" s="9"/>
      <c r="E33" s="9"/>
      <c r="F33" s="9"/>
      <c r="G33" s="9"/>
      <c r="H33" s="9"/>
      <c r="I33" s="9"/>
    </row>
    <row r="34" spans="1:9" ht="18" customHeight="1" x14ac:dyDescent="0.2">
      <c r="A34" s="9"/>
      <c r="B34" s="9"/>
      <c r="C34" s="9"/>
      <c r="D34" s="9"/>
      <c r="E34" s="9"/>
      <c r="F34" s="9"/>
      <c r="G34" s="9"/>
      <c r="H34" s="9"/>
      <c r="I34" s="9"/>
    </row>
    <row r="35" spans="1:9" ht="18" customHeight="1" x14ac:dyDescent="0.2">
      <c r="A35" s="9"/>
      <c r="B35" s="9"/>
      <c r="C35" s="9"/>
      <c r="D35" s="9"/>
      <c r="E35" s="9"/>
      <c r="F35" s="9"/>
      <c r="G35" s="9"/>
      <c r="H35" s="9"/>
      <c r="I35" s="9"/>
    </row>
    <row r="36" spans="1:9" ht="18" customHeight="1" x14ac:dyDescent="0.2">
      <c r="A36" s="9"/>
      <c r="B36" s="9"/>
      <c r="C36" s="9"/>
      <c r="D36" s="9"/>
      <c r="E36" s="9"/>
      <c r="F36" s="9"/>
      <c r="G36" s="9"/>
      <c r="H36" s="9"/>
      <c r="I36" s="9"/>
    </row>
    <row r="37" spans="1:9" ht="18" customHeight="1" x14ac:dyDescent="0.2">
      <c r="A37" s="9"/>
      <c r="B37" s="9"/>
      <c r="C37" s="9"/>
      <c r="D37" s="9"/>
      <c r="E37" s="9"/>
      <c r="F37" s="9"/>
      <c r="G37" s="9"/>
      <c r="H37" s="9"/>
      <c r="I37" s="9"/>
    </row>
    <row r="38" spans="1:9" ht="18" customHeight="1" x14ac:dyDescent="0.2">
      <c r="A38" s="9"/>
      <c r="B38" s="9"/>
      <c r="C38" s="9"/>
      <c r="D38" s="9"/>
      <c r="E38" s="9"/>
      <c r="F38" s="9"/>
      <c r="G38" s="9"/>
      <c r="H38" s="9"/>
      <c r="I38" s="9"/>
    </row>
    <row r="39" spans="1:9" ht="18" customHeight="1" x14ac:dyDescent="0.2">
      <c r="A39" s="9"/>
      <c r="B39" s="9"/>
      <c r="C39" s="9"/>
      <c r="D39" s="9"/>
      <c r="E39" s="9"/>
      <c r="F39" s="9"/>
      <c r="G39" s="9"/>
      <c r="H39" s="9"/>
      <c r="I39" s="9"/>
    </row>
    <row r="40" spans="1:9" ht="18" customHeight="1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ht="18" customHeight="1" x14ac:dyDescent="0.2">
      <c r="A41" s="9"/>
      <c r="B41" s="9"/>
      <c r="C41" s="9"/>
      <c r="D41" s="9"/>
      <c r="E41" s="9"/>
      <c r="F41" s="9"/>
      <c r="G41" s="9"/>
      <c r="H41" s="9"/>
      <c r="I41" s="9"/>
    </row>
    <row r="42" spans="1:9" ht="18" customHeight="1" x14ac:dyDescent="0.2">
      <c r="A42" s="9"/>
      <c r="B42" s="9"/>
      <c r="C42" s="9"/>
      <c r="D42" s="9"/>
      <c r="E42" s="9"/>
      <c r="F42" s="9"/>
      <c r="G42" s="9"/>
      <c r="H42" s="9"/>
      <c r="I42" s="9"/>
    </row>
    <row r="43" spans="1:9" ht="18" customHeight="1" x14ac:dyDescent="0.2">
      <c r="A43" s="9"/>
      <c r="B43" s="9"/>
      <c r="C43" s="9"/>
      <c r="D43" s="9"/>
      <c r="E43" s="9"/>
      <c r="F43" s="9"/>
      <c r="G43" s="9"/>
      <c r="H43" s="9"/>
      <c r="I43" s="9"/>
    </row>
    <row r="44" spans="1:9" ht="18" customHeight="1" x14ac:dyDescent="0.2">
      <c r="A44" s="9"/>
      <c r="B44" s="9"/>
      <c r="C44" s="9"/>
      <c r="D44" s="9"/>
      <c r="E44" s="9"/>
      <c r="F44" s="9"/>
      <c r="G44" s="9"/>
      <c r="H44" s="9"/>
      <c r="I44" s="9"/>
    </row>
    <row r="45" spans="1:9" ht="18" customHeight="1" x14ac:dyDescent="0.2">
      <c r="A45" s="9"/>
      <c r="B45" s="9"/>
      <c r="C45" s="9"/>
      <c r="D45" s="9"/>
      <c r="E45" s="9"/>
      <c r="F45" s="9"/>
      <c r="G45" s="9"/>
      <c r="H45" s="9"/>
      <c r="I45" s="9"/>
    </row>
    <row r="46" spans="1:9" ht="18" customHeight="1" x14ac:dyDescent="0.2">
      <c r="A46" s="9"/>
      <c r="B46" s="9"/>
      <c r="C46" s="9"/>
      <c r="D46" s="9"/>
      <c r="E46" s="9"/>
      <c r="F46" s="9"/>
      <c r="G46" s="9"/>
      <c r="H46" s="9"/>
      <c r="I46" s="9"/>
    </row>
    <row r="47" spans="1:9" ht="18" customHeight="1" x14ac:dyDescent="0.2">
      <c r="A47" s="9"/>
      <c r="B47" s="9"/>
      <c r="C47" s="9"/>
      <c r="D47" s="9"/>
      <c r="E47" s="9"/>
      <c r="F47" s="9"/>
      <c r="G47" s="9"/>
      <c r="H47" s="9"/>
      <c r="I47" s="9"/>
    </row>
    <row r="48" spans="1:9" ht="18" customHeight="1" x14ac:dyDescent="0.2">
      <c r="A48" s="9"/>
      <c r="B48" s="9"/>
      <c r="C48" s="9"/>
      <c r="D48" s="9"/>
      <c r="E48" s="9"/>
      <c r="F48" s="9"/>
      <c r="G48" s="9"/>
      <c r="H48" s="9"/>
      <c r="I48" s="9"/>
    </row>
    <row r="49" spans="1:9" ht="18" customHeight="1" x14ac:dyDescent="0.2">
      <c r="A49" s="9"/>
      <c r="B49" s="9"/>
      <c r="C49" s="9"/>
      <c r="D49" s="9"/>
      <c r="E49" s="9"/>
      <c r="F49" s="9"/>
      <c r="G49" s="9"/>
      <c r="H49" s="9"/>
      <c r="I49" s="9"/>
    </row>
    <row r="50" spans="1:9" ht="18" customHeight="1" x14ac:dyDescent="0.2">
      <c r="A50" s="9"/>
      <c r="B50" s="9"/>
      <c r="C50" s="9"/>
      <c r="D50" s="9"/>
      <c r="E50" s="9"/>
      <c r="F50" s="9"/>
      <c r="G50" s="9"/>
      <c r="H50" s="9"/>
      <c r="I50" s="9"/>
    </row>
    <row r="51" spans="1:9" ht="18" customHeight="1" x14ac:dyDescent="0.2">
      <c r="A51" s="9"/>
      <c r="B51" s="9"/>
      <c r="C51" s="9"/>
      <c r="D51" s="9"/>
      <c r="E51" s="9"/>
      <c r="F51" s="9"/>
      <c r="G51" s="9"/>
      <c r="H51" s="9"/>
      <c r="I51" s="9"/>
    </row>
    <row r="52" spans="1:9" ht="18" customHeight="1" x14ac:dyDescent="0.2">
      <c r="A52" s="9"/>
      <c r="B52" s="9"/>
      <c r="C52" s="9"/>
      <c r="D52" s="9"/>
      <c r="E52" s="9"/>
      <c r="F52" s="9"/>
      <c r="G52" s="9"/>
      <c r="H52" s="9"/>
      <c r="I52" s="9"/>
    </row>
    <row r="53" spans="1:9" ht="18" customHeight="1" x14ac:dyDescent="0.2">
      <c r="A53" s="9"/>
      <c r="B53" s="9"/>
      <c r="C53" s="9"/>
      <c r="D53" s="9"/>
      <c r="E53" s="9"/>
      <c r="F53" s="9"/>
      <c r="G53" s="9"/>
      <c r="H53" s="9"/>
      <c r="I53" s="9"/>
    </row>
    <row r="54" spans="1:9" ht="18" customHeight="1" x14ac:dyDescent="0.2">
      <c r="A54" s="9"/>
      <c r="B54" s="9"/>
      <c r="C54" s="9"/>
      <c r="D54" s="9"/>
      <c r="E54" s="9"/>
      <c r="F54" s="9"/>
      <c r="G54" s="9"/>
      <c r="H54" s="9"/>
      <c r="I54" s="9"/>
    </row>
    <row r="55" spans="1:9" ht="18" customHeight="1" x14ac:dyDescent="0.2">
      <c r="A55" s="9"/>
      <c r="B55" s="9"/>
      <c r="C55" s="9"/>
      <c r="D55" s="9"/>
      <c r="E55" s="9"/>
      <c r="F55" s="9"/>
      <c r="G55" s="9"/>
      <c r="H55" s="9"/>
      <c r="I55" s="9"/>
    </row>
    <row r="56" spans="1:9" ht="18" customHeight="1" x14ac:dyDescent="0.2">
      <c r="A56" s="9"/>
      <c r="B56" s="9"/>
      <c r="C56" s="9"/>
      <c r="D56" s="9"/>
      <c r="E56" s="9"/>
      <c r="F56" s="9"/>
      <c r="G56" s="9"/>
      <c r="H56" s="9"/>
      <c r="I56" s="9"/>
    </row>
    <row r="57" spans="1:9" ht="18" customHeight="1" x14ac:dyDescent="0.2">
      <c r="A57" s="9"/>
      <c r="B57" s="9"/>
      <c r="C57" s="9"/>
      <c r="D57" s="9"/>
      <c r="E57" s="9"/>
      <c r="F57" s="9"/>
      <c r="G57" s="9"/>
      <c r="H57" s="9"/>
      <c r="I57" s="9"/>
    </row>
    <row r="58" spans="1:9" ht="18" customHeight="1" x14ac:dyDescent="0.2">
      <c r="A58" s="9"/>
      <c r="B58" s="9"/>
      <c r="C58" s="9"/>
      <c r="D58" s="9"/>
      <c r="E58" s="9"/>
      <c r="F58" s="9"/>
      <c r="G58" s="9"/>
      <c r="H58" s="9"/>
      <c r="I58" s="9"/>
    </row>
    <row r="59" spans="1:9" ht="18" customHeight="1" x14ac:dyDescent="0.2">
      <c r="A59" s="9"/>
      <c r="B59" s="9"/>
      <c r="C59" s="9"/>
      <c r="D59" s="9"/>
      <c r="E59" s="9"/>
      <c r="F59" s="9"/>
      <c r="G59" s="9"/>
      <c r="H59" s="9"/>
      <c r="I59" s="9"/>
    </row>
    <row r="60" spans="1:9" ht="18" customHeight="1" x14ac:dyDescent="0.2">
      <c r="A60" s="9"/>
      <c r="B60" s="9"/>
      <c r="C60" s="9"/>
      <c r="D60" s="9"/>
      <c r="E60" s="9"/>
      <c r="F60" s="9"/>
      <c r="G60" s="9"/>
      <c r="H60" s="9"/>
      <c r="I60" s="9"/>
    </row>
    <row r="61" spans="1:9" ht="18" customHeight="1" x14ac:dyDescent="0.2">
      <c r="A61" s="9"/>
      <c r="B61" s="9"/>
      <c r="C61" s="9"/>
      <c r="D61" s="9"/>
      <c r="E61" s="9"/>
      <c r="F61" s="9"/>
      <c r="G61" s="9"/>
      <c r="H61" s="9"/>
      <c r="I61" s="9"/>
    </row>
    <row r="62" spans="1:9" ht="18" customHeight="1" x14ac:dyDescent="0.2">
      <c r="A62" s="9"/>
      <c r="B62" s="9"/>
      <c r="C62" s="9"/>
      <c r="D62" s="9"/>
      <c r="E62" s="9"/>
      <c r="F62" s="9"/>
      <c r="G62" s="9"/>
      <c r="H62" s="9"/>
      <c r="I62" s="9"/>
    </row>
    <row r="63" spans="1:9" ht="18" customHeight="1" x14ac:dyDescent="0.2">
      <c r="A63" s="9"/>
      <c r="B63" s="9"/>
      <c r="C63" s="9"/>
      <c r="D63" s="9"/>
      <c r="E63" s="9"/>
      <c r="F63" s="9"/>
      <c r="G63" s="9"/>
      <c r="H63" s="9"/>
      <c r="I63" s="9"/>
    </row>
    <row r="64" spans="1:9" ht="18" customHeight="1" x14ac:dyDescent="0.2">
      <c r="A64" s="9"/>
      <c r="B64" s="9"/>
      <c r="C64" s="9"/>
      <c r="D64" s="9"/>
      <c r="E64" s="9"/>
      <c r="F64" s="9"/>
      <c r="G64" s="9"/>
      <c r="H64" s="9"/>
      <c r="I64" s="9"/>
    </row>
    <row r="65" spans="1:9" ht="18" customHeight="1" x14ac:dyDescent="0.2">
      <c r="A65" s="9"/>
      <c r="B65" s="9"/>
      <c r="C65" s="9"/>
      <c r="D65" s="9"/>
      <c r="E65" s="9"/>
      <c r="F65" s="9"/>
      <c r="G65" s="9"/>
      <c r="H65" s="9"/>
      <c r="I65" s="9"/>
    </row>
    <row r="66" spans="1:9" ht="18" customHeight="1" x14ac:dyDescent="0.2">
      <c r="A66" s="9"/>
      <c r="B66" s="9"/>
      <c r="C66" s="9"/>
      <c r="D66" s="9"/>
      <c r="E66" s="9"/>
      <c r="F66" s="9"/>
      <c r="G66" s="9"/>
      <c r="H66" s="9"/>
      <c r="I66" s="9"/>
    </row>
    <row r="67" spans="1:9" ht="18" customHeight="1" x14ac:dyDescent="0.2">
      <c r="A67" s="9"/>
      <c r="B67" s="9"/>
      <c r="C67" s="9"/>
      <c r="D67" s="9"/>
      <c r="E67" s="9"/>
      <c r="F67" s="9"/>
      <c r="G67" s="9"/>
      <c r="H67" s="9"/>
      <c r="I67" s="9"/>
    </row>
    <row r="68" spans="1:9" ht="18" customHeight="1" x14ac:dyDescent="0.2">
      <c r="A68" s="9"/>
      <c r="B68" s="9"/>
      <c r="C68" s="9"/>
      <c r="D68" s="9"/>
      <c r="E68" s="9"/>
      <c r="F68" s="9"/>
      <c r="G68" s="9"/>
      <c r="H68" s="9"/>
      <c r="I68" s="9"/>
    </row>
    <row r="69" spans="1:9" ht="18" customHeight="1" x14ac:dyDescent="0.2">
      <c r="A69" s="9"/>
      <c r="B69" s="9"/>
      <c r="C69" s="9"/>
      <c r="D69" s="9"/>
      <c r="E69" s="9"/>
      <c r="F69" s="9"/>
      <c r="G69" s="9"/>
      <c r="H69" s="9"/>
      <c r="I69" s="9"/>
    </row>
    <row r="70" spans="1:9" ht="18" customHeight="1" x14ac:dyDescent="0.2">
      <c r="A70" s="9"/>
      <c r="B70" s="9"/>
      <c r="C70" s="9"/>
      <c r="D70" s="9"/>
      <c r="E70" s="9"/>
      <c r="F70" s="9"/>
      <c r="G70" s="9"/>
      <c r="H70" s="9"/>
      <c r="I70" s="9"/>
    </row>
    <row r="71" spans="1:9" ht="18" customHeight="1" x14ac:dyDescent="0.2">
      <c r="A71" s="9"/>
      <c r="B71" s="9"/>
      <c r="C71" s="9"/>
      <c r="D71" s="9"/>
      <c r="E71" s="9"/>
      <c r="F71" s="9"/>
      <c r="G71" s="9"/>
      <c r="H71" s="9"/>
      <c r="I71" s="9"/>
    </row>
    <row r="72" spans="1:9" ht="18" customHeight="1" x14ac:dyDescent="0.2">
      <c r="A72" s="9"/>
      <c r="B72" s="9"/>
      <c r="C72" s="9"/>
      <c r="D72" s="9"/>
      <c r="E72" s="9"/>
      <c r="F72" s="9"/>
      <c r="G72" s="9"/>
      <c r="H72" s="9"/>
      <c r="I72" s="9"/>
    </row>
    <row r="73" spans="1:9" ht="18" customHeight="1" x14ac:dyDescent="0.2">
      <c r="A73" s="9"/>
      <c r="B73" s="9"/>
      <c r="C73" s="9"/>
      <c r="D73" s="9"/>
      <c r="E73" s="9"/>
      <c r="F73" s="9"/>
      <c r="G73" s="9"/>
      <c r="H73" s="9"/>
      <c r="I73" s="9"/>
    </row>
    <row r="74" spans="1:9" ht="18" customHeight="1" x14ac:dyDescent="0.2">
      <c r="A74" s="9"/>
      <c r="B74" s="9"/>
      <c r="C74" s="9"/>
      <c r="D74" s="9"/>
      <c r="E74" s="9"/>
      <c r="F74" s="9"/>
      <c r="G74" s="9"/>
      <c r="H74" s="9"/>
      <c r="I74" s="9"/>
    </row>
    <row r="75" spans="1:9" ht="18" customHeight="1" x14ac:dyDescent="0.2">
      <c r="A75" s="9"/>
      <c r="B75" s="9"/>
      <c r="C75" s="9"/>
      <c r="D75" s="9"/>
      <c r="E75" s="9"/>
      <c r="F75" s="9"/>
      <c r="G75" s="9"/>
      <c r="H75" s="9"/>
      <c r="I75" s="9"/>
    </row>
    <row r="76" spans="1:9" ht="18" customHeight="1" x14ac:dyDescent="0.2">
      <c r="A76" s="9"/>
      <c r="B76" s="9"/>
      <c r="C76" s="9"/>
      <c r="D76" s="9"/>
      <c r="E76" s="9"/>
      <c r="F76" s="9"/>
      <c r="G76" s="9"/>
      <c r="H76" s="9"/>
      <c r="I76" s="9"/>
    </row>
    <row r="77" spans="1:9" ht="18" customHeight="1" x14ac:dyDescent="0.2">
      <c r="A77" s="9"/>
      <c r="B77" s="9"/>
      <c r="C77" s="9"/>
      <c r="D77" s="9"/>
      <c r="E77" s="9"/>
      <c r="F77" s="9"/>
      <c r="G77" s="9"/>
      <c r="H77" s="9"/>
      <c r="I77" s="9"/>
    </row>
    <row r="78" spans="1:9" ht="18" customHeight="1" x14ac:dyDescent="0.2">
      <c r="A78" s="9"/>
      <c r="B78" s="9"/>
      <c r="C78" s="9"/>
      <c r="D78" s="9"/>
      <c r="E78" s="9"/>
      <c r="F78" s="9"/>
      <c r="G78" s="9"/>
      <c r="H78" s="9"/>
      <c r="I78" s="9"/>
    </row>
    <row r="79" spans="1:9" ht="18" customHeight="1" x14ac:dyDescent="0.2">
      <c r="A79" s="9"/>
      <c r="B79" s="9"/>
      <c r="C79" s="9"/>
      <c r="D79" s="9"/>
      <c r="E79" s="9"/>
      <c r="F79" s="9"/>
      <c r="G79" s="9"/>
      <c r="H79" s="9"/>
      <c r="I79" s="9"/>
    </row>
    <row r="80" spans="1:9" ht="18" customHeight="1" x14ac:dyDescent="0.2">
      <c r="A80" s="9"/>
      <c r="B80" s="9"/>
      <c r="C80" s="9"/>
      <c r="D80" s="9"/>
      <c r="E80" s="9"/>
      <c r="F80" s="9"/>
      <c r="G80" s="9"/>
      <c r="H80" s="9"/>
      <c r="I80" s="9"/>
    </row>
  </sheetData>
  <mergeCells count="1"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61"/>
  <sheetViews>
    <sheetView workbookViewId="0"/>
  </sheetViews>
  <sheetFormatPr baseColWidth="10" defaultColWidth="9" defaultRowHeight="12.75" x14ac:dyDescent="0.2"/>
  <cols>
    <col min="1" max="2" width="18" customWidth="1"/>
    <col min="3" max="3" width="42" customWidth="1"/>
  </cols>
  <sheetData>
    <row r="1" spans="1:3" ht="18" customHeight="1" x14ac:dyDescent="0.2">
      <c r="A1" s="54" t="s">
        <v>15</v>
      </c>
      <c r="B1" s="54" t="s">
        <v>2906</v>
      </c>
      <c r="C1" s="54" t="s">
        <v>2907</v>
      </c>
    </row>
    <row r="2" spans="1:3" ht="18" customHeight="1" x14ac:dyDescent="0.2">
      <c r="A2" t="s">
        <v>25</v>
      </c>
      <c r="B2" t="s">
        <v>2908</v>
      </c>
      <c r="C2" t="s">
        <v>2909</v>
      </c>
    </row>
    <row r="3" spans="1:3" ht="18" customHeight="1" x14ac:dyDescent="0.2">
      <c r="A3" t="s">
        <v>39</v>
      </c>
      <c r="B3" t="s">
        <v>2908</v>
      </c>
      <c r="C3" t="s">
        <v>2909</v>
      </c>
    </row>
    <row r="4" spans="1:3" ht="18" customHeight="1" x14ac:dyDescent="0.2">
      <c r="A4" t="s">
        <v>32</v>
      </c>
      <c r="B4" t="s">
        <v>2908</v>
      </c>
      <c r="C4" t="s">
        <v>2909</v>
      </c>
    </row>
    <row r="5" spans="1:3" ht="18" customHeight="1" x14ac:dyDescent="0.2">
      <c r="A5" t="s">
        <v>45</v>
      </c>
      <c r="B5" t="s">
        <v>2908</v>
      </c>
      <c r="C5" t="s">
        <v>2909</v>
      </c>
    </row>
    <row r="6" spans="1:3" ht="18" customHeight="1" x14ac:dyDescent="0.2">
      <c r="A6" t="s">
        <v>52</v>
      </c>
      <c r="B6" t="s">
        <v>2908</v>
      </c>
      <c r="C6" t="s">
        <v>2909</v>
      </c>
    </row>
    <row r="7" spans="1:3" ht="18" customHeight="1" x14ac:dyDescent="0.2">
      <c r="A7" t="s">
        <v>59</v>
      </c>
      <c r="B7" t="s">
        <v>2908</v>
      </c>
      <c r="C7" t="s">
        <v>2909</v>
      </c>
    </row>
    <row r="8" spans="1:3" ht="18" customHeight="1" x14ac:dyDescent="0.2">
      <c r="A8" t="s">
        <v>65</v>
      </c>
      <c r="B8" t="s">
        <v>2908</v>
      </c>
      <c r="C8" t="s">
        <v>2909</v>
      </c>
    </row>
    <row r="9" spans="1:3" ht="18" customHeight="1" x14ac:dyDescent="0.2">
      <c r="A9" t="s">
        <v>78</v>
      </c>
      <c r="B9" t="s">
        <v>2908</v>
      </c>
      <c r="C9" t="s">
        <v>2909</v>
      </c>
    </row>
    <row r="10" spans="1:3" ht="18" customHeight="1" x14ac:dyDescent="0.2">
      <c r="A10" t="s">
        <v>84</v>
      </c>
      <c r="B10" t="s">
        <v>2908</v>
      </c>
      <c r="C10" t="s">
        <v>2909</v>
      </c>
    </row>
    <row r="11" spans="1:3" ht="18" customHeight="1" x14ac:dyDescent="0.2">
      <c r="A11" t="s">
        <v>89</v>
      </c>
      <c r="B11" t="s">
        <v>2908</v>
      </c>
      <c r="C11" t="s">
        <v>2909</v>
      </c>
    </row>
    <row r="12" spans="1:3" ht="18" customHeight="1" x14ac:dyDescent="0.2">
      <c r="A12" t="s">
        <v>94</v>
      </c>
      <c r="B12" t="s">
        <v>2908</v>
      </c>
      <c r="C12" t="s">
        <v>2909</v>
      </c>
    </row>
    <row r="13" spans="1:3" ht="18" customHeight="1" x14ac:dyDescent="0.2">
      <c r="A13" t="s">
        <v>118</v>
      </c>
      <c r="B13" t="s">
        <v>2908</v>
      </c>
      <c r="C13" t="s">
        <v>2909</v>
      </c>
    </row>
    <row r="14" spans="1:3" ht="18" customHeight="1" x14ac:dyDescent="0.2">
      <c r="A14" t="s">
        <v>147</v>
      </c>
      <c r="B14" t="s">
        <v>2908</v>
      </c>
      <c r="C14" t="s">
        <v>2909</v>
      </c>
    </row>
    <row r="15" spans="1:3" ht="18" customHeight="1" x14ac:dyDescent="0.2">
      <c r="A15" t="s">
        <v>161</v>
      </c>
      <c r="B15" t="s">
        <v>2908</v>
      </c>
      <c r="C15" t="s">
        <v>2909</v>
      </c>
    </row>
    <row r="16" spans="1:3" ht="18" customHeight="1" x14ac:dyDescent="0.2">
      <c r="A16" t="s">
        <v>175</v>
      </c>
      <c r="B16" t="s">
        <v>2908</v>
      </c>
      <c r="C16" t="s">
        <v>2909</v>
      </c>
    </row>
    <row r="17" spans="1:3" ht="18" customHeight="1" x14ac:dyDescent="0.2">
      <c r="A17" t="s">
        <v>180</v>
      </c>
      <c r="B17" t="s">
        <v>2908</v>
      </c>
      <c r="C17" t="s">
        <v>2909</v>
      </c>
    </row>
    <row r="18" spans="1:3" ht="18" customHeight="1" x14ac:dyDescent="0.2">
      <c r="A18" t="s">
        <v>195</v>
      </c>
      <c r="B18" t="s">
        <v>2908</v>
      </c>
      <c r="C18" t="s">
        <v>2909</v>
      </c>
    </row>
    <row r="19" spans="1:3" ht="18" customHeight="1" x14ac:dyDescent="0.2">
      <c r="A19" t="s">
        <v>200</v>
      </c>
      <c r="B19" t="s">
        <v>2908</v>
      </c>
      <c r="C19" t="s">
        <v>2909</v>
      </c>
    </row>
    <row r="20" spans="1:3" ht="18" customHeight="1" x14ac:dyDescent="0.2">
      <c r="A20" t="s">
        <v>205</v>
      </c>
      <c r="B20" t="s">
        <v>2908</v>
      </c>
      <c r="C20" t="s">
        <v>2909</v>
      </c>
    </row>
    <row r="21" spans="1:3" ht="18" customHeight="1" x14ac:dyDescent="0.2">
      <c r="A21" t="s">
        <v>223</v>
      </c>
      <c r="B21" t="s">
        <v>2908</v>
      </c>
      <c r="C21" t="s">
        <v>2909</v>
      </c>
    </row>
    <row r="22" spans="1:3" ht="18" customHeight="1" x14ac:dyDescent="0.2">
      <c r="A22" t="s">
        <v>236</v>
      </c>
      <c r="B22" t="s">
        <v>2908</v>
      </c>
      <c r="C22" t="s">
        <v>2909</v>
      </c>
    </row>
    <row r="23" spans="1:3" ht="18" customHeight="1" x14ac:dyDescent="0.2">
      <c r="A23" t="s">
        <v>246</v>
      </c>
      <c r="B23" t="s">
        <v>2908</v>
      </c>
      <c r="C23" t="s">
        <v>2909</v>
      </c>
    </row>
    <row r="24" spans="1:3" ht="18" customHeight="1" x14ac:dyDescent="0.2">
      <c r="A24" t="s">
        <v>251</v>
      </c>
      <c r="B24" t="s">
        <v>2908</v>
      </c>
      <c r="C24" t="s">
        <v>2909</v>
      </c>
    </row>
    <row r="25" spans="1:3" ht="18" customHeight="1" x14ac:dyDescent="0.2">
      <c r="A25" t="s">
        <v>257</v>
      </c>
      <c r="B25" t="s">
        <v>2908</v>
      </c>
      <c r="C25" t="s">
        <v>2909</v>
      </c>
    </row>
    <row r="26" spans="1:3" ht="18" customHeight="1" x14ac:dyDescent="0.2">
      <c r="A26" t="s">
        <v>268</v>
      </c>
      <c r="B26" t="s">
        <v>2908</v>
      </c>
      <c r="C26" t="s">
        <v>2909</v>
      </c>
    </row>
    <row r="27" spans="1:3" ht="18" customHeight="1" x14ac:dyDescent="0.2">
      <c r="A27" t="s">
        <v>273</v>
      </c>
      <c r="B27" t="s">
        <v>2908</v>
      </c>
      <c r="C27" t="s">
        <v>2909</v>
      </c>
    </row>
    <row r="28" spans="1:3" ht="18" customHeight="1" x14ac:dyDescent="0.2">
      <c r="A28" t="s">
        <v>283</v>
      </c>
      <c r="B28" t="s">
        <v>2908</v>
      </c>
      <c r="C28" t="s">
        <v>2909</v>
      </c>
    </row>
    <row r="29" spans="1:3" ht="18" customHeight="1" x14ac:dyDescent="0.2">
      <c r="A29" t="s">
        <v>288</v>
      </c>
      <c r="B29" t="s">
        <v>2908</v>
      </c>
      <c r="C29" t="s">
        <v>2909</v>
      </c>
    </row>
    <row r="30" spans="1:3" ht="18" customHeight="1" x14ac:dyDescent="0.2">
      <c r="A30" t="s">
        <v>301</v>
      </c>
      <c r="B30" t="s">
        <v>2908</v>
      </c>
      <c r="C30" t="s">
        <v>2909</v>
      </c>
    </row>
    <row r="31" spans="1:3" ht="18" customHeight="1" x14ac:dyDescent="0.2">
      <c r="A31" t="s">
        <v>314</v>
      </c>
      <c r="B31" t="s">
        <v>2908</v>
      </c>
      <c r="C31" t="s">
        <v>2909</v>
      </c>
    </row>
    <row r="32" spans="1:3" ht="18" customHeight="1" x14ac:dyDescent="0.2">
      <c r="A32" t="s">
        <v>320</v>
      </c>
      <c r="B32" t="s">
        <v>2908</v>
      </c>
      <c r="C32" t="s">
        <v>2909</v>
      </c>
    </row>
    <row r="33" spans="1:3" ht="18" customHeight="1" x14ac:dyDescent="0.2">
      <c r="A33" t="s">
        <v>325</v>
      </c>
      <c r="B33" t="s">
        <v>2908</v>
      </c>
      <c r="C33" t="s">
        <v>2909</v>
      </c>
    </row>
    <row r="34" spans="1:3" ht="18" customHeight="1" x14ac:dyDescent="0.2">
      <c r="A34" t="s">
        <v>332</v>
      </c>
      <c r="B34" t="s">
        <v>2908</v>
      </c>
      <c r="C34" t="s">
        <v>2909</v>
      </c>
    </row>
    <row r="35" spans="1:3" ht="18" customHeight="1" x14ac:dyDescent="0.2">
      <c r="A35" t="s">
        <v>338</v>
      </c>
      <c r="B35" t="s">
        <v>2908</v>
      </c>
      <c r="C35" t="s">
        <v>2909</v>
      </c>
    </row>
    <row r="36" spans="1:3" ht="18" customHeight="1" x14ac:dyDescent="0.2">
      <c r="A36" t="s">
        <v>350</v>
      </c>
      <c r="B36" t="s">
        <v>2908</v>
      </c>
      <c r="C36" t="s">
        <v>2909</v>
      </c>
    </row>
    <row r="37" spans="1:3" ht="18" customHeight="1" x14ac:dyDescent="0.2">
      <c r="A37" t="s">
        <v>357</v>
      </c>
      <c r="B37" t="s">
        <v>2908</v>
      </c>
      <c r="C37" t="s">
        <v>2909</v>
      </c>
    </row>
    <row r="38" spans="1:3" ht="18" customHeight="1" x14ac:dyDescent="0.2">
      <c r="A38" t="s">
        <v>366</v>
      </c>
      <c r="B38" t="s">
        <v>2908</v>
      </c>
      <c r="C38" t="s">
        <v>2909</v>
      </c>
    </row>
    <row r="39" spans="1:3" ht="18" customHeight="1" x14ac:dyDescent="0.2">
      <c r="A39" t="s">
        <v>373</v>
      </c>
      <c r="B39" t="s">
        <v>2908</v>
      </c>
      <c r="C39" t="s">
        <v>2909</v>
      </c>
    </row>
    <row r="40" spans="1:3" ht="18" customHeight="1" x14ac:dyDescent="0.2">
      <c r="A40" t="s">
        <v>378</v>
      </c>
      <c r="B40" t="s">
        <v>2908</v>
      </c>
      <c r="C40" t="s">
        <v>2909</v>
      </c>
    </row>
    <row r="41" spans="1:3" ht="18" customHeight="1" x14ac:dyDescent="0.2">
      <c r="A41" t="s">
        <v>384</v>
      </c>
      <c r="B41" t="s">
        <v>2908</v>
      </c>
      <c r="C41" t="s">
        <v>2909</v>
      </c>
    </row>
    <row r="42" spans="1:3" ht="18" customHeight="1" x14ac:dyDescent="0.2">
      <c r="A42" t="s">
        <v>392</v>
      </c>
      <c r="B42" t="s">
        <v>2908</v>
      </c>
      <c r="C42" t="s">
        <v>2909</v>
      </c>
    </row>
    <row r="43" spans="1:3" ht="18" customHeight="1" x14ac:dyDescent="0.2">
      <c r="A43" t="s">
        <v>397</v>
      </c>
      <c r="B43" t="s">
        <v>2908</v>
      </c>
      <c r="C43" t="s">
        <v>2909</v>
      </c>
    </row>
    <row r="44" spans="1:3" ht="18" customHeight="1" x14ac:dyDescent="0.2">
      <c r="A44" t="s">
        <v>402</v>
      </c>
      <c r="B44" t="s">
        <v>2908</v>
      </c>
      <c r="C44" t="s">
        <v>2909</v>
      </c>
    </row>
    <row r="45" spans="1:3" ht="18" customHeight="1" x14ac:dyDescent="0.2">
      <c r="A45" t="s">
        <v>431</v>
      </c>
      <c r="B45" t="s">
        <v>2908</v>
      </c>
      <c r="C45" t="s">
        <v>2909</v>
      </c>
    </row>
    <row r="46" spans="1:3" ht="18" customHeight="1" x14ac:dyDescent="0.2">
      <c r="A46" t="s">
        <v>435</v>
      </c>
      <c r="B46" t="s">
        <v>2908</v>
      </c>
      <c r="C46" t="s">
        <v>2909</v>
      </c>
    </row>
    <row r="47" spans="1:3" ht="18" customHeight="1" x14ac:dyDescent="0.2">
      <c r="A47" t="s">
        <v>441</v>
      </c>
      <c r="B47" t="s">
        <v>2908</v>
      </c>
      <c r="C47" t="s">
        <v>2909</v>
      </c>
    </row>
    <row r="48" spans="1:3" ht="18" customHeight="1" x14ac:dyDescent="0.2">
      <c r="A48" t="s">
        <v>447</v>
      </c>
      <c r="B48" t="s">
        <v>2908</v>
      </c>
      <c r="C48" t="s">
        <v>2909</v>
      </c>
    </row>
    <row r="49" spans="1:3" ht="18" customHeight="1" x14ac:dyDescent="0.2">
      <c r="A49" t="s">
        <v>452</v>
      </c>
      <c r="B49" t="s">
        <v>2908</v>
      </c>
      <c r="C49" t="s">
        <v>2909</v>
      </c>
    </row>
    <row r="50" spans="1:3" ht="18" customHeight="1" x14ac:dyDescent="0.2">
      <c r="A50" t="s">
        <v>457</v>
      </c>
      <c r="B50" t="s">
        <v>2908</v>
      </c>
      <c r="C50" t="s">
        <v>2909</v>
      </c>
    </row>
    <row r="51" spans="1:3" ht="18" customHeight="1" x14ac:dyDescent="0.2">
      <c r="A51" t="s">
        <v>463</v>
      </c>
      <c r="B51" t="s">
        <v>2908</v>
      </c>
      <c r="C51" t="s">
        <v>2909</v>
      </c>
    </row>
    <row r="52" spans="1:3" ht="18" customHeight="1" x14ac:dyDescent="0.2">
      <c r="A52" t="s">
        <v>471</v>
      </c>
      <c r="B52" t="s">
        <v>2908</v>
      </c>
      <c r="C52" t="s">
        <v>2909</v>
      </c>
    </row>
    <row r="53" spans="1:3" ht="18" customHeight="1" x14ac:dyDescent="0.2">
      <c r="A53" t="s">
        <v>476</v>
      </c>
      <c r="B53" t="s">
        <v>2908</v>
      </c>
      <c r="C53" t="s">
        <v>2909</v>
      </c>
    </row>
    <row r="54" spans="1:3" ht="18" customHeight="1" x14ac:dyDescent="0.2">
      <c r="A54" t="s">
        <v>486</v>
      </c>
      <c r="B54" t="s">
        <v>2908</v>
      </c>
      <c r="C54" t="s">
        <v>2909</v>
      </c>
    </row>
    <row r="55" spans="1:3" ht="18" customHeight="1" x14ac:dyDescent="0.2">
      <c r="A55" t="s">
        <v>491</v>
      </c>
      <c r="B55" t="s">
        <v>2908</v>
      </c>
      <c r="C55" t="s">
        <v>2909</v>
      </c>
    </row>
    <row r="56" spans="1:3" ht="18" customHeight="1" x14ac:dyDescent="0.2">
      <c r="A56" t="s">
        <v>496</v>
      </c>
      <c r="B56" t="s">
        <v>2908</v>
      </c>
      <c r="C56" t="s">
        <v>2909</v>
      </c>
    </row>
    <row r="57" spans="1:3" ht="18" customHeight="1" x14ac:dyDescent="0.2">
      <c r="A57" t="s">
        <v>501</v>
      </c>
      <c r="B57" t="s">
        <v>2908</v>
      </c>
      <c r="C57" t="s">
        <v>2909</v>
      </c>
    </row>
    <row r="58" spans="1:3" ht="18" customHeight="1" x14ac:dyDescent="0.2">
      <c r="A58" t="s">
        <v>504</v>
      </c>
      <c r="B58" t="s">
        <v>2908</v>
      </c>
      <c r="C58" t="s">
        <v>2909</v>
      </c>
    </row>
    <row r="59" spans="1:3" ht="18" customHeight="1" x14ac:dyDescent="0.2">
      <c r="A59" t="s">
        <v>511</v>
      </c>
      <c r="B59" t="s">
        <v>2908</v>
      </c>
      <c r="C59" t="s">
        <v>2909</v>
      </c>
    </row>
    <row r="60" spans="1:3" ht="18" customHeight="1" x14ac:dyDescent="0.2">
      <c r="A60" t="s">
        <v>517</v>
      </c>
      <c r="B60" t="s">
        <v>2908</v>
      </c>
      <c r="C60" t="s">
        <v>2909</v>
      </c>
    </row>
    <row r="61" spans="1:3" ht="18" customHeight="1" x14ac:dyDescent="0.2">
      <c r="A61" t="s">
        <v>526</v>
      </c>
      <c r="B61" t="s">
        <v>2908</v>
      </c>
      <c r="C61" t="s">
        <v>2909</v>
      </c>
    </row>
    <row r="62" spans="1:3" ht="18" customHeight="1" x14ac:dyDescent="0.2">
      <c r="A62" t="s">
        <v>531</v>
      </c>
      <c r="B62" t="s">
        <v>2908</v>
      </c>
      <c r="C62" t="s">
        <v>2909</v>
      </c>
    </row>
    <row r="63" spans="1:3" ht="18" customHeight="1" x14ac:dyDescent="0.2">
      <c r="A63" t="s">
        <v>535</v>
      </c>
      <c r="B63" t="s">
        <v>2908</v>
      </c>
      <c r="C63" t="s">
        <v>2909</v>
      </c>
    </row>
    <row r="64" spans="1:3" ht="18" customHeight="1" x14ac:dyDescent="0.2">
      <c r="A64" t="s">
        <v>544</v>
      </c>
      <c r="B64" t="s">
        <v>2908</v>
      </c>
      <c r="C64" t="s">
        <v>2909</v>
      </c>
    </row>
    <row r="65" spans="1:3" ht="18" customHeight="1" x14ac:dyDescent="0.2">
      <c r="A65" t="s">
        <v>547</v>
      </c>
      <c r="B65" t="s">
        <v>2908</v>
      </c>
      <c r="C65" t="s">
        <v>2909</v>
      </c>
    </row>
    <row r="66" spans="1:3" ht="18" customHeight="1" x14ac:dyDescent="0.2">
      <c r="A66" t="s">
        <v>552</v>
      </c>
      <c r="B66" t="s">
        <v>2908</v>
      </c>
      <c r="C66" t="s">
        <v>2909</v>
      </c>
    </row>
    <row r="67" spans="1:3" ht="18" customHeight="1" x14ac:dyDescent="0.2">
      <c r="A67" t="s">
        <v>560</v>
      </c>
      <c r="B67" t="s">
        <v>2908</v>
      </c>
      <c r="C67" t="s">
        <v>2909</v>
      </c>
    </row>
    <row r="68" spans="1:3" ht="18" customHeight="1" x14ac:dyDescent="0.2">
      <c r="A68" t="s">
        <v>564</v>
      </c>
      <c r="B68" t="s">
        <v>2908</v>
      </c>
      <c r="C68" t="s">
        <v>2909</v>
      </c>
    </row>
    <row r="69" spans="1:3" ht="18" customHeight="1" x14ac:dyDescent="0.2">
      <c r="A69" t="s">
        <v>567</v>
      </c>
      <c r="B69" t="s">
        <v>2908</v>
      </c>
      <c r="C69" t="s">
        <v>2909</v>
      </c>
    </row>
    <row r="70" spans="1:3" ht="18" customHeight="1" x14ac:dyDescent="0.2">
      <c r="A70" t="s">
        <v>572</v>
      </c>
      <c r="B70" t="s">
        <v>2908</v>
      </c>
      <c r="C70" t="s">
        <v>2909</v>
      </c>
    </row>
    <row r="71" spans="1:3" ht="18" customHeight="1" x14ac:dyDescent="0.2">
      <c r="A71" t="s">
        <v>575</v>
      </c>
      <c r="B71" t="s">
        <v>2908</v>
      </c>
      <c r="C71" t="s">
        <v>2909</v>
      </c>
    </row>
    <row r="72" spans="1:3" ht="18" customHeight="1" x14ac:dyDescent="0.2">
      <c r="A72" t="s">
        <v>579</v>
      </c>
      <c r="B72" t="s">
        <v>2908</v>
      </c>
      <c r="C72" t="s">
        <v>2909</v>
      </c>
    </row>
    <row r="73" spans="1:3" ht="18" customHeight="1" x14ac:dyDescent="0.2">
      <c r="A73" t="s">
        <v>583</v>
      </c>
      <c r="B73" t="s">
        <v>2908</v>
      </c>
      <c r="C73" t="s">
        <v>2909</v>
      </c>
    </row>
    <row r="74" spans="1:3" ht="18" customHeight="1" x14ac:dyDescent="0.2">
      <c r="A74" t="s">
        <v>586</v>
      </c>
      <c r="B74" t="s">
        <v>2908</v>
      </c>
      <c r="C74" t="s">
        <v>2909</v>
      </c>
    </row>
    <row r="75" spans="1:3" ht="18" customHeight="1" x14ac:dyDescent="0.2">
      <c r="A75" t="s">
        <v>592</v>
      </c>
      <c r="B75" t="s">
        <v>2908</v>
      </c>
      <c r="C75" t="s">
        <v>2909</v>
      </c>
    </row>
    <row r="76" spans="1:3" ht="18" customHeight="1" x14ac:dyDescent="0.2">
      <c r="A76" t="s">
        <v>596</v>
      </c>
      <c r="B76" t="s">
        <v>2908</v>
      </c>
      <c r="C76" t="s">
        <v>2909</v>
      </c>
    </row>
    <row r="77" spans="1:3" ht="18" customHeight="1" x14ac:dyDescent="0.2">
      <c r="A77" t="s">
        <v>599</v>
      </c>
      <c r="B77" t="s">
        <v>2908</v>
      </c>
      <c r="C77" t="s">
        <v>2909</v>
      </c>
    </row>
    <row r="78" spans="1:3" ht="18" customHeight="1" x14ac:dyDescent="0.2">
      <c r="A78" t="s">
        <v>603</v>
      </c>
      <c r="B78" t="s">
        <v>2908</v>
      </c>
      <c r="C78" t="s">
        <v>2909</v>
      </c>
    </row>
    <row r="79" spans="1:3" ht="18" customHeight="1" x14ac:dyDescent="0.2">
      <c r="A79" t="s">
        <v>608</v>
      </c>
      <c r="B79" t="s">
        <v>2908</v>
      </c>
      <c r="C79" t="s">
        <v>2909</v>
      </c>
    </row>
    <row r="80" spans="1:3" ht="18" customHeight="1" x14ac:dyDescent="0.2">
      <c r="A80" t="s">
        <v>619</v>
      </c>
      <c r="B80" t="s">
        <v>2908</v>
      </c>
      <c r="C80" t="s">
        <v>2909</v>
      </c>
    </row>
    <row r="81" spans="1:3" ht="18" customHeight="1" x14ac:dyDescent="0.2">
      <c r="A81" t="s">
        <v>625</v>
      </c>
      <c r="B81" t="s">
        <v>2908</v>
      </c>
      <c r="C81" t="s">
        <v>2909</v>
      </c>
    </row>
    <row r="82" spans="1:3" ht="18" customHeight="1" x14ac:dyDescent="0.2">
      <c r="A82" t="s">
        <v>644</v>
      </c>
      <c r="B82" t="s">
        <v>2908</v>
      </c>
      <c r="C82" t="s">
        <v>2909</v>
      </c>
    </row>
    <row r="83" spans="1:3" ht="18" customHeight="1" x14ac:dyDescent="0.2">
      <c r="A83" t="s">
        <v>650</v>
      </c>
      <c r="B83" t="s">
        <v>2908</v>
      </c>
      <c r="C83" t="s">
        <v>2909</v>
      </c>
    </row>
    <row r="84" spans="1:3" ht="18" customHeight="1" x14ac:dyDescent="0.2">
      <c r="A84" t="s">
        <v>664</v>
      </c>
      <c r="B84" t="s">
        <v>2908</v>
      </c>
      <c r="C84" t="s">
        <v>2909</v>
      </c>
    </row>
    <row r="85" spans="1:3" ht="18" customHeight="1" x14ac:dyDescent="0.2">
      <c r="A85" t="s">
        <v>669</v>
      </c>
      <c r="B85" t="s">
        <v>2908</v>
      </c>
      <c r="C85" t="s">
        <v>2909</v>
      </c>
    </row>
    <row r="86" spans="1:3" ht="18" customHeight="1" x14ac:dyDescent="0.2">
      <c r="A86" t="s">
        <v>674</v>
      </c>
      <c r="B86" t="s">
        <v>2908</v>
      </c>
      <c r="C86" t="s">
        <v>2909</v>
      </c>
    </row>
    <row r="87" spans="1:3" ht="18" customHeight="1" x14ac:dyDescent="0.2">
      <c r="A87" t="s">
        <v>680</v>
      </c>
      <c r="B87" t="s">
        <v>2908</v>
      </c>
      <c r="C87" t="s">
        <v>2909</v>
      </c>
    </row>
    <row r="88" spans="1:3" ht="18" customHeight="1" x14ac:dyDescent="0.2">
      <c r="A88" t="s">
        <v>693</v>
      </c>
      <c r="B88" t="s">
        <v>2908</v>
      </c>
      <c r="C88" t="s">
        <v>2909</v>
      </c>
    </row>
    <row r="89" spans="1:3" ht="18" customHeight="1" x14ac:dyDescent="0.2">
      <c r="A89" t="s">
        <v>697</v>
      </c>
      <c r="B89" t="s">
        <v>2908</v>
      </c>
      <c r="C89" t="s">
        <v>2909</v>
      </c>
    </row>
    <row r="90" spans="1:3" ht="18" customHeight="1" x14ac:dyDescent="0.2">
      <c r="A90" t="s">
        <v>714</v>
      </c>
      <c r="B90" t="s">
        <v>2908</v>
      </c>
      <c r="C90" t="s">
        <v>2909</v>
      </c>
    </row>
    <row r="91" spans="1:3" ht="18" customHeight="1" x14ac:dyDescent="0.2">
      <c r="A91" t="s">
        <v>718</v>
      </c>
      <c r="B91" t="s">
        <v>2908</v>
      </c>
      <c r="C91" t="s">
        <v>2909</v>
      </c>
    </row>
    <row r="92" spans="1:3" ht="18" customHeight="1" x14ac:dyDescent="0.2">
      <c r="A92" t="s">
        <v>723</v>
      </c>
      <c r="B92" t="s">
        <v>2908</v>
      </c>
      <c r="C92" t="s">
        <v>2909</v>
      </c>
    </row>
    <row r="93" spans="1:3" ht="18" customHeight="1" x14ac:dyDescent="0.2">
      <c r="A93" t="s">
        <v>742</v>
      </c>
      <c r="B93" t="s">
        <v>2908</v>
      </c>
      <c r="C93" t="s">
        <v>2909</v>
      </c>
    </row>
    <row r="94" spans="1:3" ht="18" customHeight="1" x14ac:dyDescent="0.2">
      <c r="A94" t="s">
        <v>747</v>
      </c>
      <c r="B94" t="s">
        <v>2908</v>
      </c>
      <c r="C94" t="s">
        <v>2909</v>
      </c>
    </row>
    <row r="95" spans="1:3" ht="18" customHeight="1" x14ac:dyDescent="0.2">
      <c r="A95" t="s">
        <v>751</v>
      </c>
      <c r="B95" t="s">
        <v>2908</v>
      </c>
      <c r="C95" t="s">
        <v>2909</v>
      </c>
    </row>
    <row r="96" spans="1:3" ht="18" customHeight="1" x14ac:dyDescent="0.2">
      <c r="A96" t="s">
        <v>760</v>
      </c>
      <c r="B96" t="s">
        <v>2908</v>
      </c>
      <c r="C96" t="s">
        <v>2909</v>
      </c>
    </row>
    <row r="97" spans="1:3" ht="18" customHeight="1" x14ac:dyDescent="0.2">
      <c r="A97" t="s">
        <v>764</v>
      </c>
      <c r="B97" t="s">
        <v>2908</v>
      </c>
      <c r="C97" t="s">
        <v>2909</v>
      </c>
    </row>
    <row r="98" spans="1:3" ht="18" customHeight="1" x14ac:dyDescent="0.2">
      <c r="A98" t="s">
        <v>768</v>
      </c>
      <c r="B98" t="s">
        <v>2908</v>
      </c>
      <c r="C98" t="s">
        <v>2909</v>
      </c>
    </row>
    <row r="99" spans="1:3" ht="18" customHeight="1" x14ac:dyDescent="0.2">
      <c r="A99" t="s">
        <v>773</v>
      </c>
      <c r="B99" t="s">
        <v>2908</v>
      </c>
      <c r="C99" t="s">
        <v>2909</v>
      </c>
    </row>
    <row r="100" spans="1:3" ht="18" customHeight="1" x14ac:dyDescent="0.2">
      <c r="A100" t="s">
        <v>787</v>
      </c>
      <c r="B100" t="s">
        <v>2908</v>
      </c>
      <c r="C100" t="s">
        <v>2909</v>
      </c>
    </row>
    <row r="101" spans="1:3" ht="18" customHeight="1" x14ac:dyDescent="0.2">
      <c r="A101" t="s">
        <v>791</v>
      </c>
      <c r="B101" t="s">
        <v>2908</v>
      </c>
      <c r="C101" t="s">
        <v>2909</v>
      </c>
    </row>
    <row r="102" spans="1:3" ht="18" customHeight="1" x14ac:dyDescent="0.2">
      <c r="A102" t="s">
        <v>802</v>
      </c>
      <c r="B102" t="s">
        <v>2908</v>
      </c>
      <c r="C102" t="s">
        <v>2909</v>
      </c>
    </row>
    <row r="103" spans="1:3" ht="18" customHeight="1" x14ac:dyDescent="0.2">
      <c r="A103" t="s">
        <v>806</v>
      </c>
      <c r="B103" t="s">
        <v>2908</v>
      </c>
      <c r="C103" t="s">
        <v>2909</v>
      </c>
    </row>
    <row r="104" spans="1:3" ht="18" customHeight="1" x14ac:dyDescent="0.2">
      <c r="A104" t="s">
        <v>814</v>
      </c>
      <c r="B104" t="s">
        <v>2908</v>
      </c>
      <c r="C104" t="s">
        <v>2909</v>
      </c>
    </row>
    <row r="105" spans="1:3" ht="18" customHeight="1" x14ac:dyDescent="0.2">
      <c r="A105" t="s">
        <v>843</v>
      </c>
      <c r="B105" t="s">
        <v>2908</v>
      </c>
      <c r="C105" t="s">
        <v>2909</v>
      </c>
    </row>
    <row r="106" spans="1:3" ht="18" customHeight="1" x14ac:dyDescent="0.2">
      <c r="A106" t="s">
        <v>851</v>
      </c>
      <c r="B106" t="s">
        <v>2908</v>
      </c>
      <c r="C106" t="s">
        <v>2909</v>
      </c>
    </row>
    <row r="107" spans="1:3" ht="18" customHeight="1" x14ac:dyDescent="0.2">
      <c r="A107" t="s">
        <v>858</v>
      </c>
      <c r="B107" t="s">
        <v>2908</v>
      </c>
      <c r="C107" t="s">
        <v>2909</v>
      </c>
    </row>
    <row r="108" spans="1:3" ht="18" customHeight="1" x14ac:dyDescent="0.2">
      <c r="A108" t="s">
        <v>870</v>
      </c>
      <c r="B108" t="s">
        <v>2908</v>
      </c>
      <c r="C108" t="s">
        <v>2909</v>
      </c>
    </row>
    <row r="109" spans="1:3" ht="18" customHeight="1" x14ac:dyDescent="0.2">
      <c r="A109" t="s">
        <v>875</v>
      </c>
      <c r="B109" t="s">
        <v>2908</v>
      </c>
      <c r="C109" t="s">
        <v>2909</v>
      </c>
    </row>
    <row r="110" spans="1:3" ht="18" customHeight="1" x14ac:dyDescent="0.2">
      <c r="A110" t="s">
        <v>885</v>
      </c>
      <c r="B110" t="s">
        <v>2908</v>
      </c>
      <c r="C110" t="s">
        <v>2909</v>
      </c>
    </row>
    <row r="111" spans="1:3" ht="18" customHeight="1" x14ac:dyDescent="0.2">
      <c r="A111" t="s">
        <v>891</v>
      </c>
      <c r="B111" t="s">
        <v>2908</v>
      </c>
      <c r="C111" t="s">
        <v>2909</v>
      </c>
    </row>
    <row r="112" spans="1:3" ht="18" customHeight="1" x14ac:dyDescent="0.2">
      <c r="A112" t="s">
        <v>897</v>
      </c>
      <c r="B112" t="s">
        <v>2908</v>
      </c>
      <c r="C112" t="s">
        <v>2909</v>
      </c>
    </row>
    <row r="113" spans="1:3" ht="18" customHeight="1" x14ac:dyDescent="0.2">
      <c r="A113" t="s">
        <v>902</v>
      </c>
      <c r="B113" t="s">
        <v>2908</v>
      </c>
      <c r="C113" t="s">
        <v>2909</v>
      </c>
    </row>
    <row r="114" spans="1:3" ht="18" customHeight="1" x14ac:dyDescent="0.2">
      <c r="A114" t="s">
        <v>906</v>
      </c>
      <c r="B114" t="s">
        <v>2908</v>
      </c>
      <c r="C114" t="s">
        <v>2909</v>
      </c>
    </row>
    <row r="115" spans="1:3" ht="18" customHeight="1" x14ac:dyDescent="0.2">
      <c r="A115" t="s">
        <v>911</v>
      </c>
      <c r="B115" t="s">
        <v>2908</v>
      </c>
      <c r="C115" t="s">
        <v>2909</v>
      </c>
    </row>
    <row r="116" spans="1:3" ht="18" customHeight="1" x14ac:dyDescent="0.2">
      <c r="A116" t="s">
        <v>917</v>
      </c>
      <c r="B116" t="s">
        <v>2908</v>
      </c>
      <c r="C116" t="s">
        <v>2909</v>
      </c>
    </row>
    <row r="117" spans="1:3" ht="18" customHeight="1" x14ac:dyDescent="0.2">
      <c r="A117" t="s">
        <v>922</v>
      </c>
      <c r="B117" t="s">
        <v>2908</v>
      </c>
      <c r="C117" t="s">
        <v>2909</v>
      </c>
    </row>
    <row r="118" spans="1:3" ht="18" customHeight="1" x14ac:dyDescent="0.2">
      <c r="A118" t="s">
        <v>928</v>
      </c>
      <c r="B118" t="s">
        <v>2908</v>
      </c>
      <c r="C118" t="s">
        <v>2909</v>
      </c>
    </row>
    <row r="119" spans="1:3" ht="18" customHeight="1" x14ac:dyDescent="0.2">
      <c r="A119" t="s">
        <v>933</v>
      </c>
      <c r="B119" t="s">
        <v>2908</v>
      </c>
      <c r="C119" t="s">
        <v>2909</v>
      </c>
    </row>
    <row r="120" spans="1:3" ht="18" customHeight="1" x14ac:dyDescent="0.2">
      <c r="A120" t="s">
        <v>948</v>
      </c>
      <c r="B120" t="s">
        <v>2908</v>
      </c>
      <c r="C120" t="s">
        <v>2909</v>
      </c>
    </row>
    <row r="121" spans="1:3" ht="18" customHeight="1" x14ac:dyDescent="0.2">
      <c r="A121" t="s">
        <v>953</v>
      </c>
      <c r="B121" t="s">
        <v>2908</v>
      </c>
      <c r="C121" t="s">
        <v>2909</v>
      </c>
    </row>
    <row r="122" spans="1:3" ht="18" customHeight="1" x14ac:dyDescent="0.2">
      <c r="A122" t="s">
        <v>956</v>
      </c>
      <c r="B122" t="s">
        <v>2908</v>
      </c>
      <c r="C122" t="s">
        <v>2909</v>
      </c>
    </row>
    <row r="123" spans="1:3" ht="18" customHeight="1" x14ac:dyDescent="0.2">
      <c r="A123" t="s">
        <v>961</v>
      </c>
      <c r="B123" t="s">
        <v>2908</v>
      </c>
      <c r="C123" t="s">
        <v>2909</v>
      </c>
    </row>
    <row r="124" spans="1:3" ht="18" customHeight="1" x14ac:dyDescent="0.2">
      <c r="A124" t="s">
        <v>966</v>
      </c>
      <c r="B124" t="s">
        <v>2908</v>
      </c>
      <c r="C124" t="s">
        <v>2909</v>
      </c>
    </row>
    <row r="125" spans="1:3" ht="18" customHeight="1" x14ac:dyDescent="0.2">
      <c r="A125" t="s">
        <v>975</v>
      </c>
      <c r="B125" t="s">
        <v>2908</v>
      </c>
      <c r="C125" t="s">
        <v>2909</v>
      </c>
    </row>
    <row r="126" spans="1:3" ht="18" customHeight="1" x14ac:dyDescent="0.2">
      <c r="A126" t="s">
        <v>981</v>
      </c>
      <c r="B126" t="s">
        <v>2908</v>
      </c>
      <c r="C126" t="s">
        <v>2909</v>
      </c>
    </row>
    <row r="127" spans="1:3" ht="18" customHeight="1" x14ac:dyDescent="0.2">
      <c r="A127" t="s">
        <v>985</v>
      </c>
      <c r="B127" t="s">
        <v>2908</v>
      </c>
      <c r="C127" t="s">
        <v>2909</v>
      </c>
    </row>
    <row r="128" spans="1:3" ht="18" customHeight="1" x14ac:dyDescent="0.2">
      <c r="A128" t="s">
        <v>990</v>
      </c>
      <c r="B128" t="s">
        <v>2908</v>
      </c>
      <c r="C128" t="s">
        <v>2909</v>
      </c>
    </row>
    <row r="129" spans="1:3" ht="18" customHeight="1" x14ac:dyDescent="0.2">
      <c r="A129" t="s">
        <v>994</v>
      </c>
      <c r="B129" t="s">
        <v>2908</v>
      </c>
      <c r="C129" t="s">
        <v>2909</v>
      </c>
    </row>
    <row r="130" spans="1:3" ht="18" customHeight="1" x14ac:dyDescent="0.2">
      <c r="A130" t="s">
        <v>1000</v>
      </c>
      <c r="B130" t="s">
        <v>2908</v>
      </c>
      <c r="C130" t="s">
        <v>2909</v>
      </c>
    </row>
    <row r="131" spans="1:3" ht="18" customHeight="1" x14ac:dyDescent="0.2">
      <c r="A131" t="s">
        <v>1005</v>
      </c>
      <c r="B131" t="s">
        <v>2908</v>
      </c>
      <c r="C131" t="s">
        <v>2909</v>
      </c>
    </row>
    <row r="132" spans="1:3" ht="18" customHeight="1" x14ac:dyDescent="0.2">
      <c r="A132" t="s">
        <v>1010</v>
      </c>
      <c r="B132" t="s">
        <v>2908</v>
      </c>
      <c r="C132" t="s">
        <v>2909</v>
      </c>
    </row>
    <row r="133" spans="1:3" ht="18" customHeight="1" x14ac:dyDescent="0.2">
      <c r="A133" t="s">
        <v>1016</v>
      </c>
      <c r="B133" t="s">
        <v>2908</v>
      </c>
      <c r="C133" t="s">
        <v>2909</v>
      </c>
    </row>
    <row r="134" spans="1:3" ht="18" customHeight="1" x14ac:dyDescent="0.2">
      <c r="A134" t="s">
        <v>1023</v>
      </c>
      <c r="B134" t="s">
        <v>2908</v>
      </c>
      <c r="C134" t="s">
        <v>2909</v>
      </c>
    </row>
    <row r="135" spans="1:3" ht="18" customHeight="1" x14ac:dyDescent="0.2">
      <c r="A135" t="s">
        <v>1031</v>
      </c>
      <c r="B135" t="s">
        <v>2908</v>
      </c>
      <c r="C135" t="s">
        <v>2909</v>
      </c>
    </row>
    <row r="136" spans="1:3" ht="18" customHeight="1" x14ac:dyDescent="0.2">
      <c r="A136" t="s">
        <v>1037</v>
      </c>
      <c r="B136" t="s">
        <v>2908</v>
      </c>
      <c r="C136" t="s">
        <v>2909</v>
      </c>
    </row>
    <row r="137" spans="1:3" ht="18" customHeight="1" x14ac:dyDescent="0.2">
      <c r="A137" t="s">
        <v>1042</v>
      </c>
      <c r="B137" t="s">
        <v>2908</v>
      </c>
      <c r="C137" t="s">
        <v>2909</v>
      </c>
    </row>
    <row r="138" spans="1:3" ht="18" customHeight="1" x14ac:dyDescent="0.2">
      <c r="A138" t="s">
        <v>1048</v>
      </c>
      <c r="B138" t="s">
        <v>2908</v>
      </c>
      <c r="C138" t="s">
        <v>2909</v>
      </c>
    </row>
    <row r="139" spans="1:3" ht="18" customHeight="1" x14ac:dyDescent="0.2">
      <c r="A139" t="s">
        <v>1052</v>
      </c>
      <c r="B139" t="s">
        <v>2908</v>
      </c>
      <c r="C139" t="s">
        <v>2909</v>
      </c>
    </row>
    <row r="140" spans="1:3" ht="18" customHeight="1" x14ac:dyDescent="0.2">
      <c r="A140" t="s">
        <v>1056</v>
      </c>
      <c r="B140" t="s">
        <v>2908</v>
      </c>
      <c r="C140" t="s">
        <v>2909</v>
      </c>
    </row>
    <row r="141" spans="1:3" ht="18" customHeight="1" x14ac:dyDescent="0.2">
      <c r="A141" t="s">
        <v>1061</v>
      </c>
      <c r="B141" t="s">
        <v>2908</v>
      </c>
      <c r="C141" t="s">
        <v>2909</v>
      </c>
    </row>
    <row r="142" spans="1:3" ht="18" customHeight="1" x14ac:dyDescent="0.2">
      <c r="A142" t="s">
        <v>1066</v>
      </c>
      <c r="B142" t="s">
        <v>2908</v>
      </c>
      <c r="C142" t="s">
        <v>2909</v>
      </c>
    </row>
    <row r="143" spans="1:3" ht="18" customHeight="1" x14ac:dyDescent="0.2">
      <c r="A143" t="s">
        <v>1072</v>
      </c>
      <c r="B143" t="s">
        <v>2908</v>
      </c>
      <c r="C143" t="s">
        <v>2909</v>
      </c>
    </row>
    <row r="144" spans="1:3" ht="18" customHeight="1" x14ac:dyDescent="0.2">
      <c r="A144" t="s">
        <v>1077</v>
      </c>
      <c r="B144" t="s">
        <v>2908</v>
      </c>
      <c r="C144" t="s">
        <v>2909</v>
      </c>
    </row>
    <row r="145" spans="1:3" ht="18" customHeight="1" x14ac:dyDescent="0.2">
      <c r="A145" t="s">
        <v>1082</v>
      </c>
      <c r="B145" t="s">
        <v>2908</v>
      </c>
      <c r="C145" t="s">
        <v>2909</v>
      </c>
    </row>
    <row r="146" spans="1:3" ht="18" customHeight="1" x14ac:dyDescent="0.2">
      <c r="A146" t="s">
        <v>1088</v>
      </c>
      <c r="B146" t="s">
        <v>2908</v>
      </c>
      <c r="C146" t="s">
        <v>2909</v>
      </c>
    </row>
    <row r="147" spans="1:3" ht="18" customHeight="1" x14ac:dyDescent="0.2">
      <c r="A147" t="s">
        <v>1093</v>
      </c>
      <c r="B147" t="s">
        <v>2908</v>
      </c>
      <c r="C147" t="s">
        <v>2909</v>
      </c>
    </row>
    <row r="148" spans="1:3" ht="18" customHeight="1" x14ac:dyDescent="0.2">
      <c r="A148" t="s">
        <v>1097</v>
      </c>
      <c r="B148" t="s">
        <v>2908</v>
      </c>
      <c r="C148" t="s">
        <v>2909</v>
      </c>
    </row>
    <row r="149" spans="1:3" ht="18" customHeight="1" x14ac:dyDescent="0.2">
      <c r="A149" t="s">
        <v>1100</v>
      </c>
      <c r="B149" t="s">
        <v>2908</v>
      </c>
      <c r="C149" t="s">
        <v>2909</v>
      </c>
    </row>
    <row r="150" spans="1:3" ht="18" customHeight="1" x14ac:dyDescent="0.2">
      <c r="A150" t="s">
        <v>1107</v>
      </c>
      <c r="B150" t="s">
        <v>2908</v>
      </c>
      <c r="C150" t="s">
        <v>2909</v>
      </c>
    </row>
    <row r="151" spans="1:3" ht="18" customHeight="1" x14ac:dyDescent="0.2">
      <c r="A151" t="s">
        <v>1111</v>
      </c>
      <c r="B151" t="s">
        <v>2908</v>
      </c>
      <c r="C151" t="s">
        <v>2909</v>
      </c>
    </row>
    <row r="152" spans="1:3" ht="18" customHeight="1" x14ac:dyDescent="0.2">
      <c r="A152" t="s">
        <v>1116</v>
      </c>
      <c r="B152" t="s">
        <v>2908</v>
      </c>
      <c r="C152" t="s">
        <v>2909</v>
      </c>
    </row>
    <row r="153" spans="1:3" ht="18" customHeight="1" x14ac:dyDescent="0.2">
      <c r="A153" t="s">
        <v>1123</v>
      </c>
      <c r="B153" t="s">
        <v>2908</v>
      </c>
      <c r="C153" t="s">
        <v>2909</v>
      </c>
    </row>
    <row r="154" spans="1:3" ht="18" customHeight="1" x14ac:dyDescent="0.2">
      <c r="A154" t="s">
        <v>1129</v>
      </c>
      <c r="B154" t="s">
        <v>2908</v>
      </c>
      <c r="C154" t="s">
        <v>2909</v>
      </c>
    </row>
    <row r="155" spans="1:3" ht="18" customHeight="1" x14ac:dyDescent="0.2">
      <c r="A155" t="s">
        <v>1142</v>
      </c>
      <c r="B155" t="s">
        <v>2908</v>
      </c>
      <c r="C155" t="s">
        <v>2909</v>
      </c>
    </row>
    <row r="156" spans="1:3" ht="18" customHeight="1" x14ac:dyDescent="0.2">
      <c r="A156" t="s">
        <v>1151</v>
      </c>
      <c r="B156" t="s">
        <v>2908</v>
      </c>
      <c r="C156" t="s">
        <v>2909</v>
      </c>
    </row>
    <row r="157" spans="1:3" ht="18" customHeight="1" x14ac:dyDescent="0.2">
      <c r="A157" t="s">
        <v>1156</v>
      </c>
      <c r="B157" t="s">
        <v>2910</v>
      </c>
      <c r="C157" t="s">
        <v>2911</v>
      </c>
    </row>
    <row r="158" spans="1:3" ht="18" customHeight="1" x14ac:dyDescent="0.2">
      <c r="A158" t="s">
        <v>2912</v>
      </c>
      <c r="B158" t="s">
        <v>2913</v>
      </c>
      <c r="C158" t="s">
        <v>2914</v>
      </c>
    </row>
    <row r="159" spans="1:3" ht="18" customHeight="1" x14ac:dyDescent="0.2">
      <c r="A159" t="s">
        <v>2915</v>
      </c>
      <c r="B159" t="s">
        <v>2916</v>
      </c>
      <c r="C159" t="s">
        <v>2917</v>
      </c>
    </row>
    <row r="160" spans="1:3" ht="18" customHeight="1" x14ac:dyDescent="0.2">
      <c r="A160" t="s">
        <v>2918</v>
      </c>
      <c r="B160" t="s">
        <v>2913</v>
      </c>
      <c r="C160" t="s">
        <v>2914</v>
      </c>
    </row>
    <row r="161" spans="1:3" ht="18" customHeight="1" x14ac:dyDescent="0.2">
      <c r="A161" t="s">
        <v>2919</v>
      </c>
      <c r="B161" t="s">
        <v>2920</v>
      </c>
      <c r="C161" t="s">
        <v>2921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MAESTRO</vt:lpstr>
      <vt:lpstr>CONTROL ASISTENCIA</vt:lpstr>
      <vt:lpstr>DISTRIBUCION VIP</vt:lpstr>
      <vt:lpstr>LISTADO VIP</vt:lpstr>
      <vt:lpstr>SIN ASIGNAR</vt:lpstr>
      <vt:lpstr>PRUEBA AUTOMATIZACION</vt:lpstr>
      <vt:lpstr>LISTAS</vt:lpstr>
      <vt:lpstr>PARAMETROS VIP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dcterms:created xsi:type="dcterms:W3CDTF">2026-06-15T18:17:58Z</dcterms:created>
  <dcterms:modified xsi:type="dcterms:W3CDTF">2026-06-15T18:55:39Z</dcterms:modified>
</cp:coreProperties>
</file>