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7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_DATOS" sheetId="1" state="visible" r:id="rId3"/>
    <sheet name="2_CÁLCULOS" sheetId="2" state="visible" r:id="rId4"/>
    <sheet name="3_MONTECARLO" sheetId="3" state="visible" r:id="rId5"/>
    <sheet name="4_DIAGRAMA_POLAR" sheetId="4" state="visible" r:id="rId6"/>
    <sheet name="5_RADIOS_MISILES" sheetId="5" state="visible" r:id="rId7"/>
    <sheet name="6_RESUMEN" sheetId="6" state="visible" r:id="rId8"/>
    <sheet name="7_COBERTURA_VISUAL" sheetId="7" state="visible" r:id="rId9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<sst xmlns="http://schemas.openxmlformats.org/spreadsheetml/2006/main" count="532" uniqueCount="421">
  <si>
    <t xml:space="preserve">SIMULACIÓN TÁCTICA DE DEFENSA ANTIMISIL</t>
  </si>
  <si>
    <t xml:space="preserve">Hoja de Datos Variables – Modificar para recalcular toda la simulación</t>
  </si>
  <si>
    <t xml:space="preserve">A. MISILES DEFENSIVOS</t>
  </si>
  <si>
    <t xml:space="preserve">Fuente/Nota</t>
  </si>
  <si>
    <t xml:space="preserve">Rango máx. ESSM (mn)</t>
  </si>
  <si>
    <t xml:space="preserve">FFG Adelaide – Raytheon RIM-162</t>
  </si>
  <si>
    <t xml:space="preserve">Rango máx. SM-2 (mn)</t>
  </si>
  <si>
    <t xml:space="preserve">FFG Adelaide – Raytheon RIM-66</t>
  </si>
  <si>
    <t xml:space="preserve">Rango máx. Sea Ceptor (mn)</t>
  </si>
  <si>
    <t xml:space="preserve">FF23 – MBDA Sea Ceptor CAMM</t>
  </si>
  <si>
    <t xml:space="preserve">Velocidad ESSM (nudos)</t>
  </si>
  <si>
    <t xml:space="preserve">Aprox. Mach 1 en vuelo horizontal</t>
  </si>
  <si>
    <t xml:space="preserve">Velocidad SM-2 (nudos)</t>
  </si>
  <si>
    <t xml:space="preserve">Aprox. Mach 2+ en intercepción</t>
  </si>
  <si>
    <t xml:space="preserve">Velocidad Sea Ceptor (nudos)</t>
  </si>
  <si>
    <t xml:space="preserve">Aprox. Mach 3 en terminal</t>
  </si>
  <si>
    <t xml:space="preserve">Tiempo lanzamiento ESSM (s)</t>
  </si>
  <si>
    <t xml:space="preserve">Salva simple = 1 misil</t>
  </si>
  <si>
    <t xml:space="preserve">Tiempo lanzamiento SC (s)</t>
  </si>
  <si>
    <t xml:space="preserve">B. MISIL DE SUPERFICIE ENEMIGO (ASM)</t>
  </si>
  <si>
    <t xml:space="preserve">Velocidad ASM (nudos)</t>
  </si>
  <si>
    <t xml:space="preserve">Misil de crucero antibuque típico</t>
  </si>
  <si>
    <t xml:space="preserve">Altura de vuelo ASM (pies)</t>
  </si>
  <si>
    <t xml:space="preserve">Sea-skimmer – perfil rasante</t>
  </si>
  <si>
    <t xml:space="preserve">Prob. detección a 10mn (%)</t>
  </si>
  <si>
    <t xml:space="preserve">Radar superficie – horizonte radar</t>
  </si>
  <si>
    <t xml:space="preserve">Prob. detección a 5mn (%)</t>
  </si>
  <si>
    <t xml:space="preserve">Adquisición cercana garantizada</t>
  </si>
  <si>
    <t xml:space="preserve">Distancia det. inicial (mn)</t>
  </si>
  <si>
    <t xml:space="preserve">Zona alerta temprana</t>
  </si>
  <si>
    <t xml:space="preserve">C. VENTANAS DE ENFRENTAMIENTO</t>
  </si>
  <si>
    <t xml:space="preserve">ESSM enf. max (mn)</t>
  </si>
  <si>
    <t xml:space="preserve">Límite exterior zona ESSM</t>
  </si>
  <si>
    <t xml:space="preserve">ESSM enf. min (mn)</t>
  </si>
  <si>
    <t xml:space="preserve">Límite interior zona ESSM</t>
  </si>
  <si>
    <t xml:space="preserve">Sea Ceptor enf. max (mn)</t>
  </si>
  <si>
    <t xml:space="preserve">Límite exterior zona SC</t>
  </si>
  <si>
    <t xml:space="preserve">Sea Ceptor enf. min (mn)</t>
  </si>
  <si>
    <t xml:space="preserve">Límite interior zona SC</t>
  </si>
  <si>
    <t xml:space="preserve">Pd ESSM en zona enf. (%)</t>
  </si>
  <si>
    <t xml:space="preserve">Probabilidad detección en ventana</t>
  </si>
  <si>
    <t xml:space="preserve">Pd Sea Ceptor en zona enf.(%)</t>
  </si>
  <si>
    <t xml:space="preserve">D. POSICIONAMIENTO RELATIVO AL HVU</t>
  </si>
  <si>
    <t xml:space="preserve">Dist. FFG Adelaide al HVU (yd)</t>
  </si>
  <si>
    <t xml:space="preserve">Cobertura 2000–5000 yd del HVU</t>
  </si>
  <si>
    <t xml:space="preserve">Marcación FFG al HVU (°)</t>
  </si>
  <si>
    <t xml:space="preserve">Angulo 000–359 (eje amenaza 000)</t>
  </si>
  <si>
    <t xml:space="preserve">Dist. FF23 al HVU (yd)</t>
  </si>
  <si>
    <t xml:space="preserve">Cobertura 500–2000 yd del HVU</t>
  </si>
  <si>
    <t xml:space="preserve">Marcación FF23 al HVU (°)</t>
  </si>
  <si>
    <t xml:space="preserve">Angulo 000–359</t>
  </si>
  <si>
    <t xml:space="preserve">Eje de amenaza (°)</t>
  </si>
  <si>
    <t xml:space="preserve">000 = Norte (defecto)</t>
  </si>
  <si>
    <t xml:space="preserve">Salvas ESSM por engagement</t>
  </si>
  <si>
    <t xml:space="preserve">1=simple, 2=doble</t>
  </si>
  <si>
    <t xml:space="preserve">Salvas SC por engagement</t>
  </si>
  <si>
    <t xml:space="preserve">INSTRUCCIONES:  Modifique SOLO las celdas en AZUL OSCURO (columna C) o en los colores asignados por sección. Todos los demás cálculos son automáticos.</t>
  </si>
  <si>
    <t xml:space="preserve">CÁLCULOS DE PROBABILIDAD Y SIMULACIÓN (Pk)</t>
  </si>
  <si>
    <t xml:space="preserve">1. VELOCIDADES RELATIVAS (MISIL DEFENSOR vs ASM)</t>
  </si>
  <si>
    <t xml:space="preserve">Parámetro</t>
  </si>
  <si>
    <t xml:space="preserve">ESSM</t>
  </si>
  <si>
    <t xml:space="preserve">SM-2</t>
  </si>
  <si>
    <t xml:space="preserve">Sea Ceptor</t>
  </si>
  <si>
    <t xml:space="preserve">Unidad</t>
  </si>
  <si>
    <t xml:space="preserve">Velocidad defensor (kn)</t>
  </si>
  <si>
    <t xml:space="preserve">nudos</t>
  </si>
  <si>
    <t xml:space="preserve">Velocidad ASM (kn)</t>
  </si>
  <si>
    <t xml:space="preserve">Vel. relativa head-on (kn)</t>
  </si>
  <si>
    <t xml:space="preserve">Vel. relativa tail-on (kn)</t>
  </si>
  <si>
    <t xml:space="preserve">Vel. relativa (mn/min)</t>
  </si>
  <si>
    <t xml:space="preserve">mn/min</t>
  </si>
  <si>
    <t xml:space="preserve">Vel. relativa (mn/s)</t>
  </si>
  <si>
    <t xml:space="preserve">mn/s</t>
  </si>
  <si>
    <t xml:space="preserve">2. TIEMPOS DE VUELO Y TIEMPO DISPONIBLE PARA INTERCEPCIÓN</t>
  </si>
  <si>
    <t xml:space="preserve">Rango max. de engagement (mn)</t>
  </si>
  <si>
    <t xml:space="preserve">mn</t>
  </si>
  <si>
    <t xml:space="preserve">Tiempo vuelo ASM en rango (s)</t>
  </si>
  <si>
    <t xml:space="preserve">seg</t>
  </si>
  <si>
    <t xml:space="preserve">Tiempo vuelo defensor (s)</t>
  </si>
  <si>
    <t xml:space="preserve">Ventana de intercepción (s)</t>
  </si>
  <si>
    <t xml:space="preserve">Tiempo lanzamiento (s)</t>
  </si>
  <si>
    <t xml:space="preserve">Tiempo disponible neto (s)</t>
  </si>
  <si>
    <t xml:space="preserve">3. PROBABILIDAD DE DETECCIÓN (Pd) – MODELO LINEAL POR DISTANCIA</t>
  </si>
  <si>
    <t xml:space="preserve">Distancia (mn)</t>
  </si>
  <si>
    <t xml:space="preserve">Pd (%)</t>
  </si>
  <si>
    <t xml:space="preserve">Estado</t>
  </si>
  <si>
    <t xml:space="preserve">Pd a distancia D (interpolación lineal entre 60%@10mn y 95%@5mn):</t>
  </si>
  <si>
    <t xml:space="preserve">  D = 10 mn</t>
  </si>
  <si>
    <t xml:space="preserve">  D = 9 mn</t>
  </si>
  <si>
    <t xml:space="preserve">  D = 8 mn</t>
  </si>
  <si>
    <t xml:space="preserve">  D = 7 mn</t>
  </si>
  <si>
    <t xml:space="preserve">  D = 6 mn</t>
  </si>
  <si>
    <t xml:space="preserve">  D = 5 mn</t>
  </si>
  <si>
    <t xml:space="preserve">  D = 4 mn</t>
  </si>
  <si>
    <t xml:space="preserve">  D = 3 mn</t>
  </si>
  <si>
    <t xml:space="preserve">  D = 2 mn</t>
  </si>
  <si>
    <t xml:space="preserve">4. PROBABILIDAD DE DESTRUCCIÓN Pk = 1 - (1-Pd·Pss)^n  (salvas)</t>
  </si>
  <si>
    <t xml:space="preserve">Pk = 1 - (1 - Pd × Pss)^n   donde: Pd=prob. detección, Pss=prob. kill misil individual, n=nº salvas</t>
  </si>
  <si>
    <t xml:space="preserve">Pd en zona de enfrentamiento</t>
  </si>
  <si>
    <t xml:space="preserve">%</t>
  </si>
  <si>
    <t xml:space="preserve">Pss (Pk misil individual)</t>
  </si>
  <si>
    <t xml:space="preserve">est.</t>
  </si>
  <si>
    <t xml:space="preserve">n (salvas)</t>
  </si>
  <si>
    <t xml:space="preserve">uds</t>
  </si>
  <si>
    <t xml:space="preserve">Pk salva simple (n=1)</t>
  </si>
  <si>
    <t xml:space="preserve">Pk salva DOBLE (n=2)</t>
  </si>
  <si>
    <t xml:space="preserve">Pk con n salvas config.</t>
  </si>
  <si>
    <t xml:space="preserve">Pk TOTAL (FFG: ESSM+SM2)</t>
  </si>
  <si>
    <t xml:space="preserve">5. DISTANCIAS Y TIEMPOS (por distancia al ASM en el eje de amenaza)</t>
  </si>
  <si>
    <t xml:space="preserve">Dist.ASM (mn)</t>
  </si>
  <si>
    <t xml:space="preserve">T.vuelo ASM(s)</t>
  </si>
  <si>
    <t xml:space="preserve">Pd(%)</t>
  </si>
  <si>
    <t xml:space="preserve">Pk ESSM</t>
  </si>
  <si>
    <t xml:space="preserve">Pk SC</t>
  </si>
  <si>
    <t xml:space="preserve">Pk Total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</si>
  <si>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</si>
  <si>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</si>
  <si>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</si>
  <si>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</si>
  <si>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</si>
  <si>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</si>
  <si>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</si>
  <si>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</si>
  <si>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</si>
  <si>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</si>
  <si>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</si>
  <si>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</si>
  <si>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SIMULACIÓN MONTECARLO – 50 ESCENARIOS DE ATAQUE ASM</t>
  </si>
  <si>
    <t xml:space="preserve">Cada fila es un escenario aleatorio. RAND() recalcula al presionar F9. Los valores fijos son la media de las distribuciones configuradas en DATOS.</t>
  </si>
  <si>
    <t xml:space="preserve">Escenario</t>
  </si>
  <si>
    <t xml:space="preserve">Dist. lanz. ASM (mn)</t>
  </si>
  <si>
    <t xml:space="preserve">Pd detección</t>
  </si>
  <si>
    <t xml:space="preserve">Pk Sea Ceptor</t>
  </si>
  <si>
    <t xml:space="preserve">Pk TOTAL</t>
  </si>
  <si>
    <t xml:space="preserve">ASM neutralizado</t>
  </si>
  <si>
    <t xml:space="preserve">Impacto en HVU</t>
  </si>
  <si>
    <t xml:space="preserve">Escenario 1</t>
  </si>
  <si>
    <t xml:space="preserve">Escenario 2</t>
  </si>
  <si>
    <t xml:space="preserve">Escenario 3</t>
  </si>
  <si>
    <t xml:space="preserve">Escenario 4</t>
  </si>
  <si>
    <t xml:space="preserve">Escenario 5</t>
  </si>
  <si>
    <t xml:space="preserve">Escenario 6</t>
  </si>
  <si>
    <t xml:space="preserve">Escenario 7</t>
  </si>
  <si>
    <t xml:space="preserve">Escenario 8</t>
  </si>
  <si>
    <t xml:space="preserve">Escenario 9</t>
  </si>
  <si>
    <t xml:space="preserve">Escenario 10</t>
  </si>
  <si>
    <t xml:space="preserve">Escenario 11</t>
  </si>
  <si>
    <t xml:space="preserve">Escenario 12</t>
  </si>
  <si>
    <t xml:space="preserve">Escenario 13</t>
  </si>
  <si>
    <t xml:space="preserve">Escenario 14</t>
  </si>
  <si>
    <t xml:space="preserve">Escenario 15</t>
  </si>
  <si>
    <t xml:space="preserve">Escenario 16</t>
  </si>
  <si>
    <t xml:space="preserve">Escenario 17</t>
  </si>
  <si>
    <t xml:space="preserve">Escenario 18</t>
  </si>
  <si>
    <t xml:space="preserve">Escenario 19</t>
  </si>
  <si>
    <t xml:space="preserve">Escenario 20</t>
  </si>
  <si>
    <t xml:space="preserve">Escenario 21</t>
  </si>
  <si>
    <t xml:space="preserve">Escenario 22</t>
  </si>
  <si>
    <t xml:space="preserve">Escenario 23</t>
  </si>
  <si>
    <t xml:space="preserve">Escenario 24</t>
  </si>
  <si>
    <t xml:space="preserve">Escenario 25</t>
  </si>
  <si>
    <t xml:space="preserve">Escenario 26</t>
  </si>
  <si>
    <t xml:space="preserve">Escenario 27</t>
  </si>
  <si>
    <t xml:space="preserve">Escenario 28</t>
  </si>
  <si>
    <t xml:space="preserve">Escenario 29</t>
  </si>
  <si>
    <t xml:space="preserve">Escenario 30</t>
  </si>
  <si>
    <t xml:space="preserve">Escenario 31</t>
  </si>
  <si>
    <t xml:space="preserve">Escenario 32</t>
  </si>
  <si>
    <t xml:space="preserve">Escenario 33</t>
  </si>
  <si>
    <t xml:space="preserve">Escenario 34</t>
  </si>
  <si>
    <t xml:space="preserve">Escenario 35</t>
  </si>
  <si>
    <t xml:space="preserve">Escenario 36</t>
  </si>
  <si>
    <t xml:space="preserve">Escenario 37</t>
  </si>
  <si>
    <t xml:space="preserve">Escenario 38</t>
  </si>
  <si>
    <t xml:space="preserve">Escenario 39</t>
  </si>
  <si>
    <t xml:space="preserve">Escenario 40</t>
  </si>
  <si>
    <t xml:space="preserve">Escenario 41</t>
  </si>
  <si>
    <t xml:space="preserve">Escenario 42</t>
  </si>
  <si>
    <t xml:space="preserve">Escenario 43</t>
  </si>
  <si>
    <t xml:space="preserve">Escenario 44</t>
  </si>
  <si>
    <t xml:space="preserve">Escenario 45</t>
  </si>
  <si>
    <t xml:space="preserve">Escenario 46</t>
  </si>
  <si>
    <t xml:space="preserve">Escenario 47</t>
  </si>
  <si>
    <t xml:space="preserve">Escenario 48</t>
  </si>
  <si>
    <t xml:space="preserve">Escenario 49</t>
  </si>
  <si>
    <t xml:space="preserve">Escenario 50</t>
  </si>
  <si>
    <t xml:space="preserve">RESUMEN ESTADÍSTICO DE LA SIMULACIÓN</t>
  </si>
  <si>
    <t xml:space="preserve">Pk TOTAL promedio:</t>
  </si>
  <si>
    <t xml:space="preserve">Pk máximo alcanzado:</t>
  </si>
  <si>
    <t xml:space="preserve">Pk mínimo:</t>
  </si>
  <si>
    <t xml:space="preserve">Escenarios neutralizados (Pk&gt;50%):</t>
  </si>
  <si>
    <t xml:space="preserve">% escenarios neutralizados:</t>
  </si>
  <si>
    <t xml:space="preserve">Escenarios con impacto potencial:</t>
  </si>
  <si>
    <t xml:space="preserve">DIAGRAMA TÁCTICO POLAR – HVU EN CENTRO, EJE DE AMENAZA 000°</t>
  </si>
  <si>
    <t xml:space="preserve">Los círculos representan (en yardas): zona FFG (2000-5000 yd), zona FF23 (500-2000 yd) y posicion de cada buque segun datos configurados.</t>
  </si>
  <si>
    <t xml:space="preserve">COORDENADAS PARA GRAFICO (distancias en yardas, HVU en origen)</t>
  </si>
  <si>
    <t xml:space="preserve">Circulo R=500yd</t>
  </si>
  <si>
    <t xml:space="preserve">Circulo R=2000yd</t>
  </si>
  <si>
    <t xml:space="preserve">Circulo R=5000yd</t>
  </si>
  <si>
    <t xml:space="preserve">FFG Pos</t>
  </si>
  <si>
    <t xml:space="preserve">FF23 Pos</t>
  </si>
  <si>
    <t xml:space="preserve">Angulo</t>
  </si>
  <si>
    <t xml:space="preserve">X (yd)</t>
  </si>
  <si>
    <t xml:space="preserve">Y (yd)</t>
  </si>
  <si>
    <t xml:space="preserve">X_FFG</t>
  </si>
  <si>
    <t xml:space="preserve">Y_FFG</t>
  </si>
  <si>
    <t xml:space="preserve">X_FF23</t>
  </si>
  <si>
    <t xml:space="preserve">0°</t>
  </si>
  <si>
    <t xml:space="preserve">10°</t>
  </si>
  <si>
    <t xml:space="preserve">20°</t>
  </si>
  <si>
    <t xml:space="preserve">30°</t>
  </si>
  <si>
    <t xml:space="preserve">40°</t>
  </si>
  <si>
    <t xml:space="preserve">50°</t>
  </si>
  <si>
    <t xml:space="preserve">60°</t>
  </si>
  <si>
    <t xml:space="preserve">70°</t>
  </si>
  <si>
    <t xml:space="preserve">80°</t>
  </si>
  <si>
    <t xml:space="preserve">90°</t>
  </si>
  <si>
    <t xml:space="preserve">100°</t>
  </si>
  <si>
    <t xml:space="preserve">110°</t>
  </si>
  <si>
    <t xml:space="preserve">120°</t>
  </si>
  <si>
    <t xml:space="preserve">130°</t>
  </si>
  <si>
    <t xml:space="preserve">140°</t>
  </si>
  <si>
    <t xml:space="preserve">150°</t>
  </si>
  <si>
    <t xml:space="preserve">160°</t>
  </si>
  <si>
    <t xml:space="preserve">170°</t>
  </si>
  <si>
    <t xml:space="preserve">180°</t>
  </si>
  <si>
    <t xml:space="preserve">190°</t>
  </si>
  <si>
    <t xml:space="preserve">200°</t>
  </si>
  <si>
    <t xml:space="preserve">210°</t>
  </si>
  <si>
    <t xml:space="preserve">220°</t>
  </si>
  <si>
    <t xml:space="preserve">230°</t>
  </si>
  <si>
    <t xml:space="preserve">240°</t>
  </si>
  <si>
    <t xml:space="preserve">250°</t>
  </si>
  <si>
    <t xml:space="preserve">260°</t>
  </si>
  <si>
    <t xml:space="preserve">270°</t>
  </si>
  <si>
    <t xml:space="preserve">280°</t>
  </si>
  <si>
    <t xml:space="preserve">290°</t>
  </si>
  <si>
    <t xml:space="preserve">300°</t>
  </si>
  <si>
    <t xml:space="preserve">310°</t>
  </si>
  <si>
    <t xml:space="preserve">320°</t>
  </si>
  <si>
    <t xml:space="preserve">330°</t>
  </si>
  <si>
    <t xml:space="preserve">340°</t>
  </si>
  <si>
    <t xml:space="preserve">350°</t>
  </si>
  <si>
    <t xml:space="preserve">360°</t>
  </si>
  <si>
    <t xml:space="preserve">POS FFG</t>
  </si>
  <si>
    <t xml:space="preserve">POS FF23</t>
  </si>
  <si>
    <t xml:space="preserve">INSTRUCCIÓN PARA GRÁFICO POLAR: Seleccione C6:H42 e inserte Gráfico → Dispersión (XY). Agregue los 3 círculos como series separadas. Las series I y K representan las posiciones de FFG y FF23 y se actualiza automáticamente al modificar Marcación y Distancia en hoja DATOS.</t>
  </si>
  <si>
    <t xml:space="preserve">RADIOS DE ALCANCE DE MISILES POR UNIDAD (distancia desde cada buque)</t>
  </si>
  <si>
    <t xml:space="preserve">Cada unidad como centro. Los círculos representan el alcance máximo de cada misil. Se actualizan con los datos de la hoja DATOS.</t>
  </si>
  <si>
    <t xml:space="preserve">FFG ADELAIDE – Origen: posición FFG (coordenadas relativas al HVU en yardas)</t>
  </si>
  <si>
    <t xml:space="preserve">Ángulo°</t>
  </si>
  <si>
    <t xml:space="preserve">X_ESSM</t>
  </si>
  <si>
    <t xml:space="preserve">Y_ESSM</t>
  </si>
  <si>
    <t xml:space="preserve">X_SM2</t>
  </si>
  <si>
    <t xml:space="preserve">Y_SM2</t>
  </si>
  <si>
    <t xml:space="preserve">X_FFG_ctr</t>
  </si>
  <si>
    <t xml:space="preserve">Y_FFG_ctr</t>
  </si>
  <si>
    <t xml:space="preserve">0</t>
  </si>
  <si>
    <t xml:space="preserve">20</t>
  </si>
  <si>
    <t xml:space="preserve">30</t>
  </si>
  <si>
    <t xml:space="preserve">40</t>
  </si>
  <si>
    <t xml:space="preserve">50</t>
  </si>
  <si>
    <t xml:space="preserve">60</t>
  </si>
  <si>
    <t xml:space="preserve">70</t>
  </si>
  <si>
    <t xml:space="preserve">80</t>
  </si>
  <si>
    <t xml:space="preserve">90</t>
  </si>
  <si>
    <t xml:space="preserve">100</t>
  </si>
  <si>
    <t xml:space="preserve">110</t>
  </si>
  <si>
    <t xml:space="preserve">120</t>
  </si>
  <si>
    <t xml:space="preserve">130</t>
  </si>
  <si>
    <t xml:space="preserve">140</t>
  </si>
  <si>
    <t xml:space="preserve">150</t>
  </si>
  <si>
    <t xml:space="preserve">160</t>
  </si>
  <si>
    <t xml:space="preserve">170</t>
  </si>
  <si>
    <t xml:space="preserve">180</t>
  </si>
  <si>
    <t xml:space="preserve">190</t>
  </si>
  <si>
    <t xml:space="preserve">200</t>
  </si>
  <si>
    <t xml:space="preserve">210</t>
  </si>
  <si>
    <t xml:space="preserve">220</t>
  </si>
  <si>
    <t xml:space="preserve">230</t>
  </si>
  <si>
    <t xml:space="preserve">240</t>
  </si>
  <si>
    <t xml:space="preserve">250</t>
  </si>
  <si>
    <t xml:space="preserve">260</t>
  </si>
  <si>
    <t xml:space="preserve">270</t>
  </si>
  <si>
    <t xml:space="preserve">280</t>
  </si>
  <si>
    <t xml:space="preserve">290</t>
  </si>
  <si>
    <t xml:space="preserve">300</t>
  </si>
  <si>
    <t xml:space="preserve">310</t>
  </si>
  <si>
    <t xml:space="preserve">320</t>
  </si>
  <si>
    <t xml:space="preserve">330</t>
  </si>
  <si>
    <t xml:space="preserve">340</t>
  </si>
  <si>
    <t xml:space="preserve">350</t>
  </si>
  <si>
    <t xml:space="preserve">360</t>
  </si>
  <si>
    <t xml:space="preserve">FF23 – Origen: posición FF23 (coordenadas relativas al HVU en yardas)</t>
  </si>
  <si>
    <t xml:space="preserve">X_SC</t>
  </si>
  <si>
    <t xml:space="preserve">Y_SC</t>
  </si>
  <si>
    <t xml:space="preserve">X_FF23_ctr</t>
  </si>
  <si>
    <t xml:space="preserve">Y_FF23_ctr</t>
  </si>
  <si>
    <t xml:space="preserve">INSTRUCCIÓN: Inserte dos gráficos de Dispersión (XY). Primero: series C6:D42 (ESSM), E6:F42 (SM-2) centrados en FFG. Segundo: series C46:D82 (Sea Ceptor) centrado en FF23. Agregue series de un solo punto para marcar cada buque como punto central. Al modificar distancias y marcaciones en DATOS, los círculos se desplazan automáticamente.</t>
  </si>
  <si>
    <t xml:space="preserve">RESUMEN EJECUTIVO – CAPACIDAD DEFENSIVA DEL GRUPO DE TAREA</t>
  </si>
  <si>
    <t xml:space="preserve">PARÁMETRO</t>
  </si>
  <si>
    <t xml:space="preserve">FFG ADELAIDE</t>
  </si>
  <si>
    <t xml:space="preserve">FF23</t>
  </si>
  <si>
    <t xml:space="preserve">Sistema de misil primario</t>
  </si>
  <si>
    <t xml:space="preserve">Sistema de misil secundario</t>
  </si>
  <si>
    <t xml:space="preserve">—</t>
  </si>
  <si>
    <t xml:space="preserve">Rango máximo (mn)</t>
  </si>
  <si>
    <t xml:space="preserve">Rango de engagement (mn)</t>
  </si>
  <si>
    <t xml:space="preserve">'1_DATOS'!C24&amp;"–"&amp;'1_DATOS'!C25&amp;" mn"</t>
  </si>
  <si>
    <t xml:space="preserve">Pd en zona engagement</t>
  </si>
  <si>
    <t xml:space="preserve">Pk salva simple</t>
  </si>
  <si>
    <t xml:space="preserve">Pk salva doble (n=2)</t>
  </si>
  <si>
    <t xml:space="preserve">Pk configurado (n salvas)</t>
  </si>
  <si>
    <t xml:space="preserve">Pk TOTAL grupo (ambas capas)</t>
  </si>
  <si>
    <t xml:space="preserve">Distancia al HVU (yd)</t>
  </si>
  <si>
    <t xml:space="preserve">Marcación al HVU (°)</t>
  </si>
  <si>
    <t xml:space="preserve">LÍNEA DE TIEMPO DEL ATAQUE ASM (desde 60 mn hasta HVU)</t>
  </si>
  <si>
    <t xml:space="preserve">Evento</t>
  </si>
  <si>
    <t xml:space="preserve">Tiempo restante (s)</t>
  </si>
  <si>
    <t xml:space="preserve">Sistema activo</t>
  </si>
  <si>
    <t xml:space="preserve">Lanzamiento ASM</t>
  </si>
  <si>
    <t xml:space="preserve">Ninguno</t>
  </si>
  <si>
    <t xml:space="preserve">Detección inicial (Pd=60%)</t>
  </si>
  <si>
    <t xml:space="preserve">Radar alerta</t>
  </si>
  <si>
    <t xml:space="preserve">Alcance SM-2</t>
  </si>
  <si>
    <t xml:space="preserve">SM-2 FFG</t>
  </si>
  <si>
    <t xml:space="preserve">Alcance ESSM</t>
  </si>
  <si>
    <t xml:space="preserve">ESSM FFG</t>
  </si>
  <si>
    <t xml:space="preserve">Detección alta (Pd=95%)</t>
  </si>
  <si>
    <t xml:space="preserve">ESSM+SC</t>
  </si>
  <si>
    <t xml:space="preserve">Alcance Sea Ceptor</t>
  </si>
  <si>
    <t xml:space="preserve">Sea Ceptor FF23</t>
  </si>
  <si>
    <t xml:space="preserve">Zona FFG (5000yd)</t>
  </si>
  <si>
    <t xml:space="preserve">FFG Adelaide</t>
  </si>
  <si>
    <t xml:space="preserve">Zona FF23 (2000yd)</t>
  </si>
  <si>
    <t xml:space="preserve">Último alcance SC (500yd)</t>
  </si>
  <si>
    <t xml:space="preserve">FF23 terminal</t>
  </si>
  <si>
    <t xml:space="preserve">HVU</t>
  </si>
  <si>
    <t xml:space="preserve">SIN defensa</t>
  </si>
  <si>
    <t xml:space="preserve">COBERTURA TÁCTICA MULTICONFIGURACION – HVU EN CENTRO – EJE AMENAZA 000°</t>
  </si>
  <si>
    <t xml:space="preserve">Seleccione la configuración de flota deseada en la celda C5. Ajuste posiciones individuales de cada buque (distancia al HVU y marcación). El gráfico se actualiza automáticamente mostrando coberturas ESSM (25mn) y Sea Ceptor (12mn).</t>
  </si>
  <si>
    <t xml:space="preserve">⚙  PANEL DE CONFIGURACIÓN DE FLOTA</t>
  </si>
  <si>
    <t xml:space="preserve">CONFIGURACIÓN ACTIVA:</t>
  </si>
  <si>
    <t xml:space="preserve">2-FFG + 2-FF23</t>
  </si>
  <si>
    <t xml:space="preserve">Nº FFG activas:</t>
  </si>
  <si>
    <t xml:space="preserve">Nº FF23 activas:</t>
  </si>
  <si>
    <t xml:space="preserve">UNIDAD</t>
  </si>
  <si>
    <t xml:space="preserve">Dist. HVU (yd)</t>
  </si>
  <si>
    <t xml:space="preserve">Marcación (°)</t>
  </si>
  <si>
    <t xml:space="preserve">ESSM radio (mn)</t>
  </si>
  <si>
    <t xml:space="preserve">SC radio (mn)</t>
  </si>
  <si>
    <t xml:space="preserve">Activo</t>
  </si>
  <si>
    <t xml:space="preserve">LEYENDA</t>
  </si>
  <si>
    <t xml:space="preserve">FFG Adelaide 1</t>
  </si>
  <si>
    <t xml:space="preserve">  ● HVU (origen)</t>
  </si>
  <si>
    <t xml:space="preserve">FFG Adelaide 2</t>
  </si>
  <si>
    <t xml:space="preserve">  ● Zona FF23 (500yd)</t>
  </si>
  <si>
    <t xml:space="preserve">FF23 Nro. 1</t>
  </si>
  <si>
    <t xml:space="preserve">  ● Zona FFG (2000yd)</t>
  </si>
  <si>
    <t xml:space="preserve">FF23 Nro. 2</t>
  </si>
  <si>
    <t xml:space="preserve">  ● Zona FFG (5000yd)</t>
  </si>
  <si>
    <t xml:space="preserve">FF23 Nro. 3</t>
  </si>
  <si>
    <t xml:space="preserve">  ● Radio ESSM (25mn)</t>
  </si>
  <si>
    <t xml:space="preserve">⚠ Modifique las celdas AMARILLAS (Dist. HVU y Marcación) para reposicionar cada buque. Las coberturas del gráfico se actualizan al recalcular (F9).</t>
  </si>
  <si>
    <t xml:space="preserve">DATOS COORDENADAS PARA GRÁFICO (yardas) — Se actualizan con Panel de Configuración</t>
  </si>
  <si>
    <t xml:space="preserve">Angulo°</t>
  </si>
  <si>
    <t xml:space="preserve">R500_X</t>
  </si>
  <si>
    <t xml:space="preserve">R500_Y</t>
  </si>
  <si>
    <t xml:space="preserve">R2000_X</t>
  </si>
  <si>
    <t xml:space="preserve">R2000_Y</t>
  </si>
  <si>
    <t xml:space="preserve">R5000_X</t>
  </si>
  <si>
    <t xml:space="preserve">R5000_Y</t>
  </si>
  <si>
    <t xml:space="preserve">FFG1_ESSM_X</t>
  </si>
  <si>
    <t xml:space="preserve">FFG1_ESSM_Y</t>
  </si>
  <si>
    <t xml:space="preserve">FFG2_ESSM_X</t>
  </si>
  <si>
    <t xml:space="preserve">FFG2_ESSM_Y</t>
  </si>
  <si>
    <t xml:space="preserve">FF23_1_SC_X</t>
  </si>
  <si>
    <t xml:space="preserve">FF23_1_SC_Y</t>
  </si>
  <si>
    <t xml:space="preserve">FF23_2_SC_X</t>
  </si>
  <si>
    <t xml:space="preserve">FF23_2_SC_Y</t>
  </si>
  <si>
    <t xml:space="preserve">FF23_3_SC_X</t>
  </si>
  <si>
    <t xml:space="preserve">FF23_3_SC_Y</t>
  </si>
  <si>
    <t xml:space="preserve">Buque</t>
  </si>
  <si>
    <t xml:space="preserve">X_centro</t>
  </si>
  <si>
    <t xml:space="preserve">Y_centro</t>
  </si>
  <si>
    <t xml:space="preserve">Label</t>
  </si>
  <si>
    <t xml:space="preserve">PUNTO DE REFERENCIA</t>
  </si>
  <si>
    <t xml:space="preserve">FFG-1</t>
  </si>
  <si>
    <t xml:space="preserve">FFG-2</t>
  </si>
  <si>
    <t xml:space="preserve">FF23-1</t>
  </si>
  <si>
    <t xml:space="preserve">FF23-2</t>
  </si>
  <si>
    <t xml:space="preserve">ANÁLISIS DE COBERTURA POR CONFIGURACIÓN</t>
  </si>
  <si>
    <t xml:space="preserve">Configuración</t>
  </si>
  <si>
    <t xml:space="preserve">FFG</t>
  </si>
  <si>
    <t xml:space="preserve">Radios ESSM(mn)</t>
  </si>
  <si>
    <t xml:space="preserve">Radios SC(mn)</t>
  </si>
  <si>
    <t xml:space="preserve">Cobertura relativa</t>
  </si>
  <si>
    <t xml:space="preserve">Recomendación</t>
  </si>
  <si>
    <t xml:space="preserve">1-FFG + 1-FF23</t>
  </si>
  <si>
    <t xml:space="preserve">1×25mn</t>
  </si>
  <si>
    <t xml:space="preserve">1×12mn</t>
  </si>
  <si>
    <t xml:space="preserve">Básica</t>
  </si>
  <si>
    <t xml:space="preserve">Solo eje de amenaza principal</t>
  </si>
  <si>
    <t xml:space="preserve">1-FFG + 2-FF23</t>
  </si>
  <si>
    <t xml:space="preserve">2×12mn</t>
  </si>
  <si>
    <t xml:space="preserve">Media</t>
  </si>
  <si>
    <t xml:space="preserve">FF23 en sectores 225° y 315°</t>
  </si>
  <si>
    <t xml:space="preserve">1-FFG + 3-FF23</t>
  </si>
  <si>
    <t xml:space="preserve">3×12mn</t>
  </si>
  <si>
    <t xml:space="preserve">Alta punto</t>
  </si>
  <si>
    <t xml:space="preserve">FF23 en 225°, 315° y 045°</t>
  </si>
  <si>
    <t xml:space="preserve">2-FFG + 1-FF23</t>
  </si>
  <si>
    <t xml:space="preserve">2×25mn</t>
  </si>
  <si>
    <t xml:space="preserve">Alta área</t>
  </si>
  <si>
    <t xml:space="preserve">FFG en 180° y 160°; FF23 en 270°</t>
  </si>
  <si>
    <t xml:space="preserve">Alta (ÓPTIMA)</t>
  </si>
  <si>
    <t xml:space="preserve">FFG 180°/160°; FF23 225°/315°</t>
  </si>
  <si>
    <t xml:space="preserve">2-FFG + 3-FF23</t>
  </si>
  <si>
    <t xml:space="preserve">Máxima cobertura</t>
  </si>
  <si>
    <t xml:space="preserve">Configuración máxima de recursos</t>
  </si>
  <si>
    <t xml:space="preserve">NOTA TÁCTICA: La configuración 2-FFG + 2-FF23 optimiza cobertura sobre el eje 000°. Posicione FFG-1 a 3500yd/180° y FFG-2 a 4200yd/160° para doble capa ESSM. FF23 en 225° y 315° cierra los sectores de aproximación oblicua al HVU. Recuerde que el HVU no posee capacidad defensiva antimisil.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</si>
</sst>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.0"/>
    <numFmt numFmtId="166" formatCode="0"/>
    <numFmt numFmtId="167" formatCode="0.00"/>
    <numFmt numFmtId="168" formatCode="0.0%"/>
    <numFmt numFmtId="169" formatCode="@"/>
  </numFmts>
  <fonts count="4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FFFFFF"/>
      <name val="Arial"/>
      <family val="0"/>
      <charset val="1"/>
    </font>
    <font>
      <i val="true"/>
      <sz val="10"/>
      <color rgb="FF595959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00008B"/>
      <name val="Arial"/>
      <family val="0"/>
      <charset val="1"/>
    </font>
    <font>
      <b val="true"/>
      <sz val="10"/>
      <color rgb="FF8B0000"/>
      <name val="Arial"/>
      <family val="0"/>
      <charset val="1"/>
    </font>
    <font>
      <b val="true"/>
      <sz val="10"/>
      <color rgb="FF006400"/>
      <name val="Arial"/>
      <family val="0"/>
      <charset val="1"/>
    </font>
    <font>
      <b val="true"/>
      <sz val="10"/>
      <color rgb="FF4B0082"/>
      <name val="Arial"/>
      <family val="0"/>
      <charset val="1"/>
    </font>
    <font>
      <b val="true"/>
      <i val="true"/>
      <sz val="9"/>
      <color rgb="FF1F3864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sz val="10"/>
      <color rgb="FF000080"/>
      <name val="Arial"/>
      <family val="0"/>
      <charset val="1"/>
    </font>
    <font>
      <sz val="10"/>
      <color rgb="FF595959"/>
      <name val="Arial"/>
      <family val="0"/>
      <charset val="1"/>
    </font>
    <font>
      <b val="true"/>
      <sz val="10"/>
      <color rgb="FF00B05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10"/>
      <name val="Arial"/>
      <family val="0"/>
      <charset val="1"/>
    </font>
    <font>
      <i val="true"/>
      <sz val="9"/>
      <color rgb="FF595959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sz val="10"/>
      <name val="Arial"/>
      <family val="0"/>
      <charset val="1"/>
    </font>
    <font>
      <sz val="9"/>
      <color rgb="FF000000"/>
      <name val="Arial"/>
      <family val="0"/>
      <charset val="1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11"/>
      <color rgb="FF1F3864"/>
      <name val="Arial"/>
      <family val="0"/>
      <charset val="1"/>
    </font>
    <font>
      <b val="true"/>
      <sz val="13"/>
      <color rgb="FFFFFFFF"/>
      <name val="Arial"/>
      <family val="0"/>
      <charset val="1"/>
    </font>
    <font>
      <b val="true"/>
      <sz val="10"/>
      <color rgb="FF1F3864"/>
      <name val="Arial"/>
      <family val="0"/>
      <charset val="1"/>
    </font>
    <font>
      <b val="true"/>
      <sz val="9"/>
      <color rgb="FF006400"/>
      <name val="Arial"/>
      <family val="0"/>
      <charset val="1"/>
    </font>
    <font>
      <b val="true"/>
      <sz val="9"/>
      <color rgb="FF0000CD"/>
      <name val="Arial"/>
      <family val="0"/>
      <charset val="1"/>
    </font>
    <font>
      <b val="true"/>
      <sz val="9"/>
      <color rgb="FFFF6600"/>
      <name val="Arial"/>
      <family val="0"/>
      <charset val="1"/>
    </font>
    <font>
      <b val="true"/>
      <sz val="9"/>
      <color rgb="FF1F3864"/>
      <name val="Arial"/>
      <family val="0"/>
      <charset val="1"/>
    </font>
    <font>
      <sz val="8"/>
      <color rgb="FF000000"/>
      <name val="Arial"/>
      <family val="0"/>
      <charset val="1"/>
    </font>
    <font>
      <i val="true"/>
      <sz val="9"/>
      <color rgb="FF8B0000"/>
      <name val="Arial"/>
      <family val="0"/>
      <charset val="1"/>
    </font>
    <font>
      <sz val="10"/>
      <color rgb="FF006400"/>
      <name val="Arial"/>
      <family val="0"/>
      <charset val="1"/>
    </font>
    <font>
      <sz val="9"/>
      <color rgb="FF8B0000"/>
      <name val="Arial"/>
      <family val="0"/>
      <charset val="1"/>
    </font>
    <font>
      <sz val="10"/>
      <color rgb="FF8B0000"/>
      <name val="Arial"/>
      <family val="0"/>
      <charset val="1"/>
    </font>
    <font>
      <b val="true"/>
      <sz val="10"/>
      <color rgb="FFFF0000"/>
      <name val="Arial"/>
      <family val="0"/>
      <charset val="1"/>
    </font>
    <font>
      <b val="true"/>
      <sz val="10"/>
      <color rgb="FF0000CD"/>
      <name val="Arial"/>
      <family val="0"/>
      <charset val="1"/>
    </font>
    <font>
      <b val="true"/>
      <sz val="10"/>
      <color rgb="FFFF6600"/>
      <name val="Arial"/>
      <family val="0"/>
      <charset val="1"/>
    </font>
    <font>
      <i val="true"/>
      <sz val="9"/>
      <color rgb="FF8B4500"/>
      <name val="Arial"/>
      <family val="0"/>
      <charset val="1"/>
    </font>
    <font>
      <b val="true"/>
      <sz val="8"/>
      <color rgb="FFFFFFFF"/>
      <name val="Arial"/>
      <family val="0"/>
      <charset val="1"/>
    </font>
    <font>
      <sz val="8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5090"/>
        <bgColor rgb="FF1F3864"/>
      </patternFill>
    </fill>
    <fill>
      <patternFill patternType="solid">
        <fgColor rgb="FF8B0000"/>
        <bgColor rgb="FFCC0000"/>
      </patternFill>
    </fill>
    <fill>
      <patternFill patternType="solid">
        <fgColor rgb="FF006400"/>
        <bgColor rgb="FF228B22"/>
      </patternFill>
    </fill>
    <fill>
      <patternFill patternType="solid">
        <fgColor rgb="FF4B0082"/>
        <bgColor rgb="FF800080"/>
      </patternFill>
    </fill>
    <fill>
      <patternFill patternType="solid">
        <fgColor rgb="FFFFFACD"/>
        <bgColor rgb="FFFFFDE7"/>
      </patternFill>
    </fill>
    <fill>
      <patternFill patternType="solid">
        <fgColor rgb="FFFFF0F0"/>
        <bgColor rgb="FFF5F5F5"/>
      </patternFill>
    </fill>
    <fill>
      <patternFill patternType="solid">
        <fgColor rgb="FFDFFFDF"/>
        <bgColor rgb="FFE8FFE8"/>
      </patternFill>
    </fill>
    <fill>
      <patternFill patternType="solid">
        <fgColor rgb="FFFF6600"/>
        <bgColor rgb="FFFF9900"/>
      </patternFill>
    </fill>
    <fill>
      <patternFill patternType="solid">
        <fgColor rgb="FFF0F4FF"/>
        <bgColor rgb="FFF5F5F5"/>
      </patternFill>
    </fill>
    <fill>
      <patternFill patternType="solid">
        <fgColor rgb="FFDEEAF1"/>
        <bgColor rgb="FFD6E8F4"/>
      </patternFill>
    </fill>
    <fill>
      <patternFill patternType="solid">
        <fgColor rgb="FFE2EFDA"/>
        <bgColor rgb="FFE2F0D4"/>
      </patternFill>
    </fill>
    <fill>
      <patternFill patternType="solid">
        <fgColor rgb="FFD6E8F4"/>
        <bgColor rgb="FFDEEAF1"/>
      </patternFill>
    </fill>
    <fill>
      <patternFill patternType="solid">
        <fgColor rgb="FFFFDDDD"/>
        <bgColor rgb="FFFFE0E0"/>
      </patternFill>
    </fill>
    <fill>
      <patternFill patternType="solid">
        <fgColor rgb="FFE2F0D4"/>
        <bgColor rgb="FFE2EFDA"/>
      </patternFill>
    </fill>
    <fill>
      <patternFill patternType="solid">
        <fgColor rgb="FFFFE8D5"/>
        <bgColor rgb="FFFFE0E0"/>
      </patternFill>
    </fill>
    <fill>
      <patternFill patternType="solid">
        <fgColor rgb="FFFFE0E0"/>
        <bgColor rgb="FFFFDDDD"/>
      </patternFill>
    </fill>
    <fill>
      <patternFill patternType="solid">
        <fgColor rgb="FFFFFDE7"/>
        <bgColor rgb="FFFFFFFF"/>
      </patternFill>
    </fill>
    <fill>
      <patternFill patternType="solid">
        <fgColor rgb="FF595959"/>
        <bgColor rgb="FF2E5090"/>
      </patternFill>
    </fill>
    <fill>
      <patternFill patternType="solid">
        <fgColor rgb="FFFFFFFF"/>
        <bgColor rgb="FFFFFDE7"/>
      </patternFill>
    </fill>
    <fill>
      <patternFill patternType="solid">
        <fgColor rgb="FFF5F5F5"/>
        <bgColor rgb="FFF0F4FF"/>
      </patternFill>
    </fill>
    <fill>
      <patternFill patternType="solid">
        <fgColor rgb="FFE8FFE8"/>
        <bgColor rgb="FFDFFFD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 style="thin">
        <color rgb="FFCCCCCC"/>
      </left>
      <right/>
      <top style="thin">
        <color rgb="FFCCCCCC"/>
      </top>
      <bottom style="thin">
        <color rgb="FFCCCCCC"/>
      </bottom>
      <diagonal/>
    </border>
    <border diagonalUp="false" diagonalDown="false"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7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2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0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7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3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3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6" fillId="7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9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5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2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11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30" fillId="1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6" fontId="11" fillId="1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3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1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30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1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16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16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1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1" fillId="14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2" fillId="17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18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3" fillId="1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2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4" fillId="2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1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5" fillId="2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2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5" fillId="2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23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1" fillId="2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19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32CD32"/>
      <rgbColor rgb="FF0000CD"/>
      <rgbColor rgb="FFFFE8D5"/>
      <rgbColor rgb="FFFF00FF"/>
      <rgbColor rgb="FF00FFFF"/>
      <rgbColor rgb="FF8B0000"/>
      <rgbColor rgb="FF006400"/>
      <rgbColor rgb="FF000080"/>
      <rgbColor rgb="FF808000"/>
      <rgbColor rgb="FF800080"/>
      <rgbColor rgb="FF00B050"/>
      <rgbColor rgb="FFBBBBBB"/>
      <rgbColor rgb="FF808080"/>
      <rgbColor rgb="FFE2EFDA"/>
      <rgbColor rgb="FF993366"/>
      <rgbColor rgb="FFFFFACD"/>
      <rgbColor rgb="FFE8FFE8"/>
      <rgbColor rgb="FF4B0082"/>
      <rgbColor rgb="FFF5F5F5"/>
      <rgbColor rgb="FF0066CC"/>
      <rgbColor rgb="FFCCCCCC"/>
      <rgbColor rgb="FF00008B"/>
      <rgbColor rgb="FFFF00FF"/>
      <rgbColor rgb="FFE2F0D4"/>
      <rgbColor rgb="FF00FFFF"/>
      <rgbColor rgb="FF800080"/>
      <rgbColor rgb="FFCC0000"/>
      <rgbColor rgb="FF008080"/>
      <rgbColor rgb="FF0000FF"/>
      <rgbColor rgb="FF00CCFF"/>
      <rgbColor rgb="FFD6E8F4"/>
      <rgbColor rgb="FFDFFFDF"/>
      <rgbColor rgb="FFFFFDE7"/>
      <rgbColor rgb="FFD9D9D9"/>
      <rgbColor rgb="FFFFE0E0"/>
      <rgbColor rgb="FFDEEAF1"/>
      <rgbColor rgb="FFFFDDDD"/>
      <rgbColor rgb="FF3366FF"/>
      <rgbColor rgb="FF33CCCC"/>
      <rgbColor rgb="FFF0F4FF"/>
      <rgbColor rgb="FFFFF0F0"/>
      <rgbColor rgb="FFFF9900"/>
      <rgbColor rgb="FFFF6600"/>
      <rgbColor rgb="FF595959"/>
      <rgbColor rgb="FFB3B3B3"/>
      <rgbColor rgb="FF1F3864"/>
      <rgbColor rgb="FF228B22"/>
      <rgbColor rgb="FF003300"/>
      <rgbColor rgb="FF333300"/>
      <rgbColor rgb="FF8B4500"/>
      <rgbColor rgb="FF993366"/>
      <rgbColor rgb="FF2E5090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Cobertura Táctica – Radio de Misiles vs HVU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scatterChart>
        <c:scatterStyle val="lineMarker"/>
        <c:varyColors val="0"/>
        <c:ser>
          <c:idx val="0"/>
          <c:order val="0"/>
          <c:tx>
            <c:strRef>
              <c:f>"Zona FF23 inner (500yd)"</c:f>
              <c:strCache>
                <c:ptCount val="1"/>
                <c:pt idx="0">
                  <c:v>Zona FF23 inner (500yd)</c:v>
                </c:pt>
              </c:strCache>
            </c:strRef>
          </c:tx>
          <c:spPr>
            <a:solidFill>
              <a:srgbClr val="006400"/>
            </a:solidFill>
            <a:ln w="15120">
              <a:solidFill>
                <a:srgbClr val="0064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7_COBERTURA_VISUAL!$C$16:$C$88</c:f>
              <c:numCache>
                <c:formatCode>0.0</c:formatCode>
                <c:ptCount val="73"/>
                <c:pt idx="0">
                  <c:v>0</c:v>
                </c:pt>
                <c:pt idx="1">
                  <c:v>43.5778713738291</c:v>
                </c:pt>
                <c:pt idx="2">
                  <c:v>86.8240888334652</c:v>
                </c:pt>
                <c:pt idx="3">
                  <c:v>129.40952255126</c:v>
                </c:pt>
                <c:pt idx="4">
                  <c:v>171.010071662834</c:v>
                </c:pt>
                <c:pt idx="5">
                  <c:v>211.30913087035</c:v>
                </c:pt>
                <c:pt idx="6">
                  <c:v>250</c:v>
                </c:pt>
                <c:pt idx="7">
                  <c:v>286.788218175523</c:v>
                </c:pt>
                <c:pt idx="8">
                  <c:v>321.39380484327</c:v>
                </c:pt>
                <c:pt idx="9">
                  <c:v>353.553390593274</c:v>
                </c:pt>
                <c:pt idx="10">
                  <c:v>383.022221559489</c:v>
                </c:pt>
                <c:pt idx="11">
                  <c:v>409.576022144496</c:v>
                </c:pt>
                <c:pt idx="12">
                  <c:v>433.012701892219</c:v>
                </c:pt>
                <c:pt idx="13">
                  <c:v>453.153893518325</c:v>
                </c:pt>
                <c:pt idx="14">
                  <c:v>469.846310392954</c:v>
                </c:pt>
                <c:pt idx="15">
                  <c:v>482.962913144534</c:v>
                </c:pt>
                <c:pt idx="16">
                  <c:v>492.403876506104</c:v>
                </c:pt>
                <c:pt idx="17">
                  <c:v>498.097349045873</c:v>
                </c:pt>
                <c:pt idx="18">
                  <c:v>500</c:v>
                </c:pt>
                <c:pt idx="19">
                  <c:v>498.097349045873</c:v>
                </c:pt>
                <c:pt idx="20">
                  <c:v>492.403876506104</c:v>
                </c:pt>
                <c:pt idx="21">
                  <c:v>482.962913144534</c:v>
                </c:pt>
                <c:pt idx="22">
                  <c:v>469.846310392954</c:v>
                </c:pt>
                <c:pt idx="23">
                  <c:v>453.153893518325</c:v>
                </c:pt>
                <c:pt idx="24">
                  <c:v>433.012701892219</c:v>
                </c:pt>
                <c:pt idx="25">
                  <c:v>409.576022144496</c:v>
                </c:pt>
                <c:pt idx="26">
                  <c:v>383.022221559489</c:v>
                </c:pt>
                <c:pt idx="27">
                  <c:v>353.553390593274</c:v>
                </c:pt>
                <c:pt idx="28">
                  <c:v>321.39380484327</c:v>
                </c:pt>
                <c:pt idx="29">
                  <c:v>286.788218175523</c:v>
                </c:pt>
                <c:pt idx="30">
                  <c:v>250</c:v>
                </c:pt>
                <c:pt idx="31">
                  <c:v>211.30913087035</c:v>
                </c:pt>
                <c:pt idx="32">
                  <c:v>171.010071662834</c:v>
                </c:pt>
                <c:pt idx="33">
                  <c:v>129.409522551261</c:v>
                </c:pt>
                <c:pt idx="34">
                  <c:v>86.8240888334653</c:v>
                </c:pt>
                <c:pt idx="35">
                  <c:v>43.5778713738291</c:v>
                </c:pt>
                <c:pt idx="36">
                  <c:v>6.12323399573677E-014</c:v>
                </c:pt>
                <c:pt idx="37">
                  <c:v>-43.577871373829</c:v>
                </c:pt>
                <c:pt idx="38">
                  <c:v>-86.8240888334652</c:v>
                </c:pt>
                <c:pt idx="39">
                  <c:v>-129.40952255126</c:v>
                </c:pt>
                <c:pt idx="40">
                  <c:v>-171.010071662834</c:v>
                </c:pt>
                <c:pt idx="41">
                  <c:v>-211.30913087035</c:v>
                </c:pt>
                <c:pt idx="42">
                  <c:v>-250</c:v>
                </c:pt>
                <c:pt idx="43">
                  <c:v>-286.788218175523</c:v>
                </c:pt>
                <c:pt idx="44">
                  <c:v>-321.39380484327</c:v>
                </c:pt>
                <c:pt idx="45">
                  <c:v>-353.553390593274</c:v>
                </c:pt>
                <c:pt idx="46">
                  <c:v>-383.022221559489</c:v>
                </c:pt>
                <c:pt idx="47">
                  <c:v>-409.576022144496</c:v>
                </c:pt>
                <c:pt idx="48">
                  <c:v>-433.012701892219</c:v>
                </c:pt>
                <c:pt idx="49">
                  <c:v>-453.153893518325</c:v>
                </c:pt>
                <c:pt idx="50">
                  <c:v>-469.846310392954</c:v>
                </c:pt>
                <c:pt idx="51">
                  <c:v>-482.962913144534</c:v>
                </c:pt>
                <c:pt idx="52">
                  <c:v>-492.403876506104</c:v>
                </c:pt>
                <c:pt idx="53">
                  <c:v>-498.097349045873</c:v>
                </c:pt>
                <c:pt idx="54">
                  <c:v>-500</c:v>
                </c:pt>
                <c:pt idx="55">
                  <c:v>-498.097349045873</c:v>
                </c:pt>
                <c:pt idx="56">
                  <c:v>-492.403876506104</c:v>
                </c:pt>
                <c:pt idx="57">
                  <c:v>-482.962913144534</c:v>
                </c:pt>
                <c:pt idx="58">
                  <c:v>-469.846310392954</c:v>
                </c:pt>
                <c:pt idx="59">
                  <c:v>-453.153893518325</c:v>
                </c:pt>
                <c:pt idx="60">
                  <c:v>-433.012701892219</c:v>
                </c:pt>
                <c:pt idx="61">
                  <c:v>-409.576022144496</c:v>
                </c:pt>
                <c:pt idx="62">
                  <c:v>-383.022221559489</c:v>
                </c:pt>
                <c:pt idx="63">
                  <c:v>-353.553390593274</c:v>
                </c:pt>
                <c:pt idx="64">
                  <c:v>-321.39380484327</c:v>
                </c:pt>
                <c:pt idx="65">
                  <c:v>-286.788218175523</c:v>
                </c:pt>
                <c:pt idx="66">
                  <c:v>-250</c:v>
                </c:pt>
                <c:pt idx="67">
                  <c:v>-211.30913087035</c:v>
                </c:pt>
                <c:pt idx="68">
                  <c:v>-171.010071662835</c:v>
                </c:pt>
                <c:pt idx="69">
                  <c:v>-129.40952255126</c:v>
                </c:pt>
                <c:pt idx="70">
                  <c:v>-86.8240888334652</c:v>
                </c:pt>
                <c:pt idx="71">
                  <c:v>-43.5778713738292</c:v>
                </c:pt>
                <c:pt idx="72">
                  <c:v>-1.22464679914735E-013</c:v>
                </c:pt>
              </c:numCache>
            </c:numRef>
          </c:xVal>
          <c:yVal>
            <c:numRef>
              <c:f>7_COBERTURA_VISUAL!$D$16:$D$88</c:f>
              <c:numCache>
                <c:formatCode>0.0</c:formatCode>
                <c:ptCount val="73"/>
                <c:pt idx="0">
                  <c:v>500</c:v>
                </c:pt>
                <c:pt idx="1">
                  <c:v>498.097349045873</c:v>
                </c:pt>
                <c:pt idx="2">
                  <c:v>492.403876506104</c:v>
                </c:pt>
                <c:pt idx="3">
                  <c:v>482.962913144534</c:v>
                </c:pt>
                <c:pt idx="4">
                  <c:v>469.846310392954</c:v>
                </c:pt>
                <c:pt idx="5">
                  <c:v>453.153893518325</c:v>
                </c:pt>
                <c:pt idx="6">
                  <c:v>433.012701892219</c:v>
                </c:pt>
                <c:pt idx="7">
                  <c:v>409.576022144496</c:v>
                </c:pt>
                <c:pt idx="8">
                  <c:v>383.022221559489</c:v>
                </c:pt>
                <c:pt idx="9">
                  <c:v>353.553390593274</c:v>
                </c:pt>
                <c:pt idx="10">
                  <c:v>321.39380484327</c:v>
                </c:pt>
                <c:pt idx="11">
                  <c:v>286.788218175523</c:v>
                </c:pt>
                <c:pt idx="12">
                  <c:v>250</c:v>
                </c:pt>
                <c:pt idx="13">
                  <c:v>211.30913087035</c:v>
                </c:pt>
                <c:pt idx="14">
                  <c:v>171.010071662834</c:v>
                </c:pt>
                <c:pt idx="15">
                  <c:v>129.40952255126</c:v>
                </c:pt>
                <c:pt idx="16">
                  <c:v>86.8240888334652</c:v>
                </c:pt>
                <c:pt idx="17">
                  <c:v>43.5778713738292</c:v>
                </c:pt>
                <c:pt idx="18">
                  <c:v>3.06161699786838E-014</c:v>
                </c:pt>
                <c:pt idx="19">
                  <c:v>-43.5778713738291</c:v>
                </c:pt>
                <c:pt idx="20">
                  <c:v>-86.8240888334652</c:v>
                </c:pt>
                <c:pt idx="21">
                  <c:v>-129.40952255126</c:v>
                </c:pt>
                <c:pt idx="22">
                  <c:v>-171.010071662834</c:v>
                </c:pt>
                <c:pt idx="23">
                  <c:v>-211.30913087035</c:v>
                </c:pt>
                <c:pt idx="24">
                  <c:v>-250</c:v>
                </c:pt>
                <c:pt idx="25">
                  <c:v>-286.788218175523</c:v>
                </c:pt>
                <c:pt idx="26">
                  <c:v>-321.39380484327</c:v>
                </c:pt>
                <c:pt idx="27">
                  <c:v>-353.553390593274</c:v>
                </c:pt>
                <c:pt idx="28">
                  <c:v>-383.022221559489</c:v>
                </c:pt>
                <c:pt idx="29">
                  <c:v>-409.576022144496</c:v>
                </c:pt>
                <c:pt idx="30">
                  <c:v>-433.012701892219</c:v>
                </c:pt>
                <c:pt idx="31">
                  <c:v>-453.153893518325</c:v>
                </c:pt>
                <c:pt idx="32">
                  <c:v>-469.846310392954</c:v>
                </c:pt>
                <c:pt idx="33">
                  <c:v>-482.962913144534</c:v>
                </c:pt>
                <c:pt idx="34">
                  <c:v>-492.403876506104</c:v>
                </c:pt>
                <c:pt idx="35">
                  <c:v>-498.097349045873</c:v>
                </c:pt>
                <c:pt idx="36">
                  <c:v>-500</c:v>
                </c:pt>
                <c:pt idx="37">
                  <c:v>-498.097349045873</c:v>
                </c:pt>
                <c:pt idx="38">
                  <c:v>-492.403876506104</c:v>
                </c:pt>
                <c:pt idx="39">
                  <c:v>-482.962913144534</c:v>
                </c:pt>
                <c:pt idx="40">
                  <c:v>-469.846310392954</c:v>
                </c:pt>
                <c:pt idx="41">
                  <c:v>-453.153893518325</c:v>
                </c:pt>
                <c:pt idx="42">
                  <c:v>-433.012701892219</c:v>
                </c:pt>
                <c:pt idx="43">
                  <c:v>-409.576022144496</c:v>
                </c:pt>
                <c:pt idx="44">
                  <c:v>-383.022221559489</c:v>
                </c:pt>
                <c:pt idx="45">
                  <c:v>-353.553390593274</c:v>
                </c:pt>
                <c:pt idx="46">
                  <c:v>-321.39380484327</c:v>
                </c:pt>
                <c:pt idx="47">
                  <c:v>-286.788218175523</c:v>
                </c:pt>
                <c:pt idx="48">
                  <c:v>-250</c:v>
                </c:pt>
                <c:pt idx="49">
                  <c:v>-211.30913087035</c:v>
                </c:pt>
                <c:pt idx="50">
                  <c:v>-171.010071662835</c:v>
                </c:pt>
                <c:pt idx="51">
                  <c:v>-129.40952255126</c:v>
                </c:pt>
                <c:pt idx="52">
                  <c:v>-86.8240888334652</c:v>
                </c:pt>
                <c:pt idx="53">
                  <c:v>-43.5778713738291</c:v>
                </c:pt>
                <c:pt idx="54">
                  <c:v>-9.18485099360515E-014</c:v>
                </c:pt>
                <c:pt idx="55">
                  <c:v>43.5778713738289</c:v>
                </c:pt>
                <c:pt idx="56">
                  <c:v>86.824088833465</c:v>
                </c:pt>
                <c:pt idx="57">
                  <c:v>129.40952255126</c:v>
                </c:pt>
                <c:pt idx="58">
                  <c:v>171.010071662835</c:v>
                </c:pt>
                <c:pt idx="59">
                  <c:v>211.309130870349</c:v>
                </c:pt>
                <c:pt idx="60">
                  <c:v>250</c:v>
                </c:pt>
                <c:pt idx="61">
                  <c:v>286.788218175523</c:v>
                </c:pt>
                <c:pt idx="62">
                  <c:v>321.39380484327</c:v>
                </c:pt>
                <c:pt idx="63">
                  <c:v>353.553390593274</c:v>
                </c:pt>
                <c:pt idx="64">
                  <c:v>383.022221559489</c:v>
                </c:pt>
                <c:pt idx="65">
                  <c:v>409.576022144496</c:v>
                </c:pt>
                <c:pt idx="66">
                  <c:v>433.012701892219</c:v>
                </c:pt>
                <c:pt idx="67">
                  <c:v>453.153893518325</c:v>
                </c:pt>
                <c:pt idx="68">
                  <c:v>469.846310392954</c:v>
                </c:pt>
                <c:pt idx="69">
                  <c:v>482.962913144534</c:v>
                </c:pt>
                <c:pt idx="70">
                  <c:v>492.403876506104</c:v>
                </c:pt>
                <c:pt idx="71">
                  <c:v>498.097349045873</c:v>
                </c:pt>
                <c:pt idx="72">
                  <c:v>500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"Zona borde (2000yd)"</c:f>
              <c:strCache>
                <c:ptCount val="1"/>
                <c:pt idx="0">
                  <c:v>Zona borde (2000yd)</c:v>
                </c:pt>
              </c:strCache>
            </c:strRef>
          </c:tx>
          <c:spPr>
            <a:solidFill>
              <a:srgbClr val="0000cd"/>
            </a:solidFill>
            <a:ln w="15120">
              <a:solidFill>
                <a:srgbClr val="0000cd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7_COBERTURA_VISUAL!$E$16:$E$88</c:f>
              <c:numCache>
                <c:formatCode>0.0</c:formatCode>
                <c:ptCount val="73"/>
                <c:pt idx="0">
                  <c:v>0</c:v>
                </c:pt>
                <c:pt idx="1">
                  <c:v>174.311485495316</c:v>
                </c:pt>
                <c:pt idx="2">
                  <c:v>347.296355333861</c:v>
                </c:pt>
                <c:pt idx="3">
                  <c:v>517.638090205042</c:v>
                </c:pt>
                <c:pt idx="4">
                  <c:v>684.040286651337</c:v>
                </c:pt>
                <c:pt idx="5">
                  <c:v>845.236523481399</c:v>
                </c:pt>
                <c:pt idx="6">
                  <c:v>1000</c:v>
                </c:pt>
                <c:pt idx="7">
                  <c:v>1147.15287270209</c:v>
                </c:pt>
                <c:pt idx="8">
                  <c:v>1285.57521937308</c:v>
                </c:pt>
                <c:pt idx="9">
                  <c:v>1414.21356237309</c:v>
                </c:pt>
                <c:pt idx="10">
                  <c:v>1532.08888623796</c:v>
                </c:pt>
                <c:pt idx="11">
                  <c:v>1638.30408857798</c:v>
                </c:pt>
                <c:pt idx="12">
                  <c:v>1732.05080756888</c:v>
                </c:pt>
                <c:pt idx="13">
                  <c:v>1812.6155740733</c:v>
                </c:pt>
                <c:pt idx="14">
                  <c:v>1879.38524157182</c:v>
                </c:pt>
                <c:pt idx="15">
                  <c:v>1931.85165257814</c:v>
                </c:pt>
                <c:pt idx="16">
                  <c:v>1969.61550602442</c:v>
                </c:pt>
                <c:pt idx="17">
                  <c:v>1992.38939618349</c:v>
                </c:pt>
                <c:pt idx="18">
                  <c:v>2000</c:v>
                </c:pt>
                <c:pt idx="19">
                  <c:v>1992.38939618349</c:v>
                </c:pt>
                <c:pt idx="20">
                  <c:v>1969.61550602442</c:v>
                </c:pt>
                <c:pt idx="21">
                  <c:v>1931.85165257814</c:v>
                </c:pt>
                <c:pt idx="22">
                  <c:v>1879.38524157182</c:v>
                </c:pt>
                <c:pt idx="23">
                  <c:v>1812.6155740733</c:v>
                </c:pt>
                <c:pt idx="24">
                  <c:v>1732.05080756888</c:v>
                </c:pt>
                <c:pt idx="25">
                  <c:v>1638.30408857798</c:v>
                </c:pt>
                <c:pt idx="26">
                  <c:v>1532.08888623796</c:v>
                </c:pt>
                <c:pt idx="27">
                  <c:v>1414.2135623731</c:v>
                </c:pt>
                <c:pt idx="28">
                  <c:v>1285.57521937308</c:v>
                </c:pt>
                <c:pt idx="29">
                  <c:v>1147.15287270209</c:v>
                </c:pt>
                <c:pt idx="30">
                  <c:v>1000</c:v>
                </c:pt>
                <c:pt idx="31">
                  <c:v>845.236523481399</c:v>
                </c:pt>
                <c:pt idx="32">
                  <c:v>684.040286651338</c:v>
                </c:pt>
                <c:pt idx="33">
                  <c:v>517.638090205042</c:v>
                </c:pt>
                <c:pt idx="34">
                  <c:v>347.296355333861</c:v>
                </c:pt>
                <c:pt idx="35">
                  <c:v>174.311485495316</c:v>
                </c:pt>
                <c:pt idx="36">
                  <c:v>2.44929359829471E-013</c:v>
                </c:pt>
                <c:pt idx="37">
                  <c:v>-174.311485495316</c:v>
                </c:pt>
                <c:pt idx="38">
                  <c:v>-347.296355333861</c:v>
                </c:pt>
                <c:pt idx="39">
                  <c:v>-517.638090205041</c:v>
                </c:pt>
                <c:pt idx="40">
                  <c:v>-684.040286651337</c:v>
                </c:pt>
                <c:pt idx="41">
                  <c:v>-845.236523481399</c:v>
                </c:pt>
                <c:pt idx="42">
                  <c:v>-1000</c:v>
                </c:pt>
                <c:pt idx="43">
                  <c:v>-1147.15287270209</c:v>
                </c:pt>
                <c:pt idx="44">
                  <c:v>-1285.57521937308</c:v>
                </c:pt>
                <c:pt idx="45">
                  <c:v>-1414.21356237309</c:v>
                </c:pt>
                <c:pt idx="46">
                  <c:v>-1532.08888623796</c:v>
                </c:pt>
                <c:pt idx="47">
                  <c:v>-1638.30408857798</c:v>
                </c:pt>
                <c:pt idx="48">
                  <c:v>-1732.05080756888</c:v>
                </c:pt>
                <c:pt idx="49">
                  <c:v>-1812.6155740733</c:v>
                </c:pt>
                <c:pt idx="50">
                  <c:v>-1879.38524157182</c:v>
                </c:pt>
                <c:pt idx="51">
                  <c:v>-1931.85165257814</c:v>
                </c:pt>
                <c:pt idx="52">
                  <c:v>-1969.61550602442</c:v>
                </c:pt>
                <c:pt idx="53">
                  <c:v>-1992.38939618349</c:v>
                </c:pt>
                <c:pt idx="54">
                  <c:v>-2000</c:v>
                </c:pt>
                <c:pt idx="55">
                  <c:v>-1992.38939618349</c:v>
                </c:pt>
                <c:pt idx="56">
                  <c:v>-1969.61550602442</c:v>
                </c:pt>
                <c:pt idx="57">
                  <c:v>-1931.85165257814</c:v>
                </c:pt>
                <c:pt idx="58">
                  <c:v>-1879.38524157182</c:v>
                </c:pt>
                <c:pt idx="59">
                  <c:v>-1812.6155740733</c:v>
                </c:pt>
                <c:pt idx="60">
                  <c:v>-1732.05080756888</c:v>
                </c:pt>
                <c:pt idx="61">
                  <c:v>-1638.30408857798</c:v>
                </c:pt>
                <c:pt idx="62">
                  <c:v>-1532.08888623796</c:v>
                </c:pt>
                <c:pt idx="63">
                  <c:v>-1414.2135623731</c:v>
                </c:pt>
                <c:pt idx="64">
                  <c:v>-1285.57521937308</c:v>
                </c:pt>
                <c:pt idx="65">
                  <c:v>-1147.15287270209</c:v>
                </c:pt>
                <c:pt idx="66">
                  <c:v>-1000</c:v>
                </c:pt>
                <c:pt idx="67">
                  <c:v>-845.236523481398</c:v>
                </c:pt>
                <c:pt idx="68">
                  <c:v>-684.040286651339</c:v>
                </c:pt>
                <c:pt idx="69">
                  <c:v>-517.638090205041</c:v>
                </c:pt>
                <c:pt idx="70">
                  <c:v>-347.296355333861</c:v>
                </c:pt>
                <c:pt idx="71">
                  <c:v>-174.311485495317</c:v>
                </c:pt>
                <c:pt idx="72">
                  <c:v>-4.89858719658941E-013</c:v>
                </c:pt>
              </c:numCache>
            </c:numRef>
          </c:xVal>
          <c:yVal>
            <c:numRef>
              <c:f>7_COBERTURA_VISUAL!$F$16:$F$88</c:f>
              <c:numCache>
                <c:formatCode>0.0</c:formatCode>
                <c:ptCount val="73"/>
                <c:pt idx="0">
                  <c:v>2000</c:v>
                </c:pt>
                <c:pt idx="1">
                  <c:v>1992.38939618349</c:v>
                </c:pt>
                <c:pt idx="2">
                  <c:v>1969.61550602442</c:v>
                </c:pt>
                <c:pt idx="3">
                  <c:v>1931.85165257814</c:v>
                </c:pt>
                <c:pt idx="4">
                  <c:v>1879.38524157182</c:v>
                </c:pt>
                <c:pt idx="5">
                  <c:v>1812.6155740733</c:v>
                </c:pt>
                <c:pt idx="6">
                  <c:v>1732.05080756888</c:v>
                </c:pt>
                <c:pt idx="7">
                  <c:v>1638.30408857798</c:v>
                </c:pt>
                <c:pt idx="8">
                  <c:v>1532.08888623796</c:v>
                </c:pt>
                <c:pt idx="9">
                  <c:v>1414.2135623731</c:v>
                </c:pt>
                <c:pt idx="10">
                  <c:v>1285.57521937308</c:v>
                </c:pt>
                <c:pt idx="11">
                  <c:v>1147.15287270209</c:v>
                </c:pt>
                <c:pt idx="12">
                  <c:v>1000</c:v>
                </c:pt>
                <c:pt idx="13">
                  <c:v>845.236523481399</c:v>
                </c:pt>
                <c:pt idx="14">
                  <c:v>684.040286651338</c:v>
                </c:pt>
                <c:pt idx="15">
                  <c:v>517.638090205042</c:v>
                </c:pt>
                <c:pt idx="16">
                  <c:v>347.296355333861</c:v>
                </c:pt>
                <c:pt idx="17">
                  <c:v>174.311485495317</c:v>
                </c:pt>
                <c:pt idx="18">
                  <c:v>1.22464679914735E-013</c:v>
                </c:pt>
                <c:pt idx="19">
                  <c:v>-174.311485495316</c:v>
                </c:pt>
                <c:pt idx="20">
                  <c:v>-347.296355333861</c:v>
                </c:pt>
                <c:pt idx="21">
                  <c:v>-517.638090205042</c:v>
                </c:pt>
                <c:pt idx="22">
                  <c:v>-684.040286651337</c:v>
                </c:pt>
                <c:pt idx="23">
                  <c:v>-845.236523481399</c:v>
                </c:pt>
                <c:pt idx="24">
                  <c:v>-1000</c:v>
                </c:pt>
                <c:pt idx="25">
                  <c:v>-1147.15287270209</c:v>
                </c:pt>
                <c:pt idx="26">
                  <c:v>-1285.57521937308</c:v>
                </c:pt>
                <c:pt idx="27">
                  <c:v>-1414.21356237309</c:v>
                </c:pt>
                <c:pt idx="28">
                  <c:v>-1532.08888623796</c:v>
                </c:pt>
                <c:pt idx="29">
                  <c:v>-1638.30408857798</c:v>
                </c:pt>
                <c:pt idx="30">
                  <c:v>-1732.05080756888</c:v>
                </c:pt>
                <c:pt idx="31">
                  <c:v>-1812.6155740733</c:v>
                </c:pt>
                <c:pt idx="32">
                  <c:v>-1879.38524157182</c:v>
                </c:pt>
                <c:pt idx="33">
                  <c:v>-1931.85165257814</c:v>
                </c:pt>
                <c:pt idx="34">
                  <c:v>-1969.61550602442</c:v>
                </c:pt>
                <c:pt idx="35">
                  <c:v>-1992.38939618349</c:v>
                </c:pt>
                <c:pt idx="36">
                  <c:v>-2000</c:v>
                </c:pt>
                <c:pt idx="37">
                  <c:v>-1992.38939618349</c:v>
                </c:pt>
                <c:pt idx="38">
                  <c:v>-1969.61550602442</c:v>
                </c:pt>
                <c:pt idx="39">
                  <c:v>-1931.85165257814</c:v>
                </c:pt>
                <c:pt idx="40">
                  <c:v>-1879.38524157182</c:v>
                </c:pt>
                <c:pt idx="41">
                  <c:v>-1812.6155740733</c:v>
                </c:pt>
                <c:pt idx="42">
                  <c:v>-1732.05080756888</c:v>
                </c:pt>
                <c:pt idx="43">
                  <c:v>-1638.30408857798</c:v>
                </c:pt>
                <c:pt idx="44">
                  <c:v>-1532.08888623796</c:v>
                </c:pt>
                <c:pt idx="45">
                  <c:v>-1414.2135623731</c:v>
                </c:pt>
                <c:pt idx="46">
                  <c:v>-1285.57521937308</c:v>
                </c:pt>
                <c:pt idx="47">
                  <c:v>-1147.15287270209</c:v>
                </c:pt>
                <c:pt idx="48">
                  <c:v>-1000</c:v>
                </c:pt>
                <c:pt idx="49">
                  <c:v>-845.236523481398</c:v>
                </c:pt>
                <c:pt idx="50">
                  <c:v>-684.040286651339</c:v>
                </c:pt>
                <c:pt idx="51">
                  <c:v>-517.638090205041</c:v>
                </c:pt>
                <c:pt idx="52">
                  <c:v>-347.296355333861</c:v>
                </c:pt>
                <c:pt idx="53">
                  <c:v>-174.311485495317</c:v>
                </c:pt>
                <c:pt idx="54">
                  <c:v>-3.67394039744206E-013</c:v>
                </c:pt>
                <c:pt idx="55">
                  <c:v>174.311485495316</c:v>
                </c:pt>
                <c:pt idx="56">
                  <c:v>347.29635533386</c:v>
                </c:pt>
                <c:pt idx="57">
                  <c:v>517.638090205041</c:v>
                </c:pt>
                <c:pt idx="58">
                  <c:v>684.040286651338</c:v>
                </c:pt>
                <c:pt idx="59">
                  <c:v>845.236523481398</c:v>
                </c:pt>
                <c:pt idx="60">
                  <c:v>1000</c:v>
                </c:pt>
                <c:pt idx="61">
                  <c:v>1147.15287270209</c:v>
                </c:pt>
                <c:pt idx="62">
                  <c:v>1285.57521937308</c:v>
                </c:pt>
                <c:pt idx="63">
                  <c:v>1414.21356237309</c:v>
                </c:pt>
                <c:pt idx="64">
                  <c:v>1532.08888623796</c:v>
                </c:pt>
                <c:pt idx="65">
                  <c:v>1638.30408857798</c:v>
                </c:pt>
                <c:pt idx="66">
                  <c:v>1732.05080756888</c:v>
                </c:pt>
                <c:pt idx="67">
                  <c:v>1812.6155740733</c:v>
                </c:pt>
                <c:pt idx="68">
                  <c:v>1879.38524157182</c:v>
                </c:pt>
                <c:pt idx="69">
                  <c:v>1931.85165257814</c:v>
                </c:pt>
                <c:pt idx="70">
                  <c:v>1969.61550602442</c:v>
                </c:pt>
                <c:pt idx="71">
                  <c:v>1992.38939618349</c:v>
                </c:pt>
                <c:pt idx="72">
                  <c:v>2000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"Zona FFG outer (5000yd)"</c:f>
              <c:strCache>
                <c:ptCount val="1"/>
                <c:pt idx="0">
                  <c:v>Zona FFG outer (5000yd)</c:v>
                </c:pt>
              </c:strCache>
            </c:strRef>
          </c:tx>
          <c:spPr>
            <a:solidFill>
              <a:srgbClr val="ff6600"/>
            </a:solidFill>
            <a:ln w="15120">
              <a:solidFill>
                <a:srgbClr val="ff6600"/>
              </a:solidFill>
              <a:prstDash val="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7_COBERTURA_VISUAL!$G$16:$G$88</c:f>
              <c:numCache>
                <c:formatCode>0.0</c:formatCode>
                <c:ptCount val="73"/>
                <c:pt idx="0">
                  <c:v>0</c:v>
                </c:pt>
                <c:pt idx="1">
                  <c:v>435.778713738291</c:v>
                </c:pt>
                <c:pt idx="2">
                  <c:v>868.240888334652</c:v>
                </c:pt>
                <c:pt idx="3">
                  <c:v>1294.0952255126</c:v>
                </c:pt>
                <c:pt idx="4">
                  <c:v>1710.10071662834</c:v>
                </c:pt>
                <c:pt idx="5">
                  <c:v>2113.0913087035</c:v>
                </c:pt>
                <c:pt idx="6">
                  <c:v>2500</c:v>
                </c:pt>
                <c:pt idx="7">
                  <c:v>2867.88218175523</c:v>
                </c:pt>
                <c:pt idx="8">
                  <c:v>3213.9380484327</c:v>
                </c:pt>
                <c:pt idx="9">
                  <c:v>3535.53390593274</c:v>
                </c:pt>
                <c:pt idx="10">
                  <c:v>3830.22221559489</c:v>
                </c:pt>
                <c:pt idx="11">
                  <c:v>4095.76022144496</c:v>
                </c:pt>
                <c:pt idx="12">
                  <c:v>4330.12701892219</c:v>
                </c:pt>
                <c:pt idx="13">
                  <c:v>4531.53893518325</c:v>
                </c:pt>
                <c:pt idx="14">
                  <c:v>4698.46310392954</c:v>
                </c:pt>
                <c:pt idx="15">
                  <c:v>4829.62913144534</c:v>
                </c:pt>
                <c:pt idx="16">
                  <c:v>4924.03876506104</c:v>
                </c:pt>
                <c:pt idx="17">
                  <c:v>4980.97349045873</c:v>
                </c:pt>
                <c:pt idx="18">
                  <c:v>5000</c:v>
                </c:pt>
                <c:pt idx="19">
                  <c:v>4980.97349045873</c:v>
                </c:pt>
                <c:pt idx="20">
                  <c:v>4924.03876506104</c:v>
                </c:pt>
                <c:pt idx="21">
                  <c:v>4829.62913144534</c:v>
                </c:pt>
                <c:pt idx="22">
                  <c:v>4698.46310392954</c:v>
                </c:pt>
                <c:pt idx="23">
                  <c:v>4531.53893518325</c:v>
                </c:pt>
                <c:pt idx="24">
                  <c:v>4330.12701892219</c:v>
                </c:pt>
                <c:pt idx="25">
                  <c:v>4095.76022144496</c:v>
                </c:pt>
                <c:pt idx="26">
                  <c:v>3830.22221559489</c:v>
                </c:pt>
                <c:pt idx="27">
                  <c:v>3535.53390593274</c:v>
                </c:pt>
                <c:pt idx="28">
                  <c:v>3213.9380484327</c:v>
                </c:pt>
                <c:pt idx="29">
                  <c:v>2867.88218175523</c:v>
                </c:pt>
                <c:pt idx="30">
                  <c:v>2500</c:v>
                </c:pt>
                <c:pt idx="31">
                  <c:v>2113.0913087035</c:v>
                </c:pt>
                <c:pt idx="32">
                  <c:v>1710.10071662834</c:v>
                </c:pt>
                <c:pt idx="33">
                  <c:v>1294.09522551261</c:v>
                </c:pt>
                <c:pt idx="34">
                  <c:v>868.240888334654</c:v>
                </c:pt>
                <c:pt idx="35">
                  <c:v>435.778713738291</c:v>
                </c:pt>
                <c:pt idx="36">
                  <c:v>6.12323399573677E-013</c:v>
                </c:pt>
                <c:pt idx="37">
                  <c:v>-435.77871373829</c:v>
                </c:pt>
                <c:pt idx="38">
                  <c:v>-868.240888334652</c:v>
                </c:pt>
                <c:pt idx="39">
                  <c:v>-1294.0952255126</c:v>
                </c:pt>
                <c:pt idx="40">
                  <c:v>-1710.10071662834</c:v>
                </c:pt>
                <c:pt idx="41">
                  <c:v>-2113.0913087035</c:v>
                </c:pt>
                <c:pt idx="42">
                  <c:v>-2500</c:v>
                </c:pt>
                <c:pt idx="43">
                  <c:v>-2867.88218175523</c:v>
                </c:pt>
                <c:pt idx="44">
                  <c:v>-3213.9380484327</c:v>
                </c:pt>
                <c:pt idx="45">
                  <c:v>-3535.53390593274</c:v>
                </c:pt>
                <c:pt idx="46">
                  <c:v>-3830.22221559489</c:v>
                </c:pt>
                <c:pt idx="47">
                  <c:v>-4095.76022144496</c:v>
                </c:pt>
                <c:pt idx="48">
                  <c:v>-4330.12701892219</c:v>
                </c:pt>
                <c:pt idx="49">
                  <c:v>-4531.53893518325</c:v>
                </c:pt>
                <c:pt idx="50">
                  <c:v>-4698.46310392954</c:v>
                </c:pt>
                <c:pt idx="51">
                  <c:v>-4829.62913144534</c:v>
                </c:pt>
                <c:pt idx="52">
                  <c:v>-4924.03876506104</c:v>
                </c:pt>
                <c:pt idx="53">
                  <c:v>-4980.97349045873</c:v>
                </c:pt>
                <c:pt idx="54">
                  <c:v>-5000</c:v>
                </c:pt>
                <c:pt idx="55">
                  <c:v>-4980.97349045873</c:v>
                </c:pt>
                <c:pt idx="56">
                  <c:v>-4924.03876506104</c:v>
                </c:pt>
                <c:pt idx="57">
                  <c:v>-4829.62913144534</c:v>
                </c:pt>
                <c:pt idx="58">
                  <c:v>-4698.46310392954</c:v>
                </c:pt>
                <c:pt idx="59">
                  <c:v>-4531.53893518325</c:v>
                </c:pt>
                <c:pt idx="60">
                  <c:v>-4330.12701892219</c:v>
                </c:pt>
                <c:pt idx="61">
                  <c:v>-4095.76022144496</c:v>
                </c:pt>
                <c:pt idx="62">
                  <c:v>-3830.22221559489</c:v>
                </c:pt>
                <c:pt idx="63">
                  <c:v>-3535.53390593274</c:v>
                </c:pt>
                <c:pt idx="64">
                  <c:v>-3213.9380484327</c:v>
                </c:pt>
                <c:pt idx="65">
                  <c:v>-2867.88218175523</c:v>
                </c:pt>
                <c:pt idx="66">
                  <c:v>-2500</c:v>
                </c:pt>
                <c:pt idx="67">
                  <c:v>-2113.0913087035</c:v>
                </c:pt>
                <c:pt idx="68">
                  <c:v>-1710.10071662835</c:v>
                </c:pt>
                <c:pt idx="69">
                  <c:v>-1294.0952255126</c:v>
                </c:pt>
                <c:pt idx="70">
                  <c:v>-868.240888334652</c:v>
                </c:pt>
                <c:pt idx="71">
                  <c:v>-435.778713738292</c:v>
                </c:pt>
                <c:pt idx="72">
                  <c:v>-1.22464679914735E-012</c:v>
                </c:pt>
              </c:numCache>
            </c:numRef>
          </c:xVal>
          <c:yVal>
            <c:numRef>
              <c:f>7_COBERTURA_VISUAL!$H$16:$H$88</c:f>
              <c:numCache>
                <c:formatCode>0.0</c:formatCode>
                <c:ptCount val="73"/>
                <c:pt idx="0">
                  <c:v>5000</c:v>
                </c:pt>
                <c:pt idx="1">
                  <c:v>4980.97349045873</c:v>
                </c:pt>
                <c:pt idx="2">
                  <c:v>4924.03876506104</c:v>
                </c:pt>
                <c:pt idx="3">
                  <c:v>4829.62913144534</c:v>
                </c:pt>
                <c:pt idx="4">
                  <c:v>4698.46310392954</c:v>
                </c:pt>
                <c:pt idx="5">
                  <c:v>4531.53893518325</c:v>
                </c:pt>
                <c:pt idx="6">
                  <c:v>4330.12701892219</c:v>
                </c:pt>
                <c:pt idx="7">
                  <c:v>4095.76022144496</c:v>
                </c:pt>
                <c:pt idx="8">
                  <c:v>3830.22221559489</c:v>
                </c:pt>
                <c:pt idx="9">
                  <c:v>3535.53390593274</c:v>
                </c:pt>
                <c:pt idx="10">
                  <c:v>3213.9380484327</c:v>
                </c:pt>
                <c:pt idx="11">
                  <c:v>2867.88218175523</c:v>
                </c:pt>
                <c:pt idx="12">
                  <c:v>2500</c:v>
                </c:pt>
                <c:pt idx="13">
                  <c:v>2113.0913087035</c:v>
                </c:pt>
                <c:pt idx="14">
                  <c:v>1710.10071662834</c:v>
                </c:pt>
                <c:pt idx="15">
                  <c:v>1294.0952255126</c:v>
                </c:pt>
                <c:pt idx="16">
                  <c:v>868.240888334652</c:v>
                </c:pt>
                <c:pt idx="17">
                  <c:v>435.778713738292</c:v>
                </c:pt>
                <c:pt idx="18">
                  <c:v>3.06161699786838E-013</c:v>
                </c:pt>
                <c:pt idx="19">
                  <c:v>-435.778713738291</c:v>
                </c:pt>
                <c:pt idx="20">
                  <c:v>-868.240888334652</c:v>
                </c:pt>
                <c:pt idx="21">
                  <c:v>-1294.0952255126</c:v>
                </c:pt>
                <c:pt idx="22">
                  <c:v>-1710.10071662834</c:v>
                </c:pt>
                <c:pt idx="23">
                  <c:v>-2113.0913087035</c:v>
                </c:pt>
                <c:pt idx="24">
                  <c:v>-2500</c:v>
                </c:pt>
                <c:pt idx="25">
                  <c:v>-2867.88218175523</c:v>
                </c:pt>
                <c:pt idx="26">
                  <c:v>-3213.9380484327</c:v>
                </c:pt>
                <c:pt idx="27">
                  <c:v>-3535.53390593274</c:v>
                </c:pt>
                <c:pt idx="28">
                  <c:v>-3830.22221559489</c:v>
                </c:pt>
                <c:pt idx="29">
                  <c:v>-4095.76022144496</c:v>
                </c:pt>
                <c:pt idx="30">
                  <c:v>-4330.12701892219</c:v>
                </c:pt>
                <c:pt idx="31">
                  <c:v>-4531.53893518325</c:v>
                </c:pt>
                <c:pt idx="32">
                  <c:v>-4698.46310392954</c:v>
                </c:pt>
                <c:pt idx="33">
                  <c:v>-4829.62913144534</c:v>
                </c:pt>
                <c:pt idx="34">
                  <c:v>-4924.03876506104</c:v>
                </c:pt>
                <c:pt idx="35">
                  <c:v>-4980.97349045873</c:v>
                </c:pt>
                <c:pt idx="36">
                  <c:v>-5000</c:v>
                </c:pt>
                <c:pt idx="37">
                  <c:v>-4980.97349045873</c:v>
                </c:pt>
                <c:pt idx="38">
                  <c:v>-4924.03876506104</c:v>
                </c:pt>
                <c:pt idx="39">
                  <c:v>-4829.62913144534</c:v>
                </c:pt>
                <c:pt idx="40">
                  <c:v>-4698.46310392954</c:v>
                </c:pt>
                <c:pt idx="41">
                  <c:v>-4531.53893518325</c:v>
                </c:pt>
                <c:pt idx="42">
                  <c:v>-4330.12701892219</c:v>
                </c:pt>
                <c:pt idx="43">
                  <c:v>-4095.76022144496</c:v>
                </c:pt>
                <c:pt idx="44">
                  <c:v>-3830.22221559489</c:v>
                </c:pt>
                <c:pt idx="45">
                  <c:v>-3535.53390593274</c:v>
                </c:pt>
                <c:pt idx="46">
                  <c:v>-3213.9380484327</c:v>
                </c:pt>
                <c:pt idx="47">
                  <c:v>-2867.88218175523</c:v>
                </c:pt>
                <c:pt idx="48">
                  <c:v>-2500</c:v>
                </c:pt>
                <c:pt idx="49">
                  <c:v>-2113.0913087035</c:v>
                </c:pt>
                <c:pt idx="50">
                  <c:v>-1710.10071662835</c:v>
                </c:pt>
                <c:pt idx="51">
                  <c:v>-1294.0952255126</c:v>
                </c:pt>
                <c:pt idx="52">
                  <c:v>-868.240888334652</c:v>
                </c:pt>
                <c:pt idx="53">
                  <c:v>-435.778713738291</c:v>
                </c:pt>
                <c:pt idx="54">
                  <c:v>-9.18485099360515E-013</c:v>
                </c:pt>
                <c:pt idx="55">
                  <c:v>435.778713738289</c:v>
                </c:pt>
                <c:pt idx="56">
                  <c:v>868.24088833465</c:v>
                </c:pt>
                <c:pt idx="57">
                  <c:v>1294.0952255126</c:v>
                </c:pt>
                <c:pt idx="58">
                  <c:v>1710.10071662835</c:v>
                </c:pt>
                <c:pt idx="59">
                  <c:v>2113.09130870349</c:v>
                </c:pt>
                <c:pt idx="60">
                  <c:v>2500</c:v>
                </c:pt>
                <c:pt idx="61">
                  <c:v>2867.88218175523</c:v>
                </c:pt>
                <c:pt idx="62">
                  <c:v>3213.9380484327</c:v>
                </c:pt>
                <c:pt idx="63">
                  <c:v>3535.53390593274</c:v>
                </c:pt>
                <c:pt idx="64">
                  <c:v>3830.22221559489</c:v>
                </c:pt>
                <c:pt idx="65">
                  <c:v>4095.76022144496</c:v>
                </c:pt>
                <c:pt idx="66">
                  <c:v>4330.12701892219</c:v>
                </c:pt>
                <c:pt idx="67">
                  <c:v>4531.53893518325</c:v>
                </c:pt>
                <c:pt idx="68">
                  <c:v>4698.46310392954</c:v>
                </c:pt>
                <c:pt idx="69">
                  <c:v>4829.62913144534</c:v>
                </c:pt>
                <c:pt idx="70">
                  <c:v>4924.03876506104</c:v>
                </c:pt>
                <c:pt idx="71">
                  <c:v>4980.97349045873</c:v>
                </c:pt>
                <c:pt idx="72">
                  <c:v>5000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"ESSM – FFG Adelaide 1"</c:f>
              <c:strCache>
                <c:ptCount val="1"/>
                <c:pt idx="0">
                  <c:v>ESSM – FFG Adelaide 1</c:v>
                </c:pt>
              </c:strCache>
            </c:strRef>
          </c:tx>
          <c:spPr>
            <a:solidFill>
              <a:srgbClr val="8b0000"/>
            </a:solidFill>
            <a:ln w="25560">
              <a:solidFill>
                <a:srgbClr val="8b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7_COBERTURA_VISUAL!$I$16:$I$88</c:f>
              <c:numCache>
                <c:formatCode>0.0</c:formatCode>
                <c:ptCount val="73"/>
                <c:pt idx="0">
                  <c:v>4.28626379701574E-013</c:v>
                </c:pt>
                <c:pt idx="1">
                  <c:v>4413.13103402767</c:v>
                </c:pt>
                <c:pt idx="2">
                  <c:v>8792.67547616502</c:v>
                </c:pt>
                <c:pt idx="3">
                  <c:v>13105.3023487661</c:v>
                </c:pt>
                <c:pt idx="4">
                  <c:v>17318.1899572952</c:v>
                </c:pt>
                <c:pt idx="5">
                  <c:v>21399.2756832403</c:v>
                </c:pt>
                <c:pt idx="6">
                  <c:v>25317.5</c:v>
                </c:pt>
                <c:pt idx="7">
                  <c:v>29043.0428546352</c:v>
                </c:pt>
                <c:pt idx="8">
                  <c:v>32547.5506164779</c:v>
                </c:pt>
                <c:pt idx="9">
                  <c:v>35804.3518653808</c:v>
                </c:pt>
                <c:pt idx="10">
                  <c:v>38788.6603773295</c:v>
                </c:pt>
                <c:pt idx="11">
                  <c:v>41477.7637625731</c:v>
                </c:pt>
                <c:pt idx="12">
                  <c:v>43851.1963206251</c:v>
                </c:pt>
                <c:pt idx="13">
                  <c:v>45890.8947966008</c:v>
                </c:pt>
                <c:pt idx="14">
                  <c:v>47581.3358534945</c:v>
                </c:pt>
                <c:pt idx="15">
                  <c:v>48909.654214147</c:v>
                </c:pt>
                <c:pt idx="16">
                  <c:v>49865.7405737732</c:v>
                </c:pt>
                <c:pt idx="17">
                  <c:v>50442.3185378755</c:v>
                </c:pt>
                <c:pt idx="18">
                  <c:v>50635</c:v>
                </c:pt>
                <c:pt idx="19">
                  <c:v>50442.3185378755</c:v>
                </c:pt>
                <c:pt idx="20">
                  <c:v>49865.7405737732</c:v>
                </c:pt>
                <c:pt idx="21">
                  <c:v>48909.654214147</c:v>
                </c:pt>
                <c:pt idx="22">
                  <c:v>47581.3358534945</c:v>
                </c:pt>
                <c:pt idx="23">
                  <c:v>45890.8947966008</c:v>
                </c:pt>
                <c:pt idx="24">
                  <c:v>43851.1963206251</c:v>
                </c:pt>
                <c:pt idx="25">
                  <c:v>41477.7637625731</c:v>
                </c:pt>
                <c:pt idx="26">
                  <c:v>38788.6603773295</c:v>
                </c:pt>
                <c:pt idx="27">
                  <c:v>35804.3518653808</c:v>
                </c:pt>
                <c:pt idx="28">
                  <c:v>32547.5506164779</c:v>
                </c:pt>
                <c:pt idx="29">
                  <c:v>29043.0428546352</c:v>
                </c:pt>
                <c:pt idx="30">
                  <c:v>25317.5</c:v>
                </c:pt>
                <c:pt idx="31">
                  <c:v>21399.2756832403</c:v>
                </c:pt>
                <c:pt idx="32">
                  <c:v>17318.1899572952</c:v>
                </c:pt>
                <c:pt idx="33">
                  <c:v>13105.3023487662</c:v>
                </c:pt>
                <c:pt idx="34">
                  <c:v>8792.67547616504</c:v>
                </c:pt>
                <c:pt idx="35">
                  <c:v>4413.13103402767</c:v>
                </c:pt>
                <c:pt idx="36">
                  <c:v>6.6296254471842E-012</c:v>
                </c:pt>
                <c:pt idx="37">
                  <c:v>-4413.13103402766</c:v>
                </c:pt>
                <c:pt idx="38">
                  <c:v>-8792.67547616503</c:v>
                </c:pt>
                <c:pt idx="39">
                  <c:v>-13105.3023487661</c:v>
                </c:pt>
                <c:pt idx="40">
                  <c:v>-17318.1899572952</c:v>
                </c:pt>
                <c:pt idx="41">
                  <c:v>-21399.2756832403</c:v>
                </c:pt>
                <c:pt idx="42">
                  <c:v>-25317.5</c:v>
                </c:pt>
                <c:pt idx="43">
                  <c:v>-29043.0428546352</c:v>
                </c:pt>
                <c:pt idx="44">
                  <c:v>-32547.5506164779</c:v>
                </c:pt>
                <c:pt idx="45">
                  <c:v>-35804.3518653808</c:v>
                </c:pt>
                <c:pt idx="46">
                  <c:v>-38788.6603773295</c:v>
                </c:pt>
                <c:pt idx="47">
                  <c:v>-41477.7637625731</c:v>
                </c:pt>
                <c:pt idx="48">
                  <c:v>-43851.196320625</c:v>
                </c:pt>
                <c:pt idx="49">
                  <c:v>-45890.8947966008</c:v>
                </c:pt>
                <c:pt idx="50">
                  <c:v>-47581.3358534945</c:v>
                </c:pt>
                <c:pt idx="51">
                  <c:v>-48909.654214147</c:v>
                </c:pt>
                <c:pt idx="52">
                  <c:v>-49865.7405737732</c:v>
                </c:pt>
                <c:pt idx="53">
                  <c:v>-50442.3185378755</c:v>
                </c:pt>
                <c:pt idx="54">
                  <c:v>-50635</c:v>
                </c:pt>
                <c:pt idx="55">
                  <c:v>-50442.3185378755</c:v>
                </c:pt>
                <c:pt idx="56">
                  <c:v>-49865.7405737732</c:v>
                </c:pt>
                <c:pt idx="57">
                  <c:v>-48909.654214147</c:v>
                </c:pt>
                <c:pt idx="58">
                  <c:v>-47581.3358534945</c:v>
                </c:pt>
                <c:pt idx="59">
                  <c:v>-45890.8947966008</c:v>
                </c:pt>
                <c:pt idx="60">
                  <c:v>-43851.1963206251</c:v>
                </c:pt>
                <c:pt idx="61">
                  <c:v>-41477.7637625731</c:v>
                </c:pt>
                <c:pt idx="62">
                  <c:v>-38788.6603773295</c:v>
                </c:pt>
                <c:pt idx="63">
                  <c:v>-35804.3518653808</c:v>
                </c:pt>
                <c:pt idx="64">
                  <c:v>-32547.5506164779</c:v>
                </c:pt>
                <c:pt idx="65">
                  <c:v>-29043.0428546352</c:v>
                </c:pt>
                <c:pt idx="66">
                  <c:v>-25317.5</c:v>
                </c:pt>
                <c:pt idx="67">
                  <c:v>-21399.2756832403</c:v>
                </c:pt>
                <c:pt idx="68">
                  <c:v>-17318.1899572953</c:v>
                </c:pt>
                <c:pt idx="69">
                  <c:v>-13105.3023487661</c:v>
                </c:pt>
                <c:pt idx="70">
                  <c:v>-8792.67547616502</c:v>
                </c:pt>
                <c:pt idx="71">
                  <c:v>-4413.13103402768</c:v>
                </c:pt>
                <c:pt idx="72">
                  <c:v>-1.19733717552637E-011</c:v>
                </c:pt>
              </c:numCache>
            </c:numRef>
          </c:xVal>
          <c:yVal>
            <c:numRef>
              <c:f>7_COBERTURA_VISUAL!$J$16:$J$88</c:f>
              <c:numCache>
                <c:formatCode>0.0</c:formatCode>
                <c:ptCount val="73"/>
                <c:pt idx="0">
                  <c:v>47135</c:v>
                </c:pt>
                <c:pt idx="1">
                  <c:v>46942.3185378755</c:v>
                </c:pt>
                <c:pt idx="2">
                  <c:v>46365.7405737732</c:v>
                </c:pt>
                <c:pt idx="3">
                  <c:v>45409.654214147</c:v>
                </c:pt>
                <c:pt idx="4">
                  <c:v>44081.3358534945</c:v>
                </c:pt>
                <c:pt idx="5">
                  <c:v>42390.8947966008</c:v>
                </c:pt>
                <c:pt idx="6">
                  <c:v>40351.1963206251</c:v>
                </c:pt>
                <c:pt idx="7">
                  <c:v>37977.7637625731</c:v>
                </c:pt>
                <c:pt idx="8">
                  <c:v>35288.6603773295</c:v>
                </c:pt>
                <c:pt idx="9">
                  <c:v>32304.3518653808</c:v>
                </c:pt>
                <c:pt idx="10">
                  <c:v>29047.5506164779</c:v>
                </c:pt>
                <c:pt idx="11">
                  <c:v>25543.0428546352</c:v>
                </c:pt>
                <c:pt idx="12">
                  <c:v>21817.5</c:v>
                </c:pt>
                <c:pt idx="13">
                  <c:v>17899.2756832403</c:v>
                </c:pt>
                <c:pt idx="14">
                  <c:v>13818.1899572952</c:v>
                </c:pt>
                <c:pt idx="15">
                  <c:v>9605.30234876614</c:v>
                </c:pt>
                <c:pt idx="16">
                  <c:v>5292.67547616502</c:v>
                </c:pt>
                <c:pt idx="17">
                  <c:v>913.131034027681</c:v>
                </c:pt>
                <c:pt idx="18">
                  <c:v>-3500</c:v>
                </c:pt>
                <c:pt idx="19">
                  <c:v>-7913.13103402768</c:v>
                </c:pt>
                <c:pt idx="20">
                  <c:v>-12292.675476165</c:v>
                </c:pt>
                <c:pt idx="21">
                  <c:v>-16605.3023487661</c:v>
                </c:pt>
                <c:pt idx="22">
                  <c:v>-20818.1899572952</c:v>
                </c:pt>
                <c:pt idx="23">
                  <c:v>-24899.2756832403</c:v>
                </c:pt>
                <c:pt idx="24">
                  <c:v>-28817.5</c:v>
                </c:pt>
                <c:pt idx="25">
                  <c:v>-32543.0428546352</c:v>
                </c:pt>
                <c:pt idx="26">
                  <c:v>-36047.5506164779</c:v>
                </c:pt>
                <c:pt idx="27">
                  <c:v>-39304.3518653808</c:v>
                </c:pt>
                <c:pt idx="28">
                  <c:v>-42288.6603773295</c:v>
                </c:pt>
                <c:pt idx="29">
                  <c:v>-44977.7637625731</c:v>
                </c:pt>
                <c:pt idx="30">
                  <c:v>-47351.1963206251</c:v>
                </c:pt>
                <c:pt idx="31">
                  <c:v>-49390.8947966008</c:v>
                </c:pt>
                <c:pt idx="32">
                  <c:v>-51081.3358534945</c:v>
                </c:pt>
                <c:pt idx="33">
                  <c:v>-52409.654214147</c:v>
                </c:pt>
                <c:pt idx="34">
                  <c:v>-53365.7405737732</c:v>
                </c:pt>
                <c:pt idx="35">
                  <c:v>-53942.3185378755</c:v>
                </c:pt>
                <c:pt idx="36">
                  <c:v>-54135</c:v>
                </c:pt>
                <c:pt idx="37">
                  <c:v>-53942.3185378755</c:v>
                </c:pt>
                <c:pt idx="38">
                  <c:v>-53365.7405737732</c:v>
                </c:pt>
                <c:pt idx="39">
                  <c:v>-52409.654214147</c:v>
                </c:pt>
                <c:pt idx="40">
                  <c:v>-51081.3358534945</c:v>
                </c:pt>
                <c:pt idx="41">
                  <c:v>-49390.8947966008</c:v>
                </c:pt>
                <c:pt idx="42">
                  <c:v>-47351.1963206251</c:v>
                </c:pt>
                <c:pt idx="43">
                  <c:v>-44977.7637625731</c:v>
                </c:pt>
                <c:pt idx="44">
                  <c:v>-42288.6603773295</c:v>
                </c:pt>
                <c:pt idx="45">
                  <c:v>-39304.3518653808</c:v>
                </c:pt>
                <c:pt idx="46">
                  <c:v>-36047.5506164779</c:v>
                </c:pt>
                <c:pt idx="47">
                  <c:v>-32543.0428546352</c:v>
                </c:pt>
                <c:pt idx="48">
                  <c:v>-28817.5</c:v>
                </c:pt>
                <c:pt idx="49">
                  <c:v>-24899.2756832403</c:v>
                </c:pt>
                <c:pt idx="50">
                  <c:v>-20818.1899572953</c:v>
                </c:pt>
                <c:pt idx="51">
                  <c:v>-16605.3023487661</c:v>
                </c:pt>
                <c:pt idx="52">
                  <c:v>-12292.675476165</c:v>
                </c:pt>
                <c:pt idx="53">
                  <c:v>-7913.13103402768</c:v>
                </c:pt>
                <c:pt idx="54">
                  <c:v>-3500.00000000001</c:v>
                </c:pt>
                <c:pt idx="55">
                  <c:v>913.131034027657</c:v>
                </c:pt>
                <c:pt idx="56">
                  <c:v>5292.675476165</c:v>
                </c:pt>
                <c:pt idx="57">
                  <c:v>9605.30234876612</c:v>
                </c:pt>
                <c:pt idx="58">
                  <c:v>13818.1899572953</c:v>
                </c:pt>
                <c:pt idx="59">
                  <c:v>17899.2756832403</c:v>
                </c:pt>
                <c:pt idx="60">
                  <c:v>21817.5</c:v>
                </c:pt>
                <c:pt idx="61">
                  <c:v>25543.0428546352</c:v>
                </c:pt>
                <c:pt idx="62">
                  <c:v>29047.5506164779</c:v>
                </c:pt>
                <c:pt idx="63">
                  <c:v>32304.3518653808</c:v>
                </c:pt>
                <c:pt idx="64">
                  <c:v>35288.6603773294</c:v>
                </c:pt>
                <c:pt idx="65">
                  <c:v>37977.7637625731</c:v>
                </c:pt>
                <c:pt idx="66">
                  <c:v>40351.196320625</c:v>
                </c:pt>
                <c:pt idx="67">
                  <c:v>42390.8947966008</c:v>
                </c:pt>
                <c:pt idx="68">
                  <c:v>44081.3358534945</c:v>
                </c:pt>
                <c:pt idx="69">
                  <c:v>45409.654214147</c:v>
                </c:pt>
                <c:pt idx="70">
                  <c:v>46365.7405737732</c:v>
                </c:pt>
                <c:pt idx="71">
                  <c:v>46942.3185378755</c:v>
                </c:pt>
                <c:pt idx="72">
                  <c:v>47135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"ESSM – FFG Adelaide 2"</c:f>
              <c:strCache>
                <c:ptCount val="1"/>
                <c:pt idx="0">
                  <c:v>ESSM – FFG Adelaide 2</c:v>
                </c:pt>
              </c:strCache>
            </c:strRef>
          </c:tx>
          <c:spPr>
            <a:solidFill>
              <a:srgbClr val="cc0000"/>
            </a:solidFill>
            <a:ln w="23040">
              <a:solidFill>
                <a:srgbClr val="cc0000"/>
              </a:solidFill>
              <a:prstDash val="sys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7_COBERTURA_VISUAL!$K$16:$K$88</c:f>
              <c:numCache>
                <c:formatCode>0.0</c:formatCode>
                <c:ptCount val="73"/>
                <c:pt idx="0">
                  <c:v>1436.48460196781</c:v>
                </c:pt>
                <c:pt idx="1">
                  <c:v>5849.61563599548</c:v>
                </c:pt>
                <c:pt idx="2">
                  <c:v>10229.1600781328</c:v>
                </c:pt>
                <c:pt idx="3">
                  <c:v>14541.7869507339</c:v>
                </c:pt>
                <c:pt idx="4">
                  <c:v>18754.674559263</c:v>
                </c:pt>
                <c:pt idx="5">
                  <c:v>22835.7602852081</c:v>
                </c:pt>
                <c:pt idx="6">
                  <c:v>26753.9846019678</c:v>
                </c:pt>
                <c:pt idx="7">
                  <c:v>30479.527456603</c:v>
                </c:pt>
                <c:pt idx="8">
                  <c:v>33984.0352184457</c:v>
                </c:pt>
                <c:pt idx="9">
                  <c:v>37240.8364673486</c:v>
                </c:pt>
                <c:pt idx="10">
                  <c:v>40225.1449792973</c:v>
                </c:pt>
                <c:pt idx="11">
                  <c:v>42914.2483645409</c:v>
                </c:pt>
                <c:pt idx="12">
                  <c:v>45287.6809225929</c:v>
                </c:pt>
                <c:pt idx="13">
                  <c:v>47327.3793985686</c:v>
                </c:pt>
                <c:pt idx="14">
                  <c:v>49017.8204554623</c:v>
                </c:pt>
                <c:pt idx="15">
                  <c:v>50346.1388161148</c:v>
                </c:pt>
                <c:pt idx="16">
                  <c:v>51302.225175741</c:v>
                </c:pt>
                <c:pt idx="17">
                  <c:v>51878.8031398433</c:v>
                </c:pt>
                <c:pt idx="18">
                  <c:v>52071.4846019678</c:v>
                </c:pt>
                <c:pt idx="19">
                  <c:v>51878.8031398433</c:v>
                </c:pt>
                <c:pt idx="20">
                  <c:v>51302.225175741</c:v>
                </c:pt>
                <c:pt idx="21">
                  <c:v>50346.1388161148</c:v>
                </c:pt>
                <c:pt idx="22">
                  <c:v>49017.8204554623</c:v>
                </c:pt>
                <c:pt idx="23">
                  <c:v>47327.3793985686</c:v>
                </c:pt>
                <c:pt idx="24">
                  <c:v>45287.6809225929</c:v>
                </c:pt>
                <c:pt idx="25">
                  <c:v>42914.2483645409</c:v>
                </c:pt>
                <c:pt idx="26">
                  <c:v>40225.1449792973</c:v>
                </c:pt>
                <c:pt idx="27">
                  <c:v>37240.8364673486</c:v>
                </c:pt>
                <c:pt idx="28">
                  <c:v>33984.0352184457</c:v>
                </c:pt>
                <c:pt idx="29">
                  <c:v>30479.527456603</c:v>
                </c:pt>
                <c:pt idx="30">
                  <c:v>26753.9846019678</c:v>
                </c:pt>
                <c:pt idx="31">
                  <c:v>22835.7602852081</c:v>
                </c:pt>
                <c:pt idx="32">
                  <c:v>18754.6745592631</c:v>
                </c:pt>
                <c:pt idx="33">
                  <c:v>14541.786950734</c:v>
                </c:pt>
                <c:pt idx="34">
                  <c:v>10229.1600781328</c:v>
                </c:pt>
                <c:pt idx="35">
                  <c:v>5849.61563599548</c:v>
                </c:pt>
                <c:pt idx="36">
                  <c:v>1436.48460196782</c:v>
                </c:pt>
                <c:pt idx="37">
                  <c:v>-2976.64643205985</c:v>
                </c:pt>
                <c:pt idx="38">
                  <c:v>-7356.19087419722</c:v>
                </c:pt>
                <c:pt idx="39">
                  <c:v>-11668.8177467983</c:v>
                </c:pt>
                <c:pt idx="40">
                  <c:v>-15881.7053553274</c:v>
                </c:pt>
                <c:pt idx="41">
                  <c:v>-19962.7910812725</c:v>
                </c:pt>
                <c:pt idx="42">
                  <c:v>-23881.0153980322</c:v>
                </c:pt>
                <c:pt idx="43">
                  <c:v>-27606.5582526674</c:v>
                </c:pt>
                <c:pt idx="44">
                  <c:v>-31111.0660145101</c:v>
                </c:pt>
                <c:pt idx="45">
                  <c:v>-34367.867263413</c:v>
                </c:pt>
                <c:pt idx="46">
                  <c:v>-37352.1757753616</c:v>
                </c:pt>
                <c:pt idx="47">
                  <c:v>-40041.2791606053</c:v>
                </c:pt>
                <c:pt idx="48">
                  <c:v>-42414.7117186572</c:v>
                </c:pt>
                <c:pt idx="49">
                  <c:v>-44454.410194633</c:v>
                </c:pt>
                <c:pt idx="50">
                  <c:v>-46144.8512515267</c:v>
                </c:pt>
                <c:pt idx="51">
                  <c:v>-47473.1696121792</c:v>
                </c:pt>
                <c:pt idx="52">
                  <c:v>-48429.2559718053</c:v>
                </c:pt>
                <c:pt idx="53">
                  <c:v>-49005.8339359077</c:v>
                </c:pt>
                <c:pt idx="54">
                  <c:v>-49198.5153980322</c:v>
                </c:pt>
                <c:pt idx="55">
                  <c:v>-49005.8339359077</c:v>
                </c:pt>
                <c:pt idx="56">
                  <c:v>-48429.2559718054</c:v>
                </c:pt>
                <c:pt idx="57">
                  <c:v>-47473.1696121792</c:v>
                </c:pt>
                <c:pt idx="58">
                  <c:v>-46144.8512515267</c:v>
                </c:pt>
                <c:pt idx="59">
                  <c:v>-44454.410194633</c:v>
                </c:pt>
                <c:pt idx="60">
                  <c:v>-42414.7117186572</c:v>
                </c:pt>
                <c:pt idx="61">
                  <c:v>-40041.2791606053</c:v>
                </c:pt>
                <c:pt idx="62">
                  <c:v>-37352.1757753617</c:v>
                </c:pt>
                <c:pt idx="63">
                  <c:v>-34367.867263413</c:v>
                </c:pt>
                <c:pt idx="64">
                  <c:v>-31111.0660145101</c:v>
                </c:pt>
                <c:pt idx="65">
                  <c:v>-27606.5582526674</c:v>
                </c:pt>
                <c:pt idx="66">
                  <c:v>-23881.0153980322</c:v>
                </c:pt>
                <c:pt idx="67">
                  <c:v>-19962.7910812725</c:v>
                </c:pt>
                <c:pt idx="68">
                  <c:v>-15881.7053553275</c:v>
                </c:pt>
                <c:pt idx="69">
                  <c:v>-11668.8177467983</c:v>
                </c:pt>
                <c:pt idx="70">
                  <c:v>-7356.19087419721</c:v>
                </c:pt>
                <c:pt idx="71">
                  <c:v>-2976.64643205987</c:v>
                </c:pt>
                <c:pt idx="72">
                  <c:v>1436.4846019678</c:v>
                </c:pt>
              </c:numCache>
            </c:numRef>
          </c:xVal>
          <c:yVal>
            <c:numRef>
              <c:f>7_COBERTURA_VISUAL!$L$16:$L$88</c:f>
              <c:numCache>
                <c:formatCode>0.0</c:formatCode>
                <c:ptCount val="73"/>
                <c:pt idx="0">
                  <c:v>46688.2909926992</c:v>
                </c:pt>
                <c:pt idx="1">
                  <c:v>46495.6095305747</c:v>
                </c:pt>
                <c:pt idx="2">
                  <c:v>45919.0315664723</c:v>
                </c:pt>
                <c:pt idx="3">
                  <c:v>44962.9452068462</c:v>
                </c:pt>
                <c:pt idx="4">
                  <c:v>43634.6268461937</c:v>
                </c:pt>
                <c:pt idx="5">
                  <c:v>41944.1857893</c:v>
                </c:pt>
                <c:pt idx="6">
                  <c:v>39904.4873133242</c:v>
                </c:pt>
                <c:pt idx="7">
                  <c:v>37531.0547552723</c:v>
                </c:pt>
                <c:pt idx="8">
                  <c:v>34841.9513700286</c:v>
                </c:pt>
                <c:pt idx="9">
                  <c:v>31857.64285808</c:v>
                </c:pt>
                <c:pt idx="10">
                  <c:v>28600.8416091771</c:v>
                </c:pt>
                <c:pt idx="11">
                  <c:v>25096.3338473344</c:v>
                </c:pt>
                <c:pt idx="12">
                  <c:v>21370.7909926992</c:v>
                </c:pt>
                <c:pt idx="13">
                  <c:v>17452.5666759395</c:v>
                </c:pt>
                <c:pt idx="14">
                  <c:v>13371.4809499944</c:v>
                </c:pt>
                <c:pt idx="15">
                  <c:v>9158.59334146532</c:v>
                </c:pt>
                <c:pt idx="16">
                  <c:v>4845.96646886421</c:v>
                </c:pt>
                <c:pt idx="17">
                  <c:v>466.422026726867</c:v>
                </c:pt>
                <c:pt idx="18">
                  <c:v>-3946.70900730081</c:v>
                </c:pt>
                <c:pt idx="19">
                  <c:v>-8359.84004132849</c:v>
                </c:pt>
                <c:pt idx="20">
                  <c:v>-12739.3844834658</c:v>
                </c:pt>
                <c:pt idx="21">
                  <c:v>-17052.011356067</c:v>
                </c:pt>
                <c:pt idx="22">
                  <c:v>-21264.8989645961</c:v>
                </c:pt>
                <c:pt idx="23">
                  <c:v>-25345.9846905411</c:v>
                </c:pt>
                <c:pt idx="24">
                  <c:v>-29264.2090073008</c:v>
                </c:pt>
                <c:pt idx="25">
                  <c:v>-32989.751861936</c:v>
                </c:pt>
                <c:pt idx="26">
                  <c:v>-36494.2596237787</c:v>
                </c:pt>
                <c:pt idx="27">
                  <c:v>-39751.0608726816</c:v>
                </c:pt>
                <c:pt idx="28">
                  <c:v>-42735.3693846303</c:v>
                </c:pt>
                <c:pt idx="29">
                  <c:v>-45424.4727698739</c:v>
                </c:pt>
                <c:pt idx="30">
                  <c:v>-47797.9053279259</c:v>
                </c:pt>
                <c:pt idx="31">
                  <c:v>-49837.6038039016</c:v>
                </c:pt>
                <c:pt idx="32">
                  <c:v>-51528.0448607953</c:v>
                </c:pt>
                <c:pt idx="33">
                  <c:v>-52856.3632214478</c:v>
                </c:pt>
                <c:pt idx="34">
                  <c:v>-53812.449581074</c:v>
                </c:pt>
                <c:pt idx="35">
                  <c:v>-54389.0275451764</c:v>
                </c:pt>
                <c:pt idx="36">
                  <c:v>-54581.7090073008</c:v>
                </c:pt>
                <c:pt idx="37">
                  <c:v>-54389.0275451764</c:v>
                </c:pt>
                <c:pt idx="38">
                  <c:v>-53812.449581074</c:v>
                </c:pt>
                <c:pt idx="39">
                  <c:v>-52856.3632214478</c:v>
                </c:pt>
                <c:pt idx="40">
                  <c:v>-51528.0448607953</c:v>
                </c:pt>
                <c:pt idx="41">
                  <c:v>-49837.6038039016</c:v>
                </c:pt>
                <c:pt idx="42">
                  <c:v>-47797.9053279259</c:v>
                </c:pt>
                <c:pt idx="43">
                  <c:v>-45424.4727698739</c:v>
                </c:pt>
                <c:pt idx="44">
                  <c:v>-42735.3693846303</c:v>
                </c:pt>
                <c:pt idx="45">
                  <c:v>-39751.0608726817</c:v>
                </c:pt>
                <c:pt idx="46">
                  <c:v>-36494.2596237787</c:v>
                </c:pt>
                <c:pt idx="47">
                  <c:v>-32989.7518619361</c:v>
                </c:pt>
                <c:pt idx="48">
                  <c:v>-29264.2090073008</c:v>
                </c:pt>
                <c:pt idx="49">
                  <c:v>-25345.9846905411</c:v>
                </c:pt>
                <c:pt idx="50">
                  <c:v>-21264.8989645961</c:v>
                </c:pt>
                <c:pt idx="51">
                  <c:v>-17052.011356067</c:v>
                </c:pt>
                <c:pt idx="52">
                  <c:v>-12739.3844834658</c:v>
                </c:pt>
                <c:pt idx="53">
                  <c:v>-8359.84004132849</c:v>
                </c:pt>
                <c:pt idx="54">
                  <c:v>-3946.70900730082</c:v>
                </c:pt>
                <c:pt idx="55">
                  <c:v>466.422026726842</c:v>
                </c:pt>
                <c:pt idx="56">
                  <c:v>4845.96646886418</c:v>
                </c:pt>
                <c:pt idx="57">
                  <c:v>9158.5933414653</c:v>
                </c:pt>
                <c:pt idx="58">
                  <c:v>13371.4809499944</c:v>
                </c:pt>
                <c:pt idx="59">
                  <c:v>17452.5666759395</c:v>
                </c:pt>
                <c:pt idx="60">
                  <c:v>21370.7909926992</c:v>
                </c:pt>
                <c:pt idx="61">
                  <c:v>25096.3338473344</c:v>
                </c:pt>
                <c:pt idx="62">
                  <c:v>28600.8416091771</c:v>
                </c:pt>
                <c:pt idx="63">
                  <c:v>31857.64285808</c:v>
                </c:pt>
                <c:pt idx="64">
                  <c:v>34841.9513700286</c:v>
                </c:pt>
                <c:pt idx="65">
                  <c:v>37531.0547552723</c:v>
                </c:pt>
                <c:pt idx="66">
                  <c:v>39904.4873133242</c:v>
                </c:pt>
                <c:pt idx="67">
                  <c:v>41944.1857893</c:v>
                </c:pt>
                <c:pt idx="68">
                  <c:v>43634.6268461936</c:v>
                </c:pt>
                <c:pt idx="69">
                  <c:v>44962.9452068462</c:v>
                </c:pt>
                <c:pt idx="70">
                  <c:v>45919.0315664723</c:v>
                </c:pt>
                <c:pt idx="71">
                  <c:v>46495.6095305747</c:v>
                </c:pt>
                <c:pt idx="72">
                  <c:v>46688.2909926992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"Sea Ceptor – FF23 Nro.1"</c:f>
              <c:strCache>
                <c:ptCount val="1"/>
                <c:pt idx="0">
                  <c:v>Sea Ceptor – FF23 Nro.1</c:v>
                </c:pt>
              </c:strCache>
            </c:strRef>
          </c:tx>
          <c:spPr>
            <a:solidFill>
              <a:srgbClr val="006400"/>
            </a:solidFill>
            <a:ln w="25560">
              <a:solidFill>
                <a:srgbClr val="0064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7_COBERTURA_VISUAL!$M$16:$M$88</c:f>
              <c:numCache>
                <c:formatCode>0.0</c:formatCode>
                <c:ptCount val="73"/>
                <c:pt idx="0">
                  <c:v>-883.883476483184</c:v>
                </c:pt>
                <c:pt idx="1">
                  <c:v>1234.4194198501</c:v>
                </c:pt>
                <c:pt idx="2">
                  <c:v>3336.60075207602</c:v>
                </c:pt>
                <c:pt idx="3">
                  <c:v>5406.66165092456</c:v>
                </c:pt>
                <c:pt idx="4">
                  <c:v>7428.84770301853</c:v>
                </c:pt>
                <c:pt idx="5">
                  <c:v>9387.76885147217</c:v>
                </c:pt>
                <c:pt idx="6">
                  <c:v>11268.5165235168</c:v>
                </c:pt>
                <c:pt idx="7">
                  <c:v>13056.7770937417</c:v>
                </c:pt>
                <c:pt idx="8">
                  <c:v>14738.9408194262</c:v>
                </c:pt>
                <c:pt idx="9">
                  <c:v>16302.2054188996</c:v>
                </c:pt>
                <c:pt idx="10">
                  <c:v>17734.673504635</c:v>
                </c:pt>
                <c:pt idx="11">
                  <c:v>19025.4431295519</c:v>
                </c:pt>
                <c:pt idx="12">
                  <c:v>20164.6907574168</c:v>
                </c:pt>
                <c:pt idx="13">
                  <c:v>21143.7460258852</c:v>
                </c:pt>
                <c:pt idx="14">
                  <c:v>21955.1577331942</c:v>
                </c:pt>
                <c:pt idx="15">
                  <c:v>22592.7505463074</c:v>
                </c:pt>
                <c:pt idx="16">
                  <c:v>23051.6719989279</c:v>
                </c:pt>
                <c:pt idx="17">
                  <c:v>23328.4294216971</c:v>
                </c:pt>
                <c:pt idx="18">
                  <c:v>23420.9165235168</c:v>
                </c:pt>
                <c:pt idx="19">
                  <c:v>23328.4294216971</c:v>
                </c:pt>
                <c:pt idx="20">
                  <c:v>23051.6719989279</c:v>
                </c:pt>
                <c:pt idx="21">
                  <c:v>22592.7505463074</c:v>
                </c:pt>
                <c:pt idx="22">
                  <c:v>21955.1577331942</c:v>
                </c:pt>
                <c:pt idx="23">
                  <c:v>21143.7460258852</c:v>
                </c:pt>
                <c:pt idx="24">
                  <c:v>20164.6907574168</c:v>
                </c:pt>
                <c:pt idx="25">
                  <c:v>19025.4431295519</c:v>
                </c:pt>
                <c:pt idx="26">
                  <c:v>17734.673504635</c:v>
                </c:pt>
                <c:pt idx="27">
                  <c:v>16302.2054188996</c:v>
                </c:pt>
                <c:pt idx="28">
                  <c:v>14738.9408194262</c:v>
                </c:pt>
                <c:pt idx="29">
                  <c:v>13056.7770937417</c:v>
                </c:pt>
                <c:pt idx="30">
                  <c:v>11268.5165235168</c:v>
                </c:pt>
                <c:pt idx="31">
                  <c:v>9387.76885147217</c:v>
                </c:pt>
                <c:pt idx="32">
                  <c:v>7428.84770301853</c:v>
                </c:pt>
                <c:pt idx="33">
                  <c:v>5406.66165092457</c:v>
                </c:pt>
                <c:pt idx="34">
                  <c:v>3336.60075207603</c:v>
                </c:pt>
                <c:pt idx="35">
                  <c:v>1234.4194198501</c:v>
                </c:pt>
                <c:pt idx="36">
                  <c:v>-883.883476483181</c:v>
                </c:pt>
                <c:pt idx="37">
                  <c:v>-3002.18637281646</c:v>
                </c:pt>
                <c:pt idx="38">
                  <c:v>-5104.3677050424</c:v>
                </c:pt>
                <c:pt idx="39">
                  <c:v>-7174.42860389092</c:v>
                </c:pt>
                <c:pt idx="40">
                  <c:v>-9196.6146559849</c:v>
                </c:pt>
                <c:pt idx="41">
                  <c:v>-11155.5358044385</c:v>
                </c:pt>
                <c:pt idx="42">
                  <c:v>-13036.2834764832</c:v>
                </c:pt>
                <c:pt idx="43">
                  <c:v>-14824.5440467081</c:v>
                </c:pt>
                <c:pt idx="44">
                  <c:v>-16506.7077723926</c:v>
                </c:pt>
                <c:pt idx="45">
                  <c:v>-18069.972371866</c:v>
                </c:pt>
                <c:pt idx="46">
                  <c:v>-19502.4404576013</c:v>
                </c:pt>
                <c:pt idx="47">
                  <c:v>-20793.2100825183</c:v>
                </c:pt>
                <c:pt idx="48">
                  <c:v>-21932.4577103832</c:v>
                </c:pt>
                <c:pt idx="49">
                  <c:v>-22911.5129788516</c:v>
                </c:pt>
                <c:pt idx="50">
                  <c:v>-23722.9246861605</c:v>
                </c:pt>
                <c:pt idx="51">
                  <c:v>-24360.5174992737</c:v>
                </c:pt>
                <c:pt idx="52">
                  <c:v>-24819.4389518943</c:v>
                </c:pt>
                <c:pt idx="53">
                  <c:v>-25096.1963746634</c:v>
                </c:pt>
                <c:pt idx="54">
                  <c:v>-25188.6834764832</c:v>
                </c:pt>
                <c:pt idx="55">
                  <c:v>-25096.1963746634</c:v>
                </c:pt>
                <c:pt idx="56">
                  <c:v>-24819.4389518943</c:v>
                </c:pt>
                <c:pt idx="57">
                  <c:v>-24360.5174992737</c:v>
                </c:pt>
                <c:pt idx="58">
                  <c:v>-23722.9246861605</c:v>
                </c:pt>
                <c:pt idx="59">
                  <c:v>-22911.5129788516</c:v>
                </c:pt>
                <c:pt idx="60">
                  <c:v>-21932.4577103832</c:v>
                </c:pt>
                <c:pt idx="61">
                  <c:v>-20793.2100825183</c:v>
                </c:pt>
                <c:pt idx="62">
                  <c:v>-19502.4404576013</c:v>
                </c:pt>
                <c:pt idx="63">
                  <c:v>-18069.972371866</c:v>
                </c:pt>
                <c:pt idx="64">
                  <c:v>-16506.7077723926</c:v>
                </c:pt>
                <c:pt idx="65">
                  <c:v>-14824.5440467081</c:v>
                </c:pt>
                <c:pt idx="66">
                  <c:v>-13036.2834764832</c:v>
                </c:pt>
                <c:pt idx="67">
                  <c:v>-11155.5358044385</c:v>
                </c:pt>
                <c:pt idx="68">
                  <c:v>-9196.61465598492</c:v>
                </c:pt>
                <c:pt idx="69">
                  <c:v>-7174.42860389093</c:v>
                </c:pt>
                <c:pt idx="70">
                  <c:v>-5104.3677050424</c:v>
                </c:pt>
                <c:pt idx="71">
                  <c:v>-3002.18637281647</c:v>
                </c:pt>
                <c:pt idx="72">
                  <c:v>-883.88347648319</c:v>
                </c:pt>
              </c:numCache>
            </c:numRef>
          </c:xVal>
          <c:yVal>
            <c:numRef>
              <c:f>7_COBERTURA_VISUAL!$N$16:$N$88</c:f>
              <c:numCache>
                <c:formatCode>0.0</c:formatCode>
                <c:ptCount val="73"/>
                <c:pt idx="0">
                  <c:v>23420.9165235168</c:v>
                </c:pt>
                <c:pt idx="1">
                  <c:v>23328.4294216971</c:v>
                </c:pt>
                <c:pt idx="2">
                  <c:v>23051.6719989279</c:v>
                </c:pt>
                <c:pt idx="3">
                  <c:v>22592.7505463074</c:v>
                </c:pt>
                <c:pt idx="4">
                  <c:v>21955.1577331942</c:v>
                </c:pt>
                <c:pt idx="5">
                  <c:v>21143.7460258852</c:v>
                </c:pt>
                <c:pt idx="6">
                  <c:v>20164.6907574168</c:v>
                </c:pt>
                <c:pt idx="7">
                  <c:v>19025.4431295519</c:v>
                </c:pt>
                <c:pt idx="8">
                  <c:v>17734.673504635</c:v>
                </c:pt>
                <c:pt idx="9">
                  <c:v>16302.2054188996</c:v>
                </c:pt>
                <c:pt idx="10">
                  <c:v>14738.9408194262</c:v>
                </c:pt>
                <c:pt idx="11">
                  <c:v>13056.7770937417</c:v>
                </c:pt>
                <c:pt idx="12">
                  <c:v>11268.5165235168</c:v>
                </c:pt>
                <c:pt idx="13">
                  <c:v>9387.76885147217</c:v>
                </c:pt>
                <c:pt idx="14">
                  <c:v>7428.84770301853</c:v>
                </c:pt>
                <c:pt idx="15">
                  <c:v>5406.66165092456</c:v>
                </c:pt>
                <c:pt idx="16">
                  <c:v>3336.60075207603</c:v>
                </c:pt>
                <c:pt idx="17">
                  <c:v>1234.4194198501</c:v>
                </c:pt>
                <c:pt idx="18">
                  <c:v>-883.883476483183</c:v>
                </c:pt>
                <c:pt idx="19">
                  <c:v>-3002.18637281647</c:v>
                </c:pt>
                <c:pt idx="20">
                  <c:v>-5104.36770504239</c:v>
                </c:pt>
                <c:pt idx="21">
                  <c:v>-7174.42860389093</c:v>
                </c:pt>
                <c:pt idx="22">
                  <c:v>-9196.6146559849</c:v>
                </c:pt>
                <c:pt idx="23">
                  <c:v>-11155.5358044385</c:v>
                </c:pt>
                <c:pt idx="24">
                  <c:v>-13036.2834764832</c:v>
                </c:pt>
                <c:pt idx="25">
                  <c:v>-14824.5440467081</c:v>
                </c:pt>
                <c:pt idx="26">
                  <c:v>-16506.7077723926</c:v>
                </c:pt>
                <c:pt idx="27">
                  <c:v>-18069.972371866</c:v>
                </c:pt>
                <c:pt idx="28">
                  <c:v>-19502.4404576013</c:v>
                </c:pt>
                <c:pt idx="29">
                  <c:v>-20793.2100825183</c:v>
                </c:pt>
                <c:pt idx="30">
                  <c:v>-21932.4577103832</c:v>
                </c:pt>
                <c:pt idx="31">
                  <c:v>-22911.5129788516</c:v>
                </c:pt>
                <c:pt idx="32">
                  <c:v>-23722.9246861605</c:v>
                </c:pt>
                <c:pt idx="33">
                  <c:v>-24360.5174992737</c:v>
                </c:pt>
                <c:pt idx="34">
                  <c:v>-24819.4389518943</c:v>
                </c:pt>
                <c:pt idx="35">
                  <c:v>-25096.1963746634</c:v>
                </c:pt>
                <c:pt idx="36">
                  <c:v>-25188.6834764832</c:v>
                </c:pt>
                <c:pt idx="37">
                  <c:v>-25096.1963746634</c:v>
                </c:pt>
                <c:pt idx="38">
                  <c:v>-24819.4389518943</c:v>
                </c:pt>
                <c:pt idx="39">
                  <c:v>-24360.5174992737</c:v>
                </c:pt>
                <c:pt idx="40">
                  <c:v>-23722.9246861605</c:v>
                </c:pt>
                <c:pt idx="41">
                  <c:v>-22911.5129788516</c:v>
                </c:pt>
                <c:pt idx="42">
                  <c:v>-21932.4577103832</c:v>
                </c:pt>
                <c:pt idx="43">
                  <c:v>-20793.2100825183</c:v>
                </c:pt>
                <c:pt idx="44">
                  <c:v>-19502.4404576013</c:v>
                </c:pt>
                <c:pt idx="45">
                  <c:v>-18069.972371866</c:v>
                </c:pt>
                <c:pt idx="46">
                  <c:v>-16506.7077723926</c:v>
                </c:pt>
                <c:pt idx="47">
                  <c:v>-14824.5440467081</c:v>
                </c:pt>
                <c:pt idx="48">
                  <c:v>-13036.2834764832</c:v>
                </c:pt>
                <c:pt idx="49">
                  <c:v>-11155.5358044385</c:v>
                </c:pt>
                <c:pt idx="50">
                  <c:v>-9196.61465598492</c:v>
                </c:pt>
                <c:pt idx="51">
                  <c:v>-7174.42860389093</c:v>
                </c:pt>
                <c:pt idx="52">
                  <c:v>-5104.36770504239</c:v>
                </c:pt>
                <c:pt idx="53">
                  <c:v>-3002.18637281647</c:v>
                </c:pt>
                <c:pt idx="54">
                  <c:v>-883.883476483189</c:v>
                </c:pt>
                <c:pt idx="55">
                  <c:v>1234.41941985009</c:v>
                </c:pt>
                <c:pt idx="56">
                  <c:v>3336.60075207602</c:v>
                </c:pt>
                <c:pt idx="57">
                  <c:v>5406.66165092455</c:v>
                </c:pt>
                <c:pt idx="58">
                  <c:v>7428.84770301854</c:v>
                </c:pt>
                <c:pt idx="59">
                  <c:v>9387.76885147215</c:v>
                </c:pt>
                <c:pt idx="60">
                  <c:v>11268.5165235168</c:v>
                </c:pt>
                <c:pt idx="61">
                  <c:v>13056.7770937417</c:v>
                </c:pt>
                <c:pt idx="62">
                  <c:v>14738.9408194262</c:v>
                </c:pt>
                <c:pt idx="63">
                  <c:v>16302.2054188996</c:v>
                </c:pt>
                <c:pt idx="64">
                  <c:v>17734.673504635</c:v>
                </c:pt>
                <c:pt idx="65">
                  <c:v>19025.4431295519</c:v>
                </c:pt>
                <c:pt idx="66">
                  <c:v>20164.6907574168</c:v>
                </c:pt>
                <c:pt idx="67">
                  <c:v>21143.7460258852</c:v>
                </c:pt>
                <c:pt idx="68">
                  <c:v>21955.1577331942</c:v>
                </c:pt>
                <c:pt idx="69">
                  <c:v>22592.7505463074</c:v>
                </c:pt>
                <c:pt idx="70">
                  <c:v>23051.6719989279</c:v>
                </c:pt>
                <c:pt idx="71">
                  <c:v>23328.4294216971</c:v>
                </c:pt>
                <c:pt idx="72">
                  <c:v>23420.9165235168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"Sea Ceptor – FF23 Nro.2"</c:f>
              <c:strCache>
                <c:ptCount val="1"/>
                <c:pt idx="0">
                  <c:v>Sea Ceptor – FF23 Nro.2</c:v>
                </c:pt>
              </c:strCache>
            </c:strRef>
          </c:tx>
          <c:spPr>
            <a:solidFill>
              <a:srgbClr val="228b22"/>
            </a:solidFill>
            <a:ln w="23040">
              <a:solidFill>
                <a:srgbClr val="228b22"/>
              </a:solidFill>
              <a:prstDash val="sysDash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7_COBERTURA_VISUAL!$O$16:$O$88</c:f>
              <c:numCache>
                <c:formatCode>0.0</c:formatCode>
                <c:ptCount val="73"/>
                <c:pt idx="0">
                  <c:v>-707.106781186548</c:v>
                </c:pt>
                <c:pt idx="1">
                  <c:v>1411.19611514673</c:v>
                </c:pt>
                <c:pt idx="2">
                  <c:v>3513.37744737266</c:v>
                </c:pt>
                <c:pt idx="3">
                  <c:v>5583.4383462212</c:v>
                </c:pt>
                <c:pt idx="4">
                  <c:v>7605.62439831517</c:v>
                </c:pt>
                <c:pt idx="5">
                  <c:v>9564.54554676881</c:v>
                </c:pt>
                <c:pt idx="6">
                  <c:v>11445.2932188135</c:v>
                </c:pt>
                <c:pt idx="7">
                  <c:v>13233.5537890384</c:v>
                </c:pt>
                <c:pt idx="8">
                  <c:v>14915.7175147229</c:v>
                </c:pt>
                <c:pt idx="9">
                  <c:v>16478.9821141963</c:v>
                </c:pt>
                <c:pt idx="10">
                  <c:v>17911.4501999316</c:v>
                </c:pt>
                <c:pt idx="11">
                  <c:v>19202.2198248485</c:v>
                </c:pt>
                <c:pt idx="12">
                  <c:v>20341.4674527135</c:v>
                </c:pt>
                <c:pt idx="13">
                  <c:v>21320.5227211818</c:v>
                </c:pt>
                <c:pt idx="14">
                  <c:v>22131.9344284908</c:v>
                </c:pt>
                <c:pt idx="15">
                  <c:v>22769.527241604</c:v>
                </c:pt>
                <c:pt idx="16">
                  <c:v>23228.4486942246</c:v>
                </c:pt>
                <c:pt idx="17">
                  <c:v>23505.2061169937</c:v>
                </c:pt>
                <c:pt idx="18">
                  <c:v>23597.6932188135</c:v>
                </c:pt>
                <c:pt idx="19">
                  <c:v>23505.2061169937</c:v>
                </c:pt>
                <c:pt idx="20">
                  <c:v>23228.4486942246</c:v>
                </c:pt>
                <c:pt idx="21">
                  <c:v>22769.527241604</c:v>
                </c:pt>
                <c:pt idx="22">
                  <c:v>22131.9344284908</c:v>
                </c:pt>
                <c:pt idx="23">
                  <c:v>21320.5227211818</c:v>
                </c:pt>
                <c:pt idx="24">
                  <c:v>20341.4674527135</c:v>
                </c:pt>
                <c:pt idx="25">
                  <c:v>19202.2198248485</c:v>
                </c:pt>
                <c:pt idx="26">
                  <c:v>17911.4501999316</c:v>
                </c:pt>
                <c:pt idx="27">
                  <c:v>16478.9821141963</c:v>
                </c:pt>
                <c:pt idx="28">
                  <c:v>14915.7175147229</c:v>
                </c:pt>
                <c:pt idx="29">
                  <c:v>13233.5537890384</c:v>
                </c:pt>
                <c:pt idx="30">
                  <c:v>11445.2932188135</c:v>
                </c:pt>
                <c:pt idx="31">
                  <c:v>9564.54554676881</c:v>
                </c:pt>
                <c:pt idx="32">
                  <c:v>7605.62439831517</c:v>
                </c:pt>
                <c:pt idx="33">
                  <c:v>5583.43834622121</c:v>
                </c:pt>
                <c:pt idx="34">
                  <c:v>3513.37744737267</c:v>
                </c:pt>
                <c:pt idx="35">
                  <c:v>1411.19611514674</c:v>
                </c:pt>
                <c:pt idx="36">
                  <c:v>-707.106781186545</c:v>
                </c:pt>
                <c:pt idx="37">
                  <c:v>-2825.40967751983</c:v>
                </c:pt>
                <c:pt idx="38">
                  <c:v>-4927.59100974576</c:v>
                </c:pt>
                <c:pt idx="39">
                  <c:v>-6997.65190859429</c:v>
                </c:pt>
                <c:pt idx="40">
                  <c:v>-9019.83796068826</c:v>
                </c:pt>
                <c:pt idx="41">
                  <c:v>-10978.7591091419</c:v>
                </c:pt>
                <c:pt idx="42">
                  <c:v>-12859.5067811866</c:v>
                </c:pt>
                <c:pt idx="43">
                  <c:v>-14647.7673514114</c:v>
                </c:pt>
                <c:pt idx="44">
                  <c:v>-16329.9310770959</c:v>
                </c:pt>
                <c:pt idx="45">
                  <c:v>-17893.1956765693</c:v>
                </c:pt>
                <c:pt idx="46">
                  <c:v>-19325.6637623047</c:v>
                </c:pt>
                <c:pt idx="47">
                  <c:v>-20616.4333872216</c:v>
                </c:pt>
                <c:pt idx="48">
                  <c:v>-21755.6810150866</c:v>
                </c:pt>
                <c:pt idx="49">
                  <c:v>-22734.7362835549</c:v>
                </c:pt>
                <c:pt idx="50">
                  <c:v>-23546.1479908639</c:v>
                </c:pt>
                <c:pt idx="51">
                  <c:v>-24183.7408039771</c:v>
                </c:pt>
                <c:pt idx="52">
                  <c:v>-24642.6622565977</c:v>
                </c:pt>
                <c:pt idx="53">
                  <c:v>-24919.4196793668</c:v>
                </c:pt>
                <c:pt idx="54">
                  <c:v>-25011.9067811866</c:v>
                </c:pt>
                <c:pt idx="55">
                  <c:v>-24919.4196793668</c:v>
                </c:pt>
                <c:pt idx="56">
                  <c:v>-24642.6622565977</c:v>
                </c:pt>
                <c:pt idx="57">
                  <c:v>-24183.7408039771</c:v>
                </c:pt>
                <c:pt idx="58">
                  <c:v>-23546.1479908639</c:v>
                </c:pt>
                <c:pt idx="59">
                  <c:v>-22734.7362835549</c:v>
                </c:pt>
                <c:pt idx="60">
                  <c:v>-21755.6810150866</c:v>
                </c:pt>
                <c:pt idx="61">
                  <c:v>-20616.4333872216</c:v>
                </c:pt>
                <c:pt idx="62">
                  <c:v>-19325.6637623047</c:v>
                </c:pt>
                <c:pt idx="63">
                  <c:v>-17893.1956765694</c:v>
                </c:pt>
                <c:pt idx="64">
                  <c:v>-16329.931077096</c:v>
                </c:pt>
                <c:pt idx="65">
                  <c:v>-14647.7673514115</c:v>
                </c:pt>
                <c:pt idx="66">
                  <c:v>-12859.5067811866</c:v>
                </c:pt>
                <c:pt idx="67">
                  <c:v>-10978.7591091419</c:v>
                </c:pt>
                <c:pt idx="68">
                  <c:v>-9019.83796068828</c:v>
                </c:pt>
                <c:pt idx="69">
                  <c:v>-6997.65190859429</c:v>
                </c:pt>
                <c:pt idx="70">
                  <c:v>-4927.59100974576</c:v>
                </c:pt>
                <c:pt idx="71">
                  <c:v>-2825.40967751983</c:v>
                </c:pt>
                <c:pt idx="72">
                  <c:v>-707.106781186554</c:v>
                </c:pt>
              </c:numCache>
            </c:numRef>
          </c:xVal>
          <c:yVal>
            <c:numRef>
              <c:f>7_COBERTURA_VISUAL!$P$16:$P$88</c:f>
              <c:numCache>
                <c:formatCode>0.0</c:formatCode>
                <c:ptCount val="73"/>
                <c:pt idx="0">
                  <c:v>25011.9067811866</c:v>
                </c:pt>
                <c:pt idx="1">
                  <c:v>24919.4196793668</c:v>
                </c:pt>
                <c:pt idx="2">
                  <c:v>24642.6622565977</c:v>
                </c:pt>
                <c:pt idx="3">
                  <c:v>24183.7408039771</c:v>
                </c:pt>
                <c:pt idx="4">
                  <c:v>23546.1479908639</c:v>
                </c:pt>
                <c:pt idx="5">
                  <c:v>22734.7362835549</c:v>
                </c:pt>
                <c:pt idx="6">
                  <c:v>21755.6810150866</c:v>
                </c:pt>
                <c:pt idx="7">
                  <c:v>20616.4333872216</c:v>
                </c:pt>
                <c:pt idx="8">
                  <c:v>19325.6637623047</c:v>
                </c:pt>
                <c:pt idx="9">
                  <c:v>17893.1956765694</c:v>
                </c:pt>
                <c:pt idx="10">
                  <c:v>16329.931077096</c:v>
                </c:pt>
                <c:pt idx="11">
                  <c:v>14647.7673514115</c:v>
                </c:pt>
                <c:pt idx="12">
                  <c:v>12859.5067811866</c:v>
                </c:pt>
                <c:pt idx="13">
                  <c:v>10978.7591091419</c:v>
                </c:pt>
                <c:pt idx="14">
                  <c:v>9019.83796068826</c:v>
                </c:pt>
                <c:pt idx="15">
                  <c:v>6997.6519085943</c:v>
                </c:pt>
                <c:pt idx="16">
                  <c:v>4927.59100974576</c:v>
                </c:pt>
                <c:pt idx="17">
                  <c:v>2825.40967751983</c:v>
                </c:pt>
                <c:pt idx="18">
                  <c:v>707.106781186549</c:v>
                </c:pt>
                <c:pt idx="19">
                  <c:v>-1411.19611514674</c:v>
                </c:pt>
                <c:pt idx="20">
                  <c:v>-3513.37744737266</c:v>
                </c:pt>
                <c:pt idx="21">
                  <c:v>-5583.4383462212</c:v>
                </c:pt>
                <c:pt idx="22">
                  <c:v>-7605.62439831517</c:v>
                </c:pt>
                <c:pt idx="23">
                  <c:v>-9564.5455467688</c:v>
                </c:pt>
                <c:pt idx="24">
                  <c:v>-11445.2932188135</c:v>
                </c:pt>
                <c:pt idx="25">
                  <c:v>-13233.5537890384</c:v>
                </c:pt>
                <c:pt idx="26">
                  <c:v>-14915.7175147229</c:v>
                </c:pt>
                <c:pt idx="27">
                  <c:v>-16478.9821141963</c:v>
                </c:pt>
                <c:pt idx="28">
                  <c:v>-17911.4501999316</c:v>
                </c:pt>
                <c:pt idx="29">
                  <c:v>-19202.2198248485</c:v>
                </c:pt>
                <c:pt idx="30">
                  <c:v>-20341.4674527135</c:v>
                </c:pt>
                <c:pt idx="31">
                  <c:v>-21320.5227211818</c:v>
                </c:pt>
                <c:pt idx="32">
                  <c:v>-22131.9344284908</c:v>
                </c:pt>
                <c:pt idx="33">
                  <c:v>-22769.527241604</c:v>
                </c:pt>
                <c:pt idx="34">
                  <c:v>-23228.4486942246</c:v>
                </c:pt>
                <c:pt idx="35">
                  <c:v>-23505.2061169937</c:v>
                </c:pt>
                <c:pt idx="36">
                  <c:v>-23597.6932188135</c:v>
                </c:pt>
                <c:pt idx="37">
                  <c:v>-23505.2061169937</c:v>
                </c:pt>
                <c:pt idx="38">
                  <c:v>-23228.4486942246</c:v>
                </c:pt>
                <c:pt idx="39">
                  <c:v>-22769.527241604</c:v>
                </c:pt>
                <c:pt idx="40">
                  <c:v>-22131.9344284908</c:v>
                </c:pt>
                <c:pt idx="41">
                  <c:v>-21320.5227211818</c:v>
                </c:pt>
                <c:pt idx="42">
                  <c:v>-20341.4674527135</c:v>
                </c:pt>
                <c:pt idx="43">
                  <c:v>-19202.2198248485</c:v>
                </c:pt>
                <c:pt idx="44">
                  <c:v>-17911.4501999316</c:v>
                </c:pt>
                <c:pt idx="45">
                  <c:v>-16478.9821141963</c:v>
                </c:pt>
                <c:pt idx="46">
                  <c:v>-14915.7175147229</c:v>
                </c:pt>
                <c:pt idx="47">
                  <c:v>-13233.5537890384</c:v>
                </c:pt>
                <c:pt idx="48">
                  <c:v>-11445.2932188135</c:v>
                </c:pt>
                <c:pt idx="49">
                  <c:v>-9564.5455467688</c:v>
                </c:pt>
                <c:pt idx="50">
                  <c:v>-7605.62439831518</c:v>
                </c:pt>
                <c:pt idx="51">
                  <c:v>-5583.4383462212</c:v>
                </c:pt>
                <c:pt idx="52">
                  <c:v>-3513.37744737266</c:v>
                </c:pt>
                <c:pt idx="53">
                  <c:v>-1411.19611514674</c:v>
                </c:pt>
                <c:pt idx="54">
                  <c:v>707.106781186543</c:v>
                </c:pt>
                <c:pt idx="55">
                  <c:v>2825.40967751982</c:v>
                </c:pt>
                <c:pt idx="56">
                  <c:v>4927.59100974575</c:v>
                </c:pt>
                <c:pt idx="57">
                  <c:v>6997.65190859428</c:v>
                </c:pt>
                <c:pt idx="58">
                  <c:v>9019.83796068827</c:v>
                </c:pt>
                <c:pt idx="59">
                  <c:v>10978.7591091419</c:v>
                </c:pt>
                <c:pt idx="60">
                  <c:v>12859.5067811866</c:v>
                </c:pt>
                <c:pt idx="61">
                  <c:v>14647.7673514115</c:v>
                </c:pt>
                <c:pt idx="62">
                  <c:v>16329.9310770959</c:v>
                </c:pt>
                <c:pt idx="63">
                  <c:v>17893.1956765693</c:v>
                </c:pt>
                <c:pt idx="64">
                  <c:v>19325.6637623047</c:v>
                </c:pt>
                <c:pt idx="65">
                  <c:v>20616.4333872216</c:v>
                </c:pt>
                <c:pt idx="66">
                  <c:v>21755.6810150866</c:v>
                </c:pt>
                <c:pt idx="67">
                  <c:v>22734.7362835549</c:v>
                </c:pt>
                <c:pt idx="68">
                  <c:v>23546.1479908639</c:v>
                </c:pt>
                <c:pt idx="69">
                  <c:v>24183.7408039771</c:v>
                </c:pt>
                <c:pt idx="70">
                  <c:v>24642.6622565977</c:v>
                </c:pt>
                <c:pt idx="71">
                  <c:v>24919.4196793668</c:v>
                </c:pt>
                <c:pt idx="72">
                  <c:v>25011.9067811866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"Sea Ceptor – FF23 Nro.3"</c:f>
              <c:strCache>
                <c:ptCount val="1"/>
                <c:pt idx="0">
                  <c:v>Sea Ceptor – FF23 Nro.3</c:v>
                </c:pt>
              </c:strCache>
            </c:strRef>
          </c:tx>
          <c:spPr>
            <a:solidFill>
              <a:srgbClr val="32cd32"/>
            </a:solidFill>
            <a:ln w="20160">
              <a:solidFill>
                <a:srgbClr val="32cd32"/>
              </a:solidFill>
              <a:prstDash val="dot"/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7_COBERTURA_VISUAL!$Q$16:$Q$88</c:f>
              <c:numCache>
                <c:formatCode>0.0</c:formatCode>
                <c:ptCount val="73"/>
                <c:pt idx="0">
                  <c:v>565.685424949238</c:v>
                </c:pt>
                <c:pt idx="1">
                  <c:v>2683.98832128252</c:v>
                </c:pt>
                <c:pt idx="2">
                  <c:v>4786.16965350845</c:v>
                </c:pt>
                <c:pt idx="3">
                  <c:v>6856.23055235699</c:v>
                </c:pt>
                <c:pt idx="4">
                  <c:v>8878.41660445095</c:v>
                </c:pt>
                <c:pt idx="5">
                  <c:v>10837.3377529046</c:v>
                </c:pt>
                <c:pt idx="6">
                  <c:v>12718.0854249492</c:v>
                </c:pt>
                <c:pt idx="7">
                  <c:v>14506.3459951741</c:v>
                </c:pt>
                <c:pt idx="8">
                  <c:v>16188.5097208586</c:v>
                </c:pt>
                <c:pt idx="9">
                  <c:v>17751.774320332</c:v>
                </c:pt>
                <c:pt idx="10">
                  <c:v>19184.2424060674</c:v>
                </c:pt>
                <c:pt idx="11">
                  <c:v>20475.0120309843</c:v>
                </c:pt>
                <c:pt idx="12">
                  <c:v>21614.2596588493</c:v>
                </c:pt>
                <c:pt idx="13">
                  <c:v>22593.3149273176</c:v>
                </c:pt>
                <c:pt idx="14">
                  <c:v>23404.7266346266</c:v>
                </c:pt>
                <c:pt idx="15">
                  <c:v>24042.3194477398</c:v>
                </c:pt>
                <c:pt idx="16">
                  <c:v>24501.2409003604</c:v>
                </c:pt>
                <c:pt idx="17">
                  <c:v>24777.9983231295</c:v>
                </c:pt>
                <c:pt idx="18">
                  <c:v>24870.4854249492</c:v>
                </c:pt>
                <c:pt idx="19">
                  <c:v>24777.9983231295</c:v>
                </c:pt>
                <c:pt idx="20">
                  <c:v>24501.2409003604</c:v>
                </c:pt>
                <c:pt idx="21">
                  <c:v>24042.3194477398</c:v>
                </c:pt>
                <c:pt idx="22">
                  <c:v>23404.7266346266</c:v>
                </c:pt>
                <c:pt idx="23">
                  <c:v>22593.3149273176</c:v>
                </c:pt>
                <c:pt idx="24">
                  <c:v>21614.2596588493</c:v>
                </c:pt>
                <c:pt idx="25">
                  <c:v>20475.0120309843</c:v>
                </c:pt>
                <c:pt idx="26">
                  <c:v>19184.2424060674</c:v>
                </c:pt>
                <c:pt idx="27">
                  <c:v>17751.774320332</c:v>
                </c:pt>
                <c:pt idx="28">
                  <c:v>16188.5097208586</c:v>
                </c:pt>
                <c:pt idx="29">
                  <c:v>14506.3459951741</c:v>
                </c:pt>
                <c:pt idx="30">
                  <c:v>12718.0854249492</c:v>
                </c:pt>
                <c:pt idx="31">
                  <c:v>10837.3377529046</c:v>
                </c:pt>
                <c:pt idx="32">
                  <c:v>8878.41660445096</c:v>
                </c:pt>
                <c:pt idx="33">
                  <c:v>6856.23055235699</c:v>
                </c:pt>
                <c:pt idx="34">
                  <c:v>4786.16965350846</c:v>
                </c:pt>
                <c:pt idx="35">
                  <c:v>2683.98832128252</c:v>
                </c:pt>
                <c:pt idx="36">
                  <c:v>565.685424949241</c:v>
                </c:pt>
                <c:pt idx="37">
                  <c:v>-1552.61747138404</c:v>
                </c:pt>
                <c:pt idx="38">
                  <c:v>-3654.79880360997</c:v>
                </c:pt>
                <c:pt idx="39">
                  <c:v>-5724.8597024585</c:v>
                </c:pt>
                <c:pt idx="40">
                  <c:v>-7747.04575455247</c:v>
                </c:pt>
                <c:pt idx="41">
                  <c:v>-9705.96690300611</c:v>
                </c:pt>
                <c:pt idx="42">
                  <c:v>-11586.7145750508</c:v>
                </c:pt>
                <c:pt idx="43">
                  <c:v>-13374.9751452757</c:v>
                </c:pt>
                <c:pt idx="44">
                  <c:v>-15057.1388709602</c:v>
                </c:pt>
                <c:pt idx="45">
                  <c:v>-16620.4034704336</c:v>
                </c:pt>
                <c:pt idx="46">
                  <c:v>-18052.8715561689</c:v>
                </c:pt>
                <c:pt idx="47">
                  <c:v>-19343.6411810858</c:v>
                </c:pt>
                <c:pt idx="48">
                  <c:v>-20482.8888089508</c:v>
                </c:pt>
                <c:pt idx="49">
                  <c:v>-21461.9440774191</c:v>
                </c:pt>
                <c:pt idx="50">
                  <c:v>-22273.3557847281</c:v>
                </c:pt>
                <c:pt idx="51">
                  <c:v>-22910.9485978413</c:v>
                </c:pt>
                <c:pt idx="52">
                  <c:v>-23369.8700504619</c:v>
                </c:pt>
                <c:pt idx="53">
                  <c:v>-23646.627473231</c:v>
                </c:pt>
                <c:pt idx="54">
                  <c:v>-23739.1145750508</c:v>
                </c:pt>
                <c:pt idx="55">
                  <c:v>-23646.627473231</c:v>
                </c:pt>
                <c:pt idx="56">
                  <c:v>-23369.8700504619</c:v>
                </c:pt>
                <c:pt idx="57">
                  <c:v>-22910.9485978413</c:v>
                </c:pt>
                <c:pt idx="58">
                  <c:v>-22273.3557847281</c:v>
                </c:pt>
                <c:pt idx="59">
                  <c:v>-21461.9440774191</c:v>
                </c:pt>
                <c:pt idx="60">
                  <c:v>-20482.8888089508</c:v>
                </c:pt>
                <c:pt idx="61">
                  <c:v>-19343.6411810859</c:v>
                </c:pt>
                <c:pt idx="62">
                  <c:v>-18052.8715561689</c:v>
                </c:pt>
                <c:pt idx="63">
                  <c:v>-16620.4034704336</c:v>
                </c:pt>
                <c:pt idx="64">
                  <c:v>-15057.1388709602</c:v>
                </c:pt>
                <c:pt idx="65">
                  <c:v>-13374.9751452757</c:v>
                </c:pt>
                <c:pt idx="66">
                  <c:v>-11586.7145750508</c:v>
                </c:pt>
                <c:pt idx="67">
                  <c:v>-9705.96690300611</c:v>
                </c:pt>
                <c:pt idx="68">
                  <c:v>-7747.04575455249</c:v>
                </c:pt>
                <c:pt idx="69">
                  <c:v>-5724.85970245851</c:v>
                </c:pt>
                <c:pt idx="70">
                  <c:v>-3654.79880360997</c:v>
                </c:pt>
                <c:pt idx="71">
                  <c:v>-1552.61747138405</c:v>
                </c:pt>
                <c:pt idx="72">
                  <c:v>565.685424949232</c:v>
                </c:pt>
              </c:numCache>
            </c:numRef>
          </c:xVal>
          <c:yVal>
            <c:numRef>
              <c:f>7_COBERTURA_VISUAL!$R$16:$R$88</c:f>
              <c:numCache>
                <c:formatCode>0.0</c:formatCode>
                <c:ptCount val="73"/>
                <c:pt idx="0">
                  <c:v>24870.4854249492</c:v>
                </c:pt>
                <c:pt idx="1">
                  <c:v>24777.9983231295</c:v>
                </c:pt>
                <c:pt idx="2">
                  <c:v>24501.2409003604</c:v>
                </c:pt>
                <c:pt idx="3">
                  <c:v>24042.3194477398</c:v>
                </c:pt>
                <c:pt idx="4">
                  <c:v>23404.7266346266</c:v>
                </c:pt>
                <c:pt idx="5">
                  <c:v>22593.3149273176</c:v>
                </c:pt>
                <c:pt idx="6">
                  <c:v>21614.2596588493</c:v>
                </c:pt>
                <c:pt idx="7">
                  <c:v>20475.0120309843</c:v>
                </c:pt>
                <c:pt idx="8">
                  <c:v>19184.2424060674</c:v>
                </c:pt>
                <c:pt idx="9">
                  <c:v>17751.774320332</c:v>
                </c:pt>
                <c:pt idx="10">
                  <c:v>16188.5097208586</c:v>
                </c:pt>
                <c:pt idx="11">
                  <c:v>14506.3459951741</c:v>
                </c:pt>
                <c:pt idx="12">
                  <c:v>12718.0854249492</c:v>
                </c:pt>
                <c:pt idx="13">
                  <c:v>10837.3377529046</c:v>
                </c:pt>
                <c:pt idx="14">
                  <c:v>8878.41660445096</c:v>
                </c:pt>
                <c:pt idx="15">
                  <c:v>6856.23055235699</c:v>
                </c:pt>
                <c:pt idx="16">
                  <c:v>4786.16965350845</c:v>
                </c:pt>
                <c:pt idx="17">
                  <c:v>2683.98832128253</c:v>
                </c:pt>
                <c:pt idx="18">
                  <c:v>565.68542494924</c:v>
                </c:pt>
                <c:pt idx="19">
                  <c:v>-1552.61747138405</c:v>
                </c:pt>
                <c:pt idx="20">
                  <c:v>-3654.79880360997</c:v>
                </c:pt>
                <c:pt idx="21">
                  <c:v>-5724.85970245851</c:v>
                </c:pt>
                <c:pt idx="22">
                  <c:v>-7747.04575455248</c:v>
                </c:pt>
                <c:pt idx="23">
                  <c:v>-9705.96690300611</c:v>
                </c:pt>
                <c:pt idx="24">
                  <c:v>-11586.7145750508</c:v>
                </c:pt>
                <c:pt idx="25">
                  <c:v>-13374.9751452757</c:v>
                </c:pt>
                <c:pt idx="26">
                  <c:v>-15057.1388709602</c:v>
                </c:pt>
                <c:pt idx="27">
                  <c:v>-16620.4034704336</c:v>
                </c:pt>
                <c:pt idx="28">
                  <c:v>-18052.8715561689</c:v>
                </c:pt>
                <c:pt idx="29">
                  <c:v>-19343.6411810859</c:v>
                </c:pt>
                <c:pt idx="30">
                  <c:v>-20482.8888089508</c:v>
                </c:pt>
                <c:pt idx="31">
                  <c:v>-21461.9440774191</c:v>
                </c:pt>
                <c:pt idx="32">
                  <c:v>-22273.3557847281</c:v>
                </c:pt>
                <c:pt idx="33">
                  <c:v>-22910.9485978413</c:v>
                </c:pt>
                <c:pt idx="34">
                  <c:v>-23369.8700504619</c:v>
                </c:pt>
                <c:pt idx="35">
                  <c:v>-23646.627473231</c:v>
                </c:pt>
                <c:pt idx="36">
                  <c:v>-23739.1145750508</c:v>
                </c:pt>
                <c:pt idx="37">
                  <c:v>-23646.627473231</c:v>
                </c:pt>
                <c:pt idx="38">
                  <c:v>-23369.8700504619</c:v>
                </c:pt>
                <c:pt idx="39">
                  <c:v>-22910.9485978413</c:v>
                </c:pt>
                <c:pt idx="40">
                  <c:v>-22273.3557847281</c:v>
                </c:pt>
                <c:pt idx="41">
                  <c:v>-21461.9440774191</c:v>
                </c:pt>
                <c:pt idx="42">
                  <c:v>-20482.8888089508</c:v>
                </c:pt>
                <c:pt idx="43">
                  <c:v>-19343.6411810859</c:v>
                </c:pt>
                <c:pt idx="44">
                  <c:v>-18052.8715561689</c:v>
                </c:pt>
                <c:pt idx="45">
                  <c:v>-16620.4034704336</c:v>
                </c:pt>
                <c:pt idx="46">
                  <c:v>-15057.1388709602</c:v>
                </c:pt>
                <c:pt idx="47">
                  <c:v>-13374.9751452757</c:v>
                </c:pt>
                <c:pt idx="48">
                  <c:v>-11586.7145750508</c:v>
                </c:pt>
                <c:pt idx="49">
                  <c:v>-9705.96690300611</c:v>
                </c:pt>
                <c:pt idx="50">
                  <c:v>-7747.04575455249</c:v>
                </c:pt>
                <c:pt idx="51">
                  <c:v>-5724.85970245851</c:v>
                </c:pt>
                <c:pt idx="52">
                  <c:v>-3654.79880360997</c:v>
                </c:pt>
                <c:pt idx="53">
                  <c:v>-1552.61747138405</c:v>
                </c:pt>
                <c:pt idx="54">
                  <c:v>565.685424949234</c:v>
                </c:pt>
                <c:pt idx="55">
                  <c:v>2683.98832128251</c:v>
                </c:pt>
                <c:pt idx="56">
                  <c:v>4786.16965350844</c:v>
                </c:pt>
                <c:pt idx="57">
                  <c:v>6856.23055235697</c:v>
                </c:pt>
                <c:pt idx="58">
                  <c:v>8878.41660445096</c:v>
                </c:pt>
                <c:pt idx="59">
                  <c:v>10837.3377529046</c:v>
                </c:pt>
                <c:pt idx="60">
                  <c:v>12718.0854249492</c:v>
                </c:pt>
                <c:pt idx="61">
                  <c:v>14506.3459951741</c:v>
                </c:pt>
                <c:pt idx="62">
                  <c:v>16188.5097208586</c:v>
                </c:pt>
                <c:pt idx="63">
                  <c:v>17751.774320332</c:v>
                </c:pt>
                <c:pt idx="64">
                  <c:v>19184.2424060674</c:v>
                </c:pt>
                <c:pt idx="65">
                  <c:v>20475.0120309843</c:v>
                </c:pt>
                <c:pt idx="66">
                  <c:v>21614.2596588493</c:v>
                </c:pt>
                <c:pt idx="67">
                  <c:v>22593.3149273176</c:v>
                </c:pt>
                <c:pt idx="68">
                  <c:v>23404.7266346266</c:v>
                </c:pt>
                <c:pt idx="69">
                  <c:v>24042.3194477398</c:v>
                </c:pt>
                <c:pt idx="70">
                  <c:v>24501.2409003604</c:v>
                </c:pt>
                <c:pt idx="71">
                  <c:v>24777.9983231295</c:v>
                </c:pt>
                <c:pt idx="72">
                  <c:v>24870.4854249492</c:v>
                </c:pt>
              </c:numCache>
            </c:numRef>
          </c:yVal>
          <c:smooth val="1"/>
        </c:ser>
        <c:ser>
          <c:idx val="8"/>
          <c:order val="8"/>
          <c:tx>
            <c:strRef>
              <c:f>"HVU"</c:f>
              <c:strCache>
                <c:ptCount val="1"/>
                <c:pt idx="0">
                  <c:v>HVU</c:v>
                </c:pt>
              </c:strCache>
            </c:strRef>
          </c:tx>
          <c:spPr>
            <a:solidFill>
              <a:srgbClr val="ff0000"/>
            </a:solidFill>
            <a:ln w="47520">
              <a:noFill/>
            </a:ln>
          </c:spPr>
          <c:marker>
            <c:symbol val="square"/>
            <c:size val="8"/>
            <c:spPr>
              <a:solidFill>
                <a:srgbClr val="ff000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7_COBERTURA_VISUAL!$C$91</c:f>
              <c:numCache>
                <c:formatCode>General</c:formatCode>
                <c:ptCount val="1"/>
              </c:numCache>
            </c:numRef>
          </c:xVal>
          <c:yVal>
            <c:numRef>
              <c:f>7_COBERTURA_VISUAL!$D$91</c:f>
              <c:numCache>
                <c:formatCode>General</c:formatCode>
                <c:ptCount val="1"/>
              </c:numCache>
            </c:numRef>
          </c:yVal>
          <c:smooth val="1"/>
        </c:ser>
        <c:ser>
          <c:idx val="9"/>
          <c:order val="9"/>
          <c:tx>
            <c:strRef>
              <c:f>"FFG Adelaide 1"</c:f>
              <c:strCache>
                <c:ptCount val="1"/>
                <c:pt idx="0">
                  <c:v>FFG Adelaide 1</c:v>
                </c:pt>
              </c:strCache>
            </c:strRef>
          </c:tx>
          <c:spPr>
            <a:solidFill>
              <a:srgbClr val="1f3864"/>
            </a:solidFill>
            <a:ln w="47520">
              <a:noFill/>
            </a:ln>
          </c:spPr>
          <c:marker>
            <c:symbol val="triangle"/>
            <c:size val="8"/>
            <c:spPr>
              <a:solidFill>
                <a:srgbClr val="1f3864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7_COBERTURA_VISUAL!$C$92</c:f>
              <c:numCache>
                <c:formatCode>0.0</c:formatCode>
                <c:ptCount val="1"/>
                <c:pt idx="0">
                  <c:v>4.28626379701574E-013</c:v>
                </c:pt>
              </c:numCache>
            </c:numRef>
          </c:xVal>
          <c:yVal>
            <c:numRef>
              <c:f>7_COBERTURA_VISUAL!$D$92</c:f>
              <c:numCache>
                <c:formatCode>0.0</c:formatCode>
                <c:ptCount val="1"/>
                <c:pt idx="0">
                  <c:v>-3500</c:v>
                </c:pt>
              </c:numCache>
            </c:numRef>
          </c:yVal>
          <c:smooth val="1"/>
        </c:ser>
        <c:ser>
          <c:idx val="10"/>
          <c:order val="10"/>
          <c:tx>
            <c:strRef>
              <c:f>"FFG Adelaide 2"</c:f>
              <c:strCache>
                <c:ptCount val="1"/>
                <c:pt idx="0">
                  <c:v>FFG Adelaide 2</c:v>
                </c:pt>
              </c:strCache>
            </c:strRef>
          </c:tx>
          <c:spPr>
            <a:solidFill>
              <a:srgbClr val="2e5090"/>
            </a:solidFill>
            <a:ln w="47520">
              <a:noFill/>
            </a:ln>
          </c:spPr>
          <c:marker>
            <c:symbol val="triangle"/>
            <c:size val="8"/>
            <c:spPr>
              <a:solidFill>
                <a:srgbClr val="2e509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7_COBERTURA_VISUAL!$C$93</c:f>
              <c:numCache>
                <c:formatCode>0.0</c:formatCode>
                <c:ptCount val="1"/>
                <c:pt idx="0">
                  <c:v>1436.48460196781</c:v>
                </c:pt>
              </c:numCache>
            </c:numRef>
          </c:xVal>
          <c:yVal>
            <c:numRef>
              <c:f>7_COBERTURA_VISUAL!$D$93</c:f>
              <c:numCache>
                <c:formatCode>0.0</c:formatCode>
                <c:ptCount val="1"/>
                <c:pt idx="0">
                  <c:v>-3946.70900730082</c:v>
                </c:pt>
              </c:numCache>
            </c:numRef>
          </c:yVal>
          <c:smooth val="1"/>
        </c:ser>
        <c:ser>
          <c:idx val="11"/>
          <c:order val="11"/>
          <c:tx>
            <c:strRef>
              <c:f>"FF23 Nro. 1"</c:f>
              <c:strCache>
                <c:ptCount val="1"/>
                <c:pt idx="0">
                  <c:v>FF23 Nro. 1</c:v>
                </c:pt>
              </c:strCache>
            </c:strRef>
          </c:tx>
          <c:spPr>
            <a:solidFill>
              <a:srgbClr val="006400"/>
            </a:solidFill>
            <a:ln w="47520">
              <a:noFill/>
            </a:ln>
          </c:spPr>
          <c:marker>
            <c:symbol val="diamond"/>
            <c:size val="8"/>
            <c:spPr>
              <a:solidFill>
                <a:srgbClr val="00640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7_COBERTURA_VISUAL!$C$94</c:f>
              <c:numCache>
                <c:formatCode>0.0</c:formatCode>
                <c:ptCount val="1"/>
                <c:pt idx="0">
                  <c:v>-883.883476483184</c:v>
                </c:pt>
              </c:numCache>
            </c:numRef>
          </c:xVal>
          <c:yVal>
            <c:numRef>
              <c:f>7_COBERTURA_VISUAL!$D$94</c:f>
              <c:numCache>
                <c:formatCode>0.0</c:formatCode>
                <c:ptCount val="1"/>
                <c:pt idx="0">
                  <c:v>-883.883476483185</c:v>
                </c:pt>
              </c:numCache>
            </c:numRef>
          </c:yVal>
          <c:smooth val="1"/>
        </c:ser>
        <c:ser>
          <c:idx val="12"/>
          <c:order val="12"/>
          <c:tx>
            <c:strRef>
              <c:f>"FF23 Nro. 2"</c:f>
              <c:strCache>
                <c:ptCount val="1"/>
                <c:pt idx="0">
                  <c:v>FF23 Nro. 2</c:v>
                </c:pt>
              </c:strCache>
            </c:strRef>
          </c:tx>
          <c:spPr>
            <a:solidFill>
              <a:srgbClr val="228b22"/>
            </a:solidFill>
            <a:ln w="47520">
              <a:noFill/>
            </a:ln>
          </c:spPr>
          <c:marker>
            <c:symbol val="diamond"/>
            <c:size val="8"/>
            <c:spPr>
              <a:solidFill>
                <a:srgbClr val="228b22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7_COBERTURA_VISUAL!$C$95</c:f>
              <c:numCache>
                <c:formatCode>0.0</c:formatCode>
                <c:ptCount val="1"/>
                <c:pt idx="0">
                  <c:v>-707.106781186548</c:v>
                </c:pt>
              </c:numCache>
            </c:numRef>
          </c:xVal>
          <c:yVal>
            <c:numRef>
              <c:f>7_COBERTURA_VISUAL!$D$95</c:f>
              <c:numCache>
                <c:formatCode>0.0</c:formatCode>
                <c:ptCount val="1"/>
                <c:pt idx="0">
                  <c:v>707.106781186547</c:v>
                </c:pt>
              </c:numCache>
            </c:numRef>
          </c:yVal>
          <c:smooth val="1"/>
        </c:ser>
        <c:ser>
          <c:idx val="13"/>
          <c:order val="13"/>
          <c:tx>
            <c:strRef>
              <c:f>"FF23 Nro. 3"</c:f>
              <c:strCache>
                <c:ptCount val="1"/>
                <c:pt idx="0">
                  <c:v>FF23 Nro. 3</c:v>
                </c:pt>
              </c:strCache>
            </c:strRef>
          </c:tx>
          <c:spPr>
            <a:solidFill>
              <a:srgbClr val="32cd32"/>
            </a:solidFill>
            <a:ln w="47520">
              <a:noFill/>
            </a:ln>
          </c:spPr>
          <c:marker>
            <c:symbol val="diamond"/>
            <c:size val="8"/>
            <c:spPr>
              <a:solidFill>
                <a:srgbClr val="32cd32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7_COBERTURA_VISUAL!$C$96</c:f>
              <c:numCache>
                <c:formatCode>General</c:formatCode>
                <c:ptCount val="1"/>
              </c:numCache>
            </c:numRef>
          </c:xVal>
          <c:yVal>
            <c:numRef>
              <c:f>7_COBERTURA_VISUAL!$D$96</c:f>
              <c:numCache>
                <c:formatCode>General</c:formatCode>
                <c:ptCount val="1"/>
              </c:numCache>
            </c:numRef>
          </c:yVal>
          <c:smooth val="1"/>
        </c:ser>
        <c:axId val="24887820"/>
        <c:axId val="53721949"/>
      </c:scatterChart>
      <c:valAx>
        <c:axId val="24887820"/>
        <c:scaling>
          <c:orientation val="minMax"/>
          <c:max val="55000"/>
          <c:min val="-55000"/>
        </c:scaling>
        <c:delete val="0"/>
        <c:axPos val="b"/>
        <c:majorGridlines>
          <c:spPr>
            <a:ln w="0">
              <a:solidFill>
                <a:srgbClr val="b3b3b3"/>
              </a:solidFill>
            </a:ln>
          </c:spPr>
        </c:majorGridlines>
        <c:title>
          <c:tx>
            <c:rich>
              <a:bodyPr rot="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Distancia Este-Oeste (yardas)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3721949"/>
        <c:crosses val="autoZero"/>
        <c:crossBetween val="midCat"/>
      </c:valAx>
      <c:valAx>
        <c:axId val="53721949"/>
        <c:scaling>
          <c:orientation val="minMax"/>
          <c:max val="55000"/>
          <c:min val="-55000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Distancia Norte-Sur (yardas)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4887820"/>
        <c:crosses val="autoZero"/>
        <c:crossBetween val="midCat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0</xdr:colOff>
      <xdr:row>12</xdr:row>
      <xdr:rowOff>0</xdr:rowOff>
    </xdr:from>
    <xdr:to>
      <xdr:col>17</xdr:col>
      <xdr:colOff>307440</xdr:colOff>
      <xdr:row>68</xdr:row>
      <xdr:rowOff>65520</xdr:rowOff>
    </xdr:to>
    <xdr:graphicFrame>
      <xdr:nvGraphicFramePr>
        <xdr:cNvPr id="0" name="Chart 1"/>
        <xdr:cNvGraphicFramePr/>
      </xdr:nvGraphicFramePr>
      <xdr:xfrm>
        <a:off x="7189560" y="3029040"/>
        <a:ext cx="7919640" cy="71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F3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32"/>
    <col collapsed="false" customWidth="true" hidden="false" outlineLevel="0" max="3" min="3" style="1" width="18"/>
    <col collapsed="false" customWidth="true" hidden="false" outlineLevel="0" max="4" min="4" style="1" width="14"/>
    <col collapsed="false" customWidth="true" hidden="false" outlineLevel="0" max="5" min="5" style="1" width="32"/>
    <col collapsed="false" customWidth="true" hidden="false" outlineLevel="0" max="6" min="6" style="1" width="18"/>
    <col collapsed="false" customWidth="true" hidden="false" outlineLevel="0" max="7" min="7" style="1" width="3"/>
  </cols>
  <sheetData>
    <row r="1" customFormat="false" ht="36" hidden="false" customHeight="true" outlineLevel="0" collapsed="false">
      <c r="B1" s="2" t="s">
        <v>0</v>
      </c>
      <c r="C1" s="2"/>
      <c r="D1" s="2"/>
      <c r="E1" s="2"/>
      <c r="F1" s="2"/>
    </row>
    <row r="2" customFormat="false" ht="19.5" hidden="false" customHeight="true" outlineLevel="0" collapsed="false">
      <c r="B2" s="3" t="s">
        <v>1</v>
      </c>
      <c r="C2" s="3"/>
      <c r="D2" s="3"/>
      <c r="E2" s="3"/>
      <c r="F2" s="3"/>
    </row>
    <row r="4" customFormat="false" ht="21.75" hidden="false" customHeight="true" outlineLevel="0" collapsed="false">
      <c r="B4" s="4" t="s">
        <v>2</v>
      </c>
      <c r="C4" s="4"/>
      <c r="D4" s="4"/>
      <c r="E4" s="5" t="s">
        <v>3</v>
      </c>
      <c r="F4" s="5"/>
    </row>
    <row r="5" customFormat="false" ht="18" hidden="false" customHeight="true" outlineLevel="0" collapsed="false">
      <c r="B5" s="6" t="s">
        <v>4</v>
      </c>
      <c r="C5" s="7" t="n">
        <v>25</v>
      </c>
      <c r="D5" s="8"/>
      <c r="E5" s="9" t="s">
        <v>5</v>
      </c>
      <c r="F5" s="8"/>
    </row>
    <row r="6" customFormat="false" ht="18" hidden="false" customHeight="true" outlineLevel="0" collapsed="false">
      <c r="B6" s="6" t="s">
        <v>6</v>
      </c>
      <c r="C6" s="7" t="n">
        <v>60</v>
      </c>
      <c r="D6" s="8"/>
      <c r="E6" s="9" t="s">
        <v>7</v>
      </c>
      <c r="F6" s="8"/>
    </row>
    <row r="7" customFormat="false" ht="18" hidden="false" customHeight="true" outlineLevel="0" collapsed="false">
      <c r="B7" s="6" t="s">
        <v>8</v>
      </c>
      <c r="C7" s="7" t="n">
        <v>12</v>
      </c>
      <c r="D7" s="8"/>
      <c r="E7" s="9" t="s">
        <v>9</v>
      </c>
      <c r="F7" s="8"/>
    </row>
    <row r="8" customFormat="false" ht="18" hidden="false" customHeight="true" outlineLevel="0" collapsed="false">
      <c r="B8" s="6" t="s">
        <v>10</v>
      </c>
      <c r="C8" s="7" t="n">
        <v>600</v>
      </c>
      <c r="D8" s="8"/>
      <c r="E8" s="9" t="s">
        <v>11</v>
      </c>
      <c r="F8" s="8"/>
    </row>
    <row r="9" customFormat="false" ht="18" hidden="false" customHeight="true" outlineLevel="0" collapsed="false">
      <c r="B9" s="6" t="s">
        <v>12</v>
      </c>
      <c r="C9" s="7" t="n">
        <v>900</v>
      </c>
      <c r="D9" s="8"/>
      <c r="E9" s="9" t="s">
        <v>13</v>
      </c>
      <c r="F9" s="8"/>
    </row>
    <row r="10" customFormat="false" ht="18" hidden="false" customHeight="true" outlineLevel="0" collapsed="false">
      <c r="B10" s="6" t="s">
        <v>14</v>
      </c>
      <c r="C10" s="7" t="n">
        <v>600</v>
      </c>
      <c r="D10" s="8"/>
      <c r="E10" s="9" t="s">
        <v>15</v>
      </c>
      <c r="F10" s="8"/>
    </row>
    <row r="11" customFormat="false" ht="18" hidden="false" customHeight="true" outlineLevel="0" collapsed="false">
      <c r="B11" s="6" t="s">
        <v>16</v>
      </c>
      <c r="C11" s="7" t="n">
        <v>2</v>
      </c>
      <c r="D11" s="8"/>
      <c r="E11" s="9" t="s">
        <v>17</v>
      </c>
      <c r="F11" s="8"/>
    </row>
    <row r="12" customFormat="false" ht="18" hidden="false" customHeight="true" outlineLevel="0" collapsed="false">
      <c r="B12" s="6" t="s">
        <v>18</v>
      </c>
      <c r="C12" s="7" t="n">
        <v>2</v>
      </c>
      <c r="D12" s="8"/>
      <c r="E12" s="9" t="s">
        <v>17</v>
      </c>
      <c r="F12" s="8"/>
    </row>
    <row r="14" customFormat="false" ht="21.75" hidden="false" customHeight="true" outlineLevel="0" collapsed="false">
      <c r="B14" s="10" t="s">
        <v>19</v>
      </c>
      <c r="C14" s="10"/>
      <c r="D14" s="10"/>
      <c r="E14" s="11" t="s">
        <v>3</v>
      </c>
      <c r="F14" s="11"/>
    </row>
    <row r="15" customFormat="false" ht="18" hidden="false" customHeight="true" outlineLevel="0" collapsed="false">
      <c r="B15" s="6" t="s">
        <v>20</v>
      </c>
      <c r="C15" s="12" t="n">
        <v>550</v>
      </c>
      <c r="D15" s="8"/>
      <c r="E15" s="9" t="s">
        <v>21</v>
      </c>
      <c r="F15" s="8"/>
    </row>
    <row r="16" customFormat="false" ht="18" hidden="false" customHeight="true" outlineLevel="0" collapsed="false">
      <c r="B16" s="6" t="s">
        <v>22</v>
      </c>
      <c r="C16" s="12" t="n">
        <v>30</v>
      </c>
      <c r="D16" s="8"/>
      <c r="E16" s="9" t="s">
        <v>23</v>
      </c>
      <c r="F16" s="8"/>
    </row>
    <row r="17" customFormat="false" ht="18" hidden="false" customHeight="true" outlineLevel="0" collapsed="false">
      <c r="B17" s="6" t="s">
        <v>24</v>
      </c>
      <c r="C17" s="12" t="n">
        <v>60</v>
      </c>
      <c r="D17" s="8"/>
      <c r="E17" s="9" t="s">
        <v>25</v>
      </c>
      <c r="F17" s="8"/>
    </row>
    <row r="18" customFormat="false" ht="18" hidden="false" customHeight="true" outlineLevel="0" collapsed="false">
      <c r="B18" s="6" t="s">
        <v>26</v>
      </c>
      <c r="C18" s="12" t="n">
        <v>95</v>
      </c>
      <c r="D18" s="8"/>
      <c r="E18" s="9" t="s">
        <v>27</v>
      </c>
      <c r="F18" s="8"/>
    </row>
    <row r="19" customFormat="false" ht="18" hidden="false" customHeight="true" outlineLevel="0" collapsed="false">
      <c r="B19" s="6" t="s">
        <v>28</v>
      </c>
      <c r="C19" s="12" t="n">
        <v>10</v>
      </c>
      <c r="D19" s="8"/>
      <c r="E19" s="9" t="s">
        <v>29</v>
      </c>
      <c r="F19" s="8"/>
    </row>
    <row r="21" customFormat="false" ht="21.75" hidden="false" customHeight="true" outlineLevel="0" collapsed="false">
      <c r="B21" s="13" t="s">
        <v>30</v>
      </c>
      <c r="C21" s="13"/>
      <c r="D21" s="13"/>
      <c r="E21" s="14" t="s">
        <v>3</v>
      </c>
      <c r="F21" s="14"/>
    </row>
    <row r="22" customFormat="false" ht="18" hidden="false" customHeight="true" outlineLevel="0" collapsed="false">
      <c r="B22" s="6" t="s">
        <v>31</v>
      </c>
      <c r="C22" s="15" t="n">
        <v>10</v>
      </c>
      <c r="D22" s="8"/>
      <c r="E22" s="9" t="s">
        <v>32</v>
      </c>
      <c r="F22" s="8"/>
    </row>
    <row r="23" customFormat="false" ht="18" hidden="false" customHeight="true" outlineLevel="0" collapsed="false">
      <c r="B23" s="6" t="s">
        <v>33</v>
      </c>
      <c r="C23" s="15" t="n">
        <v>7</v>
      </c>
      <c r="D23" s="8"/>
      <c r="E23" s="9" t="s">
        <v>34</v>
      </c>
      <c r="F23" s="8"/>
    </row>
    <row r="24" customFormat="false" ht="18" hidden="false" customHeight="true" outlineLevel="0" collapsed="false">
      <c r="B24" s="6" t="s">
        <v>35</v>
      </c>
      <c r="C24" s="15" t="n">
        <v>8</v>
      </c>
      <c r="D24" s="8"/>
      <c r="E24" s="9" t="s">
        <v>36</v>
      </c>
      <c r="F24" s="8"/>
    </row>
    <row r="25" customFormat="false" ht="18" hidden="false" customHeight="true" outlineLevel="0" collapsed="false">
      <c r="B25" s="6" t="s">
        <v>37</v>
      </c>
      <c r="C25" s="15" t="n">
        <v>2</v>
      </c>
      <c r="D25" s="8"/>
      <c r="E25" s="9" t="s">
        <v>38</v>
      </c>
      <c r="F25" s="8"/>
    </row>
    <row r="26" customFormat="false" ht="18" hidden="false" customHeight="true" outlineLevel="0" collapsed="false">
      <c r="B26" s="6" t="s">
        <v>39</v>
      </c>
      <c r="C26" s="15" t="n">
        <v>80</v>
      </c>
      <c r="D26" s="8"/>
      <c r="E26" s="9" t="s">
        <v>40</v>
      </c>
      <c r="F26" s="8"/>
    </row>
    <row r="27" customFormat="false" ht="18" hidden="false" customHeight="true" outlineLevel="0" collapsed="false">
      <c r="B27" s="6" t="s">
        <v>41</v>
      </c>
      <c r="C27" s="15" t="n">
        <v>80</v>
      </c>
      <c r="D27" s="8"/>
      <c r="E27" s="9" t="s">
        <v>40</v>
      </c>
      <c r="F27" s="8"/>
    </row>
    <row r="29" customFormat="false" ht="21.75" hidden="false" customHeight="true" outlineLevel="0" collapsed="false">
      <c r="B29" s="16" t="s">
        <v>42</v>
      </c>
      <c r="C29" s="16"/>
      <c r="D29" s="16"/>
      <c r="E29" s="17" t="s">
        <v>3</v>
      </c>
      <c r="F29" s="17"/>
    </row>
    <row r="30" customFormat="false" ht="18" hidden="false" customHeight="true" outlineLevel="0" collapsed="false">
      <c r="B30" s="6" t="s">
        <v>43</v>
      </c>
      <c r="C30" s="18" t="n">
        <v>3500</v>
      </c>
      <c r="D30" s="8"/>
      <c r="E30" s="9" t="s">
        <v>44</v>
      </c>
      <c r="F30" s="8"/>
    </row>
    <row r="31" customFormat="false" ht="18" hidden="false" customHeight="true" outlineLevel="0" collapsed="false">
      <c r="B31" s="6" t="s">
        <v>45</v>
      </c>
      <c r="C31" s="18" t="n">
        <v>180</v>
      </c>
      <c r="D31" s="8"/>
      <c r="E31" s="9" t="s">
        <v>46</v>
      </c>
      <c r="F31" s="8"/>
    </row>
    <row r="32" customFormat="false" ht="18" hidden="false" customHeight="true" outlineLevel="0" collapsed="false">
      <c r="B32" s="6" t="s">
        <v>47</v>
      </c>
      <c r="C32" s="18" t="n">
        <v>1250</v>
      </c>
      <c r="D32" s="8"/>
      <c r="E32" s="9" t="s">
        <v>48</v>
      </c>
      <c r="F32" s="8"/>
    </row>
    <row r="33" customFormat="false" ht="18" hidden="false" customHeight="true" outlineLevel="0" collapsed="false">
      <c r="B33" s="6" t="s">
        <v>49</v>
      </c>
      <c r="C33" s="18" t="n">
        <v>225</v>
      </c>
      <c r="D33" s="8"/>
      <c r="E33" s="9" t="s">
        <v>50</v>
      </c>
      <c r="F33" s="8"/>
    </row>
    <row r="34" customFormat="false" ht="18" hidden="false" customHeight="true" outlineLevel="0" collapsed="false">
      <c r="B34" s="6" t="s">
        <v>51</v>
      </c>
      <c r="C34" s="18" t="n">
        <v>0</v>
      </c>
      <c r="D34" s="8"/>
      <c r="E34" s="9" t="s">
        <v>52</v>
      </c>
      <c r="F34" s="8"/>
    </row>
    <row r="35" customFormat="false" ht="18" hidden="false" customHeight="true" outlineLevel="0" collapsed="false">
      <c r="B35" s="6" t="s">
        <v>53</v>
      </c>
      <c r="C35" s="18" t="n">
        <v>2</v>
      </c>
      <c r="D35" s="8"/>
      <c r="E35" s="9" t="s">
        <v>54</v>
      </c>
      <c r="F35" s="8"/>
    </row>
    <row r="36" customFormat="false" ht="18" hidden="false" customHeight="true" outlineLevel="0" collapsed="false">
      <c r="B36" s="6" t="s">
        <v>55</v>
      </c>
      <c r="C36" s="18" t="n">
        <v>2</v>
      </c>
      <c r="D36" s="8"/>
      <c r="E36" s="9" t="s">
        <v>54</v>
      </c>
      <c r="F36" s="8"/>
    </row>
    <row r="38" customFormat="false" ht="27.75" hidden="false" customHeight="true" outlineLevel="0" collapsed="false">
      <c r="B38" s="19" t="s">
        <v>56</v>
      </c>
      <c r="C38" s="19"/>
      <c r="D38" s="19"/>
      <c r="E38" s="19"/>
      <c r="F38" s="19"/>
    </row>
  </sheetData>
  <mergeCells count="11">
    <mergeCell ref="B1:F1"/>
    <mergeCell ref="B2:F2"/>
    <mergeCell ref="B4:D4"/>
    <mergeCell ref="E4:F4"/>
    <mergeCell ref="B14:D14"/>
    <mergeCell ref="E14:F14"/>
    <mergeCell ref="B21:D21"/>
    <mergeCell ref="E21:F21"/>
    <mergeCell ref="B29:D29"/>
    <mergeCell ref="E29:F29"/>
    <mergeCell ref="B38:F3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H5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34"/>
    <col collapsed="false" customWidth="true" hidden="false" outlineLevel="0" max="8" min="3" style="1" width="18"/>
    <col collapsed="false" customWidth="true" hidden="false" outlineLevel="0" max="9" min="9" style="1" width="3"/>
  </cols>
  <sheetData>
    <row r="1" customFormat="false" ht="31.5" hidden="false" customHeight="true" outlineLevel="0" collapsed="false">
      <c r="B1" s="20" t="s">
        <v>57</v>
      </c>
      <c r="C1" s="20"/>
      <c r="D1" s="20"/>
      <c r="E1" s="20"/>
      <c r="F1" s="20"/>
      <c r="G1" s="20"/>
      <c r="H1" s="20"/>
    </row>
    <row r="3" customFormat="false" ht="21.75" hidden="false" customHeight="true" outlineLevel="0" collapsed="false">
      <c r="B3" s="21" t="s">
        <v>58</v>
      </c>
      <c r="C3" s="21"/>
      <c r="D3" s="21"/>
      <c r="E3" s="21"/>
      <c r="F3" s="21"/>
      <c r="G3" s="21"/>
      <c r="H3" s="21"/>
    </row>
    <row r="4" customFormat="false" ht="18" hidden="false" customHeight="true" outlineLevel="0" collapsed="false">
      <c r="B4" s="22" t="s">
        <v>59</v>
      </c>
      <c r="C4" s="22" t="s">
        <v>60</v>
      </c>
      <c r="D4" s="22" t="s">
        <v>61</v>
      </c>
      <c r="E4" s="22" t="s">
        <v>62</v>
      </c>
      <c r="F4" s="22" t="s">
        <v>63</v>
      </c>
      <c r="G4" s="8"/>
    </row>
    <row r="5" customFormat="false" ht="15.75" hidden="false" customHeight="true" outlineLevel="0" collapsed="false">
      <c r="B5" s="6" t="s">
        <v>64</v>
      </c>
      <c r="C5" s="23" t="n">
        <f aca="false">1_DATOS!C8</f>
        <v>600</v>
      </c>
      <c r="D5" s="23" t="n">
        <f aca="false">1_DATOS!C9</f>
        <v>900</v>
      </c>
      <c r="E5" s="23" t="n">
        <f aca="false">1_DATOS!C10</f>
        <v>600</v>
      </c>
      <c r="F5" s="8"/>
      <c r="G5" s="24" t="s">
        <v>65</v>
      </c>
    </row>
    <row r="6" customFormat="false" ht="15.75" hidden="false" customHeight="true" outlineLevel="0" collapsed="false">
      <c r="B6" s="6" t="s">
        <v>66</v>
      </c>
      <c r="C6" s="23" t="n">
        <f aca="false">1_DATOS!C15</f>
        <v>550</v>
      </c>
      <c r="D6" s="23" t="n">
        <f aca="false">1_DATOS!C15</f>
        <v>550</v>
      </c>
      <c r="E6" s="23" t="n">
        <f aca="false">1_DATOS!C15</f>
        <v>550</v>
      </c>
      <c r="F6" s="8"/>
      <c r="G6" s="24" t="s">
        <v>65</v>
      </c>
    </row>
    <row r="7" customFormat="false" ht="15.75" hidden="false" customHeight="true" outlineLevel="0" collapsed="false">
      <c r="B7" s="6" t="s">
        <v>67</v>
      </c>
      <c r="C7" s="23" t="n">
        <f aca="false">C5+C6</f>
        <v>1150</v>
      </c>
      <c r="D7" s="23" t="n">
        <f aca="false">D5+D6</f>
        <v>1450</v>
      </c>
      <c r="E7" s="23" t="n">
        <f aca="false">E5+E6</f>
        <v>1150</v>
      </c>
      <c r="F7" s="8"/>
      <c r="G7" s="24" t="s">
        <v>65</v>
      </c>
    </row>
    <row r="8" customFormat="false" ht="15.75" hidden="false" customHeight="true" outlineLevel="0" collapsed="false">
      <c r="B8" s="6" t="s">
        <v>68</v>
      </c>
      <c r="C8" s="23" t="n">
        <f aca="false">C5-C6</f>
        <v>50</v>
      </c>
      <c r="D8" s="23" t="n">
        <f aca="false">D5-D6</f>
        <v>350</v>
      </c>
      <c r="E8" s="23" t="n">
        <f aca="false">E5-E6</f>
        <v>50</v>
      </c>
      <c r="F8" s="8"/>
      <c r="G8" s="24" t="s">
        <v>65</v>
      </c>
    </row>
    <row r="9" customFormat="false" ht="15.75" hidden="false" customHeight="true" outlineLevel="0" collapsed="false">
      <c r="B9" s="6" t="s">
        <v>69</v>
      </c>
      <c r="C9" s="23" t="n">
        <f aca="false">C7/60</f>
        <v>19.1666666666667</v>
      </c>
      <c r="D9" s="23" t="n">
        <f aca="false">D7/60</f>
        <v>24.1666666666667</v>
      </c>
      <c r="E9" s="23" t="n">
        <f aca="false">E7/60</f>
        <v>19.1666666666667</v>
      </c>
      <c r="F9" s="8"/>
      <c r="G9" s="24" t="s">
        <v>70</v>
      </c>
    </row>
    <row r="10" customFormat="false" ht="15.75" hidden="false" customHeight="true" outlineLevel="0" collapsed="false">
      <c r="B10" s="6" t="s">
        <v>71</v>
      </c>
      <c r="C10" s="23" t="n">
        <f aca="false">C9/60</f>
        <v>0.319444444444445</v>
      </c>
      <c r="D10" s="23" t="n">
        <f aca="false">D9/60</f>
        <v>0.402777777777778</v>
      </c>
      <c r="E10" s="23" t="n">
        <f aca="false">E9/60</f>
        <v>0.319444444444445</v>
      </c>
      <c r="F10" s="8"/>
      <c r="G10" s="24" t="s">
        <v>72</v>
      </c>
    </row>
    <row r="12" customFormat="false" ht="21.75" hidden="false" customHeight="true" outlineLevel="0" collapsed="false">
      <c r="B12" s="21" t="s">
        <v>73</v>
      </c>
      <c r="C12" s="21"/>
      <c r="D12" s="21"/>
      <c r="E12" s="21"/>
      <c r="F12" s="21"/>
      <c r="G12" s="21"/>
      <c r="H12" s="21"/>
    </row>
    <row r="13" customFormat="false" ht="18" hidden="false" customHeight="true" outlineLevel="0" collapsed="false">
      <c r="B13" s="22" t="s">
        <v>59</v>
      </c>
      <c r="C13" s="22" t="s">
        <v>60</v>
      </c>
      <c r="D13" s="22" t="s">
        <v>61</v>
      </c>
      <c r="E13" s="22" t="s">
        <v>62</v>
      </c>
      <c r="F13" s="22" t="s">
        <v>63</v>
      </c>
      <c r="G13" s="8"/>
    </row>
    <row r="14" customFormat="false" ht="15.75" hidden="false" customHeight="true" outlineLevel="0" collapsed="false">
      <c r="B14" s="6" t="s">
        <v>74</v>
      </c>
      <c r="C14" s="25" t="n">
        <f aca="false">1_DATOS!C22</f>
        <v>10</v>
      </c>
      <c r="D14" s="25" t="n">
        <f aca="false">1_DATOS!C6</f>
        <v>60</v>
      </c>
      <c r="E14" s="25" t="n">
        <f aca="false">1_DATOS!C24</f>
        <v>8</v>
      </c>
      <c r="F14" s="8"/>
      <c r="G14" s="24" t="s">
        <v>75</v>
      </c>
    </row>
    <row r="15" customFormat="false" ht="15.75" hidden="false" customHeight="true" outlineLevel="0" collapsed="false">
      <c r="B15" s="6" t="s">
        <v>76</v>
      </c>
      <c r="C15" s="25" t="n">
        <f aca="false">C14*1852/(C6*0.5144)</f>
        <v>65.4602007634667</v>
      </c>
      <c r="D15" s="25" t="n">
        <f aca="false">D14*1852/(D6*0.5144)</f>
        <v>392.7612045808</v>
      </c>
      <c r="E15" s="25" t="n">
        <f aca="false">E14*1852/(E6*0.5144)</f>
        <v>52.3681606107734</v>
      </c>
      <c r="F15" s="8"/>
      <c r="G15" s="24" t="s">
        <v>77</v>
      </c>
    </row>
    <row r="16" customFormat="false" ht="15.75" hidden="false" customHeight="true" outlineLevel="0" collapsed="false">
      <c r="B16" s="6" t="s">
        <v>78</v>
      </c>
      <c r="C16" s="25" t="n">
        <f aca="false">C14*1852/(C5*0.5144)</f>
        <v>60.0051840331778</v>
      </c>
      <c r="D16" s="25" t="n">
        <f aca="false">D14*1852/(D5*0.5144)</f>
        <v>240.020736132711</v>
      </c>
      <c r="E16" s="25" t="n">
        <f aca="false">E14*1852/(E5*0.5144)</f>
        <v>48.0041472265423</v>
      </c>
      <c r="F16" s="8"/>
      <c r="G16" s="24" t="s">
        <v>77</v>
      </c>
    </row>
    <row r="17" customFormat="false" ht="15.75" hidden="false" customHeight="true" outlineLevel="0" collapsed="false">
      <c r="B17" s="6" t="s">
        <v>79</v>
      </c>
      <c r="C17" s="25" t="n">
        <f aca="false">C15-C16</f>
        <v>5.4550167302889</v>
      </c>
      <c r="D17" s="25" t="n">
        <f aca="false">D15-D16</f>
        <v>152.740468448089</v>
      </c>
      <c r="E17" s="25" t="n">
        <f aca="false">E15-E16</f>
        <v>4.36401338423112</v>
      </c>
      <c r="F17" s="8"/>
      <c r="G17" s="24" t="s">
        <v>77</v>
      </c>
    </row>
    <row r="18" customFormat="false" ht="15.75" hidden="false" customHeight="true" outlineLevel="0" collapsed="false">
      <c r="B18" s="6" t="s">
        <v>80</v>
      </c>
      <c r="C18" s="25" t="n">
        <f aca="false">1_DATOS!C11</f>
        <v>2</v>
      </c>
      <c r="D18" s="25" t="n">
        <f aca="false">1_DATOS!C11</f>
        <v>2</v>
      </c>
      <c r="E18" s="25" t="n">
        <f aca="false">1_DATOS!C12</f>
        <v>2</v>
      </c>
      <c r="F18" s="8"/>
      <c r="G18" s="24" t="s">
        <v>77</v>
      </c>
    </row>
    <row r="19" customFormat="false" ht="15.75" hidden="false" customHeight="true" outlineLevel="0" collapsed="false">
      <c r="B19" s="6" t="s">
        <v>81</v>
      </c>
      <c r="C19" s="26" t="n">
        <f aca="false">C17-C18</f>
        <v>3.4550167302889</v>
      </c>
      <c r="D19" s="26" t="n">
        <f aca="false">D17-D18</f>
        <v>150.740468448089</v>
      </c>
      <c r="E19" s="26" t="n">
        <f aca="false">E17-E18</f>
        <v>2.36401338423112</v>
      </c>
      <c r="F19" s="8"/>
      <c r="G19" s="24" t="s">
        <v>77</v>
      </c>
    </row>
    <row r="21" customFormat="false" ht="21.75" hidden="false" customHeight="true" outlineLevel="0" collapsed="false">
      <c r="B21" s="21" t="s">
        <v>82</v>
      </c>
      <c r="C21" s="21"/>
      <c r="D21" s="21"/>
      <c r="E21" s="21"/>
      <c r="F21" s="21"/>
      <c r="G21" s="21"/>
      <c r="H21" s="21"/>
    </row>
    <row r="22" customFormat="false" ht="18" hidden="false" customHeight="true" outlineLevel="0" collapsed="false">
      <c r="B22" s="22" t="s">
        <v>83</v>
      </c>
      <c r="C22" s="22" t="s">
        <v>84</v>
      </c>
      <c r="D22" s="22" t="s">
        <v>85</v>
      </c>
      <c r="E22" s="22"/>
      <c r="F22" s="27"/>
      <c r="G22" s="27"/>
      <c r="H22" s="27"/>
    </row>
    <row r="23" customFormat="false" ht="13.5" hidden="false" customHeight="true" outlineLevel="0" collapsed="false">
      <c r="B23" s="28" t="s">
        <v>86</v>
      </c>
      <c r="C23" s="8"/>
      <c r="D23" s="8"/>
      <c r="E23" s="8"/>
    </row>
    <row r="24" customFormat="false" ht="15" hidden="false" customHeight="true" outlineLevel="0" collapsed="false">
      <c r="B24" s="6" t="s">
        <v>87</v>
      </c>
      <c r="C24" s="29" t="n">
        <f aca="false">IF(10&lt;=5,0.95,IF(10&gt;=10,0.6,0.6+((10-10)/(10-5))*(0.95-0.6)))</f>
        <v>0.6</v>
      </c>
      <c r="D24" s="30" t="str">
        <f aca="false">IF(C24&gt;0.8,"ALTA",IF(C24&gt;0.65,"MEDIA","BAJA"))</f>
        <v>BAJA</v>
      </c>
      <c r="E24" s="8"/>
    </row>
    <row r="25" customFormat="false" ht="15" hidden="false" customHeight="true" outlineLevel="0" collapsed="false">
      <c r="B25" s="6" t="s">
        <v>88</v>
      </c>
      <c r="C25" s="29" t="n">
        <f aca="false">IF(9&lt;=5,0.95,IF(9&gt;=10,0.6,0.6+((10-9)/(10-5))*(0.95-0.6)))</f>
        <v>0.67</v>
      </c>
      <c r="D25" s="30" t="str">
        <f aca="false">IF(C25&gt;0.8,"ALTA",IF(C25&gt;0.65,"MEDIA","BAJA"))</f>
        <v>MEDIA</v>
      </c>
      <c r="E25" s="8"/>
    </row>
    <row r="26" customFormat="false" ht="15" hidden="false" customHeight="true" outlineLevel="0" collapsed="false">
      <c r="B26" s="6" t="s">
        <v>89</v>
      </c>
      <c r="C26" s="29" t="n">
        <f aca="false">IF(8&lt;=5,0.95,IF(8&gt;=10,0.6,0.6+((10-8)/(10-5))*(0.95-0.6)))</f>
        <v>0.74</v>
      </c>
      <c r="D26" s="30" t="str">
        <f aca="false">IF(C26&gt;0.8,"ALTA",IF(C26&gt;0.65,"MEDIA","BAJA"))</f>
        <v>MEDIA</v>
      </c>
      <c r="E26" s="8"/>
    </row>
    <row r="27" customFormat="false" ht="15" hidden="false" customHeight="true" outlineLevel="0" collapsed="false">
      <c r="B27" s="6" t="s">
        <v>90</v>
      </c>
      <c r="C27" s="29" t="n">
        <f aca="false">IF(7&lt;=5,0.95,IF(7&gt;=10,0.6,0.6+((10-7)/(10-5))*(0.95-0.6)))</f>
        <v>0.81</v>
      </c>
      <c r="D27" s="30" t="str">
        <f aca="false">IF(C27&gt;0.8,"ALTA",IF(C27&gt;0.65,"MEDIA","BAJA"))</f>
        <v>ALTA</v>
      </c>
      <c r="E27" s="8"/>
    </row>
    <row r="28" customFormat="false" ht="15" hidden="false" customHeight="true" outlineLevel="0" collapsed="false">
      <c r="B28" s="6" t="s">
        <v>91</v>
      </c>
      <c r="C28" s="29" t="n">
        <f aca="false">IF(6&lt;=5,0.95,IF(6&gt;=10,0.6,0.6+((10-6)/(10-5))*(0.95-0.6)))</f>
        <v>0.88</v>
      </c>
      <c r="D28" s="30" t="str">
        <f aca="false">IF(C28&gt;0.8,"ALTA",IF(C28&gt;0.65,"MEDIA","BAJA"))</f>
        <v>ALTA</v>
      </c>
      <c r="E28" s="8"/>
    </row>
    <row r="29" customFormat="false" ht="15" hidden="false" customHeight="true" outlineLevel="0" collapsed="false">
      <c r="B29" s="6" t="s">
        <v>92</v>
      </c>
      <c r="C29" s="29" t="n">
        <f aca="false">IF(5&lt;=5,0.95,IF(5&gt;=10,0.6,0.6+((10-5)/(10-5))*(0.95-0.6)))</f>
        <v>0.95</v>
      </c>
      <c r="D29" s="30" t="str">
        <f aca="false">IF(C29&gt;0.8,"ALTA",IF(C29&gt;0.65,"MEDIA","BAJA"))</f>
        <v>ALTA</v>
      </c>
      <c r="E29" s="8"/>
    </row>
    <row r="30" customFormat="false" ht="15" hidden="false" customHeight="true" outlineLevel="0" collapsed="false">
      <c r="B30" s="6" t="s">
        <v>93</v>
      </c>
      <c r="C30" s="29" t="n">
        <f aca="false">IF(4&lt;=5,0.95,IF(4&gt;=10,0.6,0.6+((10-4)/(10-5))*(0.95-0.6)))</f>
        <v>0.95</v>
      </c>
      <c r="D30" s="30" t="str">
        <f aca="false">IF(C30&gt;0.8,"ALTA",IF(C30&gt;0.65,"MEDIA","BAJA"))</f>
        <v>ALTA</v>
      </c>
      <c r="E30" s="8"/>
    </row>
    <row r="31" customFormat="false" ht="15" hidden="false" customHeight="true" outlineLevel="0" collapsed="false">
      <c r="B31" s="6" t="s">
        <v>94</v>
      </c>
      <c r="C31" s="29" t="n">
        <f aca="false">IF(3&lt;=5,0.95,IF(3&gt;=10,0.6,0.6+((10-3)/(10-5))*(0.95-0.6)))</f>
        <v>0.95</v>
      </c>
      <c r="D31" s="30" t="str">
        <f aca="false">IF(C31&gt;0.8,"ALTA",IF(C31&gt;0.65,"MEDIA","BAJA"))</f>
        <v>ALTA</v>
      </c>
      <c r="E31" s="8"/>
    </row>
    <row r="32" customFormat="false" ht="15" hidden="false" customHeight="true" outlineLevel="0" collapsed="false">
      <c r="B32" s="6" t="s">
        <v>95</v>
      </c>
      <c r="C32" s="29" t="n">
        <f aca="false">IF(2&lt;=5,0.95,IF(2&gt;=10,0.6,0.6+((10-2)/(10-5))*(0.95-0.6)))</f>
        <v>0.95</v>
      </c>
      <c r="D32" s="30" t="str">
        <f aca="false">IF(C32&gt;0.8,"ALTA",IF(C32&gt;0.65,"MEDIA","BAJA"))</f>
        <v>ALTA</v>
      </c>
      <c r="E32" s="8"/>
    </row>
    <row r="34" customFormat="false" ht="21.75" hidden="false" customHeight="true" outlineLevel="0" collapsed="false">
      <c r="B34" s="31" t="s">
        <v>96</v>
      </c>
      <c r="C34" s="31"/>
      <c r="D34" s="31"/>
      <c r="E34" s="31"/>
      <c r="F34" s="31"/>
      <c r="G34" s="31"/>
      <c r="H34" s="31"/>
    </row>
    <row r="35" customFormat="false" ht="18" hidden="false" customHeight="true" outlineLevel="0" collapsed="false">
      <c r="B35" s="32" t="s">
        <v>97</v>
      </c>
      <c r="C35" s="32"/>
      <c r="D35" s="32"/>
      <c r="E35" s="32"/>
      <c r="F35" s="32"/>
      <c r="G35" s="32"/>
      <c r="H35" s="32"/>
    </row>
    <row r="36" customFormat="false" ht="18" hidden="false" customHeight="true" outlineLevel="0" collapsed="false">
      <c r="B36" s="11" t="s">
        <v>59</v>
      </c>
      <c r="C36" s="11" t="s">
        <v>60</v>
      </c>
      <c r="D36" s="11" t="s">
        <v>61</v>
      </c>
      <c r="E36" s="11" t="s">
        <v>62</v>
      </c>
      <c r="F36" s="11" t="s">
        <v>63</v>
      </c>
      <c r="G36" s="8"/>
    </row>
    <row r="37" customFormat="false" ht="15.75" hidden="false" customHeight="true" outlineLevel="0" collapsed="false">
      <c r="B37" s="6" t="s">
        <v>98</v>
      </c>
      <c r="C37" s="33" t="n">
        <f aca="false">1_DATOS!C26/100</f>
        <v>0.8</v>
      </c>
      <c r="D37" s="33" t="n">
        <f aca="false">1_DATOS!C26/100</f>
        <v>0.8</v>
      </c>
      <c r="E37" s="33" t="n">
        <f aca="false">1_DATOS!C27/100</f>
        <v>0.8</v>
      </c>
      <c r="F37" s="8"/>
      <c r="G37" s="24" t="s">
        <v>99</v>
      </c>
    </row>
    <row r="38" customFormat="false" ht="15.75" hidden="false" customHeight="true" outlineLevel="0" collapsed="false">
      <c r="B38" s="6" t="s">
        <v>100</v>
      </c>
      <c r="C38" s="33" t="n">
        <f aca="false">0.7</f>
        <v>0.7</v>
      </c>
      <c r="D38" s="33" t="n">
        <f aca="false">0.75</f>
        <v>0.75</v>
      </c>
      <c r="E38" s="33" t="n">
        <f aca="false">0.7</f>
        <v>0.7</v>
      </c>
      <c r="F38" s="8"/>
      <c r="G38" s="24" t="s">
        <v>101</v>
      </c>
    </row>
    <row r="39" customFormat="false" ht="15.75" hidden="false" customHeight="true" outlineLevel="0" collapsed="false">
      <c r="B39" s="6" t="s">
        <v>102</v>
      </c>
      <c r="C39" s="33" t="n">
        <f aca="false">1_DATOS!C35</f>
        <v>2</v>
      </c>
      <c r="D39" s="33" t="n">
        <f aca="false">1</f>
        <v>1</v>
      </c>
      <c r="E39" s="33" t="n">
        <f aca="false">1_DATOS!C36</f>
        <v>2</v>
      </c>
      <c r="F39" s="8"/>
      <c r="G39" s="24" t="s">
        <v>103</v>
      </c>
    </row>
    <row r="40" customFormat="false" ht="15.75" hidden="false" customHeight="true" outlineLevel="0" collapsed="false">
      <c r="B40" s="6" t="s">
        <v>104</v>
      </c>
      <c r="C40" s="34" t="n">
        <f aca="false">1-(1-C37*C38)^1</f>
        <v>0.56</v>
      </c>
      <c r="D40" s="34" t="n">
        <f aca="false">1-(1-D37*D38)^1</f>
        <v>0.6</v>
      </c>
      <c r="E40" s="34" t="n">
        <f aca="false">1-(1-E37*E38)^1</f>
        <v>0.56</v>
      </c>
      <c r="F40" s="8"/>
      <c r="G40" s="24"/>
    </row>
    <row r="41" customFormat="false" ht="15.75" hidden="false" customHeight="true" outlineLevel="0" collapsed="false">
      <c r="B41" s="6" t="s">
        <v>105</v>
      </c>
      <c r="C41" s="34" t="n">
        <f aca="false">1-(1-C37*C38)^2</f>
        <v>0.8064</v>
      </c>
      <c r="D41" s="34" t="n">
        <f aca="false">1-(1-D37*D38)^2</f>
        <v>0.84</v>
      </c>
      <c r="E41" s="34" t="n">
        <f aca="false">1-(1-E37*E38)^2</f>
        <v>0.8064</v>
      </c>
      <c r="F41" s="8"/>
      <c r="G41" s="24"/>
    </row>
    <row r="42" customFormat="false" ht="15.75" hidden="false" customHeight="true" outlineLevel="0" collapsed="false">
      <c r="B42" s="6" t="s">
        <v>106</v>
      </c>
      <c r="C42" s="34" t="n">
        <f aca="false">1-(1-C37*C38)^C39</f>
        <v>0.8064</v>
      </c>
      <c r="D42" s="34" t="n">
        <f aca="false">1-(1-D37*D38)^D39</f>
        <v>0.6</v>
      </c>
      <c r="E42" s="34" t="n">
        <f aca="false">1-(1-E37*E38)^E39</f>
        <v>0.8064</v>
      </c>
      <c r="F42" s="8"/>
      <c r="G42" s="24"/>
    </row>
    <row r="43" customFormat="false" ht="15.75" hidden="false" customHeight="true" outlineLevel="0" collapsed="false">
      <c r="B43" s="6" t="s">
        <v>107</v>
      </c>
      <c r="C43" s="34" t="n">
        <f aca="false">1-(1-C42)*(1-D42)</f>
        <v>0.92256</v>
      </c>
      <c r="D43" s="34" t="n">
        <f aca="false">1-(1-C42)*(1-D42)</f>
        <v>0.92256</v>
      </c>
      <c r="E43" s="34" t="n">
        <f aca="false">E42</f>
        <v>0.8064</v>
      </c>
      <c r="F43" s="8"/>
      <c r="G43" s="24"/>
    </row>
    <row r="44" customFormat="false" ht="25.5" hidden="false" customHeight="true" outlineLevel="0" collapsed="false">
      <c r="B44" s="35" t="str">
        <f aca="false">CONCATENATE("Pk TOTAL para GRUPO de tarea (ambos buques en capas):  ",TEXT(1-(1-C43)*(1-E43),"0.0%"))</f>
        <v>Pk TOTAL para GRUPO de tarea (ambos buques en capas):  98.5%</v>
      </c>
      <c r="C44" s="35"/>
      <c r="D44" s="35"/>
      <c r="E44" s="35"/>
      <c r="F44" s="35"/>
      <c r="G44" s="35"/>
      <c r="H44" s="35"/>
    </row>
    <row r="46" customFormat="false" ht="21.75" hidden="false" customHeight="true" outlineLevel="0" collapsed="false">
      <c r="B46" s="21" t="s">
        <v>108</v>
      </c>
      <c r="C46" s="21"/>
      <c r="D46" s="21"/>
      <c r="E46" s="21"/>
      <c r="F46" s="21"/>
      <c r="G46" s="21"/>
      <c r="H46" s="21"/>
    </row>
    <row r="47" customFormat="false" ht="18" hidden="false" customHeight="true" outlineLevel="0" collapsed="false">
      <c r="B47" s="36" t="s">
        <v>109</v>
      </c>
      <c r="C47" s="36" t="s">
        <v>110</v>
      </c>
      <c r="D47" s="36" t="s">
        <v>111</v>
      </c>
      <c r="E47" s="36" t="s">
        <v>112</v>
      </c>
      <c r="F47" s="36" t="s">
        <v>113</v>
      </c>
      <c r="G47" s="36" t="s">
        <v>114</v>
      </c>
    </row>
    <row r="48" customFormat="false" ht="15" hidden="false" customHeight="true" outlineLevel="0" collapsed="false">
      <c r="B48" s="30" t="s">
        <v>115</v>
      </c>
      <c r="C48" s="37" t="n">
        <f aca="false">1*1852/(1_DATOS!C15*0.5144)</f>
        <v>6.54602007634667</v>
      </c>
      <c r="D48" s="38" t="n">
        <f aca="false">IF(1&lt;=5,0.95,IF(1&gt;=10,0.6,0.6+((10-1)/(10-5))*(0.95-0.6)))</f>
        <v>0.95</v>
      </c>
      <c r="E48" s="38" t="n">
        <f aca="false">1-(1-D48*2_CÁLCULOS!C38)^1_DATOS!C35</f>
        <v>0.887775</v>
      </c>
      <c r="F48" s="38" t="n">
        <f aca="false">1-(1-D48*2_CÁLCULOS!E38)^1_DATOS!C36</f>
        <v>0.887775</v>
      </c>
      <c r="G48" s="39" t="n">
        <f aca="false">1-(1-E48)*(1-F48)</f>
        <v>0.987405549375</v>
      </c>
    </row>
    <row r="49" customFormat="false" ht="15" hidden="false" customHeight="true" outlineLevel="0" collapsed="false">
      <c r="B49" s="30" t="s">
        <v>116</v>
      </c>
      <c r="C49" s="37" t="n">
        <f aca="false">2*1852/(1_DATOS!C15*0.5144)</f>
        <v>13.0920401526933</v>
      </c>
      <c r="D49" s="38" t="n">
        <f aca="false">IF(2&lt;=5,0.95,IF(2&gt;=10,0.6,0.6+((10-2)/(10-5))*(0.95-0.6)))</f>
        <v>0.95</v>
      </c>
      <c r="E49" s="38" t="n">
        <f aca="false">1-(1-D49*2_CÁLCULOS!C38)^1_DATOS!C35</f>
        <v>0.887775</v>
      </c>
      <c r="F49" s="38" t="n">
        <f aca="false">1-(1-D49*2_CÁLCULOS!E38)^1_DATOS!C36</f>
        <v>0.887775</v>
      </c>
      <c r="G49" s="39" t="n">
        <f aca="false">1-(1-E49)*(1-F49)</f>
        <v>0.987405549375</v>
      </c>
    </row>
    <row r="50" customFormat="false" ht="15" hidden="false" customHeight="true" outlineLevel="0" collapsed="false">
      <c r="B50" s="30" t="s">
        <v>117</v>
      </c>
      <c r="C50" s="37" t="n">
        <f aca="false">3*1852/(1_DATOS!C15*0.5144)</f>
        <v>19.63806022904</v>
      </c>
      <c r="D50" s="38" t="n">
        <f aca="false">IF(3&lt;=5,0.95,IF(3&gt;=10,0.6,0.6+((10-3)/(10-5))*(0.95-0.6)))</f>
        <v>0.95</v>
      </c>
      <c r="E50" s="38" t="n">
        <f aca="false">1-(1-D50*2_CÁLCULOS!C38)^1_DATOS!C35</f>
        <v>0.887775</v>
      </c>
      <c r="F50" s="38" t="n">
        <f aca="false">1-(1-D50*2_CÁLCULOS!E38)^1_DATOS!C36</f>
        <v>0.887775</v>
      </c>
      <c r="G50" s="39" t="n">
        <f aca="false">1-(1-E50)*(1-F50)</f>
        <v>0.987405549375</v>
      </c>
    </row>
    <row r="51" customFormat="false" ht="15" hidden="false" customHeight="true" outlineLevel="0" collapsed="false">
      <c r="B51" s="30" t="s">
        <v>118</v>
      </c>
      <c r="C51" s="37" t="n">
        <f aca="false">4*1852/(1_DATOS!C15*0.5144)</f>
        <v>26.1840803053867</v>
      </c>
      <c r="D51" s="38" t="n">
        <f aca="false">IF(4&lt;=5,0.95,IF(4&gt;=10,0.6,0.6+((10-4)/(10-5))*(0.95-0.6)))</f>
        <v>0.95</v>
      </c>
      <c r="E51" s="38" t="n">
        <f aca="false">1-(1-D51*2_CÁLCULOS!C38)^1_DATOS!C35</f>
        <v>0.887775</v>
      </c>
      <c r="F51" s="38" t="n">
        <f aca="false">1-(1-D51*2_CÁLCULOS!E38)^1_DATOS!C36</f>
        <v>0.887775</v>
      </c>
      <c r="G51" s="39" t="n">
        <f aca="false">1-(1-E51)*(1-F51)</f>
        <v>0.987405549375</v>
      </c>
    </row>
    <row r="52" customFormat="false" ht="15" hidden="false" customHeight="true" outlineLevel="0" collapsed="false">
      <c r="B52" s="30" t="s">
        <v>119</v>
      </c>
      <c r="C52" s="37" t="n">
        <f aca="false">5*1852/(1_DATOS!C15*0.5144)</f>
        <v>32.7301003817334</v>
      </c>
      <c r="D52" s="38" t="n">
        <f aca="false">IF(5&lt;=5,0.95,IF(5&gt;=10,0.6,0.6+((10-5)/(10-5))*(0.95-0.6)))</f>
        <v>0.95</v>
      </c>
      <c r="E52" s="38" t="n">
        <f aca="false">1-(1-D52*2_CÁLCULOS!C38)^1_DATOS!C35</f>
        <v>0.887775</v>
      </c>
      <c r="F52" s="38" t="n">
        <f aca="false">1-(1-D52*2_CÁLCULOS!E38)^1_DATOS!C36</f>
        <v>0.887775</v>
      </c>
      <c r="G52" s="39" t="n">
        <f aca="false">1-(1-E52)*(1-F52)</f>
        <v>0.987405549375</v>
      </c>
    </row>
    <row r="53" customFormat="false" ht="15" hidden="false" customHeight="true" outlineLevel="0" collapsed="false">
      <c r="B53" s="30" t="s">
        <v>120</v>
      </c>
      <c r="C53" s="37" t="n">
        <f aca="false">6*1852/(1_DATOS!C15*0.5144)</f>
        <v>39.27612045808</v>
      </c>
      <c r="D53" s="38" t="n">
        <f aca="false">IF(6&lt;=5,0.95,IF(6&gt;=10,0.6,0.6+((10-6)/(10-5))*(0.95-0.6)))</f>
        <v>0.88</v>
      </c>
      <c r="E53" s="38" t="n">
        <f aca="false">1-(1-D53*2_CÁLCULOS!C38)^1_DATOS!C35</f>
        <v>0.852544</v>
      </c>
      <c r="F53" s="38" t="n">
        <f aca="false">1-(1-D53*2_CÁLCULOS!E38)^1_DATOS!C36</f>
        <v>0.852544</v>
      </c>
      <c r="G53" s="39" t="n">
        <f aca="false">1-(1-E53)*(1-F53)</f>
        <v>0.978256728064</v>
      </c>
    </row>
    <row r="54" customFormat="false" ht="15" hidden="false" customHeight="true" outlineLevel="0" collapsed="false">
      <c r="B54" s="30" t="s">
        <v>121</v>
      </c>
      <c r="C54" s="37" t="n">
        <f aca="false">7*1852/(1_DATOS!C15*0.5144)</f>
        <v>45.8221405344267</v>
      </c>
      <c r="D54" s="38" t="n">
        <f aca="false">IF(7&lt;=5,0.95,IF(7&gt;=10,0.6,0.6+((10-7)/(10-5))*(0.95-0.6)))</f>
        <v>0.81</v>
      </c>
      <c r="E54" s="38" t="n">
        <f aca="false">1-(1-D54*2_CÁLCULOS!C38)^1_DATOS!C35</f>
        <v>0.812511</v>
      </c>
      <c r="F54" s="38" t="n">
        <f aca="false">1-(1-D54*2_CÁLCULOS!E38)^1_DATOS!C36</f>
        <v>0.812511</v>
      </c>
      <c r="G54" s="39" t="n">
        <f aca="false">1-(1-E54)*(1-F54)</f>
        <v>0.964847874879</v>
      </c>
    </row>
    <row r="55" customFormat="false" ht="15" hidden="false" customHeight="true" outlineLevel="0" collapsed="false">
      <c r="B55" s="30" t="s">
        <v>122</v>
      </c>
      <c r="C55" s="37" t="n">
        <f aca="false">8*1852/(1_DATOS!C15*0.5144)</f>
        <v>52.3681606107734</v>
      </c>
      <c r="D55" s="38" t="n">
        <f aca="false">IF(8&lt;=5,0.95,IF(8&gt;=10,0.6,0.6+((10-8)/(10-5))*(0.95-0.6)))</f>
        <v>0.74</v>
      </c>
      <c r="E55" s="38" t="n">
        <f aca="false">1-(1-D55*2_CÁLCULOS!C38)^1_DATOS!C35</f>
        <v>0.767676</v>
      </c>
      <c r="F55" s="38" t="n">
        <f aca="false">1-(1-D55*2_CÁLCULOS!E38)^1_DATOS!C36</f>
        <v>0.767676</v>
      </c>
      <c r="G55" s="39" t="n">
        <f aca="false">1-(1-E55)*(1-F55)</f>
        <v>0.946025559024</v>
      </c>
    </row>
    <row r="56" customFormat="false" ht="15" hidden="false" customHeight="true" outlineLevel="0" collapsed="false">
      <c r="B56" s="30" t="s">
        <v>123</v>
      </c>
      <c r="C56" s="37" t="n">
        <f aca="false">9*1852/(1_DATOS!C15*0.5144)</f>
        <v>58.91418068712</v>
      </c>
      <c r="D56" s="38" t="n">
        <f aca="false">IF(9&lt;=5,0.95,IF(9&gt;=10,0.6,0.6+((10-9)/(10-5))*(0.95-0.6)))</f>
        <v>0.67</v>
      </c>
      <c r="E56" s="38" t="n">
        <f aca="false">1-(1-D56*2_CÁLCULOS!C38)^1_DATOS!C35</f>
        <v>0.718039</v>
      </c>
      <c r="F56" s="38" t="n">
        <f aca="false">1-(1-D56*2_CÁLCULOS!E38)^1_DATOS!C36</f>
        <v>0.718039</v>
      </c>
      <c r="G56" s="39" t="n">
        <f aca="false">1-(1-E56)*(1-F56)</f>
        <v>0.920497994479</v>
      </c>
    </row>
    <row r="57" customFormat="false" ht="15" hidden="false" customHeight="true" outlineLevel="0" collapsed="false">
      <c r="B57" s="30" t="s">
        <v>124</v>
      </c>
      <c r="C57" s="37" t="n">
        <f aca="false">10*1852/(1_DATOS!C15*0.5144)</f>
        <v>65.4602007634667</v>
      </c>
      <c r="D57" s="38" t="n">
        <f aca="false">IF(10&lt;=5,0.95,IF(10&gt;=10,0.6,0.6+((10-10)/(10-5))*(0.95-0.6)))</f>
        <v>0.6</v>
      </c>
      <c r="E57" s="38" t="n">
        <f aca="false">1-(1-D57*2_CÁLCULOS!C38)^1_DATOS!C35</f>
        <v>0.6636</v>
      </c>
      <c r="F57" s="38" t="n">
        <f aca="false">1-(1-D57*2_CÁLCULOS!E38)^1_DATOS!C36</f>
        <v>0.6636</v>
      </c>
      <c r="G57" s="39" t="n">
        <f aca="false">1-(1-E57)*(1-F57)</f>
        <v>0.88683504</v>
      </c>
    </row>
    <row r="58" customFormat="false" ht="15" hidden="false" customHeight="true" outlineLevel="0" collapsed="false">
      <c r="B58" s="30" t="s">
        <v>125</v>
      </c>
      <c r="C58" s="37" t="n">
        <f aca="false">11*1852/(1_DATOS!C15*0.5144)</f>
        <v>72.0062208398134</v>
      </c>
      <c r="D58" s="38" t="n">
        <f aca="false">IF(11&lt;=5,0.95,IF(11&gt;=10,0.6,0.6+((10-11)/(10-5))*(0.95-0.6)))</f>
        <v>0.6</v>
      </c>
      <c r="E58" s="38" t="n">
        <f aca="false">1-(1-D58*2_CÁLCULOS!C38)^1_DATOS!C35</f>
        <v>0.6636</v>
      </c>
      <c r="F58" s="38" t="n">
        <f aca="false">1-(1-D58*2_CÁLCULOS!E38)^1_DATOS!C36</f>
        <v>0.6636</v>
      </c>
      <c r="G58" s="39" t="n">
        <f aca="false">1-(1-E58)*(1-F58)</f>
        <v>0.88683504</v>
      </c>
    </row>
    <row r="59" customFormat="false" ht="15" hidden="false" customHeight="true" outlineLevel="0" collapsed="false">
      <c r="B59" s="30" t="s">
        <v>126</v>
      </c>
      <c r="C59" s="37" t="n">
        <f aca="false">12*1852/(1_DATOS!C15*0.5144)</f>
        <v>78.5522409161601</v>
      </c>
      <c r="D59" s="38" t="n">
        <f aca="false">IF(12&lt;=5,0.95,IF(12&gt;=10,0.6,0.6+((10-12)/(10-5))*(0.95-0.6)))</f>
        <v>0.6</v>
      </c>
      <c r="E59" s="38" t="n">
        <f aca="false">1-(1-D59*2_CÁLCULOS!C38)^1_DATOS!C35</f>
        <v>0.6636</v>
      </c>
      <c r="F59" s="38" t="n">
        <f aca="false">1-(1-D59*2_CÁLCULOS!E38)^1_DATOS!C36</f>
        <v>0.6636</v>
      </c>
      <c r="G59" s="39" t="n">
        <f aca="false">1-(1-E59)*(1-F59)</f>
        <v>0.88683504</v>
      </c>
    </row>
  </sheetData>
  <mergeCells count="8">
    <mergeCell ref="B1:H1"/>
    <mergeCell ref="B3:H3"/>
    <mergeCell ref="B12:H12"/>
    <mergeCell ref="B21:H21"/>
    <mergeCell ref="B34:H34"/>
    <mergeCell ref="B35:H35"/>
    <mergeCell ref="B44:H44"/>
    <mergeCell ref="B46:H4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I6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30"/>
    <col collapsed="false" customWidth="true" hidden="false" outlineLevel="0" max="9" min="3" style="1" width="16"/>
    <col collapsed="false" customWidth="true" hidden="false" outlineLevel="0" max="10" min="10" style="1" width="3"/>
  </cols>
  <sheetData>
    <row r="1" customFormat="false" ht="31.5" hidden="false" customHeight="true" outlineLevel="0" collapsed="false">
      <c r="B1" s="40" t="s">
        <v>127</v>
      </c>
      <c r="C1" s="40"/>
      <c r="D1" s="40"/>
      <c r="E1" s="40"/>
      <c r="F1" s="40"/>
      <c r="G1" s="40"/>
      <c r="H1" s="40"/>
      <c r="I1" s="40"/>
    </row>
    <row r="2" customFormat="false" ht="18" hidden="false" customHeight="true" outlineLevel="0" collapsed="false">
      <c r="B2" s="41" t="s">
        <v>128</v>
      </c>
      <c r="C2" s="41"/>
      <c r="D2" s="41"/>
      <c r="E2" s="41"/>
      <c r="F2" s="41"/>
      <c r="G2" s="41"/>
      <c r="H2" s="41"/>
      <c r="I2" s="41"/>
    </row>
    <row r="4" customFormat="false" ht="36" hidden="false" customHeight="true" outlineLevel="0" collapsed="false">
      <c r="B4" s="42" t="s">
        <v>129</v>
      </c>
      <c r="C4" s="42" t="s">
        <v>130</v>
      </c>
      <c r="D4" s="42" t="s">
        <v>131</v>
      </c>
      <c r="E4" s="42" t="s">
        <v>112</v>
      </c>
      <c r="F4" s="42" t="s">
        <v>132</v>
      </c>
      <c r="G4" s="42" t="s">
        <v>133</v>
      </c>
      <c r="H4" s="42" t="s">
        <v>134</v>
      </c>
      <c r="I4" s="42" t="s">
        <v>135</v>
      </c>
    </row>
    <row r="5" customFormat="false" ht="13.5" hidden="false" customHeight="true" outlineLevel="0" collapsed="false">
      <c r="B5" s="43" t="s">
        <v>136</v>
      </c>
      <c r="C5" s="44" t="n">
        <f aca="false">RANDBETWEEN(1,INT(1_DATOS!C6))*1</f>
        <v>57</v>
      </c>
      <c r="D5" s="45" t="n">
        <f aca="false">IF(C5&lt;=5,0.95,IF(C5&gt;=10,0.6,0.6+((10-C5)/(10-5))*(0.95-0.6)))</f>
        <v>0.6</v>
      </c>
      <c r="E5" s="45" t="n">
        <f aca="false">IF(C5&lt;=1_DATOS!C5,1-(1-D5*2_CÁLCULOS!C38)^1_DATOS!C35,0)</f>
        <v>0</v>
      </c>
      <c r="F5" s="45" t="n">
        <f aca="false">IF(C5&lt;=1_DATOS!C7,1-(1-D5*2_CÁLCULOS!E38)^1_DATOS!C36,0)</f>
        <v>0</v>
      </c>
      <c r="G5" s="46" t="n">
        <f aca="false">1-(1-E5)*(1-F5)</f>
        <v>0</v>
      </c>
      <c r="H5" s="47" t="str">
        <f aca="false">IF(G5&gt;0.5,"SÍ","NO")</f>
        <v>NO</v>
      </c>
      <c r="I5" s="47" t="str">
        <f aca="false">IF(G5&gt;0.5,"NO","POSIBLE")</f>
        <v>POSIBLE</v>
      </c>
    </row>
    <row r="6" customFormat="false" ht="13.5" hidden="false" customHeight="true" outlineLevel="0" collapsed="false">
      <c r="B6" s="43" t="s">
        <v>137</v>
      </c>
      <c r="C6" s="44" t="n">
        <f aca="false">RANDBETWEEN(1,INT(1_DATOS!C6))*1</f>
        <v>22</v>
      </c>
      <c r="D6" s="45" t="n">
        <f aca="false">IF(C6&lt;=5,0.95,IF(C6&gt;=10,0.6,0.6+((10-C6)/(10-5))*(0.95-0.6)))</f>
        <v>0.6</v>
      </c>
      <c r="E6" s="45" t="n">
        <f aca="false">IF(C6&lt;=1_DATOS!C5,1-(1-D6*2_CÁLCULOS!C38)^1_DATOS!C35,0)</f>
        <v>0.6636</v>
      </c>
      <c r="F6" s="45" t="n">
        <f aca="false">IF(C6&lt;=1_DATOS!C7,1-(1-D6*2_CÁLCULOS!E38)^1_DATOS!C36,0)</f>
        <v>0</v>
      </c>
      <c r="G6" s="46" t="n">
        <f aca="false">1-(1-E6)*(1-F6)</f>
        <v>0.6636</v>
      </c>
      <c r="H6" s="47" t="str">
        <f aca="false">IF(G6&gt;0.5,"SÍ","NO")</f>
        <v>SÍ</v>
      </c>
      <c r="I6" s="47" t="str">
        <f aca="false">IF(G6&gt;0.5,"NO","POSIBLE")</f>
        <v>NO</v>
      </c>
    </row>
    <row r="7" customFormat="false" ht="13.5" hidden="false" customHeight="true" outlineLevel="0" collapsed="false">
      <c r="B7" s="43" t="s">
        <v>138</v>
      </c>
      <c r="C7" s="44" t="n">
        <f aca="false">RANDBETWEEN(1,INT(1_DATOS!C6))*1</f>
        <v>18</v>
      </c>
      <c r="D7" s="45" t="n">
        <f aca="false">IF(C7&lt;=5,0.95,IF(C7&gt;=10,0.6,0.6+((10-C7)/(10-5))*(0.95-0.6)))</f>
        <v>0.6</v>
      </c>
      <c r="E7" s="45" t="n">
        <f aca="false">IF(C7&lt;=1_DATOS!C5,1-(1-D7*2_CÁLCULOS!C38)^1_DATOS!C35,0)</f>
        <v>0.6636</v>
      </c>
      <c r="F7" s="45" t="n">
        <f aca="false">IF(C7&lt;=1_DATOS!C7,1-(1-D7*2_CÁLCULOS!E38)^1_DATOS!C36,0)</f>
        <v>0</v>
      </c>
      <c r="G7" s="46" t="n">
        <f aca="false">1-(1-E7)*(1-F7)</f>
        <v>0.6636</v>
      </c>
      <c r="H7" s="47" t="str">
        <f aca="false">IF(G7&gt;0.5,"SÍ","NO")</f>
        <v>SÍ</v>
      </c>
      <c r="I7" s="47" t="str">
        <f aca="false">IF(G7&gt;0.5,"NO","POSIBLE")</f>
        <v>NO</v>
      </c>
    </row>
    <row r="8" customFormat="false" ht="13.5" hidden="false" customHeight="true" outlineLevel="0" collapsed="false">
      <c r="B8" s="43" t="s">
        <v>139</v>
      </c>
      <c r="C8" s="44" t="n">
        <f aca="false">RANDBETWEEN(1,INT(1_DATOS!C6))*1</f>
        <v>23</v>
      </c>
      <c r="D8" s="45" t="n">
        <f aca="false">IF(C8&lt;=5,0.95,IF(C8&gt;=10,0.6,0.6+((10-C8)/(10-5))*(0.95-0.6)))</f>
        <v>0.6</v>
      </c>
      <c r="E8" s="45" t="n">
        <f aca="false">IF(C8&lt;=1_DATOS!C5,1-(1-D8*2_CÁLCULOS!C38)^1_DATOS!C35,0)</f>
        <v>0.6636</v>
      </c>
      <c r="F8" s="45" t="n">
        <f aca="false">IF(C8&lt;=1_DATOS!C7,1-(1-D8*2_CÁLCULOS!E38)^1_DATOS!C36,0)</f>
        <v>0</v>
      </c>
      <c r="G8" s="46" t="n">
        <f aca="false">1-(1-E8)*(1-F8)</f>
        <v>0.6636</v>
      </c>
      <c r="H8" s="47" t="str">
        <f aca="false">IF(G8&gt;0.5,"SÍ","NO")</f>
        <v>SÍ</v>
      </c>
      <c r="I8" s="47" t="str">
        <f aca="false">IF(G8&gt;0.5,"NO","POSIBLE")</f>
        <v>NO</v>
      </c>
    </row>
    <row r="9" customFormat="false" ht="13.5" hidden="false" customHeight="true" outlineLevel="0" collapsed="false">
      <c r="B9" s="43" t="s">
        <v>140</v>
      </c>
      <c r="C9" s="44" t="n">
        <f aca="false">RANDBETWEEN(1,INT(1_DATOS!C6))*1</f>
        <v>26</v>
      </c>
      <c r="D9" s="45" t="n">
        <f aca="false">IF(C9&lt;=5,0.95,IF(C9&gt;=10,0.6,0.6+((10-C9)/(10-5))*(0.95-0.6)))</f>
        <v>0.6</v>
      </c>
      <c r="E9" s="45" t="n">
        <f aca="false">IF(C9&lt;=1_DATOS!C5,1-(1-D9*2_CÁLCULOS!C38)^1_DATOS!C35,0)</f>
        <v>0</v>
      </c>
      <c r="F9" s="45" t="n">
        <f aca="false">IF(C9&lt;=1_DATOS!C7,1-(1-D9*2_CÁLCULOS!E38)^1_DATOS!C36,0)</f>
        <v>0</v>
      </c>
      <c r="G9" s="46" t="n">
        <f aca="false">1-(1-E9)*(1-F9)</f>
        <v>0</v>
      </c>
      <c r="H9" s="47" t="str">
        <f aca="false">IF(G9&gt;0.5,"SÍ","NO")</f>
        <v>NO</v>
      </c>
      <c r="I9" s="47" t="str">
        <f aca="false">IF(G9&gt;0.5,"NO","POSIBLE")</f>
        <v>POSIBLE</v>
      </c>
    </row>
    <row r="10" customFormat="false" ht="13.5" hidden="false" customHeight="true" outlineLevel="0" collapsed="false">
      <c r="B10" s="43" t="s">
        <v>141</v>
      </c>
      <c r="C10" s="44" t="n">
        <f aca="false">RANDBETWEEN(1,INT(1_DATOS!C6))*1</f>
        <v>11</v>
      </c>
      <c r="D10" s="45" t="n">
        <f aca="false">IF(C10&lt;=5,0.95,IF(C10&gt;=10,0.6,0.6+((10-C10)/(10-5))*(0.95-0.6)))</f>
        <v>0.6</v>
      </c>
      <c r="E10" s="45" t="n">
        <f aca="false">IF(C10&lt;=1_DATOS!C5,1-(1-D10*2_CÁLCULOS!C38)^1_DATOS!C35,0)</f>
        <v>0.6636</v>
      </c>
      <c r="F10" s="45" t="n">
        <f aca="false">IF(C10&lt;=1_DATOS!C7,1-(1-D10*2_CÁLCULOS!E38)^1_DATOS!C36,0)</f>
        <v>0.6636</v>
      </c>
      <c r="G10" s="46" t="n">
        <f aca="false">1-(1-E10)*(1-F10)</f>
        <v>0.88683504</v>
      </c>
      <c r="H10" s="47" t="str">
        <f aca="false">IF(G10&gt;0.5,"SÍ","NO")</f>
        <v>SÍ</v>
      </c>
      <c r="I10" s="47" t="str">
        <f aca="false">IF(G10&gt;0.5,"NO","POSIBLE")</f>
        <v>NO</v>
      </c>
    </row>
    <row r="11" customFormat="false" ht="13.5" hidden="false" customHeight="true" outlineLevel="0" collapsed="false">
      <c r="B11" s="43" t="s">
        <v>142</v>
      </c>
      <c r="C11" s="44" t="n">
        <f aca="false">RANDBETWEEN(1,INT(1_DATOS!C6))*1</f>
        <v>27</v>
      </c>
      <c r="D11" s="45" t="n">
        <f aca="false">IF(C11&lt;=5,0.95,IF(C11&gt;=10,0.6,0.6+((10-C11)/(10-5))*(0.95-0.6)))</f>
        <v>0.6</v>
      </c>
      <c r="E11" s="45" t="n">
        <f aca="false">IF(C11&lt;=1_DATOS!C5,1-(1-D11*2_CÁLCULOS!C38)^1_DATOS!C35,0)</f>
        <v>0</v>
      </c>
      <c r="F11" s="45" t="n">
        <f aca="false">IF(C11&lt;=1_DATOS!C7,1-(1-D11*2_CÁLCULOS!E38)^1_DATOS!C36,0)</f>
        <v>0</v>
      </c>
      <c r="G11" s="46" t="n">
        <f aca="false">1-(1-E11)*(1-F11)</f>
        <v>0</v>
      </c>
      <c r="H11" s="47" t="str">
        <f aca="false">IF(G11&gt;0.5,"SÍ","NO")</f>
        <v>NO</v>
      </c>
      <c r="I11" s="47" t="str">
        <f aca="false">IF(G11&gt;0.5,"NO","POSIBLE")</f>
        <v>POSIBLE</v>
      </c>
    </row>
    <row r="12" customFormat="false" ht="13.5" hidden="false" customHeight="true" outlineLevel="0" collapsed="false">
      <c r="B12" s="43" t="s">
        <v>143</v>
      </c>
      <c r="C12" s="44" t="n">
        <f aca="false">RANDBETWEEN(1,INT(1_DATOS!C6))*1</f>
        <v>12</v>
      </c>
      <c r="D12" s="45" t="n">
        <f aca="false">IF(C12&lt;=5,0.95,IF(C12&gt;=10,0.6,0.6+((10-C12)/(10-5))*(0.95-0.6)))</f>
        <v>0.6</v>
      </c>
      <c r="E12" s="45" t="n">
        <f aca="false">IF(C12&lt;=1_DATOS!C5,1-(1-D12*2_CÁLCULOS!C38)^1_DATOS!C35,0)</f>
        <v>0.6636</v>
      </c>
      <c r="F12" s="45" t="n">
        <f aca="false">IF(C12&lt;=1_DATOS!C7,1-(1-D12*2_CÁLCULOS!E38)^1_DATOS!C36,0)</f>
        <v>0.6636</v>
      </c>
      <c r="G12" s="46" t="n">
        <f aca="false">1-(1-E12)*(1-F12)</f>
        <v>0.88683504</v>
      </c>
      <c r="H12" s="47" t="str">
        <f aca="false">IF(G12&gt;0.5,"SÍ","NO")</f>
        <v>SÍ</v>
      </c>
      <c r="I12" s="47" t="str">
        <f aca="false">IF(G12&gt;0.5,"NO","POSIBLE")</f>
        <v>NO</v>
      </c>
    </row>
    <row r="13" customFormat="false" ht="13.5" hidden="false" customHeight="true" outlineLevel="0" collapsed="false">
      <c r="B13" s="43" t="s">
        <v>144</v>
      </c>
      <c r="C13" s="44" t="n">
        <f aca="false">RANDBETWEEN(1,INT(1_DATOS!C6))*1</f>
        <v>48</v>
      </c>
      <c r="D13" s="45" t="n">
        <f aca="false">IF(C13&lt;=5,0.95,IF(C13&gt;=10,0.6,0.6+((10-C13)/(10-5))*(0.95-0.6)))</f>
        <v>0.6</v>
      </c>
      <c r="E13" s="45" t="n">
        <f aca="false">IF(C13&lt;=1_DATOS!C5,1-(1-D13*2_CÁLCULOS!C38)^1_DATOS!C35,0)</f>
        <v>0</v>
      </c>
      <c r="F13" s="45" t="n">
        <f aca="false">IF(C13&lt;=1_DATOS!C7,1-(1-D13*2_CÁLCULOS!E38)^1_DATOS!C36,0)</f>
        <v>0</v>
      </c>
      <c r="G13" s="46" t="n">
        <f aca="false">1-(1-E13)*(1-F13)</f>
        <v>0</v>
      </c>
      <c r="H13" s="47" t="str">
        <f aca="false">IF(G13&gt;0.5,"SÍ","NO")</f>
        <v>NO</v>
      </c>
      <c r="I13" s="47" t="str">
        <f aca="false">IF(G13&gt;0.5,"NO","POSIBLE")</f>
        <v>POSIBLE</v>
      </c>
    </row>
    <row r="14" customFormat="false" ht="13.5" hidden="false" customHeight="true" outlineLevel="0" collapsed="false">
      <c r="B14" s="43" t="s">
        <v>145</v>
      </c>
      <c r="C14" s="44" t="n">
        <f aca="false">RANDBETWEEN(1,INT(1_DATOS!C6))*1</f>
        <v>42</v>
      </c>
      <c r="D14" s="45" t="n">
        <f aca="false">IF(C14&lt;=5,0.95,IF(C14&gt;=10,0.6,0.6+((10-C14)/(10-5))*(0.95-0.6)))</f>
        <v>0.6</v>
      </c>
      <c r="E14" s="45" t="n">
        <f aca="false">IF(C14&lt;=1_DATOS!C5,1-(1-D14*2_CÁLCULOS!C38)^1_DATOS!C35,0)</f>
        <v>0</v>
      </c>
      <c r="F14" s="45" t="n">
        <f aca="false">IF(C14&lt;=1_DATOS!C7,1-(1-D14*2_CÁLCULOS!E38)^1_DATOS!C36,0)</f>
        <v>0</v>
      </c>
      <c r="G14" s="46" t="n">
        <f aca="false">1-(1-E14)*(1-F14)</f>
        <v>0</v>
      </c>
      <c r="H14" s="47" t="str">
        <f aca="false">IF(G14&gt;0.5,"SÍ","NO")</f>
        <v>NO</v>
      </c>
      <c r="I14" s="47" t="str">
        <f aca="false">IF(G14&gt;0.5,"NO","POSIBLE")</f>
        <v>POSIBLE</v>
      </c>
    </row>
    <row r="15" customFormat="false" ht="13.5" hidden="false" customHeight="true" outlineLevel="0" collapsed="false">
      <c r="B15" s="43" t="s">
        <v>146</v>
      </c>
      <c r="C15" s="44" t="n">
        <f aca="false">RANDBETWEEN(1,INT(1_DATOS!C6))*1</f>
        <v>35</v>
      </c>
      <c r="D15" s="45" t="n">
        <f aca="false">IF(C15&lt;=5,0.95,IF(C15&gt;=10,0.6,0.6+((10-C15)/(10-5))*(0.95-0.6)))</f>
        <v>0.6</v>
      </c>
      <c r="E15" s="45" t="n">
        <f aca="false">IF(C15&lt;=1_DATOS!C5,1-(1-D15*2_CÁLCULOS!C38)^1_DATOS!C35,0)</f>
        <v>0</v>
      </c>
      <c r="F15" s="45" t="n">
        <f aca="false">IF(C15&lt;=1_DATOS!C7,1-(1-D15*2_CÁLCULOS!E38)^1_DATOS!C36,0)</f>
        <v>0</v>
      </c>
      <c r="G15" s="46" t="n">
        <f aca="false">1-(1-E15)*(1-F15)</f>
        <v>0</v>
      </c>
      <c r="H15" s="47" t="str">
        <f aca="false">IF(G15&gt;0.5,"SÍ","NO")</f>
        <v>NO</v>
      </c>
      <c r="I15" s="47" t="str">
        <f aca="false">IF(G15&gt;0.5,"NO","POSIBLE")</f>
        <v>POSIBLE</v>
      </c>
    </row>
    <row r="16" customFormat="false" ht="13.5" hidden="false" customHeight="true" outlineLevel="0" collapsed="false">
      <c r="B16" s="43" t="s">
        <v>147</v>
      </c>
      <c r="C16" s="44" t="n">
        <f aca="false">RANDBETWEEN(1,INT(1_DATOS!C6))*1</f>
        <v>58</v>
      </c>
      <c r="D16" s="45" t="n">
        <f aca="false">IF(C16&lt;=5,0.95,IF(C16&gt;=10,0.6,0.6+((10-C16)/(10-5))*(0.95-0.6)))</f>
        <v>0.6</v>
      </c>
      <c r="E16" s="45" t="n">
        <f aca="false">IF(C16&lt;=1_DATOS!C5,1-(1-D16*2_CÁLCULOS!C38)^1_DATOS!C35,0)</f>
        <v>0</v>
      </c>
      <c r="F16" s="45" t="n">
        <f aca="false">IF(C16&lt;=1_DATOS!C7,1-(1-D16*2_CÁLCULOS!E38)^1_DATOS!C36,0)</f>
        <v>0</v>
      </c>
      <c r="G16" s="46" t="n">
        <f aca="false">1-(1-E16)*(1-F16)</f>
        <v>0</v>
      </c>
      <c r="H16" s="47" t="str">
        <f aca="false">IF(G16&gt;0.5,"SÍ","NO")</f>
        <v>NO</v>
      </c>
      <c r="I16" s="47" t="str">
        <f aca="false">IF(G16&gt;0.5,"NO","POSIBLE")</f>
        <v>POSIBLE</v>
      </c>
    </row>
    <row r="17" customFormat="false" ht="13.5" hidden="false" customHeight="true" outlineLevel="0" collapsed="false">
      <c r="B17" s="43" t="s">
        <v>148</v>
      </c>
      <c r="C17" s="44" t="n">
        <f aca="false">RANDBETWEEN(1,INT(1_DATOS!C6))*1</f>
        <v>58</v>
      </c>
      <c r="D17" s="45" t="n">
        <f aca="false">IF(C17&lt;=5,0.95,IF(C17&gt;=10,0.6,0.6+((10-C17)/(10-5))*(0.95-0.6)))</f>
        <v>0.6</v>
      </c>
      <c r="E17" s="45" t="n">
        <f aca="false">IF(C17&lt;=1_DATOS!C5,1-(1-D17*2_CÁLCULOS!C38)^1_DATOS!C35,0)</f>
        <v>0</v>
      </c>
      <c r="F17" s="45" t="n">
        <f aca="false">IF(C17&lt;=1_DATOS!C7,1-(1-D17*2_CÁLCULOS!E38)^1_DATOS!C36,0)</f>
        <v>0</v>
      </c>
      <c r="G17" s="46" t="n">
        <f aca="false">1-(1-E17)*(1-F17)</f>
        <v>0</v>
      </c>
      <c r="H17" s="47" t="str">
        <f aca="false">IF(G17&gt;0.5,"SÍ","NO")</f>
        <v>NO</v>
      </c>
      <c r="I17" s="47" t="str">
        <f aca="false">IF(G17&gt;0.5,"NO","POSIBLE")</f>
        <v>POSIBLE</v>
      </c>
    </row>
    <row r="18" customFormat="false" ht="13.5" hidden="false" customHeight="true" outlineLevel="0" collapsed="false">
      <c r="B18" s="43" t="s">
        <v>149</v>
      </c>
      <c r="C18" s="44" t="n">
        <f aca="false">RANDBETWEEN(1,INT(1_DATOS!C6))*1</f>
        <v>40</v>
      </c>
      <c r="D18" s="45" t="n">
        <f aca="false">IF(C18&lt;=5,0.95,IF(C18&gt;=10,0.6,0.6+((10-C18)/(10-5))*(0.95-0.6)))</f>
        <v>0.6</v>
      </c>
      <c r="E18" s="45" t="n">
        <f aca="false">IF(C18&lt;=1_DATOS!C5,1-(1-D18*2_CÁLCULOS!C38)^1_DATOS!C35,0)</f>
        <v>0</v>
      </c>
      <c r="F18" s="45" t="n">
        <f aca="false">IF(C18&lt;=1_DATOS!C7,1-(1-D18*2_CÁLCULOS!E38)^1_DATOS!C36,0)</f>
        <v>0</v>
      </c>
      <c r="G18" s="46" t="n">
        <f aca="false">1-(1-E18)*(1-F18)</f>
        <v>0</v>
      </c>
      <c r="H18" s="47" t="str">
        <f aca="false">IF(G18&gt;0.5,"SÍ","NO")</f>
        <v>NO</v>
      </c>
      <c r="I18" s="47" t="str">
        <f aca="false">IF(G18&gt;0.5,"NO","POSIBLE")</f>
        <v>POSIBLE</v>
      </c>
    </row>
    <row r="19" customFormat="false" ht="13.5" hidden="false" customHeight="true" outlineLevel="0" collapsed="false">
      <c r="B19" s="43" t="s">
        <v>150</v>
      </c>
      <c r="C19" s="44" t="n">
        <f aca="false">RANDBETWEEN(1,INT(1_DATOS!C6))*1</f>
        <v>19</v>
      </c>
      <c r="D19" s="45" t="n">
        <f aca="false">IF(C19&lt;=5,0.95,IF(C19&gt;=10,0.6,0.6+((10-C19)/(10-5))*(0.95-0.6)))</f>
        <v>0.6</v>
      </c>
      <c r="E19" s="45" t="n">
        <f aca="false">IF(C19&lt;=1_DATOS!C5,1-(1-D19*2_CÁLCULOS!C38)^1_DATOS!C35,0)</f>
        <v>0.6636</v>
      </c>
      <c r="F19" s="45" t="n">
        <f aca="false">IF(C19&lt;=1_DATOS!C7,1-(1-D19*2_CÁLCULOS!E38)^1_DATOS!C36,0)</f>
        <v>0</v>
      </c>
      <c r="G19" s="46" t="n">
        <f aca="false">1-(1-E19)*(1-F19)</f>
        <v>0.6636</v>
      </c>
      <c r="H19" s="47" t="str">
        <f aca="false">IF(G19&gt;0.5,"SÍ","NO")</f>
        <v>SÍ</v>
      </c>
      <c r="I19" s="47" t="str">
        <f aca="false">IF(G19&gt;0.5,"NO","POSIBLE")</f>
        <v>NO</v>
      </c>
    </row>
    <row r="20" customFormat="false" ht="13.5" hidden="false" customHeight="true" outlineLevel="0" collapsed="false">
      <c r="B20" s="43" t="s">
        <v>151</v>
      </c>
      <c r="C20" s="44" t="n">
        <f aca="false">RANDBETWEEN(1,INT(1_DATOS!C6))*1</f>
        <v>24</v>
      </c>
      <c r="D20" s="45" t="n">
        <f aca="false">IF(C20&lt;=5,0.95,IF(C20&gt;=10,0.6,0.6+((10-C20)/(10-5))*(0.95-0.6)))</f>
        <v>0.6</v>
      </c>
      <c r="E20" s="45" t="n">
        <f aca="false">IF(C20&lt;=1_DATOS!C5,1-(1-D20*2_CÁLCULOS!C38)^1_DATOS!C35,0)</f>
        <v>0.6636</v>
      </c>
      <c r="F20" s="45" t="n">
        <f aca="false">IF(C20&lt;=1_DATOS!C7,1-(1-D20*2_CÁLCULOS!E38)^1_DATOS!C36,0)</f>
        <v>0</v>
      </c>
      <c r="G20" s="46" t="n">
        <f aca="false">1-(1-E20)*(1-F20)</f>
        <v>0.6636</v>
      </c>
      <c r="H20" s="47" t="str">
        <f aca="false">IF(G20&gt;0.5,"SÍ","NO")</f>
        <v>SÍ</v>
      </c>
      <c r="I20" s="47" t="str">
        <f aca="false">IF(G20&gt;0.5,"NO","POSIBLE")</f>
        <v>NO</v>
      </c>
    </row>
    <row r="21" customFormat="false" ht="13.5" hidden="false" customHeight="true" outlineLevel="0" collapsed="false">
      <c r="B21" s="43" t="s">
        <v>152</v>
      </c>
      <c r="C21" s="44" t="n">
        <f aca="false">RANDBETWEEN(1,INT(1_DATOS!C6))*1</f>
        <v>2</v>
      </c>
      <c r="D21" s="45" t="n">
        <f aca="false">IF(C21&lt;=5,0.95,IF(C21&gt;=10,0.6,0.6+((10-C21)/(10-5))*(0.95-0.6)))</f>
        <v>0.95</v>
      </c>
      <c r="E21" s="45" t="n">
        <f aca="false">IF(C21&lt;=1_DATOS!C5,1-(1-D21*2_CÁLCULOS!C38)^1_DATOS!C35,0)</f>
        <v>0.887775</v>
      </c>
      <c r="F21" s="45" t="n">
        <f aca="false">IF(C21&lt;=1_DATOS!C7,1-(1-D21*2_CÁLCULOS!E38)^1_DATOS!C36,0)</f>
        <v>0.887775</v>
      </c>
      <c r="G21" s="46" t="n">
        <f aca="false">1-(1-E21)*(1-F21)</f>
        <v>0.987405549375</v>
      </c>
      <c r="H21" s="47" t="str">
        <f aca="false">IF(G21&gt;0.5,"SÍ","NO")</f>
        <v>SÍ</v>
      </c>
      <c r="I21" s="47" t="str">
        <f aca="false">IF(G21&gt;0.5,"NO","POSIBLE")</f>
        <v>NO</v>
      </c>
    </row>
    <row r="22" customFormat="false" ht="13.5" hidden="false" customHeight="true" outlineLevel="0" collapsed="false">
      <c r="B22" s="43" t="s">
        <v>153</v>
      </c>
      <c r="C22" s="44" t="n">
        <f aca="false">RANDBETWEEN(1,INT(1_DATOS!C6))*1</f>
        <v>8</v>
      </c>
      <c r="D22" s="45" t="n">
        <f aca="false">IF(C22&lt;=5,0.95,IF(C22&gt;=10,0.6,0.6+((10-C22)/(10-5))*(0.95-0.6)))</f>
        <v>0.74</v>
      </c>
      <c r="E22" s="45" t="n">
        <f aca="false">IF(C22&lt;=1_DATOS!C5,1-(1-D22*2_CÁLCULOS!C38)^1_DATOS!C35,0)</f>
        <v>0.767676</v>
      </c>
      <c r="F22" s="45" t="n">
        <f aca="false">IF(C22&lt;=1_DATOS!C7,1-(1-D22*2_CÁLCULOS!E38)^1_DATOS!C36,0)</f>
        <v>0.767676</v>
      </c>
      <c r="G22" s="46" t="n">
        <f aca="false">1-(1-E22)*(1-F22)</f>
        <v>0.946025559024</v>
      </c>
      <c r="H22" s="47" t="str">
        <f aca="false">IF(G22&gt;0.5,"SÍ","NO")</f>
        <v>SÍ</v>
      </c>
      <c r="I22" s="47" t="str">
        <f aca="false">IF(G22&gt;0.5,"NO","POSIBLE")</f>
        <v>NO</v>
      </c>
    </row>
    <row r="23" customFormat="false" ht="13.5" hidden="false" customHeight="true" outlineLevel="0" collapsed="false">
      <c r="B23" s="43" t="s">
        <v>154</v>
      </c>
      <c r="C23" s="44" t="n">
        <f aca="false">RANDBETWEEN(1,INT(1_DATOS!C6))*1</f>
        <v>27</v>
      </c>
      <c r="D23" s="45" t="n">
        <f aca="false">IF(C23&lt;=5,0.95,IF(C23&gt;=10,0.6,0.6+((10-C23)/(10-5))*(0.95-0.6)))</f>
        <v>0.6</v>
      </c>
      <c r="E23" s="45" t="n">
        <f aca="false">IF(C23&lt;=1_DATOS!C5,1-(1-D23*2_CÁLCULOS!C38)^1_DATOS!C35,0)</f>
        <v>0</v>
      </c>
      <c r="F23" s="45" t="n">
        <f aca="false">IF(C23&lt;=1_DATOS!C7,1-(1-D23*2_CÁLCULOS!E38)^1_DATOS!C36,0)</f>
        <v>0</v>
      </c>
      <c r="G23" s="46" t="n">
        <f aca="false">1-(1-E23)*(1-F23)</f>
        <v>0</v>
      </c>
      <c r="H23" s="47" t="str">
        <f aca="false">IF(G23&gt;0.5,"SÍ","NO")</f>
        <v>NO</v>
      </c>
      <c r="I23" s="47" t="str">
        <f aca="false">IF(G23&gt;0.5,"NO","POSIBLE")</f>
        <v>POSIBLE</v>
      </c>
    </row>
    <row r="24" customFormat="false" ht="13.5" hidden="false" customHeight="true" outlineLevel="0" collapsed="false">
      <c r="B24" s="43" t="s">
        <v>155</v>
      </c>
      <c r="C24" s="44" t="n">
        <f aca="false">RANDBETWEEN(1,INT(1_DATOS!C6))*1</f>
        <v>60</v>
      </c>
      <c r="D24" s="45" t="n">
        <f aca="false">IF(C24&lt;=5,0.95,IF(C24&gt;=10,0.6,0.6+((10-C24)/(10-5))*(0.95-0.6)))</f>
        <v>0.6</v>
      </c>
      <c r="E24" s="45" t="n">
        <f aca="false">IF(C24&lt;=1_DATOS!C5,1-(1-D24*2_CÁLCULOS!C38)^1_DATOS!C35,0)</f>
        <v>0</v>
      </c>
      <c r="F24" s="45" t="n">
        <f aca="false">IF(C24&lt;=1_DATOS!C7,1-(1-D24*2_CÁLCULOS!E38)^1_DATOS!C36,0)</f>
        <v>0</v>
      </c>
      <c r="G24" s="46" t="n">
        <f aca="false">1-(1-E24)*(1-F24)</f>
        <v>0</v>
      </c>
      <c r="H24" s="47" t="str">
        <f aca="false">IF(G24&gt;0.5,"SÍ","NO")</f>
        <v>NO</v>
      </c>
      <c r="I24" s="47" t="str">
        <f aca="false">IF(G24&gt;0.5,"NO","POSIBLE")</f>
        <v>POSIBLE</v>
      </c>
    </row>
    <row r="25" customFormat="false" ht="13.5" hidden="false" customHeight="true" outlineLevel="0" collapsed="false">
      <c r="B25" s="43" t="s">
        <v>156</v>
      </c>
      <c r="C25" s="44" t="n">
        <f aca="false">RANDBETWEEN(1,INT(1_DATOS!C6))*1</f>
        <v>22</v>
      </c>
      <c r="D25" s="45" t="n">
        <f aca="false">IF(C25&lt;=5,0.95,IF(C25&gt;=10,0.6,0.6+((10-C25)/(10-5))*(0.95-0.6)))</f>
        <v>0.6</v>
      </c>
      <c r="E25" s="45" t="n">
        <f aca="false">IF(C25&lt;=1_DATOS!C5,1-(1-D25*2_CÁLCULOS!C38)^1_DATOS!C35,0)</f>
        <v>0.6636</v>
      </c>
      <c r="F25" s="45" t="n">
        <f aca="false">IF(C25&lt;=1_DATOS!C7,1-(1-D25*2_CÁLCULOS!E38)^1_DATOS!C36,0)</f>
        <v>0</v>
      </c>
      <c r="G25" s="46" t="n">
        <f aca="false">1-(1-E25)*(1-F25)</f>
        <v>0.6636</v>
      </c>
      <c r="H25" s="47" t="str">
        <f aca="false">IF(G25&gt;0.5,"SÍ","NO")</f>
        <v>SÍ</v>
      </c>
      <c r="I25" s="47" t="str">
        <f aca="false">IF(G25&gt;0.5,"NO","POSIBLE")</f>
        <v>NO</v>
      </c>
    </row>
    <row r="26" customFormat="false" ht="13.5" hidden="false" customHeight="true" outlineLevel="0" collapsed="false">
      <c r="B26" s="43" t="s">
        <v>157</v>
      </c>
      <c r="C26" s="44" t="n">
        <f aca="false">RANDBETWEEN(1,INT(1_DATOS!C6))*1</f>
        <v>36</v>
      </c>
      <c r="D26" s="45" t="n">
        <f aca="false">IF(C26&lt;=5,0.95,IF(C26&gt;=10,0.6,0.6+((10-C26)/(10-5))*(0.95-0.6)))</f>
        <v>0.6</v>
      </c>
      <c r="E26" s="45" t="n">
        <f aca="false">IF(C26&lt;=1_DATOS!C5,1-(1-D26*2_CÁLCULOS!C38)^1_DATOS!C35,0)</f>
        <v>0</v>
      </c>
      <c r="F26" s="45" t="n">
        <f aca="false">IF(C26&lt;=1_DATOS!C7,1-(1-D26*2_CÁLCULOS!E38)^1_DATOS!C36,0)</f>
        <v>0</v>
      </c>
      <c r="G26" s="46" t="n">
        <f aca="false">1-(1-E26)*(1-F26)</f>
        <v>0</v>
      </c>
      <c r="H26" s="47" t="str">
        <f aca="false">IF(G26&gt;0.5,"SÍ","NO")</f>
        <v>NO</v>
      </c>
      <c r="I26" s="47" t="str">
        <f aca="false">IF(G26&gt;0.5,"NO","POSIBLE")</f>
        <v>POSIBLE</v>
      </c>
    </row>
    <row r="27" customFormat="false" ht="13.5" hidden="false" customHeight="true" outlineLevel="0" collapsed="false">
      <c r="B27" s="43" t="s">
        <v>158</v>
      </c>
      <c r="C27" s="44" t="n">
        <f aca="false">RANDBETWEEN(1,INT(1_DATOS!C6))*1</f>
        <v>45</v>
      </c>
      <c r="D27" s="45" t="n">
        <f aca="false">IF(C27&lt;=5,0.95,IF(C27&gt;=10,0.6,0.6+((10-C27)/(10-5))*(0.95-0.6)))</f>
        <v>0.6</v>
      </c>
      <c r="E27" s="45" t="n">
        <f aca="false">IF(C27&lt;=1_DATOS!C5,1-(1-D27*2_CÁLCULOS!C38)^1_DATOS!C35,0)</f>
        <v>0</v>
      </c>
      <c r="F27" s="45" t="n">
        <f aca="false">IF(C27&lt;=1_DATOS!C7,1-(1-D27*2_CÁLCULOS!E38)^1_DATOS!C36,0)</f>
        <v>0</v>
      </c>
      <c r="G27" s="46" t="n">
        <f aca="false">1-(1-E27)*(1-F27)</f>
        <v>0</v>
      </c>
      <c r="H27" s="47" t="str">
        <f aca="false">IF(G27&gt;0.5,"SÍ","NO")</f>
        <v>NO</v>
      </c>
      <c r="I27" s="47" t="str">
        <f aca="false">IF(G27&gt;0.5,"NO","POSIBLE")</f>
        <v>POSIBLE</v>
      </c>
    </row>
    <row r="28" customFormat="false" ht="13.5" hidden="false" customHeight="true" outlineLevel="0" collapsed="false">
      <c r="B28" s="43" t="s">
        <v>159</v>
      </c>
      <c r="C28" s="44" t="n">
        <f aca="false">RANDBETWEEN(1,INT(1_DATOS!C6))*1</f>
        <v>31</v>
      </c>
      <c r="D28" s="45" t="n">
        <f aca="false">IF(C28&lt;=5,0.95,IF(C28&gt;=10,0.6,0.6+((10-C28)/(10-5))*(0.95-0.6)))</f>
        <v>0.6</v>
      </c>
      <c r="E28" s="45" t="n">
        <f aca="false">IF(C28&lt;=1_DATOS!C5,1-(1-D28*2_CÁLCULOS!C38)^1_DATOS!C35,0)</f>
        <v>0</v>
      </c>
      <c r="F28" s="45" t="n">
        <f aca="false">IF(C28&lt;=1_DATOS!C7,1-(1-D28*2_CÁLCULOS!E38)^1_DATOS!C36,0)</f>
        <v>0</v>
      </c>
      <c r="G28" s="46" t="n">
        <f aca="false">1-(1-E28)*(1-F28)</f>
        <v>0</v>
      </c>
      <c r="H28" s="47" t="str">
        <f aca="false">IF(G28&gt;0.5,"SÍ","NO")</f>
        <v>NO</v>
      </c>
      <c r="I28" s="47" t="str">
        <f aca="false">IF(G28&gt;0.5,"NO","POSIBLE")</f>
        <v>POSIBLE</v>
      </c>
    </row>
    <row r="29" customFormat="false" ht="13.5" hidden="false" customHeight="true" outlineLevel="0" collapsed="false">
      <c r="B29" s="43" t="s">
        <v>160</v>
      </c>
      <c r="C29" s="44" t="n">
        <f aca="false">RANDBETWEEN(1,INT(1_DATOS!C6))*1</f>
        <v>9</v>
      </c>
      <c r="D29" s="45" t="n">
        <f aca="false">IF(C29&lt;=5,0.95,IF(C29&gt;=10,0.6,0.6+((10-C29)/(10-5))*(0.95-0.6)))</f>
        <v>0.67</v>
      </c>
      <c r="E29" s="45" t="n">
        <f aca="false">IF(C29&lt;=1_DATOS!C5,1-(1-D29*2_CÁLCULOS!C38)^1_DATOS!C35,0)</f>
        <v>0.718039</v>
      </c>
      <c r="F29" s="45" t="n">
        <f aca="false">IF(C29&lt;=1_DATOS!C7,1-(1-D29*2_CÁLCULOS!E38)^1_DATOS!C36,0)</f>
        <v>0.718039</v>
      </c>
      <c r="G29" s="46" t="n">
        <f aca="false">1-(1-E29)*(1-F29)</f>
        <v>0.920497994479</v>
      </c>
      <c r="H29" s="47" t="str">
        <f aca="false">IF(G29&gt;0.5,"SÍ","NO")</f>
        <v>SÍ</v>
      </c>
      <c r="I29" s="47" t="str">
        <f aca="false">IF(G29&gt;0.5,"NO","POSIBLE")</f>
        <v>NO</v>
      </c>
    </row>
    <row r="30" customFormat="false" ht="13.5" hidden="false" customHeight="true" outlineLevel="0" collapsed="false">
      <c r="B30" s="43" t="s">
        <v>161</v>
      </c>
      <c r="C30" s="44" t="n">
        <f aca="false">RANDBETWEEN(1,INT(1_DATOS!C6))*1</f>
        <v>33</v>
      </c>
      <c r="D30" s="45" t="n">
        <f aca="false">IF(C30&lt;=5,0.95,IF(C30&gt;=10,0.6,0.6+((10-C30)/(10-5))*(0.95-0.6)))</f>
        <v>0.6</v>
      </c>
      <c r="E30" s="45" t="n">
        <f aca="false">IF(C30&lt;=1_DATOS!C5,1-(1-D30*2_CÁLCULOS!C38)^1_DATOS!C35,0)</f>
        <v>0</v>
      </c>
      <c r="F30" s="45" t="n">
        <f aca="false">IF(C30&lt;=1_DATOS!C7,1-(1-D30*2_CÁLCULOS!E38)^1_DATOS!C36,0)</f>
        <v>0</v>
      </c>
      <c r="G30" s="46" t="n">
        <f aca="false">1-(1-E30)*(1-F30)</f>
        <v>0</v>
      </c>
      <c r="H30" s="47" t="str">
        <f aca="false">IF(G30&gt;0.5,"SÍ","NO")</f>
        <v>NO</v>
      </c>
      <c r="I30" s="47" t="str">
        <f aca="false">IF(G30&gt;0.5,"NO","POSIBLE")</f>
        <v>POSIBLE</v>
      </c>
    </row>
    <row r="31" customFormat="false" ht="13.5" hidden="false" customHeight="true" outlineLevel="0" collapsed="false">
      <c r="B31" s="43" t="s">
        <v>162</v>
      </c>
      <c r="C31" s="44" t="n">
        <f aca="false">RANDBETWEEN(1,INT(1_DATOS!C6))*1</f>
        <v>30</v>
      </c>
      <c r="D31" s="45" t="n">
        <f aca="false">IF(C31&lt;=5,0.95,IF(C31&gt;=10,0.6,0.6+((10-C31)/(10-5))*(0.95-0.6)))</f>
        <v>0.6</v>
      </c>
      <c r="E31" s="45" t="n">
        <f aca="false">IF(C31&lt;=1_DATOS!C5,1-(1-D31*2_CÁLCULOS!C38)^1_DATOS!C35,0)</f>
        <v>0</v>
      </c>
      <c r="F31" s="45" t="n">
        <f aca="false">IF(C31&lt;=1_DATOS!C7,1-(1-D31*2_CÁLCULOS!E38)^1_DATOS!C36,0)</f>
        <v>0</v>
      </c>
      <c r="G31" s="46" t="n">
        <f aca="false">1-(1-E31)*(1-F31)</f>
        <v>0</v>
      </c>
      <c r="H31" s="47" t="str">
        <f aca="false">IF(G31&gt;0.5,"SÍ","NO")</f>
        <v>NO</v>
      </c>
      <c r="I31" s="47" t="str">
        <f aca="false">IF(G31&gt;0.5,"NO","POSIBLE")</f>
        <v>POSIBLE</v>
      </c>
    </row>
    <row r="32" customFormat="false" ht="13.5" hidden="false" customHeight="true" outlineLevel="0" collapsed="false">
      <c r="B32" s="43" t="s">
        <v>163</v>
      </c>
      <c r="C32" s="44" t="n">
        <f aca="false">RANDBETWEEN(1,INT(1_DATOS!C6))*1</f>
        <v>7</v>
      </c>
      <c r="D32" s="45" t="n">
        <f aca="false">IF(C32&lt;=5,0.95,IF(C32&gt;=10,0.6,0.6+((10-C32)/(10-5))*(0.95-0.6)))</f>
        <v>0.81</v>
      </c>
      <c r="E32" s="45" t="n">
        <f aca="false">IF(C32&lt;=1_DATOS!C5,1-(1-D32*2_CÁLCULOS!C38)^1_DATOS!C35,0)</f>
        <v>0.812511</v>
      </c>
      <c r="F32" s="45" t="n">
        <f aca="false">IF(C32&lt;=1_DATOS!C7,1-(1-D32*2_CÁLCULOS!E38)^1_DATOS!C36,0)</f>
        <v>0.812511</v>
      </c>
      <c r="G32" s="46" t="n">
        <f aca="false">1-(1-E32)*(1-F32)</f>
        <v>0.964847874879</v>
      </c>
      <c r="H32" s="47" t="str">
        <f aca="false">IF(G32&gt;0.5,"SÍ","NO")</f>
        <v>SÍ</v>
      </c>
      <c r="I32" s="47" t="str">
        <f aca="false">IF(G32&gt;0.5,"NO","POSIBLE")</f>
        <v>NO</v>
      </c>
    </row>
    <row r="33" customFormat="false" ht="13.5" hidden="false" customHeight="true" outlineLevel="0" collapsed="false">
      <c r="B33" s="43" t="s">
        <v>164</v>
      </c>
      <c r="C33" s="44" t="n">
        <f aca="false">RANDBETWEEN(1,INT(1_DATOS!C6))*1</f>
        <v>12</v>
      </c>
      <c r="D33" s="45" t="n">
        <f aca="false">IF(C33&lt;=5,0.95,IF(C33&gt;=10,0.6,0.6+((10-C33)/(10-5))*(0.95-0.6)))</f>
        <v>0.6</v>
      </c>
      <c r="E33" s="45" t="n">
        <f aca="false">IF(C33&lt;=1_DATOS!C5,1-(1-D33*2_CÁLCULOS!C38)^1_DATOS!C35,0)</f>
        <v>0.6636</v>
      </c>
      <c r="F33" s="45" t="n">
        <f aca="false">IF(C33&lt;=1_DATOS!C7,1-(1-D33*2_CÁLCULOS!E38)^1_DATOS!C36,0)</f>
        <v>0.6636</v>
      </c>
      <c r="G33" s="46" t="n">
        <f aca="false">1-(1-E33)*(1-F33)</f>
        <v>0.88683504</v>
      </c>
      <c r="H33" s="47" t="str">
        <f aca="false">IF(G33&gt;0.5,"SÍ","NO")</f>
        <v>SÍ</v>
      </c>
      <c r="I33" s="47" t="str">
        <f aca="false">IF(G33&gt;0.5,"NO","POSIBLE")</f>
        <v>NO</v>
      </c>
    </row>
    <row r="34" customFormat="false" ht="13.5" hidden="false" customHeight="true" outlineLevel="0" collapsed="false">
      <c r="B34" s="43" t="s">
        <v>165</v>
      </c>
      <c r="C34" s="44" t="n">
        <f aca="false">RANDBETWEEN(1,INT(1_DATOS!C6))*1</f>
        <v>5</v>
      </c>
      <c r="D34" s="45" t="n">
        <f aca="false">IF(C34&lt;=5,0.95,IF(C34&gt;=10,0.6,0.6+((10-C34)/(10-5))*(0.95-0.6)))</f>
        <v>0.95</v>
      </c>
      <c r="E34" s="45" t="n">
        <f aca="false">IF(C34&lt;=1_DATOS!C5,1-(1-D34*2_CÁLCULOS!C38)^1_DATOS!C35,0)</f>
        <v>0.887775</v>
      </c>
      <c r="F34" s="45" t="n">
        <f aca="false">IF(C34&lt;=1_DATOS!C7,1-(1-D34*2_CÁLCULOS!E38)^1_DATOS!C36,0)</f>
        <v>0.887775</v>
      </c>
      <c r="G34" s="46" t="n">
        <f aca="false">1-(1-E34)*(1-F34)</f>
        <v>0.987405549375</v>
      </c>
      <c r="H34" s="47" t="str">
        <f aca="false">IF(G34&gt;0.5,"SÍ","NO")</f>
        <v>SÍ</v>
      </c>
      <c r="I34" s="47" t="str">
        <f aca="false">IF(G34&gt;0.5,"NO","POSIBLE")</f>
        <v>NO</v>
      </c>
    </row>
    <row r="35" customFormat="false" ht="13.5" hidden="false" customHeight="true" outlineLevel="0" collapsed="false">
      <c r="B35" s="43" t="s">
        <v>166</v>
      </c>
      <c r="C35" s="44" t="n">
        <f aca="false">RANDBETWEEN(1,INT(1_DATOS!C6))*1</f>
        <v>16</v>
      </c>
      <c r="D35" s="45" t="n">
        <f aca="false">IF(C35&lt;=5,0.95,IF(C35&gt;=10,0.6,0.6+((10-C35)/(10-5))*(0.95-0.6)))</f>
        <v>0.6</v>
      </c>
      <c r="E35" s="45" t="n">
        <f aca="false">IF(C35&lt;=1_DATOS!C5,1-(1-D35*2_CÁLCULOS!C38)^1_DATOS!C35,0)</f>
        <v>0.6636</v>
      </c>
      <c r="F35" s="45" t="n">
        <f aca="false">IF(C35&lt;=1_DATOS!C7,1-(1-D35*2_CÁLCULOS!E38)^1_DATOS!C36,0)</f>
        <v>0</v>
      </c>
      <c r="G35" s="46" t="n">
        <f aca="false">1-(1-E35)*(1-F35)</f>
        <v>0.6636</v>
      </c>
      <c r="H35" s="47" t="str">
        <f aca="false">IF(G35&gt;0.5,"SÍ","NO")</f>
        <v>SÍ</v>
      </c>
      <c r="I35" s="47" t="str">
        <f aca="false">IF(G35&gt;0.5,"NO","POSIBLE")</f>
        <v>NO</v>
      </c>
    </row>
    <row r="36" customFormat="false" ht="13.5" hidden="false" customHeight="true" outlineLevel="0" collapsed="false">
      <c r="B36" s="43" t="s">
        <v>167</v>
      </c>
      <c r="C36" s="44" t="n">
        <f aca="false">RANDBETWEEN(1,INT(1_DATOS!C6))*1</f>
        <v>2</v>
      </c>
      <c r="D36" s="45" t="n">
        <f aca="false">IF(C36&lt;=5,0.95,IF(C36&gt;=10,0.6,0.6+((10-C36)/(10-5))*(0.95-0.6)))</f>
        <v>0.95</v>
      </c>
      <c r="E36" s="45" t="n">
        <f aca="false">IF(C36&lt;=1_DATOS!C5,1-(1-D36*2_CÁLCULOS!C38)^1_DATOS!C35,0)</f>
        <v>0.887775</v>
      </c>
      <c r="F36" s="45" t="n">
        <f aca="false">IF(C36&lt;=1_DATOS!C7,1-(1-D36*2_CÁLCULOS!E38)^1_DATOS!C36,0)</f>
        <v>0.887775</v>
      </c>
      <c r="G36" s="46" t="n">
        <f aca="false">1-(1-E36)*(1-F36)</f>
        <v>0.987405549375</v>
      </c>
      <c r="H36" s="47" t="str">
        <f aca="false">IF(G36&gt;0.5,"SÍ","NO")</f>
        <v>SÍ</v>
      </c>
      <c r="I36" s="47" t="str">
        <f aca="false">IF(G36&gt;0.5,"NO","POSIBLE")</f>
        <v>NO</v>
      </c>
    </row>
    <row r="37" customFormat="false" ht="13.5" hidden="false" customHeight="true" outlineLevel="0" collapsed="false">
      <c r="B37" s="43" t="s">
        <v>168</v>
      </c>
      <c r="C37" s="44" t="n">
        <f aca="false">RANDBETWEEN(1,INT(1_DATOS!C6))*1</f>
        <v>47</v>
      </c>
      <c r="D37" s="45" t="n">
        <f aca="false">IF(C37&lt;=5,0.95,IF(C37&gt;=10,0.6,0.6+((10-C37)/(10-5))*(0.95-0.6)))</f>
        <v>0.6</v>
      </c>
      <c r="E37" s="45" t="n">
        <f aca="false">IF(C37&lt;=1_DATOS!C5,1-(1-D37*2_CÁLCULOS!C38)^1_DATOS!C35,0)</f>
        <v>0</v>
      </c>
      <c r="F37" s="45" t="n">
        <f aca="false">IF(C37&lt;=1_DATOS!C7,1-(1-D37*2_CÁLCULOS!E38)^1_DATOS!C36,0)</f>
        <v>0</v>
      </c>
      <c r="G37" s="46" t="n">
        <f aca="false">1-(1-E37)*(1-F37)</f>
        <v>0</v>
      </c>
      <c r="H37" s="47" t="str">
        <f aca="false">IF(G37&gt;0.5,"SÍ","NO")</f>
        <v>NO</v>
      </c>
      <c r="I37" s="47" t="str">
        <f aca="false">IF(G37&gt;0.5,"NO","POSIBLE")</f>
        <v>POSIBLE</v>
      </c>
    </row>
    <row r="38" customFormat="false" ht="13.5" hidden="false" customHeight="true" outlineLevel="0" collapsed="false">
      <c r="B38" s="43" t="s">
        <v>169</v>
      </c>
      <c r="C38" s="44" t="n">
        <f aca="false">RANDBETWEEN(1,INT(1_DATOS!C6))*1</f>
        <v>21</v>
      </c>
      <c r="D38" s="45" t="n">
        <f aca="false">IF(C38&lt;=5,0.95,IF(C38&gt;=10,0.6,0.6+((10-C38)/(10-5))*(0.95-0.6)))</f>
        <v>0.6</v>
      </c>
      <c r="E38" s="45" t="n">
        <f aca="false">IF(C38&lt;=1_DATOS!C5,1-(1-D38*2_CÁLCULOS!C38)^1_DATOS!C35,0)</f>
        <v>0.6636</v>
      </c>
      <c r="F38" s="45" t="n">
        <f aca="false">IF(C38&lt;=1_DATOS!C7,1-(1-D38*2_CÁLCULOS!E38)^1_DATOS!C36,0)</f>
        <v>0</v>
      </c>
      <c r="G38" s="46" t="n">
        <f aca="false">1-(1-E38)*(1-F38)</f>
        <v>0.6636</v>
      </c>
      <c r="H38" s="47" t="str">
        <f aca="false">IF(G38&gt;0.5,"SÍ","NO")</f>
        <v>SÍ</v>
      </c>
      <c r="I38" s="47" t="str">
        <f aca="false">IF(G38&gt;0.5,"NO","POSIBLE")</f>
        <v>NO</v>
      </c>
    </row>
    <row r="39" customFormat="false" ht="13.5" hidden="false" customHeight="true" outlineLevel="0" collapsed="false">
      <c r="B39" s="43" t="s">
        <v>170</v>
      </c>
      <c r="C39" s="44" t="n">
        <f aca="false">RANDBETWEEN(1,INT(1_DATOS!C6))*1</f>
        <v>39</v>
      </c>
      <c r="D39" s="45" t="n">
        <f aca="false">IF(C39&lt;=5,0.95,IF(C39&gt;=10,0.6,0.6+((10-C39)/(10-5))*(0.95-0.6)))</f>
        <v>0.6</v>
      </c>
      <c r="E39" s="45" t="n">
        <f aca="false">IF(C39&lt;=1_DATOS!C5,1-(1-D39*2_CÁLCULOS!C38)^1_DATOS!C35,0)</f>
        <v>0</v>
      </c>
      <c r="F39" s="45" t="n">
        <f aca="false">IF(C39&lt;=1_DATOS!C7,1-(1-D39*2_CÁLCULOS!E38)^1_DATOS!C36,0)</f>
        <v>0</v>
      </c>
      <c r="G39" s="46" t="n">
        <f aca="false">1-(1-E39)*(1-F39)</f>
        <v>0</v>
      </c>
      <c r="H39" s="47" t="str">
        <f aca="false">IF(G39&gt;0.5,"SÍ","NO")</f>
        <v>NO</v>
      </c>
      <c r="I39" s="47" t="str">
        <f aca="false">IF(G39&gt;0.5,"NO","POSIBLE")</f>
        <v>POSIBLE</v>
      </c>
    </row>
    <row r="40" customFormat="false" ht="13.5" hidden="false" customHeight="true" outlineLevel="0" collapsed="false">
      <c r="B40" s="43" t="s">
        <v>171</v>
      </c>
      <c r="C40" s="44" t="n">
        <f aca="false">RANDBETWEEN(1,INT(1_DATOS!C6))*1</f>
        <v>4</v>
      </c>
      <c r="D40" s="45" t="n">
        <f aca="false">IF(C40&lt;=5,0.95,IF(C40&gt;=10,0.6,0.6+((10-C40)/(10-5))*(0.95-0.6)))</f>
        <v>0.95</v>
      </c>
      <c r="E40" s="45" t="n">
        <f aca="false">IF(C40&lt;=1_DATOS!C5,1-(1-D40*2_CÁLCULOS!C38)^1_DATOS!C35,0)</f>
        <v>0.887775</v>
      </c>
      <c r="F40" s="45" t="n">
        <f aca="false">IF(C40&lt;=1_DATOS!C7,1-(1-D40*2_CÁLCULOS!E38)^1_DATOS!C36,0)</f>
        <v>0.887775</v>
      </c>
      <c r="G40" s="46" t="n">
        <f aca="false">1-(1-E40)*(1-F40)</f>
        <v>0.987405549375</v>
      </c>
      <c r="H40" s="47" t="str">
        <f aca="false">IF(G40&gt;0.5,"SÍ","NO")</f>
        <v>SÍ</v>
      </c>
      <c r="I40" s="47" t="str">
        <f aca="false">IF(G40&gt;0.5,"NO","POSIBLE")</f>
        <v>NO</v>
      </c>
    </row>
    <row r="41" customFormat="false" ht="13.5" hidden="false" customHeight="true" outlineLevel="0" collapsed="false">
      <c r="B41" s="43" t="s">
        <v>172</v>
      </c>
      <c r="C41" s="44" t="n">
        <f aca="false">RANDBETWEEN(1,INT(1_DATOS!C6))*1</f>
        <v>53</v>
      </c>
      <c r="D41" s="45" t="n">
        <f aca="false">IF(C41&lt;=5,0.95,IF(C41&gt;=10,0.6,0.6+((10-C41)/(10-5))*(0.95-0.6)))</f>
        <v>0.6</v>
      </c>
      <c r="E41" s="45" t="n">
        <f aca="false">IF(C41&lt;=1_DATOS!C5,1-(1-D41*2_CÁLCULOS!C38)^1_DATOS!C35,0)</f>
        <v>0</v>
      </c>
      <c r="F41" s="45" t="n">
        <f aca="false">IF(C41&lt;=1_DATOS!C7,1-(1-D41*2_CÁLCULOS!E38)^1_DATOS!C36,0)</f>
        <v>0</v>
      </c>
      <c r="G41" s="46" t="n">
        <f aca="false">1-(1-E41)*(1-F41)</f>
        <v>0</v>
      </c>
      <c r="H41" s="47" t="str">
        <f aca="false">IF(G41&gt;0.5,"SÍ","NO")</f>
        <v>NO</v>
      </c>
      <c r="I41" s="47" t="str">
        <f aca="false">IF(G41&gt;0.5,"NO","POSIBLE")</f>
        <v>POSIBLE</v>
      </c>
    </row>
    <row r="42" customFormat="false" ht="13.5" hidden="false" customHeight="true" outlineLevel="0" collapsed="false">
      <c r="B42" s="43" t="s">
        <v>173</v>
      </c>
      <c r="C42" s="44" t="n">
        <f aca="false">RANDBETWEEN(1,INT(1_DATOS!C6))*1</f>
        <v>40</v>
      </c>
      <c r="D42" s="45" t="n">
        <f aca="false">IF(C42&lt;=5,0.95,IF(C42&gt;=10,0.6,0.6+((10-C42)/(10-5))*(0.95-0.6)))</f>
        <v>0.6</v>
      </c>
      <c r="E42" s="45" t="n">
        <f aca="false">IF(C42&lt;=1_DATOS!C5,1-(1-D42*2_CÁLCULOS!C38)^1_DATOS!C35,0)</f>
        <v>0</v>
      </c>
      <c r="F42" s="45" t="n">
        <f aca="false">IF(C42&lt;=1_DATOS!C7,1-(1-D42*2_CÁLCULOS!E38)^1_DATOS!C36,0)</f>
        <v>0</v>
      </c>
      <c r="G42" s="46" t="n">
        <f aca="false">1-(1-E42)*(1-F42)</f>
        <v>0</v>
      </c>
      <c r="H42" s="47" t="str">
        <f aca="false">IF(G42&gt;0.5,"SÍ","NO")</f>
        <v>NO</v>
      </c>
      <c r="I42" s="47" t="str">
        <f aca="false">IF(G42&gt;0.5,"NO","POSIBLE")</f>
        <v>POSIBLE</v>
      </c>
    </row>
    <row r="43" customFormat="false" ht="13.5" hidden="false" customHeight="true" outlineLevel="0" collapsed="false">
      <c r="B43" s="43" t="s">
        <v>174</v>
      </c>
      <c r="C43" s="44" t="n">
        <f aca="false">RANDBETWEEN(1,INT(1_DATOS!C6))*1</f>
        <v>56</v>
      </c>
      <c r="D43" s="45" t="n">
        <f aca="false">IF(C43&lt;=5,0.95,IF(C43&gt;=10,0.6,0.6+((10-C43)/(10-5))*(0.95-0.6)))</f>
        <v>0.6</v>
      </c>
      <c r="E43" s="45" t="n">
        <f aca="false">IF(C43&lt;=1_DATOS!C5,1-(1-D43*2_CÁLCULOS!C38)^1_DATOS!C35,0)</f>
        <v>0</v>
      </c>
      <c r="F43" s="45" t="n">
        <f aca="false">IF(C43&lt;=1_DATOS!C7,1-(1-D43*2_CÁLCULOS!E38)^1_DATOS!C36,0)</f>
        <v>0</v>
      </c>
      <c r="G43" s="46" t="n">
        <f aca="false">1-(1-E43)*(1-F43)</f>
        <v>0</v>
      </c>
      <c r="H43" s="47" t="str">
        <f aca="false">IF(G43&gt;0.5,"SÍ","NO")</f>
        <v>NO</v>
      </c>
      <c r="I43" s="47" t="str">
        <f aca="false">IF(G43&gt;0.5,"NO","POSIBLE")</f>
        <v>POSIBLE</v>
      </c>
    </row>
    <row r="44" customFormat="false" ht="13.5" hidden="false" customHeight="true" outlineLevel="0" collapsed="false">
      <c r="B44" s="43" t="s">
        <v>175</v>
      </c>
      <c r="C44" s="44" t="n">
        <f aca="false">RANDBETWEEN(1,INT(1_DATOS!C6))*1</f>
        <v>40</v>
      </c>
      <c r="D44" s="45" t="n">
        <f aca="false">IF(C44&lt;=5,0.95,IF(C44&gt;=10,0.6,0.6+((10-C44)/(10-5))*(0.95-0.6)))</f>
        <v>0.6</v>
      </c>
      <c r="E44" s="45" t="n">
        <f aca="false">IF(C44&lt;=1_DATOS!C5,1-(1-D44*2_CÁLCULOS!C38)^1_DATOS!C35,0)</f>
        <v>0</v>
      </c>
      <c r="F44" s="45" t="n">
        <f aca="false">IF(C44&lt;=1_DATOS!C7,1-(1-D44*2_CÁLCULOS!E38)^1_DATOS!C36,0)</f>
        <v>0</v>
      </c>
      <c r="G44" s="46" t="n">
        <f aca="false">1-(1-E44)*(1-F44)</f>
        <v>0</v>
      </c>
      <c r="H44" s="47" t="str">
        <f aca="false">IF(G44&gt;0.5,"SÍ","NO")</f>
        <v>NO</v>
      </c>
      <c r="I44" s="47" t="str">
        <f aca="false">IF(G44&gt;0.5,"NO","POSIBLE")</f>
        <v>POSIBLE</v>
      </c>
    </row>
    <row r="45" customFormat="false" ht="13.5" hidden="false" customHeight="true" outlineLevel="0" collapsed="false">
      <c r="B45" s="43" t="s">
        <v>176</v>
      </c>
      <c r="C45" s="44" t="n">
        <f aca="false">RANDBETWEEN(1,INT(1_DATOS!C6))*1</f>
        <v>3</v>
      </c>
      <c r="D45" s="45" t="n">
        <f aca="false">IF(C45&lt;=5,0.95,IF(C45&gt;=10,0.6,0.6+((10-C45)/(10-5))*(0.95-0.6)))</f>
        <v>0.95</v>
      </c>
      <c r="E45" s="45" t="n">
        <f aca="false">IF(C45&lt;=1_DATOS!C5,1-(1-D45*2_CÁLCULOS!C38)^1_DATOS!C35,0)</f>
        <v>0.887775</v>
      </c>
      <c r="F45" s="45" t="n">
        <f aca="false">IF(C45&lt;=1_DATOS!C7,1-(1-D45*2_CÁLCULOS!E38)^1_DATOS!C36,0)</f>
        <v>0.887775</v>
      </c>
      <c r="G45" s="46" t="n">
        <f aca="false">1-(1-E45)*(1-F45)</f>
        <v>0.987405549375</v>
      </c>
      <c r="H45" s="47" t="str">
        <f aca="false">IF(G45&gt;0.5,"SÍ","NO")</f>
        <v>SÍ</v>
      </c>
      <c r="I45" s="47" t="str">
        <f aca="false">IF(G45&gt;0.5,"NO","POSIBLE")</f>
        <v>NO</v>
      </c>
    </row>
    <row r="46" customFormat="false" ht="13.5" hidden="false" customHeight="true" outlineLevel="0" collapsed="false">
      <c r="B46" s="43" t="s">
        <v>177</v>
      </c>
      <c r="C46" s="44" t="n">
        <f aca="false">RANDBETWEEN(1,INT(1_DATOS!C6))*1</f>
        <v>58</v>
      </c>
      <c r="D46" s="45" t="n">
        <f aca="false">IF(C46&lt;=5,0.95,IF(C46&gt;=10,0.6,0.6+((10-C46)/(10-5))*(0.95-0.6)))</f>
        <v>0.6</v>
      </c>
      <c r="E46" s="45" t="n">
        <f aca="false">IF(C46&lt;=1_DATOS!C5,1-(1-D46*2_CÁLCULOS!C38)^1_DATOS!C35,0)</f>
        <v>0</v>
      </c>
      <c r="F46" s="45" t="n">
        <f aca="false">IF(C46&lt;=1_DATOS!C7,1-(1-D46*2_CÁLCULOS!E38)^1_DATOS!C36,0)</f>
        <v>0</v>
      </c>
      <c r="G46" s="46" t="n">
        <f aca="false">1-(1-E46)*(1-F46)</f>
        <v>0</v>
      </c>
      <c r="H46" s="47" t="str">
        <f aca="false">IF(G46&gt;0.5,"SÍ","NO")</f>
        <v>NO</v>
      </c>
      <c r="I46" s="47" t="str">
        <f aca="false">IF(G46&gt;0.5,"NO","POSIBLE")</f>
        <v>POSIBLE</v>
      </c>
    </row>
    <row r="47" customFormat="false" ht="13.5" hidden="false" customHeight="true" outlineLevel="0" collapsed="false">
      <c r="B47" s="43" t="s">
        <v>178</v>
      </c>
      <c r="C47" s="44" t="n">
        <f aca="false">RANDBETWEEN(1,INT(1_DATOS!C6))*1</f>
        <v>5</v>
      </c>
      <c r="D47" s="45" t="n">
        <f aca="false">IF(C47&lt;=5,0.95,IF(C47&gt;=10,0.6,0.6+((10-C47)/(10-5))*(0.95-0.6)))</f>
        <v>0.95</v>
      </c>
      <c r="E47" s="45" t="n">
        <f aca="false">IF(C47&lt;=1_DATOS!C5,1-(1-D47*2_CÁLCULOS!C38)^1_DATOS!C35,0)</f>
        <v>0.887775</v>
      </c>
      <c r="F47" s="45" t="n">
        <f aca="false">IF(C47&lt;=1_DATOS!C7,1-(1-D47*2_CÁLCULOS!E38)^1_DATOS!C36,0)</f>
        <v>0.887775</v>
      </c>
      <c r="G47" s="46" t="n">
        <f aca="false">1-(1-E47)*(1-F47)</f>
        <v>0.987405549375</v>
      </c>
      <c r="H47" s="47" t="str">
        <f aca="false">IF(G47&gt;0.5,"SÍ","NO")</f>
        <v>SÍ</v>
      </c>
      <c r="I47" s="47" t="str">
        <f aca="false">IF(G47&gt;0.5,"NO","POSIBLE")</f>
        <v>NO</v>
      </c>
    </row>
    <row r="48" customFormat="false" ht="13.5" hidden="false" customHeight="true" outlineLevel="0" collapsed="false">
      <c r="B48" s="43" t="s">
        <v>179</v>
      </c>
      <c r="C48" s="44" t="n">
        <f aca="false">RANDBETWEEN(1,INT(1_DATOS!C6))*1</f>
        <v>2</v>
      </c>
      <c r="D48" s="45" t="n">
        <f aca="false">IF(C48&lt;=5,0.95,IF(C48&gt;=10,0.6,0.6+((10-C48)/(10-5))*(0.95-0.6)))</f>
        <v>0.95</v>
      </c>
      <c r="E48" s="45" t="n">
        <f aca="false">IF(C48&lt;=1_DATOS!C5,1-(1-D48*2_CÁLCULOS!C38)^1_DATOS!C35,0)</f>
        <v>0.887775</v>
      </c>
      <c r="F48" s="45" t="n">
        <f aca="false">IF(C48&lt;=1_DATOS!C7,1-(1-D48*2_CÁLCULOS!E38)^1_DATOS!C36,0)</f>
        <v>0.887775</v>
      </c>
      <c r="G48" s="46" t="n">
        <f aca="false">1-(1-E48)*(1-F48)</f>
        <v>0.987405549375</v>
      </c>
      <c r="H48" s="47" t="str">
        <f aca="false">IF(G48&gt;0.5,"SÍ","NO")</f>
        <v>SÍ</v>
      </c>
      <c r="I48" s="47" t="str">
        <f aca="false">IF(G48&gt;0.5,"NO","POSIBLE")</f>
        <v>NO</v>
      </c>
    </row>
    <row r="49" customFormat="false" ht="13.5" hidden="false" customHeight="true" outlineLevel="0" collapsed="false">
      <c r="B49" s="43" t="s">
        <v>180</v>
      </c>
      <c r="C49" s="44" t="n">
        <f aca="false">RANDBETWEEN(1,INT(1_DATOS!C6))*1</f>
        <v>44</v>
      </c>
      <c r="D49" s="45" t="n">
        <f aca="false">IF(C49&lt;=5,0.95,IF(C49&gt;=10,0.6,0.6+((10-C49)/(10-5))*(0.95-0.6)))</f>
        <v>0.6</v>
      </c>
      <c r="E49" s="45" t="n">
        <f aca="false">IF(C49&lt;=1_DATOS!C5,1-(1-D49*2_CÁLCULOS!C38)^1_DATOS!C35,0)</f>
        <v>0</v>
      </c>
      <c r="F49" s="45" t="n">
        <f aca="false">IF(C49&lt;=1_DATOS!C7,1-(1-D49*2_CÁLCULOS!E38)^1_DATOS!C36,0)</f>
        <v>0</v>
      </c>
      <c r="G49" s="46" t="n">
        <f aca="false">1-(1-E49)*(1-F49)</f>
        <v>0</v>
      </c>
      <c r="H49" s="47" t="str">
        <f aca="false">IF(G49&gt;0.5,"SÍ","NO")</f>
        <v>NO</v>
      </c>
      <c r="I49" s="47" t="str">
        <f aca="false">IF(G49&gt;0.5,"NO","POSIBLE")</f>
        <v>POSIBLE</v>
      </c>
    </row>
    <row r="50" customFormat="false" ht="13.5" hidden="false" customHeight="true" outlineLevel="0" collapsed="false">
      <c r="B50" s="43" t="s">
        <v>181</v>
      </c>
      <c r="C50" s="44" t="n">
        <f aca="false">RANDBETWEEN(1,INT(1_DATOS!C6))*1</f>
        <v>48</v>
      </c>
      <c r="D50" s="45" t="n">
        <f aca="false">IF(C50&lt;=5,0.95,IF(C50&gt;=10,0.6,0.6+((10-C50)/(10-5))*(0.95-0.6)))</f>
        <v>0.6</v>
      </c>
      <c r="E50" s="45" t="n">
        <f aca="false">IF(C50&lt;=1_DATOS!C5,1-(1-D50*2_CÁLCULOS!C38)^1_DATOS!C35,0)</f>
        <v>0</v>
      </c>
      <c r="F50" s="45" t="n">
        <f aca="false">IF(C50&lt;=1_DATOS!C7,1-(1-D50*2_CÁLCULOS!E38)^1_DATOS!C36,0)</f>
        <v>0</v>
      </c>
      <c r="G50" s="46" t="n">
        <f aca="false">1-(1-E50)*(1-F50)</f>
        <v>0</v>
      </c>
      <c r="H50" s="47" t="str">
        <f aca="false">IF(G50&gt;0.5,"SÍ","NO")</f>
        <v>NO</v>
      </c>
      <c r="I50" s="47" t="str">
        <f aca="false">IF(G50&gt;0.5,"NO","POSIBLE")</f>
        <v>POSIBLE</v>
      </c>
    </row>
    <row r="51" customFormat="false" ht="13.5" hidden="false" customHeight="true" outlineLevel="0" collapsed="false">
      <c r="B51" s="43" t="s">
        <v>182</v>
      </c>
      <c r="C51" s="44" t="n">
        <f aca="false">RANDBETWEEN(1,INT(1_DATOS!C6))*1</f>
        <v>36</v>
      </c>
      <c r="D51" s="45" t="n">
        <f aca="false">IF(C51&lt;=5,0.95,IF(C51&gt;=10,0.6,0.6+((10-C51)/(10-5))*(0.95-0.6)))</f>
        <v>0.6</v>
      </c>
      <c r="E51" s="45" t="n">
        <f aca="false">IF(C51&lt;=1_DATOS!C5,1-(1-D51*2_CÁLCULOS!C38)^1_DATOS!C35,0)</f>
        <v>0</v>
      </c>
      <c r="F51" s="45" t="n">
        <f aca="false">IF(C51&lt;=1_DATOS!C7,1-(1-D51*2_CÁLCULOS!E38)^1_DATOS!C36,0)</f>
        <v>0</v>
      </c>
      <c r="G51" s="46" t="n">
        <f aca="false">1-(1-E51)*(1-F51)</f>
        <v>0</v>
      </c>
      <c r="H51" s="47" t="str">
        <f aca="false">IF(G51&gt;0.5,"SÍ","NO")</f>
        <v>NO</v>
      </c>
      <c r="I51" s="47" t="str">
        <f aca="false">IF(G51&gt;0.5,"NO","POSIBLE")</f>
        <v>POSIBLE</v>
      </c>
    </row>
    <row r="52" customFormat="false" ht="13.5" hidden="false" customHeight="true" outlineLevel="0" collapsed="false">
      <c r="B52" s="43" t="s">
        <v>183</v>
      </c>
      <c r="C52" s="44" t="n">
        <f aca="false">RANDBETWEEN(1,INT(1_DATOS!C6))*1</f>
        <v>52</v>
      </c>
      <c r="D52" s="45" t="n">
        <f aca="false">IF(C52&lt;=5,0.95,IF(C52&gt;=10,0.6,0.6+((10-C52)/(10-5))*(0.95-0.6)))</f>
        <v>0.6</v>
      </c>
      <c r="E52" s="45" t="n">
        <f aca="false">IF(C52&lt;=1_DATOS!C5,1-(1-D52*2_CÁLCULOS!C38)^1_DATOS!C35,0)</f>
        <v>0</v>
      </c>
      <c r="F52" s="45" t="n">
        <f aca="false">IF(C52&lt;=1_DATOS!C7,1-(1-D52*2_CÁLCULOS!E38)^1_DATOS!C36,0)</f>
        <v>0</v>
      </c>
      <c r="G52" s="46" t="n">
        <f aca="false">1-(1-E52)*(1-F52)</f>
        <v>0</v>
      </c>
      <c r="H52" s="47" t="str">
        <f aca="false">IF(G52&gt;0.5,"SÍ","NO")</f>
        <v>NO</v>
      </c>
      <c r="I52" s="47" t="str">
        <f aca="false">IF(G52&gt;0.5,"NO","POSIBLE")</f>
        <v>POSIBLE</v>
      </c>
    </row>
    <row r="53" customFormat="false" ht="13.5" hidden="false" customHeight="true" outlineLevel="0" collapsed="false">
      <c r="B53" s="43" t="s">
        <v>184</v>
      </c>
      <c r="C53" s="44" t="n">
        <f aca="false">RANDBETWEEN(1,INT(1_DATOS!C6))*1</f>
        <v>42</v>
      </c>
      <c r="D53" s="45" t="n">
        <f aca="false">IF(C53&lt;=5,0.95,IF(C53&gt;=10,0.6,0.6+((10-C53)/(10-5))*(0.95-0.6)))</f>
        <v>0.6</v>
      </c>
      <c r="E53" s="45" t="n">
        <f aca="false">IF(C53&lt;=1_DATOS!C5,1-(1-D53*2_CÁLCULOS!C38)^1_DATOS!C35,0)</f>
        <v>0</v>
      </c>
      <c r="F53" s="45" t="n">
        <f aca="false">IF(C53&lt;=1_DATOS!C7,1-(1-D53*2_CÁLCULOS!E38)^1_DATOS!C36,0)</f>
        <v>0</v>
      </c>
      <c r="G53" s="46" t="n">
        <f aca="false">1-(1-E53)*(1-F53)</f>
        <v>0</v>
      </c>
      <c r="H53" s="47" t="str">
        <f aca="false">IF(G53&gt;0.5,"SÍ","NO")</f>
        <v>NO</v>
      </c>
      <c r="I53" s="47" t="str">
        <f aca="false">IF(G53&gt;0.5,"NO","POSIBLE")</f>
        <v>POSIBLE</v>
      </c>
    </row>
    <row r="54" customFormat="false" ht="13.5" hidden="false" customHeight="true" outlineLevel="0" collapsed="false">
      <c r="B54" s="43" t="s">
        <v>185</v>
      </c>
      <c r="C54" s="44" t="n">
        <f aca="false">RANDBETWEEN(1,INT(1_DATOS!C6))*1</f>
        <v>31</v>
      </c>
      <c r="D54" s="45" t="n">
        <f aca="false">IF(C54&lt;=5,0.95,IF(C54&gt;=10,0.6,0.6+((10-C54)/(10-5))*(0.95-0.6)))</f>
        <v>0.6</v>
      </c>
      <c r="E54" s="45" t="n">
        <f aca="false">IF(C54&lt;=1_DATOS!C5,1-(1-D54*2_CÁLCULOS!C38)^1_DATOS!C35,0)</f>
        <v>0</v>
      </c>
      <c r="F54" s="45" t="n">
        <f aca="false">IF(C54&lt;=1_DATOS!C7,1-(1-D54*2_CÁLCULOS!E38)^1_DATOS!C36,0)</f>
        <v>0</v>
      </c>
      <c r="G54" s="46" t="n">
        <f aca="false">1-(1-E54)*(1-F54)</f>
        <v>0</v>
      </c>
      <c r="H54" s="47" t="str">
        <f aca="false">IF(G54&gt;0.5,"SÍ","NO")</f>
        <v>NO</v>
      </c>
      <c r="I54" s="47" t="str">
        <f aca="false">IF(G54&gt;0.5,"NO","POSIBLE")</f>
        <v>POSIBLE</v>
      </c>
    </row>
    <row r="56" customFormat="false" ht="21.75" hidden="false" customHeight="true" outlineLevel="0" collapsed="false">
      <c r="B56" s="48" t="s">
        <v>186</v>
      </c>
      <c r="C56" s="48"/>
      <c r="D56" s="48"/>
      <c r="E56" s="48"/>
      <c r="F56" s="48"/>
      <c r="G56" s="48"/>
      <c r="H56" s="48"/>
      <c r="I56" s="48"/>
    </row>
    <row r="57" customFormat="false" ht="18" hidden="false" customHeight="true" outlineLevel="0" collapsed="false">
      <c r="B57" s="49" t="s">
        <v>187</v>
      </c>
      <c r="C57" s="8"/>
      <c r="D57" s="8"/>
      <c r="E57" s="8"/>
      <c r="F57" s="8"/>
      <c r="G57" s="50" t="n">
        <f aca="false">AVERAGE(G5:G54)</f>
        <v>0.35425030788014</v>
      </c>
    </row>
    <row r="58" customFormat="false" ht="18" hidden="false" customHeight="true" outlineLevel="0" collapsed="false">
      <c r="B58" s="49" t="s">
        <v>188</v>
      </c>
      <c r="C58" s="8"/>
      <c r="D58" s="8"/>
      <c r="E58" s="8"/>
      <c r="F58" s="8"/>
      <c r="G58" s="50" t="n">
        <f aca="false">MAX(G5:G54)</f>
        <v>0.987405549375</v>
      </c>
    </row>
    <row r="59" customFormat="false" ht="18" hidden="false" customHeight="true" outlineLevel="0" collapsed="false">
      <c r="B59" s="49" t="s">
        <v>189</v>
      </c>
      <c r="C59" s="8"/>
      <c r="D59" s="8"/>
      <c r="E59" s="8"/>
      <c r="F59" s="8"/>
      <c r="G59" s="50" t="n">
        <f aca="false">MIN(G5:G54)</f>
        <v>0</v>
      </c>
    </row>
    <row r="60" customFormat="false" ht="18" hidden="false" customHeight="true" outlineLevel="0" collapsed="false">
      <c r="B60" s="49" t="s">
        <v>190</v>
      </c>
      <c r="C60" s="8"/>
      <c r="D60" s="8"/>
      <c r="E60" s="8"/>
      <c r="F60" s="8"/>
      <c r="G60" s="51" t="n">
        <f aca="false">COUNTIF(H5:H54,"SÍ")</f>
        <v>21</v>
      </c>
    </row>
    <row r="61" customFormat="false" ht="18" hidden="false" customHeight="true" outlineLevel="0" collapsed="false">
      <c r="B61" s="49" t="s">
        <v>191</v>
      </c>
      <c r="C61" s="8"/>
      <c r="D61" s="8"/>
      <c r="E61" s="8"/>
      <c r="F61" s="8"/>
      <c r="G61" s="50" t="n">
        <f aca="false">COUNTIF(H5:H54,"SÍ")/50</f>
        <v>0.42</v>
      </c>
    </row>
    <row r="62" customFormat="false" ht="18" hidden="false" customHeight="true" outlineLevel="0" collapsed="false">
      <c r="B62" s="49" t="s">
        <v>192</v>
      </c>
      <c r="C62" s="8"/>
      <c r="D62" s="8"/>
      <c r="E62" s="8"/>
      <c r="F62" s="8"/>
      <c r="G62" s="51" t="n">
        <f aca="false">COUNTIF(I5:I54,"POSIBLE")</f>
        <v>29</v>
      </c>
    </row>
  </sheetData>
  <mergeCells count="3">
    <mergeCell ref="B1:I1"/>
    <mergeCell ref="B2:I2"/>
    <mergeCell ref="B56:I5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K4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11" min="2" style="1" width="16"/>
    <col collapsed="false" customWidth="true" hidden="false" outlineLevel="0" max="12" min="12" style="1" width="3"/>
  </cols>
  <sheetData>
    <row r="1" customFormat="false" ht="31.5" hidden="false" customHeight="true" outlineLevel="0" collapsed="false">
      <c r="B1" s="52" t="s">
        <v>193</v>
      </c>
      <c r="C1" s="52"/>
      <c r="D1" s="52"/>
      <c r="E1" s="52"/>
      <c r="F1" s="52"/>
      <c r="G1" s="52"/>
      <c r="H1" s="52"/>
      <c r="I1" s="52"/>
      <c r="J1" s="52"/>
      <c r="K1" s="52"/>
    </row>
    <row r="2" customFormat="false" ht="21.75" hidden="false" customHeight="true" outlineLevel="0" collapsed="false">
      <c r="B2" s="41" t="s">
        <v>194</v>
      </c>
      <c r="C2" s="41"/>
      <c r="D2" s="41"/>
      <c r="E2" s="41"/>
      <c r="F2" s="41"/>
      <c r="G2" s="41"/>
      <c r="H2" s="41"/>
      <c r="I2" s="41"/>
      <c r="J2" s="41"/>
      <c r="K2" s="41"/>
    </row>
    <row r="4" customFormat="false" ht="18" hidden="false" customHeight="true" outlineLevel="0" collapsed="false">
      <c r="B4" s="53" t="s">
        <v>195</v>
      </c>
      <c r="C4" s="54" t="s">
        <v>196</v>
      </c>
      <c r="E4" s="55" t="s">
        <v>197</v>
      </c>
      <c r="G4" s="56" t="s">
        <v>198</v>
      </c>
      <c r="I4" s="57" t="s">
        <v>199</v>
      </c>
      <c r="K4" s="54" t="s">
        <v>200</v>
      </c>
    </row>
    <row r="5" customFormat="false" ht="15" hidden="false" customHeight="true" outlineLevel="0" collapsed="false">
      <c r="B5" s="58" t="s">
        <v>201</v>
      </c>
      <c r="C5" s="59" t="s">
        <v>202</v>
      </c>
      <c r="D5" s="59" t="s">
        <v>203</v>
      </c>
      <c r="E5" s="59" t="s">
        <v>202</v>
      </c>
      <c r="F5" s="59" t="s">
        <v>203</v>
      </c>
      <c r="G5" s="59" t="s">
        <v>202</v>
      </c>
      <c r="H5" s="59" t="s">
        <v>203</v>
      </c>
      <c r="I5" s="59" t="s">
        <v>204</v>
      </c>
      <c r="J5" s="59" t="s">
        <v>205</v>
      </c>
      <c r="K5" s="59" t="s">
        <v>206</v>
      </c>
    </row>
    <row r="6" customFormat="false" ht="12" hidden="false" customHeight="true" outlineLevel="0" collapsed="false">
      <c r="B6" s="60" t="s">
        <v>207</v>
      </c>
      <c r="C6" s="61" t="n">
        <f aca="false">500*SIN(RADIANS(0))</f>
        <v>0</v>
      </c>
      <c r="D6" s="61" t="n">
        <f aca="false">500*COS(RADIANS(0))</f>
        <v>500</v>
      </c>
      <c r="E6" s="61" t="n">
        <f aca="false">2000*SIN(RADIANS(0))</f>
        <v>0</v>
      </c>
      <c r="F6" s="61" t="n">
        <f aca="false">2000*COS(RADIANS(0))</f>
        <v>2000</v>
      </c>
      <c r="G6" s="61" t="n">
        <f aca="false">5000*SIN(RADIANS(0))</f>
        <v>0</v>
      </c>
      <c r="H6" s="61" t="n">
        <f aca="false">5000*COS(RADIANS(0))</f>
        <v>5000</v>
      </c>
      <c r="I6" s="61" t="n">
        <f aca="false">1_DATOS!C30*SIN(RADIANS(0)+1_DATOS!C31*PI()/180)</f>
        <v>4.28626379701574E-013</v>
      </c>
      <c r="J6" s="61" t="n">
        <f aca="false">1_DATOS!C30*COS(RADIANS(0)+1_DATOS!C31*PI()/180)</f>
        <v>-3500</v>
      </c>
      <c r="K6" s="61" t="n">
        <f aca="false">1_DATOS!C32*SIN(RADIANS(0)+1_DATOS!C33*PI()/180)</f>
        <v>-883.883476483184</v>
      </c>
    </row>
    <row r="7" customFormat="false" ht="12" hidden="false" customHeight="true" outlineLevel="0" collapsed="false">
      <c r="B7" s="60" t="s">
        <v>208</v>
      </c>
      <c r="C7" s="61" t="n">
        <f aca="false">500*SIN(RADIANS(10))</f>
        <v>86.8240888334652</v>
      </c>
      <c r="D7" s="61" t="n">
        <f aca="false">500*COS(RADIANS(10))</f>
        <v>492.403876506104</v>
      </c>
      <c r="E7" s="61" t="n">
        <f aca="false">2000*SIN(RADIANS(10))</f>
        <v>347.296355333861</v>
      </c>
      <c r="F7" s="61" t="n">
        <f aca="false">2000*COS(RADIANS(10))</f>
        <v>1969.61550602442</v>
      </c>
      <c r="G7" s="61" t="n">
        <f aca="false">5000*SIN(RADIANS(10))</f>
        <v>868.240888334652</v>
      </c>
      <c r="H7" s="61" t="n">
        <f aca="false">5000*COS(RADIANS(10))</f>
        <v>4924.03876506104</v>
      </c>
      <c r="I7" s="61" t="n">
        <f aca="false">1_DATOS!C30*SIN(RADIANS(10)+1_DATOS!C31*PI()/180)</f>
        <v>-607.768621834255</v>
      </c>
      <c r="J7" s="61" t="n">
        <f aca="false">1_DATOS!C30*COS(RADIANS(10)+1_DATOS!C31*PI()/180)</f>
        <v>-3446.82713554273</v>
      </c>
      <c r="K7" s="61" t="n">
        <f aca="false">1_DATOS!C32*SIN(RADIANS(10)+1_DATOS!C33*PI()/180)</f>
        <v>-1023.94005536124</v>
      </c>
    </row>
    <row r="8" customFormat="false" ht="12" hidden="false" customHeight="true" outlineLevel="0" collapsed="false">
      <c r="B8" s="60" t="s">
        <v>209</v>
      </c>
      <c r="C8" s="61" t="n">
        <f aca="false">500*SIN(RADIANS(20))</f>
        <v>171.010071662834</v>
      </c>
      <c r="D8" s="61" t="n">
        <f aca="false">500*COS(RADIANS(20))</f>
        <v>469.846310392954</v>
      </c>
      <c r="E8" s="61" t="n">
        <f aca="false">2000*SIN(RADIANS(20))</f>
        <v>684.040286651337</v>
      </c>
      <c r="F8" s="61" t="n">
        <f aca="false">2000*COS(RADIANS(20))</f>
        <v>1879.38524157182</v>
      </c>
      <c r="G8" s="61" t="n">
        <f aca="false">5000*SIN(RADIANS(20))</f>
        <v>1710.10071662834</v>
      </c>
      <c r="H8" s="61" t="n">
        <f aca="false">5000*COS(RADIANS(20))</f>
        <v>4698.46310392954</v>
      </c>
      <c r="I8" s="61" t="n">
        <f aca="false">1_DATOS!C30*SIN(RADIANS(20)+1_DATOS!C31*PI()/180)</f>
        <v>-1197.07050163984</v>
      </c>
      <c r="J8" s="61" t="n">
        <f aca="false">1_DATOS!C30*COS(RADIANS(20)+1_DATOS!C31*PI()/180)</f>
        <v>-3288.92417275068</v>
      </c>
      <c r="K8" s="61" t="n">
        <f aca="false">1_DATOS!C32*SIN(RADIANS(20)+1_DATOS!C33*PI()/180)</f>
        <v>-1132.88473379581</v>
      </c>
    </row>
    <row r="9" customFormat="false" ht="12" hidden="false" customHeight="true" outlineLevel="0" collapsed="false">
      <c r="B9" s="60" t="s">
        <v>210</v>
      </c>
      <c r="C9" s="61" t="n">
        <f aca="false">500*SIN(RADIANS(30))</f>
        <v>250</v>
      </c>
      <c r="D9" s="61" t="n">
        <f aca="false">500*COS(RADIANS(30))</f>
        <v>433.012701892219</v>
      </c>
      <c r="E9" s="61" t="n">
        <f aca="false">2000*SIN(RADIANS(30))</f>
        <v>1000</v>
      </c>
      <c r="F9" s="61" t="n">
        <f aca="false">2000*COS(RADIANS(30))</f>
        <v>1732.05080756888</v>
      </c>
      <c r="G9" s="61" t="n">
        <f aca="false">5000*SIN(RADIANS(30))</f>
        <v>2500</v>
      </c>
      <c r="H9" s="61" t="n">
        <f aca="false">5000*COS(RADIANS(30))</f>
        <v>4330.12701892219</v>
      </c>
      <c r="I9" s="61" t="n">
        <f aca="false">1_DATOS!C30*SIN(RADIANS(30)+1_DATOS!C31*PI()/180)</f>
        <v>-1750</v>
      </c>
      <c r="J9" s="61" t="n">
        <f aca="false">1_DATOS!C30*COS(RADIANS(30)+1_DATOS!C31*PI()/180)</f>
        <v>-3031.08891324554</v>
      </c>
      <c r="K9" s="61" t="n">
        <f aca="false">1_DATOS!C32*SIN(RADIANS(30)+1_DATOS!C33*PI()/180)</f>
        <v>-1207.40728286134</v>
      </c>
    </row>
    <row r="10" customFormat="false" ht="12" hidden="false" customHeight="true" outlineLevel="0" collapsed="false">
      <c r="B10" s="60" t="s">
        <v>211</v>
      </c>
      <c r="C10" s="61" t="n">
        <f aca="false">500*SIN(RADIANS(40))</f>
        <v>321.39380484327</v>
      </c>
      <c r="D10" s="61" t="n">
        <f aca="false">500*COS(RADIANS(40))</f>
        <v>383.022221559489</v>
      </c>
      <c r="E10" s="61" t="n">
        <f aca="false">2000*SIN(RADIANS(40))</f>
        <v>1285.57521937308</v>
      </c>
      <c r="F10" s="61" t="n">
        <f aca="false">2000*COS(RADIANS(40))</f>
        <v>1532.08888623796</v>
      </c>
      <c r="G10" s="61" t="n">
        <f aca="false">5000*SIN(RADIANS(40))</f>
        <v>3213.9380484327</v>
      </c>
      <c r="H10" s="61" t="n">
        <f aca="false">5000*COS(RADIANS(40))</f>
        <v>3830.22221559489</v>
      </c>
      <c r="I10" s="61" t="n">
        <f aca="false">1_DATOS!C30*SIN(RADIANS(40)+1_DATOS!C31*PI()/180)</f>
        <v>-2249.75663390289</v>
      </c>
      <c r="J10" s="61" t="n">
        <f aca="false">1_DATOS!C30*COS(RADIANS(40)+1_DATOS!C31*PI()/180)</f>
        <v>-2681.15555091642</v>
      </c>
      <c r="K10" s="61" t="n">
        <f aca="false">1_DATOS!C32*SIN(RADIANS(40)+1_DATOS!C33*PI()/180)</f>
        <v>-1245.24337261468</v>
      </c>
    </row>
    <row r="11" customFormat="false" ht="12" hidden="false" customHeight="true" outlineLevel="0" collapsed="false">
      <c r="B11" s="60" t="s">
        <v>212</v>
      </c>
      <c r="C11" s="61" t="n">
        <f aca="false">500*SIN(RADIANS(50))</f>
        <v>383.022221559489</v>
      </c>
      <c r="D11" s="61" t="n">
        <f aca="false">500*COS(RADIANS(50))</f>
        <v>321.39380484327</v>
      </c>
      <c r="E11" s="61" t="n">
        <f aca="false">2000*SIN(RADIANS(50))</f>
        <v>1532.08888623796</v>
      </c>
      <c r="F11" s="61" t="n">
        <f aca="false">2000*COS(RADIANS(50))</f>
        <v>1285.57521937308</v>
      </c>
      <c r="G11" s="61" t="n">
        <f aca="false">5000*SIN(RADIANS(50))</f>
        <v>3830.22221559489</v>
      </c>
      <c r="H11" s="61" t="n">
        <f aca="false">5000*COS(RADIANS(50))</f>
        <v>3213.9380484327</v>
      </c>
      <c r="I11" s="61" t="n">
        <f aca="false">1_DATOS!C30*SIN(RADIANS(50)+1_DATOS!C31*PI()/180)</f>
        <v>-2681.15555091642</v>
      </c>
      <c r="J11" s="61" t="n">
        <f aca="false">1_DATOS!C30*COS(RADIANS(50)+1_DATOS!C31*PI()/180)</f>
        <v>-2249.75663390289</v>
      </c>
      <c r="K11" s="61" t="n">
        <f aca="false">1_DATOS!C32*SIN(RADIANS(50)+1_DATOS!C33*PI()/180)</f>
        <v>-1245.24337261468</v>
      </c>
    </row>
    <row r="12" customFormat="false" ht="12" hidden="false" customHeight="true" outlineLevel="0" collapsed="false">
      <c r="B12" s="60" t="s">
        <v>213</v>
      </c>
      <c r="C12" s="61" t="n">
        <f aca="false">500*SIN(RADIANS(60))</f>
        <v>433.012701892219</v>
      </c>
      <c r="D12" s="61" t="n">
        <f aca="false">500*COS(RADIANS(60))</f>
        <v>250</v>
      </c>
      <c r="E12" s="61" t="n">
        <f aca="false">2000*SIN(RADIANS(60))</f>
        <v>1732.05080756888</v>
      </c>
      <c r="F12" s="61" t="n">
        <f aca="false">2000*COS(RADIANS(60))</f>
        <v>1000</v>
      </c>
      <c r="G12" s="61" t="n">
        <f aca="false">5000*SIN(RADIANS(60))</f>
        <v>4330.12701892219</v>
      </c>
      <c r="H12" s="61" t="n">
        <f aca="false">5000*COS(RADIANS(60))</f>
        <v>2500</v>
      </c>
      <c r="I12" s="61" t="n">
        <f aca="false">1_DATOS!C30*SIN(RADIANS(60)+1_DATOS!C31*PI()/180)</f>
        <v>-3031.08891324553</v>
      </c>
      <c r="J12" s="61" t="n">
        <f aca="false">1_DATOS!C30*COS(RADIANS(60)+1_DATOS!C31*PI()/180)</f>
        <v>-1750</v>
      </c>
      <c r="K12" s="61" t="n">
        <f aca="false">1_DATOS!C32*SIN(RADIANS(60)+1_DATOS!C33*PI()/180)</f>
        <v>-1207.40728286134</v>
      </c>
    </row>
    <row r="13" customFormat="false" ht="12" hidden="false" customHeight="true" outlineLevel="0" collapsed="false">
      <c r="B13" s="60" t="s">
        <v>214</v>
      </c>
      <c r="C13" s="61" t="n">
        <f aca="false">500*SIN(RADIANS(70))</f>
        <v>469.846310392954</v>
      </c>
      <c r="D13" s="61" t="n">
        <f aca="false">500*COS(RADIANS(70))</f>
        <v>171.010071662834</v>
      </c>
      <c r="E13" s="61" t="n">
        <f aca="false">2000*SIN(RADIANS(70))</f>
        <v>1879.38524157182</v>
      </c>
      <c r="F13" s="61" t="n">
        <f aca="false">2000*COS(RADIANS(70))</f>
        <v>684.040286651338</v>
      </c>
      <c r="G13" s="61" t="n">
        <f aca="false">5000*SIN(RADIANS(70))</f>
        <v>4698.46310392954</v>
      </c>
      <c r="H13" s="61" t="n">
        <f aca="false">5000*COS(RADIANS(70))</f>
        <v>1710.10071662834</v>
      </c>
      <c r="I13" s="61" t="n">
        <f aca="false">1_DATOS!C30*SIN(RADIANS(70)+1_DATOS!C31*PI()/180)</f>
        <v>-3288.92417275068</v>
      </c>
      <c r="J13" s="61" t="n">
        <f aca="false">1_DATOS!C30*COS(RADIANS(70)+1_DATOS!C31*PI()/180)</f>
        <v>-1197.07050163984</v>
      </c>
      <c r="K13" s="61" t="n">
        <f aca="false">1_DATOS!C32*SIN(RADIANS(70)+1_DATOS!C33*PI()/180)</f>
        <v>-1132.88473379581</v>
      </c>
    </row>
    <row r="14" customFormat="false" ht="12" hidden="false" customHeight="true" outlineLevel="0" collapsed="false">
      <c r="B14" s="60" t="s">
        <v>215</v>
      </c>
      <c r="C14" s="61" t="n">
        <f aca="false">500*SIN(RADIANS(80))</f>
        <v>492.403876506104</v>
      </c>
      <c r="D14" s="61" t="n">
        <f aca="false">500*COS(RADIANS(80))</f>
        <v>86.8240888334652</v>
      </c>
      <c r="E14" s="61" t="n">
        <f aca="false">2000*SIN(RADIANS(80))</f>
        <v>1969.61550602442</v>
      </c>
      <c r="F14" s="61" t="n">
        <f aca="false">2000*COS(RADIANS(80))</f>
        <v>347.296355333861</v>
      </c>
      <c r="G14" s="61" t="n">
        <f aca="false">5000*SIN(RADIANS(80))</f>
        <v>4924.03876506104</v>
      </c>
      <c r="H14" s="61" t="n">
        <f aca="false">5000*COS(RADIANS(80))</f>
        <v>868.240888334652</v>
      </c>
      <c r="I14" s="61" t="n">
        <f aca="false">1_DATOS!C30*SIN(RADIANS(80)+1_DATOS!C31*PI()/180)</f>
        <v>-3446.82713554273</v>
      </c>
      <c r="J14" s="61" t="n">
        <f aca="false">1_DATOS!C30*COS(RADIANS(80)+1_DATOS!C31*PI()/180)</f>
        <v>-607.768621834256</v>
      </c>
      <c r="K14" s="61" t="n">
        <f aca="false">1_DATOS!C32*SIN(RADIANS(80)+1_DATOS!C33*PI()/180)</f>
        <v>-1023.94005536124</v>
      </c>
    </row>
    <row r="15" customFormat="false" ht="12" hidden="false" customHeight="true" outlineLevel="0" collapsed="false">
      <c r="B15" s="60" t="s">
        <v>216</v>
      </c>
      <c r="C15" s="61" t="n">
        <f aca="false">500*SIN(RADIANS(90))</f>
        <v>500</v>
      </c>
      <c r="D15" s="61" t="n">
        <f aca="false">500*COS(RADIANS(90))</f>
        <v>3.06161699786838E-014</v>
      </c>
      <c r="E15" s="61" t="n">
        <f aca="false">2000*SIN(RADIANS(90))</f>
        <v>2000</v>
      </c>
      <c r="F15" s="61" t="n">
        <f aca="false">2000*COS(RADIANS(90))</f>
        <v>1.22464679914735E-013</v>
      </c>
      <c r="G15" s="61" t="n">
        <f aca="false">5000*SIN(RADIANS(90))</f>
        <v>5000</v>
      </c>
      <c r="H15" s="61" t="n">
        <f aca="false">5000*COS(RADIANS(90))</f>
        <v>3.06161699786838E-013</v>
      </c>
      <c r="I15" s="61" t="n">
        <f aca="false">1_DATOS!C30*SIN(RADIANS(90)+1_DATOS!C31*PI()/180)</f>
        <v>-3500</v>
      </c>
      <c r="J15" s="61" t="n">
        <f aca="false">1_DATOS!C30*COS(RADIANS(90)+1_DATOS!C31*PI()/180)</f>
        <v>-6.4293956955236E-013</v>
      </c>
      <c r="K15" s="61" t="n">
        <f aca="false">1_DATOS!C32*SIN(RADIANS(90)+1_DATOS!C33*PI()/180)</f>
        <v>-883.883476483185</v>
      </c>
    </row>
    <row r="16" customFormat="false" ht="12" hidden="false" customHeight="true" outlineLevel="0" collapsed="false">
      <c r="B16" s="60" t="s">
        <v>217</v>
      </c>
      <c r="C16" s="61" t="n">
        <f aca="false">500*SIN(RADIANS(100))</f>
        <v>492.403876506104</v>
      </c>
      <c r="D16" s="61" t="n">
        <f aca="false">500*COS(RADIANS(100))</f>
        <v>-86.8240888334652</v>
      </c>
      <c r="E16" s="61" t="n">
        <f aca="false">2000*SIN(RADIANS(100))</f>
        <v>1969.61550602442</v>
      </c>
      <c r="F16" s="61" t="n">
        <f aca="false">2000*COS(RADIANS(100))</f>
        <v>-347.296355333861</v>
      </c>
      <c r="G16" s="61" t="n">
        <f aca="false">5000*SIN(RADIANS(100))</f>
        <v>4924.03876506104</v>
      </c>
      <c r="H16" s="61" t="n">
        <f aca="false">5000*COS(RADIANS(100))</f>
        <v>-868.240888334652</v>
      </c>
      <c r="I16" s="61" t="n">
        <f aca="false">1_DATOS!C30*SIN(RADIANS(100)+1_DATOS!C31*PI()/180)</f>
        <v>-3446.82713554273</v>
      </c>
      <c r="J16" s="61" t="n">
        <f aca="false">1_DATOS!C30*COS(RADIANS(100)+1_DATOS!C31*PI()/180)</f>
        <v>607.768621834255</v>
      </c>
      <c r="K16" s="61" t="n">
        <f aca="false">1_DATOS!C32*SIN(RADIANS(100)+1_DATOS!C33*PI()/180)</f>
        <v>-716.970545438808</v>
      </c>
    </row>
    <row r="17" customFormat="false" ht="12" hidden="false" customHeight="true" outlineLevel="0" collapsed="false">
      <c r="B17" s="60" t="s">
        <v>218</v>
      </c>
      <c r="C17" s="61" t="n">
        <f aca="false">500*SIN(RADIANS(110))</f>
        <v>469.846310392954</v>
      </c>
      <c r="D17" s="61" t="n">
        <f aca="false">500*COS(RADIANS(110))</f>
        <v>-171.010071662834</v>
      </c>
      <c r="E17" s="61" t="n">
        <f aca="false">2000*SIN(RADIANS(110))</f>
        <v>1879.38524157182</v>
      </c>
      <c r="F17" s="61" t="n">
        <f aca="false">2000*COS(RADIANS(110))</f>
        <v>-684.040286651337</v>
      </c>
      <c r="G17" s="61" t="n">
        <f aca="false">5000*SIN(RADIANS(110))</f>
        <v>4698.46310392954</v>
      </c>
      <c r="H17" s="61" t="n">
        <f aca="false">5000*COS(RADIANS(110))</f>
        <v>-1710.10071662834</v>
      </c>
      <c r="I17" s="61" t="n">
        <f aca="false">1_DATOS!C30*SIN(RADIANS(110)+1_DATOS!C31*PI()/180)</f>
        <v>-3288.92417275068</v>
      </c>
      <c r="J17" s="61" t="n">
        <f aca="false">1_DATOS!C30*COS(RADIANS(110)+1_DATOS!C31*PI()/180)</f>
        <v>1197.07050163984</v>
      </c>
      <c r="K17" s="61" t="n">
        <f aca="false">1_DATOS!C32*SIN(RADIANS(110)+1_DATOS!C33*PI()/180)</f>
        <v>-528.272827175874</v>
      </c>
    </row>
    <row r="18" customFormat="false" ht="12" hidden="false" customHeight="true" outlineLevel="0" collapsed="false">
      <c r="B18" s="60" t="s">
        <v>219</v>
      </c>
      <c r="C18" s="61" t="n">
        <f aca="false">500*SIN(RADIANS(120))</f>
        <v>433.012701892219</v>
      </c>
      <c r="D18" s="61" t="n">
        <f aca="false">500*COS(RADIANS(120))</f>
        <v>-250</v>
      </c>
      <c r="E18" s="61" t="n">
        <f aca="false">2000*SIN(RADIANS(120))</f>
        <v>1732.05080756888</v>
      </c>
      <c r="F18" s="61" t="n">
        <f aca="false">2000*COS(RADIANS(120))</f>
        <v>-1000</v>
      </c>
      <c r="G18" s="61" t="n">
        <f aca="false">5000*SIN(RADIANS(120))</f>
        <v>4330.12701892219</v>
      </c>
      <c r="H18" s="61" t="n">
        <f aca="false">5000*COS(RADIANS(120))</f>
        <v>-2500</v>
      </c>
      <c r="I18" s="61" t="n">
        <f aca="false">1_DATOS!C30*SIN(RADIANS(120)+1_DATOS!C31*PI()/180)</f>
        <v>-3031.08891324554</v>
      </c>
      <c r="J18" s="61" t="n">
        <f aca="false">1_DATOS!C30*COS(RADIANS(120)+1_DATOS!C31*PI()/180)</f>
        <v>1750</v>
      </c>
      <c r="K18" s="61" t="n">
        <f aca="false">1_DATOS!C32*SIN(RADIANS(120)+1_DATOS!C33*PI()/180)</f>
        <v>-323.523806378151</v>
      </c>
    </row>
    <row r="19" customFormat="false" ht="12" hidden="false" customHeight="true" outlineLevel="0" collapsed="false">
      <c r="B19" s="60" t="s">
        <v>220</v>
      </c>
      <c r="C19" s="61" t="n">
        <f aca="false">500*SIN(RADIANS(130))</f>
        <v>383.022221559489</v>
      </c>
      <c r="D19" s="61" t="n">
        <f aca="false">500*COS(RADIANS(130))</f>
        <v>-321.39380484327</v>
      </c>
      <c r="E19" s="61" t="n">
        <f aca="false">2000*SIN(RADIANS(130))</f>
        <v>1532.08888623796</v>
      </c>
      <c r="F19" s="61" t="n">
        <f aca="false">2000*COS(RADIANS(130))</f>
        <v>-1285.57521937308</v>
      </c>
      <c r="G19" s="61" t="n">
        <f aca="false">5000*SIN(RADIANS(130))</f>
        <v>3830.22221559489</v>
      </c>
      <c r="H19" s="61" t="n">
        <f aca="false">5000*COS(RADIANS(130))</f>
        <v>-3213.9380484327</v>
      </c>
      <c r="I19" s="61" t="n">
        <f aca="false">1_DATOS!C30*SIN(RADIANS(130)+1_DATOS!C31*PI()/180)</f>
        <v>-2681.15555091642</v>
      </c>
      <c r="J19" s="61" t="n">
        <f aca="false">1_DATOS!C30*COS(RADIANS(130)+1_DATOS!C31*PI()/180)</f>
        <v>2249.75663390289</v>
      </c>
      <c r="K19" s="61" t="n">
        <f aca="false">1_DATOS!C32*SIN(RADIANS(130)+1_DATOS!C33*PI()/180)</f>
        <v>-108.944678434573</v>
      </c>
    </row>
    <row r="20" customFormat="false" ht="12" hidden="false" customHeight="true" outlineLevel="0" collapsed="false">
      <c r="B20" s="60" t="s">
        <v>221</v>
      </c>
      <c r="C20" s="61" t="n">
        <f aca="false">500*SIN(RADIANS(140))</f>
        <v>321.39380484327</v>
      </c>
      <c r="D20" s="61" t="n">
        <f aca="false">500*COS(RADIANS(140))</f>
        <v>-383.022221559489</v>
      </c>
      <c r="E20" s="61" t="n">
        <f aca="false">2000*SIN(RADIANS(140))</f>
        <v>1285.57521937308</v>
      </c>
      <c r="F20" s="61" t="n">
        <f aca="false">2000*COS(RADIANS(140))</f>
        <v>-1532.08888623796</v>
      </c>
      <c r="G20" s="61" t="n">
        <f aca="false">5000*SIN(RADIANS(140))</f>
        <v>3213.9380484327</v>
      </c>
      <c r="H20" s="61" t="n">
        <f aca="false">5000*COS(RADIANS(140))</f>
        <v>-3830.22221559489</v>
      </c>
      <c r="I20" s="61" t="n">
        <f aca="false">1_DATOS!C30*SIN(RADIANS(140)+1_DATOS!C31*PI()/180)</f>
        <v>-2249.75663390289</v>
      </c>
      <c r="J20" s="61" t="n">
        <f aca="false">1_DATOS!C30*COS(RADIANS(140)+1_DATOS!C31*PI()/180)</f>
        <v>2681.15555091642</v>
      </c>
      <c r="K20" s="61" t="n">
        <f aca="false">1_DATOS!C32*SIN(RADIANS(140)+1_DATOS!C33*PI()/180)</f>
        <v>108.944678434572</v>
      </c>
    </row>
    <row r="21" customFormat="false" ht="12" hidden="false" customHeight="true" outlineLevel="0" collapsed="false">
      <c r="B21" s="60" t="s">
        <v>222</v>
      </c>
      <c r="C21" s="61" t="n">
        <f aca="false">500*SIN(RADIANS(150))</f>
        <v>250</v>
      </c>
      <c r="D21" s="61" t="n">
        <f aca="false">500*COS(RADIANS(150))</f>
        <v>-433.012701892219</v>
      </c>
      <c r="E21" s="61" t="n">
        <f aca="false">2000*SIN(RADIANS(150))</f>
        <v>1000</v>
      </c>
      <c r="F21" s="61" t="n">
        <f aca="false">2000*COS(RADIANS(150))</f>
        <v>-1732.05080756888</v>
      </c>
      <c r="G21" s="61" t="n">
        <f aca="false">5000*SIN(RADIANS(150))</f>
        <v>2500</v>
      </c>
      <c r="H21" s="61" t="n">
        <f aca="false">5000*COS(RADIANS(150))</f>
        <v>-4330.12701892219</v>
      </c>
      <c r="I21" s="61" t="n">
        <f aca="false">1_DATOS!C30*SIN(RADIANS(150)+1_DATOS!C31*PI()/180)</f>
        <v>-1750</v>
      </c>
      <c r="J21" s="61" t="n">
        <f aca="false">1_DATOS!C30*COS(RADIANS(150)+1_DATOS!C31*PI()/180)</f>
        <v>3031.08891324554</v>
      </c>
      <c r="K21" s="61" t="n">
        <f aca="false">1_DATOS!C32*SIN(RADIANS(150)+1_DATOS!C33*PI()/180)</f>
        <v>323.52380637815</v>
      </c>
    </row>
    <row r="22" customFormat="false" ht="12" hidden="false" customHeight="true" outlineLevel="0" collapsed="false">
      <c r="B22" s="60" t="s">
        <v>223</v>
      </c>
      <c r="C22" s="61" t="n">
        <f aca="false">500*SIN(RADIANS(160))</f>
        <v>171.010071662834</v>
      </c>
      <c r="D22" s="61" t="n">
        <f aca="false">500*COS(RADIANS(160))</f>
        <v>-469.846310392954</v>
      </c>
      <c r="E22" s="61" t="n">
        <f aca="false">2000*SIN(RADIANS(160))</f>
        <v>684.040286651338</v>
      </c>
      <c r="F22" s="61" t="n">
        <f aca="false">2000*COS(RADIANS(160))</f>
        <v>-1879.38524157182</v>
      </c>
      <c r="G22" s="61" t="n">
        <f aca="false">5000*SIN(RADIANS(160))</f>
        <v>1710.10071662834</v>
      </c>
      <c r="H22" s="61" t="n">
        <f aca="false">5000*COS(RADIANS(160))</f>
        <v>-4698.46310392954</v>
      </c>
      <c r="I22" s="61" t="n">
        <f aca="false">1_DATOS!C30*SIN(RADIANS(160)+1_DATOS!C31*PI()/180)</f>
        <v>-1197.07050163984</v>
      </c>
      <c r="J22" s="61" t="n">
        <f aca="false">1_DATOS!C30*COS(RADIANS(160)+1_DATOS!C31*PI()/180)</f>
        <v>3288.92417275068</v>
      </c>
      <c r="K22" s="61" t="n">
        <f aca="false">1_DATOS!C32*SIN(RADIANS(160)+1_DATOS!C33*PI()/180)</f>
        <v>528.272827175873</v>
      </c>
    </row>
    <row r="23" customFormat="false" ht="12" hidden="false" customHeight="true" outlineLevel="0" collapsed="false">
      <c r="B23" s="60" t="s">
        <v>224</v>
      </c>
      <c r="C23" s="61" t="n">
        <f aca="false">500*SIN(RADIANS(170))</f>
        <v>86.8240888334653</v>
      </c>
      <c r="D23" s="61" t="n">
        <f aca="false">500*COS(RADIANS(170))</f>
        <v>-492.403876506104</v>
      </c>
      <c r="E23" s="61" t="n">
        <f aca="false">2000*SIN(RADIANS(170))</f>
        <v>347.296355333861</v>
      </c>
      <c r="F23" s="61" t="n">
        <f aca="false">2000*COS(RADIANS(170))</f>
        <v>-1969.61550602442</v>
      </c>
      <c r="G23" s="61" t="n">
        <f aca="false">5000*SIN(RADIANS(170))</f>
        <v>868.240888334654</v>
      </c>
      <c r="H23" s="61" t="n">
        <f aca="false">5000*COS(RADIANS(170))</f>
        <v>-4924.03876506104</v>
      </c>
      <c r="I23" s="61" t="n">
        <f aca="false">1_DATOS!C30*SIN(RADIANS(170)+1_DATOS!C31*PI()/180)</f>
        <v>-607.768621834256</v>
      </c>
      <c r="J23" s="61" t="n">
        <f aca="false">1_DATOS!C30*COS(RADIANS(170)+1_DATOS!C31*PI()/180)</f>
        <v>3446.82713554273</v>
      </c>
      <c r="K23" s="61" t="n">
        <f aca="false">1_DATOS!C32*SIN(RADIANS(170)+1_DATOS!C33*PI()/180)</f>
        <v>716.970545438807</v>
      </c>
    </row>
    <row r="24" customFormat="false" ht="12" hidden="false" customHeight="true" outlineLevel="0" collapsed="false">
      <c r="B24" s="60" t="s">
        <v>225</v>
      </c>
      <c r="C24" s="61" t="n">
        <f aca="false">500*SIN(RADIANS(180))</f>
        <v>6.12323399573677E-014</v>
      </c>
      <c r="D24" s="61" t="n">
        <f aca="false">500*COS(RADIANS(180))</f>
        <v>-500</v>
      </c>
      <c r="E24" s="61" t="n">
        <f aca="false">2000*SIN(RADIANS(180))</f>
        <v>2.44929359829471E-013</v>
      </c>
      <c r="F24" s="61" t="n">
        <f aca="false">2000*COS(RADIANS(180))</f>
        <v>-2000</v>
      </c>
      <c r="G24" s="61" t="n">
        <f aca="false">5000*SIN(RADIANS(180))</f>
        <v>6.12323399573677E-013</v>
      </c>
      <c r="H24" s="61" t="n">
        <f aca="false">5000*COS(RADIANS(180))</f>
        <v>-5000</v>
      </c>
      <c r="I24" s="61" t="n">
        <f aca="false">1_DATOS!C30*SIN(RADIANS(180)+1_DATOS!C31*PI()/180)</f>
        <v>-8.57252759403147E-013</v>
      </c>
      <c r="J24" s="61" t="n">
        <f aca="false">1_DATOS!C30*COS(RADIANS(180)+1_DATOS!C31*PI()/180)</f>
        <v>3500</v>
      </c>
      <c r="K24" s="61" t="n">
        <f aca="false">1_DATOS!C32*SIN(RADIANS(180)+1_DATOS!C33*PI()/180)</f>
        <v>883.883476483184</v>
      </c>
    </row>
    <row r="25" customFormat="false" ht="12" hidden="false" customHeight="true" outlineLevel="0" collapsed="false">
      <c r="B25" s="60" t="s">
        <v>226</v>
      </c>
      <c r="C25" s="61" t="n">
        <f aca="false">500*SIN(RADIANS(190))</f>
        <v>-86.8240888334652</v>
      </c>
      <c r="D25" s="61" t="n">
        <f aca="false">500*COS(RADIANS(190))</f>
        <v>-492.403876506104</v>
      </c>
      <c r="E25" s="61" t="n">
        <f aca="false">2000*SIN(RADIANS(190))</f>
        <v>-347.296355333861</v>
      </c>
      <c r="F25" s="61" t="n">
        <f aca="false">2000*COS(RADIANS(190))</f>
        <v>-1969.61550602442</v>
      </c>
      <c r="G25" s="61" t="n">
        <f aca="false">5000*SIN(RADIANS(190))</f>
        <v>-868.240888334652</v>
      </c>
      <c r="H25" s="61" t="n">
        <f aca="false">5000*COS(RADIANS(190))</f>
        <v>-4924.03876506104</v>
      </c>
      <c r="I25" s="61" t="n">
        <f aca="false">1_DATOS!C30*SIN(RADIANS(190)+1_DATOS!C31*PI()/180)</f>
        <v>607.768621834255</v>
      </c>
      <c r="J25" s="61" t="n">
        <f aca="false">1_DATOS!C30*COS(RADIANS(190)+1_DATOS!C31*PI()/180)</f>
        <v>3446.82713554273</v>
      </c>
      <c r="K25" s="61" t="n">
        <f aca="false">1_DATOS!C32*SIN(RADIANS(190)+1_DATOS!C33*PI()/180)</f>
        <v>1023.94005536124</v>
      </c>
    </row>
    <row r="26" customFormat="false" ht="12" hidden="false" customHeight="true" outlineLevel="0" collapsed="false">
      <c r="B26" s="60" t="s">
        <v>227</v>
      </c>
      <c r="C26" s="61" t="n">
        <f aca="false">500*SIN(RADIANS(200))</f>
        <v>-171.010071662834</v>
      </c>
      <c r="D26" s="61" t="n">
        <f aca="false">500*COS(RADIANS(200))</f>
        <v>-469.846310392954</v>
      </c>
      <c r="E26" s="61" t="n">
        <f aca="false">2000*SIN(RADIANS(200))</f>
        <v>-684.040286651337</v>
      </c>
      <c r="F26" s="61" t="n">
        <f aca="false">2000*COS(RADIANS(200))</f>
        <v>-1879.38524157182</v>
      </c>
      <c r="G26" s="61" t="n">
        <f aca="false">5000*SIN(RADIANS(200))</f>
        <v>-1710.10071662834</v>
      </c>
      <c r="H26" s="61" t="n">
        <f aca="false">5000*COS(RADIANS(200))</f>
        <v>-4698.46310392954</v>
      </c>
      <c r="I26" s="61" t="n">
        <f aca="false">1_DATOS!C30*SIN(RADIANS(200)+1_DATOS!C31*PI()/180)</f>
        <v>1197.07050163984</v>
      </c>
      <c r="J26" s="61" t="n">
        <f aca="false">1_DATOS!C30*COS(RADIANS(200)+1_DATOS!C31*PI()/180)</f>
        <v>3288.92417275068</v>
      </c>
      <c r="K26" s="61" t="n">
        <f aca="false">1_DATOS!C32*SIN(RADIANS(200)+1_DATOS!C33*PI()/180)</f>
        <v>1132.88473379581</v>
      </c>
    </row>
    <row r="27" customFormat="false" ht="12" hidden="false" customHeight="true" outlineLevel="0" collapsed="false">
      <c r="B27" s="60" t="s">
        <v>228</v>
      </c>
      <c r="C27" s="61" t="n">
        <f aca="false">500*SIN(RADIANS(210))</f>
        <v>-250</v>
      </c>
      <c r="D27" s="61" t="n">
        <f aca="false">500*COS(RADIANS(210))</f>
        <v>-433.012701892219</v>
      </c>
      <c r="E27" s="61" t="n">
        <f aca="false">2000*SIN(RADIANS(210))</f>
        <v>-1000</v>
      </c>
      <c r="F27" s="61" t="n">
        <f aca="false">2000*COS(RADIANS(210))</f>
        <v>-1732.05080756888</v>
      </c>
      <c r="G27" s="61" t="n">
        <f aca="false">5000*SIN(RADIANS(210))</f>
        <v>-2500</v>
      </c>
      <c r="H27" s="61" t="n">
        <f aca="false">5000*COS(RADIANS(210))</f>
        <v>-4330.12701892219</v>
      </c>
      <c r="I27" s="61" t="n">
        <f aca="false">1_DATOS!C30*SIN(RADIANS(210)+1_DATOS!C31*PI()/180)</f>
        <v>1750</v>
      </c>
      <c r="J27" s="61" t="n">
        <f aca="false">1_DATOS!C30*COS(RADIANS(210)+1_DATOS!C31*PI()/180)</f>
        <v>3031.08891324554</v>
      </c>
      <c r="K27" s="61" t="n">
        <f aca="false">1_DATOS!C32*SIN(RADIANS(210)+1_DATOS!C33*PI()/180)</f>
        <v>1207.40728286134</v>
      </c>
    </row>
    <row r="28" customFormat="false" ht="12" hidden="false" customHeight="true" outlineLevel="0" collapsed="false">
      <c r="B28" s="60" t="s">
        <v>229</v>
      </c>
      <c r="C28" s="61" t="n">
        <f aca="false">500*SIN(RADIANS(220))</f>
        <v>-321.39380484327</v>
      </c>
      <c r="D28" s="61" t="n">
        <f aca="false">500*COS(RADIANS(220))</f>
        <v>-383.022221559489</v>
      </c>
      <c r="E28" s="61" t="n">
        <f aca="false">2000*SIN(RADIANS(220))</f>
        <v>-1285.57521937308</v>
      </c>
      <c r="F28" s="61" t="n">
        <f aca="false">2000*COS(RADIANS(220))</f>
        <v>-1532.08888623796</v>
      </c>
      <c r="G28" s="61" t="n">
        <f aca="false">5000*SIN(RADIANS(220))</f>
        <v>-3213.9380484327</v>
      </c>
      <c r="H28" s="61" t="n">
        <f aca="false">5000*COS(RADIANS(220))</f>
        <v>-3830.22221559489</v>
      </c>
      <c r="I28" s="61" t="n">
        <f aca="false">1_DATOS!C30*SIN(RADIANS(220)+1_DATOS!C31*PI()/180)</f>
        <v>2249.75663390289</v>
      </c>
      <c r="J28" s="61" t="n">
        <f aca="false">1_DATOS!C30*COS(RADIANS(220)+1_DATOS!C31*PI()/180)</f>
        <v>2681.15555091642</v>
      </c>
      <c r="K28" s="61" t="n">
        <f aca="false">1_DATOS!C32*SIN(RADIANS(220)+1_DATOS!C33*PI()/180)</f>
        <v>1245.24337261468</v>
      </c>
    </row>
    <row r="29" customFormat="false" ht="12" hidden="false" customHeight="true" outlineLevel="0" collapsed="false">
      <c r="B29" s="60" t="s">
        <v>230</v>
      </c>
      <c r="C29" s="61" t="n">
        <f aca="false">500*SIN(RADIANS(230))</f>
        <v>-383.022221559489</v>
      </c>
      <c r="D29" s="61" t="n">
        <f aca="false">500*COS(RADIANS(230))</f>
        <v>-321.39380484327</v>
      </c>
      <c r="E29" s="61" t="n">
        <f aca="false">2000*SIN(RADIANS(230))</f>
        <v>-1532.08888623796</v>
      </c>
      <c r="F29" s="61" t="n">
        <f aca="false">2000*COS(RADIANS(230))</f>
        <v>-1285.57521937308</v>
      </c>
      <c r="G29" s="61" t="n">
        <f aca="false">5000*SIN(RADIANS(230))</f>
        <v>-3830.22221559489</v>
      </c>
      <c r="H29" s="61" t="n">
        <f aca="false">5000*COS(RADIANS(230))</f>
        <v>-3213.9380484327</v>
      </c>
      <c r="I29" s="61" t="n">
        <f aca="false">1_DATOS!C30*SIN(RADIANS(230)+1_DATOS!C31*PI()/180)</f>
        <v>2681.15555091642</v>
      </c>
      <c r="J29" s="61" t="n">
        <f aca="false">1_DATOS!C30*COS(RADIANS(230)+1_DATOS!C31*PI()/180)</f>
        <v>2249.75663390289</v>
      </c>
      <c r="K29" s="61" t="n">
        <f aca="false">1_DATOS!C32*SIN(RADIANS(230)+1_DATOS!C33*PI()/180)</f>
        <v>1245.24337261468</v>
      </c>
    </row>
    <row r="30" customFormat="false" ht="12" hidden="false" customHeight="true" outlineLevel="0" collapsed="false">
      <c r="B30" s="60" t="s">
        <v>231</v>
      </c>
      <c r="C30" s="61" t="n">
        <f aca="false">500*SIN(RADIANS(240))</f>
        <v>-433.012701892219</v>
      </c>
      <c r="D30" s="61" t="n">
        <f aca="false">500*COS(RADIANS(240))</f>
        <v>-250</v>
      </c>
      <c r="E30" s="61" t="n">
        <f aca="false">2000*SIN(RADIANS(240))</f>
        <v>-1732.05080756888</v>
      </c>
      <c r="F30" s="61" t="n">
        <f aca="false">2000*COS(RADIANS(240))</f>
        <v>-1000</v>
      </c>
      <c r="G30" s="61" t="n">
        <f aca="false">5000*SIN(RADIANS(240))</f>
        <v>-4330.12701892219</v>
      </c>
      <c r="H30" s="61" t="n">
        <f aca="false">5000*COS(RADIANS(240))</f>
        <v>-2500</v>
      </c>
      <c r="I30" s="61" t="n">
        <f aca="false">1_DATOS!C30*SIN(RADIANS(240)+1_DATOS!C31*PI()/180)</f>
        <v>3031.08891324553</v>
      </c>
      <c r="J30" s="61" t="n">
        <f aca="false">1_DATOS!C30*COS(RADIANS(240)+1_DATOS!C31*PI()/180)</f>
        <v>1750</v>
      </c>
      <c r="K30" s="61" t="n">
        <f aca="false">1_DATOS!C32*SIN(RADIANS(240)+1_DATOS!C33*PI()/180)</f>
        <v>1207.40728286134</v>
      </c>
    </row>
    <row r="31" customFormat="false" ht="12" hidden="false" customHeight="true" outlineLevel="0" collapsed="false">
      <c r="B31" s="60" t="s">
        <v>232</v>
      </c>
      <c r="C31" s="61" t="n">
        <f aca="false">500*SIN(RADIANS(250))</f>
        <v>-469.846310392954</v>
      </c>
      <c r="D31" s="61" t="n">
        <f aca="false">500*COS(RADIANS(250))</f>
        <v>-171.010071662835</v>
      </c>
      <c r="E31" s="61" t="n">
        <f aca="false">2000*SIN(RADIANS(250))</f>
        <v>-1879.38524157182</v>
      </c>
      <c r="F31" s="61" t="n">
        <f aca="false">2000*COS(RADIANS(250))</f>
        <v>-684.040286651339</v>
      </c>
      <c r="G31" s="61" t="n">
        <f aca="false">5000*SIN(RADIANS(250))</f>
        <v>-4698.46310392954</v>
      </c>
      <c r="H31" s="61" t="n">
        <f aca="false">5000*COS(RADIANS(250))</f>
        <v>-1710.10071662835</v>
      </c>
      <c r="I31" s="61" t="n">
        <f aca="false">1_DATOS!C30*SIN(RADIANS(250)+1_DATOS!C31*PI()/180)</f>
        <v>3288.92417275068</v>
      </c>
      <c r="J31" s="61" t="n">
        <f aca="false">1_DATOS!C30*COS(RADIANS(250)+1_DATOS!C31*PI()/180)</f>
        <v>1197.07050163984</v>
      </c>
      <c r="K31" s="61" t="n">
        <f aca="false">1_DATOS!C32*SIN(RADIANS(250)+1_DATOS!C33*PI()/180)</f>
        <v>1132.88473379581</v>
      </c>
    </row>
    <row r="32" customFormat="false" ht="12" hidden="false" customHeight="true" outlineLevel="0" collapsed="false">
      <c r="B32" s="60" t="s">
        <v>233</v>
      </c>
      <c r="C32" s="61" t="n">
        <f aca="false">500*SIN(RADIANS(260))</f>
        <v>-492.403876506104</v>
      </c>
      <c r="D32" s="61" t="n">
        <f aca="false">500*COS(RADIANS(260))</f>
        <v>-86.8240888334652</v>
      </c>
      <c r="E32" s="61" t="n">
        <f aca="false">2000*SIN(RADIANS(260))</f>
        <v>-1969.61550602442</v>
      </c>
      <c r="F32" s="61" t="n">
        <f aca="false">2000*COS(RADIANS(260))</f>
        <v>-347.296355333861</v>
      </c>
      <c r="G32" s="61" t="n">
        <f aca="false">5000*SIN(RADIANS(260))</f>
        <v>-4924.03876506104</v>
      </c>
      <c r="H32" s="61" t="n">
        <f aca="false">5000*COS(RADIANS(260))</f>
        <v>-868.240888334652</v>
      </c>
      <c r="I32" s="61" t="n">
        <f aca="false">1_DATOS!C30*SIN(RADIANS(260)+1_DATOS!C31*PI()/180)</f>
        <v>3446.82713554273</v>
      </c>
      <c r="J32" s="61" t="n">
        <f aca="false">1_DATOS!C30*COS(RADIANS(260)+1_DATOS!C31*PI()/180)</f>
        <v>607.768621834257</v>
      </c>
      <c r="K32" s="61" t="n">
        <f aca="false">1_DATOS!C32*SIN(RADIANS(260)+1_DATOS!C33*PI()/180)</f>
        <v>1023.94005536124</v>
      </c>
    </row>
    <row r="33" customFormat="false" ht="12" hidden="false" customHeight="true" outlineLevel="0" collapsed="false">
      <c r="B33" s="60" t="s">
        <v>234</v>
      </c>
      <c r="C33" s="61" t="n">
        <f aca="false">500*SIN(RADIANS(270))</f>
        <v>-500</v>
      </c>
      <c r="D33" s="61" t="n">
        <f aca="false">500*COS(RADIANS(270))</f>
        <v>-9.18485099360515E-014</v>
      </c>
      <c r="E33" s="61" t="n">
        <f aca="false">2000*SIN(RADIANS(270))</f>
        <v>-2000</v>
      </c>
      <c r="F33" s="61" t="n">
        <f aca="false">2000*COS(RADIANS(270))</f>
        <v>-3.67394039744206E-013</v>
      </c>
      <c r="G33" s="61" t="n">
        <f aca="false">5000*SIN(RADIANS(270))</f>
        <v>-5000</v>
      </c>
      <c r="H33" s="61" t="n">
        <f aca="false">5000*COS(RADIANS(270))</f>
        <v>-9.18485099360515E-013</v>
      </c>
      <c r="I33" s="61" t="n">
        <f aca="false">1_DATOS!C30*SIN(RADIANS(270)+1_DATOS!C31*PI()/180)</f>
        <v>3500</v>
      </c>
      <c r="J33" s="61" t="n">
        <f aca="false">1_DATOS!C30*COS(RADIANS(270)+1_DATOS!C31*PI()/180)</f>
        <v>1.07156594925393E-012</v>
      </c>
      <c r="K33" s="61" t="n">
        <f aca="false">1_DATOS!C32*SIN(RADIANS(270)+1_DATOS!C33*PI()/180)</f>
        <v>883.883476483185</v>
      </c>
    </row>
    <row r="34" customFormat="false" ht="12" hidden="false" customHeight="true" outlineLevel="0" collapsed="false">
      <c r="B34" s="60" t="s">
        <v>235</v>
      </c>
      <c r="C34" s="61" t="n">
        <f aca="false">500*SIN(RADIANS(280))</f>
        <v>-492.403876506104</v>
      </c>
      <c r="D34" s="61" t="n">
        <f aca="false">500*COS(RADIANS(280))</f>
        <v>86.824088833465</v>
      </c>
      <c r="E34" s="61" t="n">
        <f aca="false">2000*SIN(RADIANS(280))</f>
        <v>-1969.61550602442</v>
      </c>
      <c r="F34" s="61" t="n">
        <f aca="false">2000*COS(RADIANS(280))</f>
        <v>347.29635533386</v>
      </c>
      <c r="G34" s="61" t="n">
        <f aca="false">5000*SIN(RADIANS(280))</f>
        <v>-4924.03876506104</v>
      </c>
      <c r="H34" s="61" t="n">
        <f aca="false">5000*COS(RADIANS(280))</f>
        <v>868.24088833465</v>
      </c>
      <c r="I34" s="61" t="n">
        <f aca="false">1_DATOS!C30*SIN(RADIANS(280)+1_DATOS!C31*PI()/180)</f>
        <v>3446.82713554273</v>
      </c>
      <c r="J34" s="61" t="n">
        <f aca="false">1_DATOS!C30*COS(RADIANS(280)+1_DATOS!C31*PI()/180)</f>
        <v>-607.768621834255</v>
      </c>
      <c r="K34" s="61" t="n">
        <f aca="false">1_DATOS!C32*SIN(RADIANS(280)+1_DATOS!C33*PI()/180)</f>
        <v>716.970545438809</v>
      </c>
    </row>
    <row r="35" customFormat="false" ht="12" hidden="false" customHeight="true" outlineLevel="0" collapsed="false">
      <c r="B35" s="60" t="s">
        <v>236</v>
      </c>
      <c r="C35" s="61" t="n">
        <f aca="false">500*SIN(RADIANS(290))</f>
        <v>-469.846310392954</v>
      </c>
      <c r="D35" s="61" t="n">
        <f aca="false">500*COS(RADIANS(290))</f>
        <v>171.010071662835</v>
      </c>
      <c r="E35" s="61" t="n">
        <f aca="false">2000*SIN(RADIANS(290))</f>
        <v>-1879.38524157182</v>
      </c>
      <c r="F35" s="61" t="n">
        <f aca="false">2000*COS(RADIANS(290))</f>
        <v>684.040286651338</v>
      </c>
      <c r="G35" s="61" t="n">
        <f aca="false">5000*SIN(RADIANS(290))</f>
        <v>-4698.46310392954</v>
      </c>
      <c r="H35" s="61" t="n">
        <f aca="false">5000*COS(RADIANS(290))</f>
        <v>1710.10071662835</v>
      </c>
      <c r="I35" s="61" t="n">
        <f aca="false">1_DATOS!C30*SIN(RADIANS(290)+1_DATOS!C31*PI()/180)</f>
        <v>3288.92417275068</v>
      </c>
      <c r="J35" s="61" t="n">
        <f aca="false">1_DATOS!C30*COS(RADIANS(290)+1_DATOS!C31*PI()/180)</f>
        <v>-1197.07050163984</v>
      </c>
      <c r="K35" s="61" t="n">
        <f aca="false">1_DATOS!C32*SIN(RADIANS(290)+1_DATOS!C33*PI()/180)</f>
        <v>528.272827175874</v>
      </c>
    </row>
    <row r="36" customFormat="false" ht="12" hidden="false" customHeight="true" outlineLevel="0" collapsed="false">
      <c r="B36" s="60" t="s">
        <v>237</v>
      </c>
      <c r="C36" s="61" t="n">
        <f aca="false">500*SIN(RADIANS(300))</f>
        <v>-433.012701892219</v>
      </c>
      <c r="D36" s="61" t="n">
        <f aca="false">500*COS(RADIANS(300))</f>
        <v>250</v>
      </c>
      <c r="E36" s="61" t="n">
        <f aca="false">2000*SIN(RADIANS(300))</f>
        <v>-1732.05080756888</v>
      </c>
      <c r="F36" s="61" t="n">
        <f aca="false">2000*COS(RADIANS(300))</f>
        <v>1000</v>
      </c>
      <c r="G36" s="61" t="n">
        <f aca="false">5000*SIN(RADIANS(300))</f>
        <v>-4330.12701892219</v>
      </c>
      <c r="H36" s="61" t="n">
        <f aca="false">5000*COS(RADIANS(300))</f>
        <v>2500</v>
      </c>
      <c r="I36" s="61" t="n">
        <f aca="false">1_DATOS!C30*SIN(RADIANS(300)+1_DATOS!C31*PI()/180)</f>
        <v>3031.08891324553</v>
      </c>
      <c r="J36" s="61" t="n">
        <f aca="false">1_DATOS!C30*COS(RADIANS(300)+1_DATOS!C31*PI()/180)</f>
        <v>-1750</v>
      </c>
      <c r="K36" s="61" t="n">
        <f aca="false">1_DATOS!C32*SIN(RADIANS(300)+1_DATOS!C33*PI()/180)</f>
        <v>323.523806378151</v>
      </c>
    </row>
    <row r="37" customFormat="false" ht="12" hidden="false" customHeight="true" outlineLevel="0" collapsed="false">
      <c r="B37" s="60" t="s">
        <v>238</v>
      </c>
      <c r="C37" s="61" t="n">
        <f aca="false">500*SIN(RADIANS(310))</f>
        <v>-383.022221559489</v>
      </c>
      <c r="D37" s="61" t="n">
        <f aca="false">500*COS(RADIANS(310))</f>
        <v>321.39380484327</v>
      </c>
      <c r="E37" s="61" t="n">
        <f aca="false">2000*SIN(RADIANS(310))</f>
        <v>-1532.08888623796</v>
      </c>
      <c r="F37" s="61" t="n">
        <f aca="false">2000*COS(RADIANS(310))</f>
        <v>1285.57521937308</v>
      </c>
      <c r="G37" s="61" t="n">
        <f aca="false">5000*SIN(RADIANS(310))</f>
        <v>-3830.22221559489</v>
      </c>
      <c r="H37" s="61" t="n">
        <f aca="false">5000*COS(RADIANS(310))</f>
        <v>3213.9380484327</v>
      </c>
      <c r="I37" s="61" t="n">
        <f aca="false">1_DATOS!C30*SIN(RADIANS(310)+1_DATOS!C31*PI()/180)</f>
        <v>2681.15555091642</v>
      </c>
      <c r="J37" s="61" t="n">
        <f aca="false">1_DATOS!C30*COS(RADIANS(310)+1_DATOS!C31*PI()/180)</f>
        <v>-2249.75663390289</v>
      </c>
      <c r="K37" s="61" t="n">
        <f aca="false">1_DATOS!C32*SIN(RADIANS(310)+1_DATOS!C33*PI()/180)</f>
        <v>108.944678434573</v>
      </c>
    </row>
    <row r="38" customFormat="false" ht="12" hidden="false" customHeight="true" outlineLevel="0" collapsed="false">
      <c r="B38" s="60" t="s">
        <v>239</v>
      </c>
      <c r="C38" s="61" t="n">
        <f aca="false">500*SIN(RADIANS(320))</f>
        <v>-321.39380484327</v>
      </c>
      <c r="D38" s="61" t="n">
        <f aca="false">500*COS(RADIANS(320))</f>
        <v>383.022221559489</v>
      </c>
      <c r="E38" s="61" t="n">
        <f aca="false">2000*SIN(RADIANS(320))</f>
        <v>-1285.57521937308</v>
      </c>
      <c r="F38" s="61" t="n">
        <f aca="false">2000*COS(RADIANS(320))</f>
        <v>1532.08888623796</v>
      </c>
      <c r="G38" s="61" t="n">
        <f aca="false">5000*SIN(RADIANS(320))</f>
        <v>-3213.9380484327</v>
      </c>
      <c r="H38" s="61" t="n">
        <f aca="false">5000*COS(RADIANS(320))</f>
        <v>3830.22221559489</v>
      </c>
      <c r="I38" s="61" t="n">
        <f aca="false">1_DATOS!C30*SIN(RADIANS(320)+1_DATOS!C31*PI()/180)</f>
        <v>2249.75663390289</v>
      </c>
      <c r="J38" s="61" t="n">
        <f aca="false">1_DATOS!C30*COS(RADIANS(320)+1_DATOS!C31*PI()/180)</f>
        <v>-2681.15555091642</v>
      </c>
      <c r="K38" s="61" t="n">
        <f aca="false">1_DATOS!C32*SIN(RADIANS(320)+1_DATOS!C33*PI()/180)</f>
        <v>-108.944678434572</v>
      </c>
    </row>
    <row r="39" customFormat="false" ht="12" hidden="false" customHeight="true" outlineLevel="0" collapsed="false">
      <c r="B39" s="60" t="s">
        <v>240</v>
      </c>
      <c r="C39" s="61" t="n">
        <f aca="false">500*SIN(RADIANS(330))</f>
        <v>-250</v>
      </c>
      <c r="D39" s="61" t="n">
        <f aca="false">500*COS(RADIANS(330))</f>
        <v>433.012701892219</v>
      </c>
      <c r="E39" s="61" t="n">
        <f aca="false">2000*SIN(RADIANS(330))</f>
        <v>-1000</v>
      </c>
      <c r="F39" s="61" t="n">
        <f aca="false">2000*COS(RADIANS(330))</f>
        <v>1732.05080756888</v>
      </c>
      <c r="G39" s="61" t="n">
        <f aca="false">5000*SIN(RADIANS(330))</f>
        <v>-2500</v>
      </c>
      <c r="H39" s="61" t="n">
        <f aca="false">5000*COS(RADIANS(330))</f>
        <v>4330.12701892219</v>
      </c>
      <c r="I39" s="61" t="n">
        <f aca="false">1_DATOS!C30*SIN(RADIANS(330)+1_DATOS!C31*PI()/180)</f>
        <v>1750</v>
      </c>
      <c r="J39" s="61" t="n">
        <f aca="false">1_DATOS!C30*COS(RADIANS(330)+1_DATOS!C31*PI()/180)</f>
        <v>-3031.08891324554</v>
      </c>
      <c r="K39" s="61" t="n">
        <f aca="false">1_DATOS!C32*SIN(RADIANS(330)+1_DATOS!C33*PI()/180)</f>
        <v>-323.52380637815</v>
      </c>
    </row>
    <row r="40" customFormat="false" ht="12" hidden="false" customHeight="true" outlineLevel="0" collapsed="false">
      <c r="B40" s="60" t="s">
        <v>241</v>
      </c>
      <c r="C40" s="61" t="n">
        <f aca="false">500*SIN(RADIANS(340))</f>
        <v>-171.010071662835</v>
      </c>
      <c r="D40" s="61" t="n">
        <f aca="false">500*COS(RADIANS(340))</f>
        <v>469.846310392954</v>
      </c>
      <c r="E40" s="61" t="n">
        <f aca="false">2000*SIN(RADIANS(340))</f>
        <v>-684.040286651339</v>
      </c>
      <c r="F40" s="61" t="n">
        <f aca="false">2000*COS(RADIANS(340))</f>
        <v>1879.38524157182</v>
      </c>
      <c r="G40" s="61" t="n">
        <f aca="false">5000*SIN(RADIANS(340))</f>
        <v>-1710.10071662835</v>
      </c>
      <c r="H40" s="61" t="n">
        <f aca="false">5000*COS(RADIANS(340))</f>
        <v>4698.46310392954</v>
      </c>
      <c r="I40" s="61" t="n">
        <f aca="false">1_DATOS!C30*SIN(RADIANS(340)+1_DATOS!C31*PI()/180)</f>
        <v>1197.07050163984</v>
      </c>
      <c r="J40" s="61" t="n">
        <f aca="false">1_DATOS!C30*COS(RADIANS(340)+1_DATOS!C31*PI()/180)</f>
        <v>-3288.92417275068</v>
      </c>
      <c r="K40" s="61" t="n">
        <f aca="false">1_DATOS!C32*SIN(RADIANS(340)+1_DATOS!C33*PI()/180)</f>
        <v>-528.272827175873</v>
      </c>
    </row>
    <row r="41" customFormat="false" ht="12" hidden="false" customHeight="true" outlineLevel="0" collapsed="false">
      <c r="B41" s="60" t="s">
        <v>242</v>
      </c>
      <c r="C41" s="61" t="n">
        <f aca="false">500*SIN(RADIANS(350))</f>
        <v>-86.8240888334652</v>
      </c>
      <c r="D41" s="61" t="n">
        <f aca="false">500*COS(RADIANS(350))</f>
        <v>492.403876506104</v>
      </c>
      <c r="E41" s="61" t="n">
        <f aca="false">2000*SIN(RADIANS(350))</f>
        <v>-347.296355333861</v>
      </c>
      <c r="F41" s="61" t="n">
        <f aca="false">2000*COS(RADIANS(350))</f>
        <v>1969.61550602442</v>
      </c>
      <c r="G41" s="61" t="n">
        <f aca="false">5000*SIN(RADIANS(350))</f>
        <v>-868.240888334652</v>
      </c>
      <c r="H41" s="61" t="n">
        <f aca="false">5000*COS(RADIANS(350))</f>
        <v>4924.03876506104</v>
      </c>
      <c r="I41" s="61" t="n">
        <f aca="false">1_DATOS!C30*SIN(RADIANS(350)+1_DATOS!C31*PI()/180)</f>
        <v>607.768621834257</v>
      </c>
      <c r="J41" s="61" t="n">
        <f aca="false">1_DATOS!C30*COS(RADIANS(350)+1_DATOS!C31*PI()/180)</f>
        <v>-3446.82713554273</v>
      </c>
      <c r="K41" s="61" t="n">
        <f aca="false">1_DATOS!C32*SIN(RADIANS(350)+1_DATOS!C33*PI()/180)</f>
        <v>-716.970545438808</v>
      </c>
    </row>
    <row r="42" customFormat="false" ht="12" hidden="false" customHeight="true" outlineLevel="0" collapsed="false">
      <c r="B42" s="60" t="s">
        <v>243</v>
      </c>
      <c r="C42" s="61" t="n">
        <f aca="false">500*SIN(RADIANS(360))</f>
        <v>-1.22464679914735E-013</v>
      </c>
      <c r="D42" s="61" t="n">
        <f aca="false">500*COS(RADIANS(360))</f>
        <v>500</v>
      </c>
      <c r="E42" s="61" t="n">
        <f aca="false">2000*SIN(RADIANS(360))</f>
        <v>-4.89858719658941E-013</v>
      </c>
      <c r="F42" s="61" t="n">
        <f aca="false">2000*COS(RADIANS(360))</f>
        <v>2000</v>
      </c>
      <c r="G42" s="61" t="n">
        <f aca="false">5000*SIN(RADIANS(360))</f>
        <v>-1.22464679914735E-012</v>
      </c>
      <c r="H42" s="61" t="n">
        <f aca="false">5000*COS(RADIANS(360))</f>
        <v>5000</v>
      </c>
      <c r="I42" s="61" t="n">
        <f aca="false">1_DATOS!C30*SIN(RADIANS(360)+1_DATOS!C31*PI()/180)</f>
        <v>1.28587913910472E-012</v>
      </c>
      <c r="J42" s="61" t="n">
        <f aca="false">1_DATOS!C30*COS(RADIANS(360)+1_DATOS!C31*PI()/180)</f>
        <v>-3500</v>
      </c>
      <c r="K42" s="61" t="n">
        <f aca="false">1_DATOS!C32*SIN(RADIANS(360)+1_DATOS!C33*PI()/180)</f>
        <v>-883.883476483185</v>
      </c>
    </row>
    <row r="43" customFormat="false" ht="15" hidden="false" customHeight="true" outlineLevel="0" collapsed="false">
      <c r="B43" s="57" t="s">
        <v>244</v>
      </c>
      <c r="C43" s="61" t="n">
        <f aca="false">1_DATOS!C30*SIN(RADIANS(1_DATOS!C31))</f>
        <v>4.28626379701574E-013</v>
      </c>
      <c r="D43" s="61" t="n">
        <f aca="false">1_DATOS!C30*COS(RADIANS(1_DATOS!C31))</f>
        <v>-3500</v>
      </c>
    </row>
    <row r="44" customFormat="false" ht="15" hidden="false" customHeight="true" outlineLevel="0" collapsed="false">
      <c r="B44" s="54" t="s">
        <v>245</v>
      </c>
      <c r="C44" s="61" t="n">
        <f aca="false">1_DATOS!C32*SIN(RADIANS(1_DATOS!C33))</f>
        <v>-883.883476483184</v>
      </c>
      <c r="D44" s="61" t="n">
        <f aca="false">1_DATOS!C32*COS(RADIANS(1_DATOS!C33))</f>
        <v>-883.883476483185</v>
      </c>
    </row>
    <row r="46" customFormat="false" ht="39.75" hidden="false" customHeight="true" outlineLevel="0" collapsed="false">
      <c r="B46" s="62" t="s">
        <v>246</v>
      </c>
      <c r="C46" s="62"/>
      <c r="D46" s="62"/>
      <c r="E46" s="62"/>
      <c r="F46" s="62"/>
      <c r="G46" s="62"/>
      <c r="H46" s="62"/>
      <c r="I46" s="62"/>
      <c r="J46" s="62"/>
      <c r="K46" s="62"/>
    </row>
  </sheetData>
  <mergeCells count="3">
    <mergeCell ref="B1:K1"/>
    <mergeCell ref="B2:K2"/>
    <mergeCell ref="B46:K4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I8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24"/>
    <col collapsed="false" customWidth="true" hidden="false" outlineLevel="0" max="9" min="3" style="1" width="16"/>
    <col collapsed="false" customWidth="true" hidden="false" outlineLevel="0" max="10" min="10" style="1" width="3"/>
  </cols>
  <sheetData>
    <row r="1" customFormat="false" ht="31.5" hidden="false" customHeight="true" outlineLevel="0" collapsed="false">
      <c r="B1" s="63" t="s">
        <v>247</v>
      </c>
      <c r="C1" s="63"/>
      <c r="D1" s="63"/>
      <c r="E1" s="63"/>
      <c r="F1" s="63"/>
      <c r="G1" s="63"/>
      <c r="H1" s="63"/>
      <c r="I1" s="63"/>
    </row>
    <row r="2" customFormat="false" ht="18" hidden="false" customHeight="true" outlineLevel="0" collapsed="false">
      <c r="B2" s="41" t="s">
        <v>248</v>
      </c>
      <c r="C2" s="41"/>
      <c r="D2" s="41"/>
      <c r="E2" s="41"/>
      <c r="F2" s="41"/>
      <c r="G2" s="41"/>
      <c r="H2" s="41"/>
      <c r="I2" s="41"/>
    </row>
    <row r="4" customFormat="false" ht="21.75" hidden="false" customHeight="true" outlineLevel="0" collapsed="false">
      <c r="B4" s="21" t="s">
        <v>249</v>
      </c>
      <c r="C4" s="21"/>
      <c r="D4" s="21"/>
      <c r="E4" s="21"/>
      <c r="F4" s="21"/>
      <c r="G4" s="21"/>
      <c r="H4" s="21"/>
      <c r="I4" s="21"/>
    </row>
    <row r="5" customFormat="false" ht="18" hidden="false" customHeight="true" outlineLevel="0" collapsed="false">
      <c r="B5" s="59" t="s">
        <v>250</v>
      </c>
      <c r="C5" s="59" t="s">
        <v>251</v>
      </c>
      <c r="D5" s="59" t="s">
        <v>252</v>
      </c>
      <c r="E5" s="59" t="s">
        <v>253</v>
      </c>
      <c r="F5" s="59" t="s">
        <v>254</v>
      </c>
      <c r="G5" s="59" t="s">
        <v>255</v>
      </c>
      <c r="H5" s="59" t="s">
        <v>256</v>
      </c>
    </row>
    <row r="6" customFormat="false" ht="12" hidden="false" customHeight="true" outlineLevel="0" collapsed="false">
      <c r="B6" s="60" t="s">
        <v>257</v>
      </c>
      <c r="C6" s="61" t="n">
        <f aca="false">1_DATOS!C5*2025.4*SIN(RADIANS(0))+1_DATOS!C30*SIN(RADIANS(1_DATOS!C31))</f>
        <v>4.28626379701574E-013</v>
      </c>
      <c r="D6" s="61" t="n">
        <f aca="false">1_DATOS!C5*2025.4*COS(RADIANS(0))+1_DATOS!C30*COS(RADIANS(1_DATOS!C31))</f>
        <v>47135</v>
      </c>
      <c r="E6" s="61" t="n">
        <f aca="false">1_DATOS!C6*2025.4*SIN(RADIANS(0))+1_DATOS!C30*SIN(RADIANS(1_DATOS!C31))</f>
        <v>4.28626379701574E-013</v>
      </c>
      <c r="F6" s="61" t="n">
        <f aca="false">1_DATOS!C6*2025.4*COS(RADIANS(0))+1_DATOS!C30*COS(RADIANS(1_DATOS!C31))</f>
        <v>118024</v>
      </c>
      <c r="G6" s="61" t="n">
        <f aca="false">1_DATOS!C30*SIN(RADIANS(1_DATOS!C31))</f>
        <v>4.28626379701574E-013</v>
      </c>
      <c r="H6" s="61" t="n">
        <f aca="false">1_DATOS!C30*COS(RADIANS(1_DATOS!C31))</f>
        <v>-3500</v>
      </c>
    </row>
    <row r="7" customFormat="false" ht="12" hidden="false" customHeight="true" outlineLevel="0" collapsed="false">
      <c r="B7" s="60" t="s">
        <v>124</v>
      </c>
      <c r="C7" s="61" t="n">
        <f aca="false">1_DATOS!C5*2025.4*SIN(RADIANS(10))+1_DATOS!C30*SIN(RADIANS(1_DATOS!C31))</f>
        <v>8792.67547616502</v>
      </c>
      <c r="D7" s="61" t="n">
        <f aca="false">1_DATOS!C5*2025.4*COS(RADIANS(10))+1_DATOS!C30*COS(RADIANS(1_DATOS!C31))</f>
        <v>46365.7405737732</v>
      </c>
      <c r="E7" s="61" t="n">
        <f aca="false">1_DATOS!C6*2025.4*SIN(RADIANS(10))+1_DATOS!C30*SIN(RADIANS(1_DATOS!C31))</f>
        <v>21102.421142796</v>
      </c>
      <c r="F7" s="61" t="n">
        <f aca="false">1_DATOS!C6*2025.4*COS(RADIANS(10))+1_DATOS!C30*COS(RADIANS(1_DATOS!C31))</f>
        <v>116177.777377056</v>
      </c>
      <c r="G7" s="61" t="n">
        <f aca="false">1_DATOS!C30*SIN(RADIANS(1_DATOS!C31))</f>
        <v>4.28626379701574E-013</v>
      </c>
      <c r="H7" s="61" t="n">
        <f aca="false">1_DATOS!C30*COS(RADIANS(1_DATOS!C31))</f>
        <v>-3500</v>
      </c>
    </row>
    <row r="8" customFormat="false" ht="12" hidden="false" customHeight="true" outlineLevel="0" collapsed="false">
      <c r="B8" s="60" t="s">
        <v>258</v>
      </c>
      <c r="C8" s="61" t="n">
        <f aca="false">1_DATOS!C5*2025.4*SIN(RADIANS(20))+1_DATOS!C30*SIN(RADIANS(1_DATOS!C31))</f>
        <v>17318.1899572952</v>
      </c>
      <c r="D8" s="61" t="n">
        <f aca="false">1_DATOS!C5*2025.4*COS(RADIANS(20))+1_DATOS!C30*COS(RADIANS(1_DATOS!C31))</f>
        <v>44081.3358534945</v>
      </c>
      <c r="E8" s="61" t="n">
        <f aca="false">1_DATOS!C6*2025.4*SIN(RADIANS(20))+1_DATOS!C30*SIN(RADIANS(1_DATOS!C31))</f>
        <v>41563.6558975086</v>
      </c>
      <c r="F8" s="61" t="n">
        <f aca="false">1_DATOS!C6*2025.4*COS(RADIANS(20))+1_DATOS!C30*COS(RADIANS(1_DATOS!C31))</f>
        <v>110695.206048387</v>
      </c>
      <c r="G8" s="61" t="n">
        <f aca="false">1_DATOS!C30*SIN(RADIANS(1_DATOS!C31))</f>
        <v>4.28626379701574E-013</v>
      </c>
      <c r="H8" s="61" t="n">
        <f aca="false">1_DATOS!C30*COS(RADIANS(1_DATOS!C31))</f>
        <v>-3500</v>
      </c>
    </row>
    <row r="9" customFormat="false" ht="12" hidden="false" customHeight="true" outlineLevel="0" collapsed="false">
      <c r="B9" s="60" t="s">
        <v>259</v>
      </c>
      <c r="C9" s="61" t="n">
        <f aca="false">1_DATOS!C5*2025.4*SIN(RADIANS(30))+1_DATOS!C30*SIN(RADIANS(1_DATOS!C31))</f>
        <v>25317.5</v>
      </c>
      <c r="D9" s="61" t="n">
        <f aca="false">1_DATOS!C5*2025.4*COS(RADIANS(30))+1_DATOS!C30*COS(RADIANS(1_DATOS!C31))</f>
        <v>40351.1963206251</v>
      </c>
      <c r="E9" s="61" t="n">
        <f aca="false">1_DATOS!C6*2025.4*SIN(RADIANS(30))+1_DATOS!C30*SIN(RADIANS(1_DATOS!C31))</f>
        <v>60762</v>
      </c>
      <c r="F9" s="61" t="n">
        <f aca="false">1_DATOS!C6*2025.4*COS(RADIANS(30))+1_DATOS!C30*COS(RADIANS(1_DATOS!C31))</f>
        <v>101742.8711695</v>
      </c>
      <c r="G9" s="61" t="n">
        <f aca="false">1_DATOS!C30*SIN(RADIANS(1_DATOS!C31))</f>
        <v>4.28626379701574E-013</v>
      </c>
      <c r="H9" s="61" t="n">
        <f aca="false">1_DATOS!C30*COS(RADIANS(1_DATOS!C31))</f>
        <v>-3500</v>
      </c>
    </row>
    <row r="10" customFormat="false" ht="12" hidden="false" customHeight="true" outlineLevel="0" collapsed="false">
      <c r="B10" s="60" t="s">
        <v>260</v>
      </c>
      <c r="C10" s="61" t="n">
        <f aca="false">1_DATOS!C5*2025.4*SIN(RADIANS(40))+1_DATOS!C30*SIN(RADIANS(1_DATOS!C31))</f>
        <v>32547.5506164779</v>
      </c>
      <c r="D10" s="61" t="n">
        <f aca="false">1_DATOS!C5*2025.4*COS(RADIANS(40))+1_DATOS!C30*COS(RADIANS(1_DATOS!C31))</f>
        <v>35288.6603773295</v>
      </c>
      <c r="E10" s="61" t="n">
        <f aca="false">1_DATOS!C6*2025.4*SIN(RADIANS(40))+1_DATOS!C30*SIN(RADIANS(1_DATOS!C31))</f>
        <v>78114.121479547</v>
      </c>
      <c r="F10" s="61" t="n">
        <f aca="false">1_DATOS!C6*2025.4*COS(RADIANS(40))+1_DATOS!C30*COS(RADIANS(1_DATOS!C31))</f>
        <v>89592.7849055907</v>
      </c>
      <c r="G10" s="61" t="n">
        <f aca="false">1_DATOS!C30*SIN(RADIANS(1_DATOS!C31))</f>
        <v>4.28626379701574E-013</v>
      </c>
      <c r="H10" s="61" t="n">
        <f aca="false">1_DATOS!C30*COS(RADIANS(1_DATOS!C31))</f>
        <v>-3500</v>
      </c>
    </row>
    <row r="11" customFormat="false" ht="12" hidden="false" customHeight="true" outlineLevel="0" collapsed="false">
      <c r="B11" s="60" t="s">
        <v>261</v>
      </c>
      <c r="C11" s="61" t="n">
        <f aca="false">1_DATOS!C5*2025.4*SIN(RADIANS(50))+1_DATOS!C30*SIN(RADIANS(1_DATOS!C31))</f>
        <v>38788.6603773295</v>
      </c>
      <c r="D11" s="61" t="n">
        <f aca="false">1_DATOS!C5*2025.4*COS(RADIANS(50))+1_DATOS!C30*COS(RADIANS(1_DATOS!C31))</f>
        <v>29047.5506164779</v>
      </c>
      <c r="E11" s="61" t="n">
        <f aca="false">1_DATOS!C6*2025.4*SIN(RADIANS(50))+1_DATOS!C30*SIN(RADIANS(1_DATOS!C31))</f>
        <v>93092.7849055907</v>
      </c>
      <c r="F11" s="61" t="n">
        <f aca="false">1_DATOS!C6*2025.4*COS(RADIANS(50))+1_DATOS!C30*COS(RADIANS(1_DATOS!C31))</f>
        <v>74614.121479547</v>
      </c>
      <c r="G11" s="61" t="n">
        <f aca="false">1_DATOS!C30*SIN(RADIANS(1_DATOS!C31))</f>
        <v>4.28626379701574E-013</v>
      </c>
      <c r="H11" s="61" t="n">
        <f aca="false">1_DATOS!C30*COS(RADIANS(1_DATOS!C31))</f>
        <v>-3500</v>
      </c>
    </row>
    <row r="12" customFormat="false" ht="12" hidden="false" customHeight="true" outlineLevel="0" collapsed="false">
      <c r="B12" s="60" t="s">
        <v>262</v>
      </c>
      <c r="C12" s="61" t="n">
        <f aca="false">1_DATOS!C5*2025.4*SIN(RADIANS(60))+1_DATOS!C30*SIN(RADIANS(1_DATOS!C31))</f>
        <v>43851.1963206251</v>
      </c>
      <c r="D12" s="61" t="n">
        <f aca="false">1_DATOS!C5*2025.4*COS(RADIANS(60))+1_DATOS!C30*COS(RADIANS(1_DATOS!C31))</f>
        <v>21817.5</v>
      </c>
      <c r="E12" s="61" t="n">
        <f aca="false">1_DATOS!C6*2025.4*SIN(RADIANS(60))+1_DATOS!C30*SIN(RADIANS(1_DATOS!C31))</f>
        <v>105242.8711695</v>
      </c>
      <c r="F12" s="61" t="n">
        <f aca="false">1_DATOS!C6*2025.4*COS(RADIANS(60))+1_DATOS!C30*COS(RADIANS(1_DATOS!C31))</f>
        <v>57262</v>
      </c>
      <c r="G12" s="61" t="n">
        <f aca="false">1_DATOS!C30*SIN(RADIANS(1_DATOS!C31))</f>
        <v>4.28626379701574E-013</v>
      </c>
      <c r="H12" s="61" t="n">
        <f aca="false">1_DATOS!C30*COS(RADIANS(1_DATOS!C31))</f>
        <v>-3500</v>
      </c>
    </row>
    <row r="13" customFormat="false" ht="12" hidden="false" customHeight="true" outlineLevel="0" collapsed="false">
      <c r="B13" s="60" t="s">
        <v>263</v>
      </c>
      <c r="C13" s="61" t="n">
        <f aca="false">1_DATOS!C5*2025.4*SIN(RADIANS(70))+1_DATOS!C30*SIN(RADIANS(1_DATOS!C31))</f>
        <v>47581.3358534945</v>
      </c>
      <c r="D13" s="61" t="n">
        <f aca="false">1_DATOS!C5*2025.4*COS(RADIANS(70))+1_DATOS!C30*COS(RADIANS(1_DATOS!C31))</f>
        <v>13818.1899572952</v>
      </c>
      <c r="E13" s="61" t="n">
        <f aca="false">1_DATOS!C6*2025.4*SIN(RADIANS(70))+1_DATOS!C30*SIN(RADIANS(1_DATOS!C31))</f>
        <v>114195.206048387</v>
      </c>
      <c r="F13" s="61" t="n">
        <f aca="false">1_DATOS!C6*2025.4*COS(RADIANS(70))+1_DATOS!C30*COS(RADIANS(1_DATOS!C31))</f>
        <v>38063.6558975086</v>
      </c>
      <c r="G13" s="61" t="n">
        <f aca="false">1_DATOS!C30*SIN(RADIANS(1_DATOS!C31))</f>
        <v>4.28626379701574E-013</v>
      </c>
      <c r="H13" s="61" t="n">
        <f aca="false">1_DATOS!C30*COS(RADIANS(1_DATOS!C31))</f>
        <v>-3500</v>
      </c>
    </row>
    <row r="14" customFormat="false" ht="12" hidden="false" customHeight="true" outlineLevel="0" collapsed="false">
      <c r="B14" s="60" t="s">
        <v>264</v>
      </c>
      <c r="C14" s="61" t="n">
        <f aca="false">1_DATOS!C5*2025.4*SIN(RADIANS(80))+1_DATOS!C30*SIN(RADIANS(1_DATOS!C31))</f>
        <v>49865.7405737732</v>
      </c>
      <c r="D14" s="61" t="n">
        <f aca="false">1_DATOS!C5*2025.4*COS(RADIANS(80))+1_DATOS!C30*COS(RADIANS(1_DATOS!C31))</f>
        <v>5292.67547616502</v>
      </c>
      <c r="E14" s="61" t="n">
        <f aca="false">1_DATOS!C6*2025.4*SIN(RADIANS(80))+1_DATOS!C30*SIN(RADIANS(1_DATOS!C31))</f>
        <v>119677.777377056</v>
      </c>
      <c r="F14" s="61" t="n">
        <f aca="false">1_DATOS!C6*2025.4*COS(RADIANS(80))+1_DATOS!C30*COS(RADIANS(1_DATOS!C31))</f>
        <v>17602.4211427961</v>
      </c>
      <c r="G14" s="61" t="n">
        <f aca="false">1_DATOS!C30*SIN(RADIANS(1_DATOS!C31))</f>
        <v>4.28626379701574E-013</v>
      </c>
      <c r="H14" s="61" t="n">
        <f aca="false">1_DATOS!C30*COS(RADIANS(1_DATOS!C31))</f>
        <v>-3500</v>
      </c>
    </row>
    <row r="15" customFormat="false" ht="12" hidden="false" customHeight="true" outlineLevel="0" collapsed="false">
      <c r="B15" s="60" t="s">
        <v>265</v>
      </c>
      <c r="C15" s="61" t="n">
        <f aca="false">1_DATOS!C5*2025.4*SIN(RADIANS(90))+1_DATOS!C30*SIN(RADIANS(1_DATOS!C31))</f>
        <v>50635</v>
      </c>
      <c r="D15" s="61" t="n">
        <f aca="false">1_DATOS!C5*2025.4*COS(RADIANS(90))+1_DATOS!C30*COS(RADIANS(1_DATOS!C31))</f>
        <v>-3500</v>
      </c>
      <c r="E15" s="61" t="n">
        <f aca="false">1_DATOS!C6*2025.4*SIN(RADIANS(90))+1_DATOS!C30*SIN(RADIANS(1_DATOS!C31))</f>
        <v>121524</v>
      </c>
      <c r="F15" s="61" t="n">
        <f aca="false">1_DATOS!C6*2025.4*COS(RADIANS(90))+1_DATOS!C30*COS(RADIANS(1_DATOS!C31))</f>
        <v>-3499.99999999999</v>
      </c>
      <c r="G15" s="61" t="n">
        <f aca="false">1_DATOS!C30*SIN(RADIANS(1_DATOS!C31))</f>
        <v>4.28626379701574E-013</v>
      </c>
      <c r="H15" s="61" t="n">
        <f aca="false">1_DATOS!C30*COS(RADIANS(1_DATOS!C31))</f>
        <v>-3500</v>
      </c>
    </row>
    <row r="16" customFormat="false" ht="12" hidden="false" customHeight="true" outlineLevel="0" collapsed="false">
      <c r="B16" s="60" t="s">
        <v>266</v>
      </c>
      <c r="C16" s="61" t="n">
        <f aca="false">1_DATOS!C5*2025.4*SIN(RADIANS(100))+1_DATOS!C30*SIN(RADIANS(1_DATOS!C31))</f>
        <v>49865.7405737732</v>
      </c>
      <c r="D16" s="61" t="n">
        <f aca="false">1_DATOS!C5*2025.4*COS(RADIANS(100))+1_DATOS!C30*COS(RADIANS(1_DATOS!C31))</f>
        <v>-12292.675476165</v>
      </c>
      <c r="E16" s="61" t="n">
        <f aca="false">1_DATOS!C6*2025.4*SIN(RADIANS(100))+1_DATOS!C30*SIN(RADIANS(1_DATOS!C31))</f>
        <v>119677.777377056</v>
      </c>
      <c r="F16" s="61" t="n">
        <f aca="false">1_DATOS!C6*2025.4*COS(RADIANS(100))+1_DATOS!C30*COS(RADIANS(1_DATOS!C31))</f>
        <v>-24602.421142796</v>
      </c>
      <c r="G16" s="61" t="n">
        <f aca="false">1_DATOS!C30*SIN(RADIANS(1_DATOS!C31))</f>
        <v>4.28626379701574E-013</v>
      </c>
      <c r="H16" s="61" t="n">
        <f aca="false">1_DATOS!C30*COS(RADIANS(1_DATOS!C31))</f>
        <v>-3500</v>
      </c>
    </row>
    <row r="17" customFormat="false" ht="12" hidden="false" customHeight="true" outlineLevel="0" collapsed="false">
      <c r="B17" s="60" t="s">
        <v>267</v>
      </c>
      <c r="C17" s="61" t="n">
        <f aca="false">1_DATOS!C5*2025.4*SIN(RADIANS(110))+1_DATOS!C30*SIN(RADIANS(1_DATOS!C31))</f>
        <v>47581.3358534945</v>
      </c>
      <c r="D17" s="61" t="n">
        <f aca="false">1_DATOS!C5*2025.4*COS(RADIANS(110))+1_DATOS!C30*COS(RADIANS(1_DATOS!C31))</f>
        <v>-20818.1899572952</v>
      </c>
      <c r="E17" s="61" t="n">
        <f aca="false">1_DATOS!C6*2025.4*SIN(RADIANS(110))+1_DATOS!C30*SIN(RADIANS(1_DATOS!C31))</f>
        <v>114195.206048387</v>
      </c>
      <c r="F17" s="61" t="n">
        <f aca="false">1_DATOS!C6*2025.4*COS(RADIANS(110))+1_DATOS!C30*COS(RADIANS(1_DATOS!C31))</f>
        <v>-45063.6558975086</v>
      </c>
      <c r="G17" s="61" t="n">
        <f aca="false">1_DATOS!C30*SIN(RADIANS(1_DATOS!C31))</f>
        <v>4.28626379701574E-013</v>
      </c>
      <c r="H17" s="61" t="n">
        <f aca="false">1_DATOS!C30*COS(RADIANS(1_DATOS!C31))</f>
        <v>-3500</v>
      </c>
    </row>
    <row r="18" customFormat="false" ht="12" hidden="false" customHeight="true" outlineLevel="0" collapsed="false">
      <c r="B18" s="60" t="s">
        <v>268</v>
      </c>
      <c r="C18" s="61" t="n">
        <f aca="false">1_DATOS!C5*2025.4*SIN(RADIANS(120))+1_DATOS!C30*SIN(RADIANS(1_DATOS!C31))</f>
        <v>43851.1963206251</v>
      </c>
      <c r="D18" s="61" t="n">
        <f aca="false">1_DATOS!C5*2025.4*COS(RADIANS(120))+1_DATOS!C30*COS(RADIANS(1_DATOS!C31))</f>
        <v>-28817.5</v>
      </c>
      <c r="E18" s="61" t="n">
        <f aca="false">1_DATOS!C6*2025.4*SIN(RADIANS(120))+1_DATOS!C30*SIN(RADIANS(1_DATOS!C31))</f>
        <v>105242.8711695</v>
      </c>
      <c r="F18" s="61" t="n">
        <f aca="false">1_DATOS!C6*2025.4*COS(RADIANS(120))+1_DATOS!C30*COS(RADIANS(1_DATOS!C31))</f>
        <v>-64262</v>
      </c>
      <c r="G18" s="61" t="n">
        <f aca="false">1_DATOS!C30*SIN(RADIANS(1_DATOS!C31))</f>
        <v>4.28626379701574E-013</v>
      </c>
      <c r="H18" s="61" t="n">
        <f aca="false">1_DATOS!C30*COS(RADIANS(1_DATOS!C31))</f>
        <v>-3500</v>
      </c>
    </row>
    <row r="19" customFormat="false" ht="12" hidden="false" customHeight="true" outlineLevel="0" collapsed="false">
      <c r="B19" s="60" t="s">
        <v>269</v>
      </c>
      <c r="C19" s="61" t="n">
        <f aca="false">1_DATOS!C5*2025.4*SIN(RADIANS(130))+1_DATOS!C30*SIN(RADIANS(1_DATOS!C31))</f>
        <v>38788.6603773295</v>
      </c>
      <c r="D19" s="61" t="n">
        <f aca="false">1_DATOS!C5*2025.4*COS(RADIANS(130))+1_DATOS!C30*COS(RADIANS(1_DATOS!C31))</f>
        <v>-36047.5506164779</v>
      </c>
      <c r="E19" s="61" t="n">
        <f aca="false">1_DATOS!C6*2025.4*SIN(RADIANS(130))+1_DATOS!C30*SIN(RADIANS(1_DATOS!C31))</f>
        <v>93092.7849055907</v>
      </c>
      <c r="F19" s="61" t="n">
        <f aca="false">1_DATOS!C6*2025.4*COS(RADIANS(130))+1_DATOS!C30*COS(RADIANS(1_DATOS!C31))</f>
        <v>-81614.121479547</v>
      </c>
      <c r="G19" s="61" t="n">
        <f aca="false">1_DATOS!C30*SIN(RADIANS(1_DATOS!C31))</f>
        <v>4.28626379701574E-013</v>
      </c>
      <c r="H19" s="61" t="n">
        <f aca="false">1_DATOS!C30*COS(RADIANS(1_DATOS!C31))</f>
        <v>-3500</v>
      </c>
    </row>
    <row r="20" customFormat="false" ht="12" hidden="false" customHeight="true" outlineLevel="0" collapsed="false">
      <c r="B20" s="60" t="s">
        <v>270</v>
      </c>
      <c r="C20" s="61" t="n">
        <f aca="false">1_DATOS!C5*2025.4*SIN(RADIANS(140))+1_DATOS!C30*SIN(RADIANS(1_DATOS!C31))</f>
        <v>32547.5506164779</v>
      </c>
      <c r="D20" s="61" t="n">
        <f aca="false">1_DATOS!C5*2025.4*COS(RADIANS(140))+1_DATOS!C30*COS(RADIANS(1_DATOS!C31))</f>
        <v>-42288.6603773295</v>
      </c>
      <c r="E20" s="61" t="n">
        <f aca="false">1_DATOS!C6*2025.4*SIN(RADIANS(140))+1_DATOS!C30*SIN(RADIANS(1_DATOS!C31))</f>
        <v>78114.121479547</v>
      </c>
      <c r="F20" s="61" t="n">
        <f aca="false">1_DATOS!C6*2025.4*COS(RADIANS(140))+1_DATOS!C30*COS(RADIANS(1_DATOS!C31))</f>
        <v>-96592.7849055907</v>
      </c>
      <c r="G20" s="61" t="n">
        <f aca="false">1_DATOS!C30*SIN(RADIANS(1_DATOS!C31))</f>
        <v>4.28626379701574E-013</v>
      </c>
      <c r="H20" s="61" t="n">
        <f aca="false">1_DATOS!C30*COS(RADIANS(1_DATOS!C31))</f>
        <v>-3500</v>
      </c>
    </row>
    <row r="21" customFormat="false" ht="12" hidden="false" customHeight="true" outlineLevel="0" collapsed="false">
      <c r="B21" s="60" t="s">
        <v>271</v>
      </c>
      <c r="C21" s="61" t="n">
        <f aca="false">1_DATOS!C5*2025.4*SIN(RADIANS(150))+1_DATOS!C30*SIN(RADIANS(1_DATOS!C31))</f>
        <v>25317.5</v>
      </c>
      <c r="D21" s="61" t="n">
        <f aca="false">1_DATOS!C5*2025.4*COS(RADIANS(150))+1_DATOS!C30*COS(RADIANS(1_DATOS!C31))</f>
        <v>-47351.1963206251</v>
      </c>
      <c r="E21" s="61" t="n">
        <f aca="false">1_DATOS!C6*2025.4*SIN(RADIANS(150))+1_DATOS!C30*SIN(RADIANS(1_DATOS!C31))</f>
        <v>60762</v>
      </c>
      <c r="F21" s="61" t="n">
        <f aca="false">1_DATOS!C6*2025.4*COS(RADIANS(150))+1_DATOS!C30*COS(RADIANS(1_DATOS!C31))</f>
        <v>-108742.8711695</v>
      </c>
      <c r="G21" s="61" t="n">
        <f aca="false">1_DATOS!C30*SIN(RADIANS(1_DATOS!C31))</f>
        <v>4.28626379701574E-013</v>
      </c>
      <c r="H21" s="61" t="n">
        <f aca="false">1_DATOS!C30*COS(RADIANS(1_DATOS!C31))</f>
        <v>-3500</v>
      </c>
    </row>
    <row r="22" customFormat="false" ht="12" hidden="false" customHeight="true" outlineLevel="0" collapsed="false">
      <c r="B22" s="60" t="s">
        <v>272</v>
      </c>
      <c r="C22" s="61" t="n">
        <f aca="false">1_DATOS!C5*2025.4*SIN(RADIANS(160))+1_DATOS!C30*SIN(RADIANS(1_DATOS!C31))</f>
        <v>17318.1899572952</v>
      </c>
      <c r="D22" s="61" t="n">
        <f aca="false">1_DATOS!C5*2025.4*COS(RADIANS(160))+1_DATOS!C30*COS(RADIANS(1_DATOS!C31))</f>
        <v>-51081.3358534945</v>
      </c>
      <c r="E22" s="61" t="n">
        <f aca="false">1_DATOS!C6*2025.4*SIN(RADIANS(160))+1_DATOS!C30*SIN(RADIANS(1_DATOS!C31))</f>
        <v>41563.6558975086</v>
      </c>
      <c r="F22" s="61" t="n">
        <f aca="false">1_DATOS!C6*2025.4*COS(RADIANS(160))+1_DATOS!C30*COS(RADIANS(1_DATOS!C31))</f>
        <v>-117695.206048387</v>
      </c>
      <c r="G22" s="61" t="n">
        <f aca="false">1_DATOS!C30*SIN(RADIANS(1_DATOS!C31))</f>
        <v>4.28626379701574E-013</v>
      </c>
      <c r="H22" s="61" t="n">
        <f aca="false">1_DATOS!C30*COS(RADIANS(1_DATOS!C31))</f>
        <v>-3500</v>
      </c>
    </row>
    <row r="23" customFormat="false" ht="12" hidden="false" customHeight="true" outlineLevel="0" collapsed="false">
      <c r="B23" s="60" t="s">
        <v>273</v>
      </c>
      <c r="C23" s="61" t="n">
        <f aca="false">1_DATOS!C5*2025.4*SIN(RADIANS(170))+1_DATOS!C30*SIN(RADIANS(1_DATOS!C31))</f>
        <v>8792.67547616504</v>
      </c>
      <c r="D23" s="61" t="n">
        <f aca="false">1_DATOS!C5*2025.4*COS(RADIANS(170))+1_DATOS!C30*COS(RADIANS(1_DATOS!C31))</f>
        <v>-53365.7405737732</v>
      </c>
      <c r="E23" s="61" t="n">
        <f aca="false">1_DATOS!C6*2025.4*SIN(RADIANS(170))+1_DATOS!C30*SIN(RADIANS(1_DATOS!C31))</f>
        <v>21102.4211427961</v>
      </c>
      <c r="F23" s="61" t="n">
        <f aca="false">1_DATOS!C6*2025.4*COS(RADIANS(170))+1_DATOS!C30*COS(RADIANS(1_DATOS!C31))</f>
        <v>-123177.777377056</v>
      </c>
      <c r="G23" s="61" t="n">
        <f aca="false">1_DATOS!C30*SIN(RADIANS(1_DATOS!C31))</f>
        <v>4.28626379701574E-013</v>
      </c>
      <c r="H23" s="61" t="n">
        <f aca="false">1_DATOS!C30*COS(RADIANS(1_DATOS!C31))</f>
        <v>-3500</v>
      </c>
    </row>
    <row r="24" customFormat="false" ht="12" hidden="false" customHeight="true" outlineLevel="0" collapsed="false">
      <c r="B24" s="60" t="s">
        <v>274</v>
      </c>
      <c r="C24" s="61" t="n">
        <f aca="false">1_DATOS!C5*2025.4*SIN(RADIANS(180))+1_DATOS!C30*SIN(RADIANS(1_DATOS!C31))</f>
        <v>6.6296254471842E-012</v>
      </c>
      <c r="D24" s="61" t="n">
        <f aca="false">1_DATOS!C5*2025.4*COS(RADIANS(180))+1_DATOS!C30*COS(RADIANS(1_DATOS!C31))</f>
        <v>-54135</v>
      </c>
      <c r="E24" s="61" t="n">
        <f aca="false">1_DATOS!C6*2025.4*SIN(RADIANS(180))+1_DATOS!C30*SIN(RADIANS(1_DATOS!C31))</f>
        <v>1.53110241416599E-011</v>
      </c>
      <c r="F24" s="61" t="n">
        <f aca="false">1_DATOS!C6*2025.4*COS(RADIANS(180))+1_DATOS!C30*COS(RADIANS(1_DATOS!C31))</f>
        <v>-125024</v>
      </c>
      <c r="G24" s="61" t="n">
        <f aca="false">1_DATOS!C30*SIN(RADIANS(1_DATOS!C31))</f>
        <v>4.28626379701574E-013</v>
      </c>
      <c r="H24" s="61" t="n">
        <f aca="false">1_DATOS!C30*COS(RADIANS(1_DATOS!C31))</f>
        <v>-3500</v>
      </c>
    </row>
    <row r="25" customFormat="false" ht="12" hidden="false" customHeight="true" outlineLevel="0" collapsed="false">
      <c r="B25" s="60" t="s">
        <v>275</v>
      </c>
      <c r="C25" s="61" t="n">
        <f aca="false">1_DATOS!C5*2025.4*SIN(RADIANS(190))+1_DATOS!C30*SIN(RADIANS(1_DATOS!C31))</f>
        <v>-8792.67547616503</v>
      </c>
      <c r="D25" s="61" t="n">
        <f aca="false">1_DATOS!C5*2025.4*COS(RADIANS(190))+1_DATOS!C30*COS(RADIANS(1_DATOS!C31))</f>
        <v>-53365.7405737732</v>
      </c>
      <c r="E25" s="61" t="n">
        <f aca="false">1_DATOS!C6*2025.4*SIN(RADIANS(190))+1_DATOS!C30*SIN(RADIANS(1_DATOS!C31))</f>
        <v>-21102.4211427961</v>
      </c>
      <c r="F25" s="61" t="n">
        <f aca="false">1_DATOS!C6*2025.4*COS(RADIANS(190))+1_DATOS!C30*COS(RADIANS(1_DATOS!C31))</f>
        <v>-123177.777377056</v>
      </c>
      <c r="G25" s="61" t="n">
        <f aca="false">1_DATOS!C30*SIN(RADIANS(1_DATOS!C31))</f>
        <v>4.28626379701574E-013</v>
      </c>
      <c r="H25" s="61" t="n">
        <f aca="false">1_DATOS!C30*COS(RADIANS(1_DATOS!C31))</f>
        <v>-3500</v>
      </c>
    </row>
    <row r="26" customFormat="false" ht="12" hidden="false" customHeight="true" outlineLevel="0" collapsed="false">
      <c r="B26" s="60" t="s">
        <v>276</v>
      </c>
      <c r="C26" s="61" t="n">
        <f aca="false">1_DATOS!C5*2025.4*SIN(RADIANS(200))+1_DATOS!C30*SIN(RADIANS(1_DATOS!C31))</f>
        <v>-17318.1899572952</v>
      </c>
      <c r="D26" s="61" t="n">
        <f aca="false">1_DATOS!C5*2025.4*COS(RADIANS(200))+1_DATOS!C30*COS(RADIANS(1_DATOS!C31))</f>
        <v>-51081.3358534945</v>
      </c>
      <c r="E26" s="61" t="n">
        <f aca="false">1_DATOS!C6*2025.4*SIN(RADIANS(200))+1_DATOS!C30*SIN(RADIANS(1_DATOS!C31))</f>
        <v>-41563.6558975086</v>
      </c>
      <c r="F26" s="61" t="n">
        <f aca="false">1_DATOS!C6*2025.4*COS(RADIANS(200))+1_DATOS!C30*COS(RADIANS(1_DATOS!C31))</f>
        <v>-117695.206048387</v>
      </c>
      <c r="G26" s="61" t="n">
        <f aca="false">1_DATOS!C30*SIN(RADIANS(1_DATOS!C31))</f>
        <v>4.28626379701574E-013</v>
      </c>
      <c r="H26" s="61" t="n">
        <f aca="false">1_DATOS!C30*COS(RADIANS(1_DATOS!C31))</f>
        <v>-3500</v>
      </c>
    </row>
    <row r="27" customFormat="false" ht="12" hidden="false" customHeight="true" outlineLevel="0" collapsed="false">
      <c r="B27" s="60" t="s">
        <v>277</v>
      </c>
      <c r="C27" s="61" t="n">
        <f aca="false">1_DATOS!C5*2025.4*SIN(RADIANS(210))+1_DATOS!C30*SIN(RADIANS(1_DATOS!C31))</f>
        <v>-25317.5</v>
      </c>
      <c r="D27" s="61" t="n">
        <f aca="false">1_DATOS!C5*2025.4*COS(RADIANS(210))+1_DATOS!C30*COS(RADIANS(1_DATOS!C31))</f>
        <v>-47351.1963206251</v>
      </c>
      <c r="E27" s="61" t="n">
        <f aca="false">1_DATOS!C6*2025.4*SIN(RADIANS(210))+1_DATOS!C30*SIN(RADIANS(1_DATOS!C31))</f>
        <v>-60762</v>
      </c>
      <c r="F27" s="61" t="n">
        <f aca="false">1_DATOS!C6*2025.4*COS(RADIANS(210))+1_DATOS!C30*COS(RADIANS(1_DATOS!C31))</f>
        <v>-108742.8711695</v>
      </c>
      <c r="G27" s="61" t="n">
        <f aca="false">1_DATOS!C30*SIN(RADIANS(1_DATOS!C31))</f>
        <v>4.28626379701574E-013</v>
      </c>
      <c r="H27" s="61" t="n">
        <f aca="false">1_DATOS!C30*COS(RADIANS(1_DATOS!C31))</f>
        <v>-3500</v>
      </c>
    </row>
    <row r="28" customFormat="false" ht="12" hidden="false" customHeight="true" outlineLevel="0" collapsed="false">
      <c r="B28" s="60" t="s">
        <v>278</v>
      </c>
      <c r="C28" s="61" t="n">
        <f aca="false">1_DATOS!C5*2025.4*SIN(RADIANS(220))+1_DATOS!C30*SIN(RADIANS(1_DATOS!C31))</f>
        <v>-32547.5506164779</v>
      </c>
      <c r="D28" s="61" t="n">
        <f aca="false">1_DATOS!C5*2025.4*COS(RADIANS(220))+1_DATOS!C30*COS(RADIANS(1_DATOS!C31))</f>
        <v>-42288.6603773295</v>
      </c>
      <c r="E28" s="61" t="n">
        <f aca="false">1_DATOS!C6*2025.4*SIN(RADIANS(220))+1_DATOS!C30*SIN(RADIANS(1_DATOS!C31))</f>
        <v>-78114.121479547</v>
      </c>
      <c r="F28" s="61" t="n">
        <f aca="false">1_DATOS!C6*2025.4*COS(RADIANS(220))+1_DATOS!C30*COS(RADIANS(1_DATOS!C31))</f>
        <v>-96592.7849055907</v>
      </c>
      <c r="G28" s="61" t="n">
        <f aca="false">1_DATOS!C30*SIN(RADIANS(1_DATOS!C31))</f>
        <v>4.28626379701574E-013</v>
      </c>
      <c r="H28" s="61" t="n">
        <f aca="false">1_DATOS!C30*COS(RADIANS(1_DATOS!C31))</f>
        <v>-3500</v>
      </c>
    </row>
    <row r="29" customFormat="false" ht="12" hidden="false" customHeight="true" outlineLevel="0" collapsed="false">
      <c r="B29" s="60" t="s">
        <v>279</v>
      </c>
      <c r="C29" s="61" t="n">
        <f aca="false">1_DATOS!C5*2025.4*SIN(RADIANS(230))+1_DATOS!C30*SIN(RADIANS(1_DATOS!C31))</f>
        <v>-38788.6603773295</v>
      </c>
      <c r="D29" s="61" t="n">
        <f aca="false">1_DATOS!C5*2025.4*COS(RADIANS(230))+1_DATOS!C30*COS(RADIANS(1_DATOS!C31))</f>
        <v>-36047.5506164779</v>
      </c>
      <c r="E29" s="61" t="n">
        <f aca="false">1_DATOS!C6*2025.4*SIN(RADIANS(230))+1_DATOS!C30*SIN(RADIANS(1_DATOS!C31))</f>
        <v>-93092.7849055907</v>
      </c>
      <c r="F29" s="61" t="n">
        <f aca="false">1_DATOS!C6*2025.4*COS(RADIANS(230))+1_DATOS!C30*COS(RADIANS(1_DATOS!C31))</f>
        <v>-81614.121479547</v>
      </c>
      <c r="G29" s="61" t="n">
        <f aca="false">1_DATOS!C30*SIN(RADIANS(1_DATOS!C31))</f>
        <v>4.28626379701574E-013</v>
      </c>
      <c r="H29" s="61" t="n">
        <f aca="false">1_DATOS!C30*COS(RADIANS(1_DATOS!C31))</f>
        <v>-3500</v>
      </c>
    </row>
    <row r="30" customFormat="false" ht="12" hidden="false" customHeight="true" outlineLevel="0" collapsed="false">
      <c r="B30" s="60" t="s">
        <v>280</v>
      </c>
      <c r="C30" s="61" t="n">
        <f aca="false">1_DATOS!C5*2025.4*SIN(RADIANS(240))+1_DATOS!C30*SIN(RADIANS(1_DATOS!C31))</f>
        <v>-43851.196320625</v>
      </c>
      <c r="D30" s="61" t="n">
        <f aca="false">1_DATOS!C5*2025.4*COS(RADIANS(240))+1_DATOS!C30*COS(RADIANS(1_DATOS!C31))</f>
        <v>-28817.5</v>
      </c>
      <c r="E30" s="61" t="n">
        <f aca="false">1_DATOS!C6*2025.4*SIN(RADIANS(240))+1_DATOS!C30*SIN(RADIANS(1_DATOS!C31))</f>
        <v>-105242.8711695</v>
      </c>
      <c r="F30" s="61" t="n">
        <f aca="false">1_DATOS!C6*2025.4*COS(RADIANS(240))+1_DATOS!C30*COS(RADIANS(1_DATOS!C31))</f>
        <v>-64262.0000000001</v>
      </c>
      <c r="G30" s="61" t="n">
        <f aca="false">1_DATOS!C30*SIN(RADIANS(1_DATOS!C31))</f>
        <v>4.28626379701574E-013</v>
      </c>
      <c r="H30" s="61" t="n">
        <f aca="false">1_DATOS!C30*COS(RADIANS(1_DATOS!C31))</f>
        <v>-3500</v>
      </c>
    </row>
    <row r="31" customFormat="false" ht="12" hidden="false" customHeight="true" outlineLevel="0" collapsed="false">
      <c r="B31" s="60" t="s">
        <v>281</v>
      </c>
      <c r="C31" s="61" t="n">
        <f aca="false">1_DATOS!C5*2025.4*SIN(RADIANS(250))+1_DATOS!C30*SIN(RADIANS(1_DATOS!C31))</f>
        <v>-47581.3358534945</v>
      </c>
      <c r="D31" s="61" t="n">
        <f aca="false">1_DATOS!C5*2025.4*COS(RADIANS(250))+1_DATOS!C30*COS(RADIANS(1_DATOS!C31))</f>
        <v>-20818.1899572953</v>
      </c>
      <c r="E31" s="61" t="n">
        <f aca="false">1_DATOS!C6*2025.4*SIN(RADIANS(250))+1_DATOS!C30*SIN(RADIANS(1_DATOS!C31))</f>
        <v>-114195.206048387</v>
      </c>
      <c r="F31" s="61" t="n">
        <f aca="false">1_DATOS!C6*2025.4*COS(RADIANS(250))+1_DATOS!C30*COS(RADIANS(1_DATOS!C31))</f>
        <v>-45063.6558975086</v>
      </c>
      <c r="G31" s="61" t="n">
        <f aca="false">1_DATOS!C30*SIN(RADIANS(1_DATOS!C31))</f>
        <v>4.28626379701574E-013</v>
      </c>
      <c r="H31" s="61" t="n">
        <f aca="false">1_DATOS!C30*COS(RADIANS(1_DATOS!C31))</f>
        <v>-3500</v>
      </c>
    </row>
    <row r="32" customFormat="false" ht="12" hidden="false" customHeight="true" outlineLevel="0" collapsed="false">
      <c r="B32" s="60" t="s">
        <v>282</v>
      </c>
      <c r="C32" s="61" t="n">
        <f aca="false">1_DATOS!C5*2025.4*SIN(RADIANS(260))+1_DATOS!C30*SIN(RADIANS(1_DATOS!C31))</f>
        <v>-49865.7405737732</v>
      </c>
      <c r="D32" s="61" t="n">
        <f aca="false">1_DATOS!C5*2025.4*COS(RADIANS(260))+1_DATOS!C30*COS(RADIANS(1_DATOS!C31))</f>
        <v>-12292.675476165</v>
      </c>
      <c r="E32" s="61" t="n">
        <f aca="false">1_DATOS!C6*2025.4*SIN(RADIANS(260))+1_DATOS!C30*SIN(RADIANS(1_DATOS!C31))</f>
        <v>-119677.777377056</v>
      </c>
      <c r="F32" s="61" t="n">
        <f aca="false">1_DATOS!C6*2025.4*COS(RADIANS(260))+1_DATOS!C30*COS(RADIANS(1_DATOS!C31))</f>
        <v>-24602.421142796</v>
      </c>
      <c r="G32" s="61" t="n">
        <f aca="false">1_DATOS!C30*SIN(RADIANS(1_DATOS!C31))</f>
        <v>4.28626379701574E-013</v>
      </c>
      <c r="H32" s="61" t="n">
        <f aca="false">1_DATOS!C30*COS(RADIANS(1_DATOS!C31))</f>
        <v>-3500</v>
      </c>
    </row>
    <row r="33" customFormat="false" ht="12" hidden="false" customHeight="true" outlineLevel="0" collapsed="false">
      <c r="B33" s="60" t="s">
        <v>283</v>
      </c>
      <c r="C33" s="61" t="n">
        <f aca="false">1_DATOS!C5*2025.4*SIN(RADIANS(270))+1_DATOS!C30*SIN(RADIANS(1_DATOS!C31))</f>
        <v>-50635</v>
      </c>
      <c r="D33" s="61" t="n">
        <f aca="false">1_DATOS!C5*2025.4*COS(RADIANS(270))+1_DATOS!C30*COS(RADIANS(1_DATOS!C31))</f>
        <v>-3500.00000000001</v>
      </c>
      <c r="E33" s="61" t="n">
        <f aca="false">1_DATOS!C6*2025.4*SIN(RADIANS(270))+1_DATOS!C30*SIN(RADIANS(1_DATOS!C31))</f>
        <v>-121524</v>
      </c>
      <c r="F33" s="61" t="n">
        <f aca="false">1_DATOS!C6*2025.4*COS(RADIANS(270))+1_DATOS!C30*COS(RADIANS(1_DATOS!C31))</f>
        <v>-3500.00000000002</v>
      </c>
      <c r="G33" s="61" t="n">
        <f aca="false">1_DATOS!C30*SIN(RADIANS(1_DATOS!C31))</f>
        <v>4.28626379701574E-013</v>
      </c>
      <c r="H33" s="61" t="n">
        <f aca="false">1_DATOS!C30*COS(RADIANS(1_DATOS!C31))</f>
        <v>-3500</v>
      </c>
    </row>
    <row r="34" customFormat="false" ht="12" hidden="false" customHeight="true" outlineLevel="0" collapsed="false">
      <c r="B34" s="60" t="s">
        <v>284</v>
      </c>
      <c r="C34" s="61" t="n">
        <f aca="false">1_DATOS!C5*2025.4*SIN(RADIANS(280))+1_DATOS!C30*SIN(RADIANS(1_DATOS!C31))</f>
        <v>-49865.7405737732</v>
      </c>
      <c r="D34" s="61" t="n">
        <f aca="false">1_DATOS!C5*2025.4*COS(RADIANS(280))+1_DATOS!C30*COS(RADIANS(1_DATOS!C31))</f>
        <v>5292.675476165</v>
      </c>
      <c r="E34" s="61" t="n">
        <f aca="false">1_DATOS!C6*2025.4*SIN(RADIANS(280))+1_DATOS!C30*SIN(RADIANS(1_DATOS!C31))</f>
        <v>-119677.777377056</v>
      </c>
      <c r="F34" s="61" t="n">
        <f aca="false">1_DATOS!C6*2025.4*COS(RADIANS(280))+1_DATOS!C30*COS(RADIANS(1_DATOS!C31))</f>
        <v>17602.421142796</v>
      </c>
      <c r="G34" s="61" t="n">
        <f aca="false">1_DATOS!C30*SIN(RADIANS(1_DATOS!C31))</f>
        <v>4.28626379701574E-013</v>
      </c>
      <c r="H34" s="61" t="n">
        <f aca="false">1_DATOS!C30*COS(RADIANS(1_DATOS!C31))</f>
        <v>-3500</v>
      </c>
    </row>
    <row r="35" customFormat="false" ht="12" hidden="false" customHeight="true" outlineLevel="0" collapsed="false">
      <c r="B35" s="60" t="s">
        <v>285</v>
      </c>
      <c r="C35" s="61" t="n">
        <f aca="false">1_DATOS!C5*2025.4*SIN(RADIANS(290))+1_DATOS!C30*SIN(RADIANS(1_DATOS!C31))</f>
        <v>-47581.3358534945</v>
      </c>
      <c r="D35" s="61" t="n">
        <f aca="false">1_DATOS!C5*2025.4*COS(RADIANS(290))+1_DATOS!C30*COS(RADIANS(1_DATOS!C31))</f>
        <v>13818.1899572953</v>
      </c>
      <c r="E35" s="61" t="n">
        <f aca="false">1_DATOS!C6*2025.4*SIN(RADIANS(290))+1_DATOS!C30*SIN(RADIANS(1_DATOS!C31))</f>
        <v>-114195.206048387</v>
      </c>
      <c r="F35" s="61" t="n">
        <f aca="false">1_DATOS!C6*2025.4*COS(RADIANS(290))+1_DATOS!C30*COS(RADIANS(1_DATOS!C31))</f>
        <v>38063.6558975086</v>
      </c>
      <c r="G35" s="61" t="n">
        <f aca="false">1_DATOS!C30*SIN(RADIANS(1_DATOS!C31))</f>
        <v>4.28626379701574E-013</v>
      </c>
      <c r="H35" s="61" t="n">
        <f aca="false">1_DATOS!C30*COS(RADIANS(1_DATOS!C31))</f>
        <v>-3500</v>
      </c>
    </row>
    <row r="36" customFormat="false" ht="12" hidden="false" customHeight="true" outlineLevel="0" collapsed="false">
      <c r="B36" s="60" t="s">
        <v>286</v>
      </c>
      <c r="C36" s="61" t="n">
        <f aca="false">1_DATOS!C5*2025.4*SIN(RADIANS(300))+1_DATOS!C30*SIN(RADIANS(1_DATOS!C31))</f>
        <v>-43851.1963206251</v>
      </c>
      <c r="D36" s="61" t="n">
        <f aca="false">1_DATOS!C5*2025.4*COS(RADIANS(300))+1_DATOS!C30*COS(RADIANS(1_DATOS!C31))</f>
        <v>21817.5</v>
      </c>
      <c r="E36" s="61" t="n">
        <f aca="false">1_DATOS!C6*2025.4*SIN(RADIANS(300))+1_DATOS!C30*SIN(RADIANS(1_DATOS!C31))</f>
        <v>-105242.8711695</v>
      </c>
      <c r="F36" s="61" t="n">
        <f aca="false">1_DATOS!C6*2025.4*COS(RADIANS(300))+1_DATOS!C30*COS(RADIANS(1_DATOS!C31))</f>
        <v>57262</v>
      </c>
      <c r="G36" s="61" t="n">
        <f aca="false">1_DATOS!C30*SIN(RADIANS(1_DATOS!C31))</f>
        <v>4.28626379701574E-013</v>
      </c>
      <c r="H36" s="61" t="n">
        <f aca="false">1_DATOS!C30*COS(RADIANS(1_DATOS!C31))</f>
        <v>-3500</v>
      </c>
    </row>
    <row r="37" customFormat="false" ht="12" hidden="false" customHeight="true" outlineLevel="0" collapsed="false">
      <c r="B37" s="60" t="s">
        <v>287</v>
      </c>
      <c r="C37" s="61" t="n">
        <f aca="false">1_DATOS!C5*2025.4*SIN(RADIANS(310))+1_DATOS!C30*SIN(RADIANS(1_DATOS!C31))</f>
        <v>-38788.6603773295</v>
      </c>
      <c r="D37" s="61" t="n">
        <f aca="false">1_DATOS!C5*2025.4*COS(RADIANS(310))+1_DATOS!C30*COS(RADIANS(1_DATOS!C31))</f>
        <v>29047.5506164779</v>
      </c>
      <c r="E37" s="61" t="n">
        <f aca="false">1_DATOS!C6*2025.4*SIN(RADIANS(310))+1_DATOS!C30*SIN(RADIANS(1_DATOS!C31))</f>
        <v>-93092.7849055907</v>
      </c>
      <c r="F37" s="61" t="n">
        <f aca="false">1_DATOS!C6*2025.4*COS(RADIANS(310))+1_DATOS!C30*COS(RADIANS(1_DATOS!C31))</f>
        <v>74614.121479547</v>
      </c>
      <c r="G37" s="61" t="n">
        <f aca="false">1_DATOS!C30*SIN(RADIANS(1_DATOS!C31))</f>
        <v>4.28626379701574E-013</v>
      </c>
      <c r="H37" s="61" t="n">
        <f aca="false">1_DATOS!C30*COS(RADIANS(1_DATOS!C31))</f>
        <v>-3500</v>
      </c>
    </row>
    <row r="38" customFormat="false" ht="12" hidden="false" customHeight="true" outlineLevel="0" collapsed="false">
      <c r="B38" s="60" t="s">
        <v>288</v>
      </c>
      <c r="C38" s="61" t="n">
        <f aca="false">1_DATOS!C5*2025.4*SIN(RADIANS(320))+1_DATOS!C30*SIN(RADIANS(1_DATOS!C31))</f>
        <v>-32547.5506164779</v>
      </c>
      <c r="D38" s="61" t="n">
        <f aca="false">1_DATOS!C5*2025.4*COS(RADIANS(320))+1_DATOS!C30*COS(RADIANS(1_DATOS!C31))</f>
        <v>35288.6603773294</v>
      </c>
      <c r="E38" s="61" t="n">
        <f aca="false">1_DATOS!C6*2025.4*SIN(RADIANS(320))+1_DATOS!C30*SIN(RADIANS(1_DATOS!C31))</f>
        <v>-78114.121479547</v>
      </c>
      <c r="F38" s="61" t="n">
        <f aca="false">1_DATOS!C6*2025.4*COS(RADIANS(320))+1_DATOS!C30*COS(RADIANS(1_DATOS!C31))</f>
        <v>89592.7849055907</v>
      </c>
      <c r="G38" s="61" t="n">
        <f aca="false">1_DATOS!C30*SIN(RADIANS(1_DATOS!C31))</f>
        <v>4.28626379701574E-013</v>
      </c>
      <c r="H38" s="61" t="n">
        <f aca="false">1_DATOS!C30*COS(RADIANS(1_DATOS!C31))</f>
        <v>-3500</v>
      </c>
    </row>
    <row r="39" customFormat="false" ht="12" hidden="false" customHeight="true" outlineLevel="0" collapsed="false">
      <c r="B39" s="60" t="s">
        <v>289</v>
      </c>
      <c r="C39" s="61" t="n">
        <f aca="false">1_DATOS!C5*2025.4*SIN(RADIANS(330))+1_DATOS!C30*SIN(RADIANS(1_DATOS!C31))</f>
        <v>-25317.5</v>
      </c>
      <c r="D39" s="61" t="n">
        <f aca="false">1_DATOS!C5*2025.4*COS(RADIANS(330))+1_DATOS!C30*COS(RADIANS(1_DATOS!C31))</f>
        <v>40351.196320625</v>
      </c>
      <c r="E39" s="61" t="n">
        <f aca="false">1_DATOS!C6*2025.4*SIN(RADIANS(330))+1_DATOS!C30*SIN(RADIANS(1_DATOS!C31))</f>
        <v>-60762.0000000001</v>
      </c>
      <c r="F39" s="61" t="n">
        <f aca="false">1_DATOS!C6*2025.4*COS(RADIANS(330))+1_DATOS!C30*COS(RADIANS(1_DATOS!C31))</f>
        <v>101742.8711695</v>
      </c>
      <c r="G39" s="61" t="n">
        <f aca="false">1_DATOS!C30*SIN(RADIANS(1_DATOS!C31))</f>
        <v>4.28626379701574E-013</v>
      </c>
      <c r="H39" s="61" t="n">
        <f aca="false">1_DATOS!C30*COS(RADIANS(1_DATOS!C31))</f>
        <v>-3500</v>
      </c>
    </row>
    <row r="40" customFormat="false" ht="12" hidden="false" customHeight="true" outlineLevel="0" collapsed="false">
      <c r="B40" s="60" t="s">
        <v>290</v>
      </c>
      <c r="C40" s="61" t="n">
        <f aca="false">1_DATOS!C5*2025.4*SIN(RADIANS(340))+1_DATOS!C30*SIN(RADIANS(1_DATOS!C31))</f>
        <v>-17318.1899572953</v>
      </c>
      <c r="D40" s="61" t="n">
        <f aca="false">1_DATOS!C5*2025.4*COS(RADIANS(340))+1_DATOS!C30*COS(RADIANS(1_DATOS!C31))</f>
        <v>44081.3358534945</v>
      </c>
      <c r="E40" s="61" t="n">
        <f aca="false">1_DATOS!C6*2025.4*SIN(RADIANS(340))+1_DATOS!C30*SIN(RADIANS(1_DATOS!C31))</f>
        <v>-41563.6558975087</v>
      </c>
      <c r="F40" s="61" t="n">
        <f aca="false">1_DATOS!C6*2025.4*COS(RADIANS(340))+1_DATOS!C30*COS(RADIANS(1_DATOS!C31))</f>
        <v>110695.206048387</v>
      </c>
      <c r="G40" s="61" t="n">
        <f aca="false">1_DATOS!C30*SIN(RADIANS(1_DATOS!C31))</f>
        <v>4.28626379701574E-013</v>
      </c>
      <c r="H40" s="61" t="n">
        <f aca="false">1_DATOS!C30*COS(RADIANS(1_DATOS!C31))</f>
        <v>-3500</v>
      </c>
    </row>
    <row r="41" customFormat="false" ht="12" hidden="false" customHeight="true" outlineLevel="0" collapsed="false">
      <c r="B41" s="60" t="s">
        <v>291</v>
      </c>
      <c r="C41" s="61" t="n">
        <f aca="false">1_DATOS!C5*2025.4*SIN(RADIANS(350))+1_DATOS!C30*SIN(RADIANS(1_DATOS!C31))</f>
        <v>-8792.67547616502</v>
      </c>
      <c r="D41" s="61" t="n">
        <f aca="false">1_DATOS!C5*2025.4*COS(RADIANS(350))+1_DATOS!C30*COS(RADIANS(1_DATOS!C31))</f>
        <v>46365.7405737732</v>
      </c>
      <c r="E41" s="61" t="n">
        <f aca="false">1_DATOS!C6*2025.4*SIN(RADIANS(350))+1_DATOS!C30*SIN(RADIANS(1_DATOS!C31))</f>
        <v>-21102.421142796</v>
      </c>
      <c r="F41" s="61" t="n">
        <f aca="false">1_DATOS!C6*2025.4*COS(RADIANS(350))+1_DATOS!C30*COS(RADIANS(1_DATOS!C31))</f>
        <v>116177.777377056</v>
      </c>
      <c r="G41" s="61" t="n">
        <f aca="false">1_DATOS!C30*SIN(RADIANS(1_DATOS!C31))</f>
        <v>4.28626379701574E-013</v>
      </c>
      <c r="H41" s="61" t="n">
        <f aca="false">1_DATOS!C30*COS(RADIANS(1_DATOS!C31))</f>
        <v>-3500</v>
      </c>
    </row>
    <row r="42" customFormat="false" ht="12" hidden="false" customHeight="true" outlineLevel="0" collapsed="false">
      <c r="B42" s="60" t="s">
        <v>292</v>
      </c>
      <c r="C42" s="61" t="n">
        <f aca="false">1_DATOS!C5*2025.4*SIN(RADIANS(360))+1_DATOS!C30*SIN(RADIANS(1_DATOS!C31))</f>
        <v>-1.19733717552637E-011</v>
      </c>
      <c r="D42" s="61" t="n">
        <f aca="false">1_DATOS!C5*2025.4*COS(RADIANS(360))+1_DATOS!C30*COS(RADIANS(1_DATOS!C31))</f>
        <v>47135</v>
      </c>
      <c r="E42" s="61" t="n">
        <f aca="false">1_DATOS!C6*2025.4*SIN(RADIANS(360))+1_DATOS!C30*SIN(RADIANS(1_DATOS!C31))</f>
        <v>-2.9336169144215E-011</v>
      </c>
      <c r="F42" s="61" t="n">
        <f aca="false">1_DATOS!C6*2025.4*COS(RADIANS(360))+1_DATOS!C30*COS(RADIANS(1_DATOS!C31))</f>
        <v>118024</v>
      </c>
      <c r="G42" s="61" t="n">
        <f aca="false">1_DATOS!C30*SIN(RADIANS(1_DATOS!C31))</f>
        <v>4.28626379701574E-013</v>
      </c>
      <c r="H42" s="61" t="n">
        <f aca="false">1_DATOS!C30*COS(RADIANS(1_DATOS!C31))</f>
        <v>-3500</v>
      </c>
    </row>
    <row r="44" customFormat="false" ht="21.75" hidden="false" customHeight="true" outlineLevel="0" collapsed="false">
      <c r="B44" s="64" t="s">
        <v>293</v>
      </c>
      <c r="C44" s="64"/>
      <c r="D44" s="64"/>
      <c r="E44" s="64"/>
      <c r="F44" s="64"/>
      <c r="G44" s="64"/>
      <c r="H44" s="64"/>
      <c r="I44" s="64"/>
    </row>
    <row r="45" customFormat="false" ht="18" hidden="false" customHeight="true" outlineLevel="0" collapsed="false">
      <c r="B45" s="59" t="s">
        <v>250</v>
      </c>
      <c r="C45" s="59" t="s">
        <v>294</v>
      </c>
      <c r="D45" s="59" t="s">
        <v>295</v>
      </c>
      <c r="E45" s="59" t="s">
        <v>296</v>
      </c>
      <c r="F45" s="59" t="s">
        <v>297</v>
      </c>
    </row>
    <row r="46" customFormat="false" ht="12" hidden="false" customHeight="true" outlineLevel="0" collapsed="false">
      <c r="B46" s="60" t="s">
        <v>257</v>
      </c>
      <c r="C46" s="61" t="n">
        <f aca="false">1_DATOS!C7*2025.4*SIN(RADIANS(0))+1_DATOS!C32*SIN(RADIANS(1_DATOS!C33))</f>
        <v>-883.883476483184</v>
      </c>
      <c r="D46" s="61" t="n">
        <f aca="false">1_DATOS!C7*2025.4*COS(RADIANS(0))+1_DATOS!C32*COS(RADIANS(1_DATOS!C33))</f>
        <v>23420.9165235168</v>
      </c>
      <c r="E46" s="61" t="n">
        <f aca="false">1_DATOS!C32*SIN(RADIANS(1_DATOS!C33))</f>
        <v>-883.883476483184</v>
      </c>
      <c r="F46" s="61" t="n">
        <f aca="false">1_DATOS!C32*COS(RADIANS(1_DATOS!C33))</f>
        <v>-883.883476483185</v>
      </c>
    </row>
    <row r="47" customFormat="false" ht="12" hidden="false" customHeight="true" outlineLevel="0" collapsed="false">
      <c r="B47" s="60" t="s">
        <v>124</v>
      </c>
      <c r="C47" s="61" t="n">
        <f aca="false">1_DATOS!C7*2025.4*SIN(RADIANS(10))+1_DATOS!C32*SIN(RADIANS(1_DATOS!C33))</f>
        <v>3336.60075207602</v>
      </c>
      <c r="D47" s="61" t="n">
        <f aca="false">1_DATOS!C7*2025.4*COS(RADIANS(10))+1_DATOS!C32*COS(RADIANS(1_DATOS!C33))</f>
        <v>23051.6719989279</v>
      </c>
      <c r="E47" s="61" t="n">
        <f aca="false">1_DATOS!C32*SIN(RADIANS(1_DATOS!C33))</f>
        <v>-883.883476483184</v>
      </c>
      <c r="F47" s="61" t="n">
        <f aca="false">1_DATOS!C32*COS(RADIANS(1_DATOS!C33))</f>
        <v>-883.883476483185</v>
      </c>
    </row>
    <row r="48" customFormat="false" ht="12" hidden="false" customHeight="true" outlineLevel="0" collapsed="false">
      <c r="B48" s="60" t="s">
        <v>258</v>
      </c>
      <c r="C48" s="61" t="n">
        <f aca="false">1_DATOS!C7*2025.4*SIN(RADIANS(20))+1_DATOS!C32*SIN(RADIANS(1_DATOS!C33))</f>
        <v>7428.84770301853</v>
      </c>
      <c r="D48" s="61" t="n">
        <f aca="false">1_DATOS!C7*2025.4*COS(RADIANS(20))+1_DATOS!C32*COS(RADIANS(1_DATOS!C33))</f>
        <v>21955.1577331942</v>
      </c>
      <c r="E48" s="61" t="n">
        <f aca="false">1_DATOS!C32*SIN(RADIANS(1_DATOS!C33))</f>
        <v>-883.883476483184</v>
      </c>
      <c r="F48" s="61" t="n">
        <f aca="false">1_DATOS!C32*COS(RADIANS(1_DATOS!C33))</f>
        <v>-883.883476483185</v>
      </c>
    </row>
    <row r="49" customFormat="false" ht="12" hidden="false" customHeight="true" outlineLevel="0" collapsed="false">
      <c r="B49" s="60" t="s">
        <v>259</v>
      </c>
      <c r="C49" s="61" t="n">
        <f aca="false">1_DATOS!C7*2025.4*SIN(RADIANS(30))+1_DATOS!C32*SIN(RADIANS(1_DATOS!C33))</f>
        <v>11268.5165235168</v>
      </c>
      <c r="D49" s="61" t="n">
        <f aca="false">1_DATOS!C7*2025.4*COS(RADIANS(30))+1_DATOS!C32*COS(RADIANS(1_DATOS!C33))</f>
        <v>20164.6907574168</v>
      </c>
      <c r="E49" s="61" t="n">
        <f aca="false">1_DATOS!C32*SIN(RADIANS(1_DATOS!C33))</f>
        <v>-883.883476483184</v>
      </c>
      <c r="F49" s="61" t="n">
        <f aca="false">1_DATOS!C32*COS(RADIANS(1_DATOS!C33))</f>
        <v>-883.883476483185</v>
      </c>
    </row>
    <row r="50" customFormat="false" ht="12" hidden="false" customHeight="true" outlineLevel="0" collapsed="false">
      <c r="B50" s="60" t="s">
        <v>260</v>
      </c>
      <c r="C50" s="61" t="n">
        <f aca="false">1_DATOS!C7*2025.4*SIN(RADIANS(40))+1_DATOS!C32*SIN(RADIANS(1_DATOS!C33))</f>
        <v>14738.9408194262</v>
      </c>
      <c r="D50" s="61" t="n">
        <f aca="false">1_DATOS!C7*2025.4*COS(RADIANS(40))+1_DATOS!C32*COS(RADIANS(1_DATOS!C33))</f>
        <v>17734.673504635</v>
      </c>
      <c r="E50" s="61" t="n">
        <f aca="false">1_DATOS!C32*SIN(RADIANS(1_DATOS!C33))</f>
        <v>-883.883476483184</v>
      </c>
      <c r="F50" s="61" t="n">
        <f aca="false">1_DATOS!C32*COS(RADIANS(1_DATOS!C33))</f>
        <v>-883.883476483185</v>
      </c>
    </row>
    <row r="51" customFormat="false" ht="12" hidden="false" customHeight="true" outlineLevel="0" collapsed="false">
      <c r="B51" s="60" t="s">
        <v>261</v>
      </c>
      <c r="C51" s="61" t="n">
        <f aca="false">1_DATOS!C7*2025.4*SIN(RADIANS(50))+1_DATOS!C32*SIN(RADIANS(1_DATOS!C33))</f>
        <v>17734.673504635</v>
      </c>
      <c r="D51" s="61" t="n">
        <f aca="false">1_DATOS!C7*2025.4*COS(RADIANS(50))+1_DATOS!C32*COS(RADIANS(1_DATOS!C33))</f>
        <v>14738.9408194262</v>
      </c>
      <c r="E51" s="61" t="n">
        <f aca="false">1_DATOS!C32*SIN(RADIANS(1_DATOS!C33))</f>
        <v>-883.883476483184</v>
      </c>
      <c r="F51" s="61" t="n">
        <f aca="false">1_DATOS!C32*COS(RADIANS(1_DATOS!C33))</f>
        <v>-883.883476483185</v>
      </c>
    </row>
    <row r="52" customFormat="false" ht="12" hidden="false" customHeight="true" outlineLevel="0" collapsed="false">
      <c r="B52" s="60" t="s">
        <v>262</v>
      </c>
      <c r="C52" s="61" t="n">
        <f aca="false">1_DATOS!C7*2025.4*SIN(RADIANS(60))+1_DATOS!C32*SIN(RADIANS(1_DATOS!C33))</f>
        <v>20164.6907574168</v>
      </c>
      <c r="D52" s="61" t="n">
        <f aca="false">1_DATOS!C7*2025.4*COS(RADIANS(60))+1_DATOS!C32*COS(RADIANS(1_DATOS!C33))</f>
        <v>11268.5165235168</v>
      </c>
      <c r="E52" s="61" t="n">
        <f aca="false">1_DATOS!C32*SIN(RADIANS(1_DATOS!C33))</f>
        <v>-883.883476483184</v>
      </c>
      <c r="F52" s="61" t="n">
        <f aca="false">1_DATOS!C32*COS(RADIANS(1_DATOS!C33))</f>
        <v>-883.883476483185</v>
      </c>
    </row>
    <row r="53" customFormat="false" ht="12" hidden="false" customHeight="true" outlineLevel="0" collapsed="false">
      <c r="B53" s="60" t="s">
        <v>263</v>
      </c>
      <c r="C53" s="61" t="n">
        <f aca="false">1_DATOS!C7*2025.4*SIN(RADIANS(70))+1_DATOS!C32*SIN(RADIANS(1_DATOS!C33))</f>
        <v>21955.1577331942</v>
      </c>
      <c r="D53" s="61" t="n">
        <f aca="false">1_DATOS!C7*2025.4*COS(RADIANS(70))+1_DATOS!C32*COS(RADIANS(1_DATOS!C33))</f>
        <v>7428.84770301853</v>
      </c>
      <c r="E53" s="61" t="n">
        <f aca="false">1_DATOS!C32*SIN(RADIANS(1_DATOS!C33))</f>
        <v>-883.883476483184</v>
      </c>
      <c r="F53" s="61" t="n">
        <f aca="false">1_DATOS!C32*COS(RADIANS(1_DATOS!C33))</f>
        <v>-883.883476483185</v>
      </c>
    </row>
    <row r="54" customFormat="false" ht="12" hidden="false" customHeight="true" outlineLevel="0" collapsed="false">
      <c r="B54" s="60" t="s">
        <v>264</v>
      </c>
      <c r="C54" s="61" t="n">
        <f aca="false">1_DATOS!C7*2025.4*SIN(RADIANS(80))+1_DATOS!C32*SIN(RADIANS(1_DATOS!C33))</f>
        <v>23051.6719989279</v>
      </c>
      <c r="D54" s="61" t="n">
        <f aca="false">1_DATOS!C7*2025.4*COS(RADIANS(80))+1_DATOS!C32*COS(RADIANS(1_DATOS!C33))</f>
        <v>3336.60075207603</v>
      </c>
      <c r="E54" s="61" t="n">
        <f aca="false">1_DATOS!C32*SIN(RADIANS(1_DATOS!C33))</f>
        <v>-883.883476483184</v>
      </c>
      <c r="F54" s="61" t="n">
        <f aca="false">1_DATOS!C32*COS(RADIANS(1_DATOS!C33))</f>
        <v>-883.883476483185</v>
      </c>
    </row>
    <row r="55" customFormat="false" ht="12" hidden="false" customHeight="true" outlineLevel="0" collapsed="false">
      <c r="B55" s="60" t="s">
        <v>265</v>
      </c>
      <c r="C55" s="61" t="n">
        <f aca="false">1_DATOS!C7*2025.4*SIN(RADIANS(90))+1_DATOS!C32*SIN(RADIANS(1_DATOS!C33))</f>
        <v>23420.9165235168</v>
      </c>
      <c r="D55" s="61" t="n">
        <f aca="false">1_DATOS!C7*2025.4*COS(RADIANS(90))+1_DATOS!C32*COS(RADIANS(1_DATOS!C33))</f>
        <v>-883.883476483183</v>
      </c>
      <c r="E55" s="61" t="n">
        <f aca="false">1_DATOS!C32*SIN(RADIANS(1_DATOS!C33))</f>
        <v>-883.883476483184</v>
      </c>
      <c r="F55" s="61" t="n">
        <f aca="false">1_DATOS!C32*COS(RADIANS(1_DATOS!C33))</f>
        <v>-883.883476483185</v>
      </c>
    </row>
    <row r="56" customFormat="false" ht="12" hidden="false" customHeight="true" outlineLevel="0" collapsed="false">
      <c r="B56" s="60" t="s">
        <v>266</v>
      </c>
      <c r="C56" s="61" t="n">
        <f aca="false">1_DATOS!C7*2025.4*SIN(RADIANS(100))+1_DATOS!C32*SIN(RADIANS(1_DATOS!C33))</f>
        <v>23051.6719989279</v>
      </c>
      <c r="D56" s="61" t="n">
        <f aca="false">1_DATOS!C7*2025.4*COS(RADIANS(100))+1_DATOS!C32*COS(RADIANS(1_DATOS!C33))</f>
        <v>-5104.36770504239</v>
      </c>
      <c r="E56" s="61" t="n">
        <f aca="false">1_DATOS!C32*SIN(RADIANS(1_DATOS!C33))</f>
        <v>-883.883476483184</v>
      </c>
      <c r="F56" s="61" t="n">
        <f aca="false">1_DATOS!C32*COS(RADIANS(1_DATOS!C33))</f>
        <v>-883.883476483185</v>
      </c>
    </row>
    <row r="57" customFormat="false" ht="12" hidden="false" customHeight="true" outlineLevel="0" collapsed="false">
      <c r="B57" s="60" t="s">
        <v>267</v>
      </c>
      <c r="C57" s="61" t="n">
        <f aca="false">1_DATOS!C7*2025.4*SIN(RADIANS(110))+1_DATOS!C32*SIN(RADIANS(1_DATOS!C33))</f>
        <v>21955.1577331942</v>
      </c>
      <c r="D57" s="61" t="n">
        <f aca="false">1_DATOS!C7*2025.4*COS(RADIANS(110))+1_DATOS!C32*COS(RADIANS(1_DATOS!C33))</f>
        <v>-9196.6146559849</v>
      </c>
      <c r="E57" s="61" t="n">
        <f aca="false">1_DATOS!C32*SIN(RADIANS(1_DATOS!C33))</f>
        <v>-883.883476483184</v>
      </c>
      <c r="F57" s="61" t="n">
        <f aca="false">1_DATOS!C32*COS(RADIANS(1_DATOS!C33))</f>
        <v>-883.883476483185</v>
      </c>
    </row>
    <row r="58" customFormat="false" ht="12" hidden="false" customHeight="true" outlineLevel="0" collapsed="false">
      <c r="B58" s="60" t="s">
        <v>268</v>
      </c>
      <c r="C58" s="61" t="n">
        <f aca="false">1_DATOS!C7*2025.4*SIN(RADIANS(120))+1_DATOS!C32*SIN(RADIANS(1_DATOS!C33))</f>
        <v>20164.6907574168</v>
      </c>
      <c r="D58" s="61" t="n">
        <f aca="false">1_DATOS!C7*2025.4*COS(RADIANS(120))+1_DATOS!C32*COS(RADIANS(1_DATOS!C33))</f>
        <v>-13036.2834764832</v>
      </c>
      <c r="E58" s="61" t="n">
        <f aca="false">1_DATOS!C32*SIN(RADIANS(1_DATOS!C33))</f>
        <v>-883.883476483184</v>
      </c>
      <c r="F58" s="61" t="n">
        <f aca="false">1_DATOS!C32*COS(RADIANS(1_DATOS!C33))</f>
        <v>-883.883476483185</v>
      </c>
    </row>
    <row r="59" customFormat="false" ht="12" hidden="false" customHeight="true" outlineLevel="0" collapsed="false">
      <c r="B59" s="60" t="s">
        <v>269</v>
      </c>
      <c r="C59" s="61" t="n">
        <f aca="false">1_DATOS!C7*2025.4*SIN(RADIANS(130))+1_DATOS!C32*SIN(RADIANS(1_DATOS!C33))</f>
        <v>17734.673504635</v>
      </c>
      <c r="D59" s="61" t="n">
        <f aca="false">1_DATOS!C7*2025.4*COS(RADIANS(130))+1_DATOS!C32*COS(RADIANS(1_DATOS!C33))</f>
        <v>-16506.7077723926</v>
      </c>
      <c r="E59" s="61" t="n">
        <f aca="false">1_DATOS!C32*SIN(RADIANS(1_DATOS!C33))</f>
        <v>-883.883476483184</v>
      </c>
      <c r="F59" s="61" t="n">
        <f aca="false">1_DATOS!C32*COS(RADIANS(1_DATOS!C33))</f>
        <v>-883.883476483185</v>
      </c>
    </row>
    <row r="60" customFormat="false" ht="12" hidden="false" customHeight="true" outlineLevel="0" collapsed="false">
      <c r="B60" s="60" t="s">
        <v>270</v>
      </c>
      <c r="C60" s="61" t="n">
        <f aca="false">1_DATOS!C7*2025.4*SIN(RADIANS(140))+1_DATOS!C32*SIN(RADIANS(1_DATOS!C33))</f>
        <v>14738.9408194262</v>
      </c>
      <c r="D60" s="61" t="n">
        <f aca="false">1_DATOS!C7*2025.4*COS(RADIANS(140))+1_DATOS!C32*COS(RADIANS(1_DATOS!C33))</f>
        <v>-19502.4404576013</v>
      </c>
      <c r="E60" s="61" t="n">
        <f aca="false">1_DATOS!C32*SIN(RADIANS(1_DATOS!C33))</f>
        <v>-883.883476483184</v>
      </c>
      <c r="F60" s="61" t="n">
        <f aca="false">1_DATOS!C32*COS(RADIANS(1_DATOS!C33))</f>
        <v>-883.883476483185</v>
      </c>
    </row>
    <row r="61" customFormat="false" ht="12" hidden="false" customHeight="true" outlineLevel="0" collapsed="false">
      <c r="B61" s="60" t="s">
        <v>271</v>
      </c>
      <c r="C61" s="61" t="n">
        <f aca="false">1_DATOS!C7*2025.4*SIN(RADIANS(150))+1_DATOS!C32*SIN(RADIANS(1_DATOS!C33))</f>
        <v>11268.5165235168</v>
      </c>
      <c r="D61" s="61" t="n">
        <f aca="false">1_DATOS!C7*2025.4*COS(RADIANS(150))+1_DATOS!C32*COS(RADIANS(1_DATOS!C33))</f>
        <v>-21932.4577103832</v>
      </c>
      <c r="E61" s="61" t="n">
        <f aca="false">1_DATOS!C32*SIN(RADIANS(1_DATOS!C33))</f>
        <v>-883.883476483184</v>
      </c>
      <c r="F61" s="61" t="n">
        <f aca="false">1_DATOS!C32*COS(RADIANS(1_DATOS!C33))</f>
        <v>-883.883476483185</v>
      </c>
    </row>
    <row r="62" customFormat="false" ht="12" hidden="false" customHeight="true" outlineLevel="0" collapsed="false">
      <c r="B62" s="60" t="s">
        <v>272</v>
      </c>
      <c r="C62" s="61" t="n">
        <f aca="false">1_DATOS!C7*2025.4*SIN(RADIANS(160))+1_DATOS!C32*SIN(RADIANS(1_DATOS!C33))</f>
        <v>7428.84770301853</v>
      </c>
      <c r="D62" s="61" t="n">
        <f aca="false">1_DATOS!C7*2025.4*COS(RADIANS(160))+1_DATOS!C32*COS(RADIANS(1_DATOS!C33))</f>
        <v>-23722.9246861605</v>
      </c>
      <c r="E62" s="61" t="n">
        <f aca="false">1_DATOS!C32*SIN(RADIANS(1_DATOS!C33))</f>
        <v>-883.883476483184</v>
      </c>
      <c r="F62" s="61" t="n">
        <f aca="false">1_DATOS!C32*COS(RADIANS(1_DATOS!C33))</f>
        <v>-883.883476483185</v>
      </c>
    </row>
    <row r="63" customFormat="false" ht="12" hidden="false" customHeight="true" outlineLevel="0" collapsed="false">
      <c r="B63" s="60" t="s">
        <v>273</v>
      </c>
      <c r="C63" s="61" t="n">
        <f aca="false">1_DATOS!C7*2025.4*SIN(RADIANS(170))+1_DATOS!C32*SIN(RADIANS(1_DATOS!C33))</f>
        <v>3336.60075207603</v>
      </c>
      <c r="D63" s="61" t="n">
        <f aca="false">1_DATOS!C7*2025.4*COS(RADIANS(170))+1_DATOS!C32*COS(RADIANS(1_DATOS!C33))</f>
        <v>-24819.4389518943</v>
      </c>
      <c r="E63" s="61" t="n">
        <f aca="false">1_DATOS!C32*SIN(RADIANS(1_DATOS!C33))</f>
        <v>-883.883476483184</v>
      </c>
      <c r="F63" s="61" t="n">
        <f aca="false">1_DATOS!C32*COS(RADIANS(1_DATOS!C33))</f>
        <v>-883.883476483185</v>
      </c>
    </row>
    <row r="64" customFormat="false" ht="12" hidden="false" customHeight="true" outlineLevel="0" collapsed="false">
      <c r="B64" s="60" t="s">
        <v>274</v>
      </c>
      <c r="C64" s="61" t="n">
        <f aca="false">1_DATOS!C7*2025.4*SIN(RADIANS(180))+1_DATOS!C32*SIN(RADIANS(1_DATOS!C33))</f>
        <v>-883.883476483181</v>
      </c>
      <c r="D64" s="61" t="n">
        <f aca="false">1_DATOS!C7*2025.4*COS(RADIANS(180))+1_DATOS!C32*COS(RADIANS(1_DATOS!C33))</f>
        <v>-25188.6834764832</v>
      </c>
      <c r="E64" s="61" t="n">
        <f aca="false">1_DATOS!C32*SIN(RADIANS(1_DATOS!C33))</f>
        <v>-883.883476483184</v>
      </c>
      <c r="F64" s="61" t="n">
        <f aca="false">1_DATOS!C32*COS(RADIANS(1_DATOS!C33))</f>
        <v>-883.883476483185</v>
      </c>
    </row>
    <row r="65" customFormat="false" ht="12" hidden="false" customHeight="true" outlineLevel="0" collapsed="false">
      <c r="B65" s="60" t="s">
        <v>275</v>
      </c>
      <c r="C65" s="61" t="n">
        <f aca="false">1_DATOS!C7*2025.4*SIN(RADIANS(190))+1_DATOS!C32*SIN(RADIANS(1_DATOS!C33))</f>
        <v>-5104.3677050424</v>
      </c>
      <c r="D65" s="61" t="n">
        <f aca="false">1_DATOS!C7*2025.4*COS(RADIANS(190))+1_DATOS!C32*COS(RADIANS(1_DATOS!C33))</f>
        <v>-24819.4389518943</v>
      </c>
      <c r="E65" s="61" t="n">
        <f aca="false">1_DATOS!C32*SIN(RADIANS(1_DATOS!C33))</f>
        <v>-883.883476483184</v>
      </c>
      <c r="F65" s="61" t="n">
        <f aca="false">1_DATOS!C32*COS(RADIANS(1_DATOS!C33))</f>
        <v>-883.883476483185</v>
      </c>
    </row>
    <row r="66" customFormat="false" ht="12" hidden="false" customHeight="true" outlineLevel="0" collapsed="false">
      <c r="B66" s="60" t="s">
        <v>276</v>
      </c>
      <c r="C66" s="61" t="n">
        <f aca="false">1_DATOS!C7*2025.4*SIN(RADIANS(200))+1_DATOS!C32*SIN(RADIANS(1_DATOS!C33))</f>
        <v>-9196.6146559849</v>
      </c>
      <c r="D66" s="61" t="n">
        <f aca="false">1_DATOS!C7*2025.4*COS(RADIANS(200))+1_DATOS!C32*COS(RADIANS(1_DATOS!C33))</f>
        <v>-23722.9246861605</v>
      </c>
      <c r="E66" s="61" t="n">
        <f aca="false">1_DATOS!C32*SIN(RADIANS(1_DATOS!C33))</f>
        <v>-883.883476483184</v>
      </c>
      <c r="F66" s="61" t="n">
        <f aca="false">1_DATOS!C32*COS(RADIANS(1_DATOS!C33))</f>
        <v>-883.883476483185</v>
      </c>
    </row>
    <row r="67" customFormat="false" ht="12" hidden="false" customHeight="true" outlineLevel="0" collapsed="false">
      <c r="B67" s="60" t="s">
        <v>277</v>
      </c>
      <c r="C67" s="61" t="n">
        <f aca="false">1_DATOS!C7*2025.4*SIN(RADIANS(210))+1_DATOS!C32*SIN(RADIANS(1_DATOS!C33))</f>
        <v>-13036.2834764832</v>
      </c>
      <c r="D67" s="61" t="n">
        <f aca="false">1_DATOS!C7*2025.4*COS(RADIANS(210))+1_DATOS!C32*COS(RADIANS(1_DATOS!C33))</f>
        <v>-21932.4577103832</v>
      </c>
      <c r="E67" s="61" t="n">
        <f aca="false">1_DATOS!C32*SIN(RADIANS(1_DATOS!C33))</f>
        <v>-883.883476483184</v>
      </c>
      <c r="F67" s="61" t="n">
        <f aca="false">1_DATOS!C32*COS(RADIANS(1_DATOS!C33))</f>
        <v>-883.883476483185</v>
      </c>
    </row>
    <row r="68" customFormat="false" ht="12" hidden="false" customHeight="true" outlineLevel="0" collapsed="false">
      <c r="B68" s="60" t="s">
        <v>278</v>
      </c>
      <c r="C68" s="61" t="n">
        <f aca="false">1_DATOS!C7*2025.4*SIN(RADIANS(220))+1_DATOS!C32*SIN(RADIANS(1_DATOS!C33))</f>
        <v>-16506.7077723926</v>
      </c>
      <c r="D68" s="61" t="n">
        <f aca="false">1_DATOS!C7*2025.4*COS(RADIANS(220))+1_DATOS!C32*COS(RADIANS(1_DATOS!C33))</f>
        <v>-19502.4404576013</v>
      </c>
      <c r="E68" s="61" t="n">
        <f aca="false">1_DATOS!C32*SIN(RADIANS(1_DATOS!C33))</f>
        <v>-883.883476483184</v>
      </c>
      <c r="F68" s="61" t="n">
        <f aca="false">1_DATOS!C32*COS(RADIANS(1_DATOS!C33))</f>
        <v>-883.883476483185</v>
      </c>
    </row>
    <row r="69" customFormat="false" ht="12" hidden="false" customHeight="true" outlineLevel="0" collapsed="false">
      <c r="B69" s="60" t="s">
        <v>279</v>
      </c>
      <c r="C69" s="61" t="n">
        <f aca="false">1_DATOS!C7*2025.4*SIN(RADIANS(230))+1_DATOS!C32*SIN(RADIANS(1_DATOS!C33))</f>
        <v>-19502.4404576013</v>
      </c>
      <c r="D69" s="61" t="n">
        <f aca="false">1_DATOS!C7*2025.4*COS(RADIANS(230))+1_DATOS!C32*COS(RADIANS(1_DATOS!C33))</f>
        <v>-16506.7077723926</v>
      </c>
      <c r="E69" s="61" t="n">
        <f aca="false">1_DATOS!C32*SIN(RADIANS(1_DATOS!C33))</f>
        <v>-883.883476483184</v>
      </c>
      <c r="F69" s="61" t="n">
        <f aca="false">1_DATOS!C32*COS(RADIANS(1_DATOS!C33))</f>
        <v>-883.883476483185</v>
      </c>
    </row>
    <row r="70" customFormat="false" ht="12" hidden="false" customHeight="true" outlineLevel="0" collapsed="false">
      <c r="B70" s="60" t="s">
        <v>280</v>
      </c>
      <c r="C70" s="61" t="n">
        <f aca="false">1_DATOS!C7*2025.4*SIN(RADIANS(240))+1_DATOS!C32*SIN(RADIANS(1_DATOS!C33))</f>
        <v>-21932.4577103832</v>
      </c>
      <c r="D70" s="61" t="n">
        <f aca="false">1_DATOS!C7*2025.4*COS(RADIANS(240))+1_DATOS!C32*COS(RADIANS(1_DATOS!C33))</f>
        <v>-13036.2834764832</v>
      </c>
      <c r="E70" s="61" t="n">
        <f aca="false">1_DATOS!C32*SIN(RADIANS(1_DATOS!C33))</f>
        <v>-883.883476483184</v>
      </c>
      <c r="F70" s="61" t="n">
        <f aca="false">1_DATOS!C32*COS(RADIANS(1_DATOS!C33))</f>
        <v>-883.883476483185</v>
      </c>
    </row>
    <row r="71" customFormat="false" ht="12" hidden="false" customHeight="true" outlineLevel="0" collapsed="false">
      <c r="B71" s="60" t="s">
        <v>281</v>
      </c>
      <c r="C71" s="61" t="n">
        <f aca="false">1_DATOS!C7*2025.4*SIN(RADIANS(250))+1_DATOS!C32*SIN(RADIANS(1_DATOS!C33))</f>
        <v>-23722.9246861605</v>
      </c>
      <c r="D71" s="61" t="n">
        <f aca="false">1_DATOS!C7*2025.4*COS(RADIANS(250))+1_DATOS!C32*COS(RADIANS(1_DATOS!C33))</f>
        <v>-9196.61465598492</v>
      </c>
      <c r="E71" s="61" t="n">
        <f aca="false">1_DATOS!C32*SIN(RADIANS(1_DATOS!C33))</f>
        <v>-883.883476483184</v>
      </c>
      <c r="F71" s="61" t="n">
        <f aca="false">1_DATOS!C32*COS(RADIANS(1_DATOS!C33))</f>
        <v>-883.883476483185</v>
      </c>
    </row>
    <row r="72" customFormat="false" ht="12" hidden="false" customHeight="true" outlineLevel="0" collapsed="false">
      <c r="B72" s="60" t="s">
        <v>282</v>
      </c>
      <c r="C72" s="61" t="n">
        <f aca="false">1_DATOS!C7*2025.4*SIN(RADIANS(260))+1_DATOS!C32*SIN(RADIANS(1_DATOS!C33))</f>
        <v>-24819.4389518943</v>
      </c>
      <c r="D72" s="61" t="n">
        <f aca="false">1_DATOS!C7*2025.4*COS(RADIANS(260))+1_DATOS!C32*COS(RADIANS(1_DATOS!C33))</f>
        <v>-5104.36770504239</v>
      </c>
      <c r="E72" s="61" t="n">
        <f aca="false">1_DATOS!C32*SIN(RADIANS(1_DATOS!C33))</f>
        <v>-883.883476483184</v>
      </c>
      <c r="F72" s="61" t="n">
        <f aca="false">1_DATOS!C32*COS(RADIANS(1_DATOS!C33))</f>
        <v>-883.883476483185</v>
      </c>
    </row>
    <row r="73" customFormat="false" ht="12" hidden="false" customHeight="true" outlineLevel="0" collapsed="false">
      <c r="B73" s="60" t="s">
        <v>283</v>
      </c>
      <c r="C73" s="61" t="n">
        <f aca="false">1_DATOS!C7*2025.4*SIN(RADIANS(270))+1_DATOS!C32*SIN(RADIANS(1_DATOS!C33))</f>
        <v>-25188.6834764832</v>
      </c>
      <c r="D73" s="61" t="n">
        <f aca="false">1_DATOS!C7*2025.4*COS(RADIANS(270))+1_DATOS!C32*COS(RADIANS(1_DATOS!C33))</f>
        <v>-883.883476483189</v>
      </c>
      <c r="E73" s="61" t="n">
        <f aca="false">1_DATOS!C32*SIN(RADIANS(1_DATOS!C33))</f>
        <v>-883.883476483184</v>
      </c>
      <c r="F73" s="61" t="n">
        <f aca="false">1_DATOS!C32*COS(RADIANS(1_DATOS!C33))</f>
        <v>-883.883476483185</v>
      </c>
    </row>
    <row r="74" customFormat="false" ht="12" hidden="false" customHeight="true" outlineLevel="0" collapsed="false">
      <c r="B74" s="60" t="s">
        <v>284</v>
      </c>
      <c r="C74" s="61" t="n">
        <f aca="false">1_DATOS!C7*2025.4*SIN(RADIANS(280))+1_DATOS!C32*SIN(RADIANS(1_DATOS!C33))</f>
        <v>-24819.4389518943</v>
      </c>
      <c r="D74" s="61" t="n">
        <f aca="false">1_DATOS!C7*2025.4*COS(RADIANS(280))+1_DATOS!C32*COS(RADIANS(1_DATOS!C33))</f>
        <v>3336.60075207602</v>
      </c>
      <c r="E74" s="61" t="n">
        <f aca="false">1_DATOS!C32*SIN(RADIANS(1_DATOS!C33))</f>
        <v>-883.883476483184</v>
      </c>
      <c r="F74" s="61" t="n">
        <f aca="false">1_DATOS!C32*COS(RADIANS(1_DATOS!C33))</f>
        <v>-883.883476483185</v>
      </c>
    </row>
    <row r="75" customFormat="false" ht="12" hidden="false" customHeight="true" outlineLevel="0" collapsed="false">
      <c r="B75" s="60" t="s">
        <v>285</v>
      </c>
      <c r="C75" s="61" t="n">
        <f aca="false">1_DATOS!C7*2025.4*SIN(RADIANS(290))+1_DATOS!C32*SIN(RADIANS(1_DATOS!C33))</f>
        <v>-23722.9246861605</v>
      </c>
      <c r="D75" s="61" t="n">
        <f aca="false">1_DATOS!C7*2025.4*COS(RADIANS(290))+1_DATOS!C32*COS(RADIANS(1_DATOS!C33))</f>
        <v>7428.84770301854</v>
      </c>
      <c r="E75" s="61" t="n">
        <f aca="false">1_DATOS!C32*SIN(RADIANS(1_DATOS!C33))</f>
        <v>-883.883476483184</v>
      </c>
      <c r="F75" s="61" t="n">
        <f aca="false">1_DATOS!C32*COS(RADIANS(1_DATOS!C33))</f>
        <v>-883.883476483185</v>
      </c>
    </row>
    <row r="76" customFormat="false" ht="12" hidden="false" customHeight="true" outlineLevel="0" collapsed="false">
      <c r="B76" s="60" t="s">
        <v>286</v>
      </c>
      <c r="C76" s="61" t="n">
        <f aca="false">1_DATOS!C7*2025.4*SIN(RADIANS(300))+1_DATOS!C32*SIN(RADIANS(1_DATOS!C33))</f>
        <v>-21932.4577103832</v>
      </c>
      <c r="D76" s="61" t="n">
        <f aca="false">1_DATOS!C7*2025.4*COS(RADIANS(300))+1_DATOS!C32*COS(RADIANS(1_DATOS!C33))</f>
        <v>11268.5165235168</v>
      </c>
      <c r="E76" s="61" t="n">
        <f aca="false">1_DATOS!C32*SIN(RADIANS(1_DATOS!C33))</f>
        <v>-883.883476483184</v>
      </c>
      <c r="F76" s="61" t="n">
        <f aca="false">1_DATOS!C32*COS(RADIANS(1_DATOS!C33))</f>
        <v>-883.883476483185</v>
      </c>
    </row>
    <row r="77" customFormat="false" ht="12" hidden="false" customHeight="true" outlineLevel="0" collapsed="false">
      <c r="B77" s="60" t="s">
        <v>287</v>
      </c>
      <c r="C77" s="61" t="n">
        <f aca="false">1_DATOS!C7*2025.4*SIN(RADIANS(310))+1_DATOS!C32*SIN(RADIANS(1_DATOS!C33))</f>
        <v>-19502.4404576013</v>
      </c>
      <c r="D77" s="61" t="n">
        <f aca="false">1_DATOS!C7*2025.4*COS(RADIANS(310))+1_DATOS!C32*COS(RADIANS(1_DATOS!C33))</f>
        <v>14738.9408194262</v>
      </c>
      <c r="E77" s="61" t="n">
        <f aca="false">1_DATOS!C32*SIN(RADIANS(1_DATOS!C33))</f>
        <v>-883.883476483184</v>
      </c>
      <c r="F77" s="61" t="n">
        <f aca="false">1_DATOS!C32*COS(RADIANS(1_DATOS!C33))</f>
        <v>-883.883476483185</v>
      </c>
    </row>
    <row r="78" customFormat="false" ht="12" hidden="false" customHeight="true" outlineLevel="0" collapsed="false">
      <c r="B78" s="60" t="s">
        <v>288</v>
      </c>
      <c r="C78" s="61" t="n">
        <f aca="false">1_DATOS!C7*2025.4*SIN(RADIANS(320))+1_DATOS!C32*SIN(RADIANS(1_DATOS!C33))</f>
        <v>-16506.7077723926</v>
      </c>
      <c r="D78" s="61" t="n">
        <f aca="false">1_DATOS!C7*2025.4*COS(RADIANS(320))+1_DATOS!C32*COS(RADIANS(1_DATOS!C33))</f>
        <v>17734.673504635</v>
      </c>
      <c r="E78" s="61" t="n">
        <f aca="false">1_DATOS!C32*SIN(RADIANS(1_DATOS!C33))</f>
        <v>-883.883476483184</v>
      </c>
      <c r="F78" s="61" t="n">
        <f aca="false">1_DATOS!C32*COS(RADIANS(1_DATOS!C33))</f>
        <v>-883.883476483185</v>
      </c>
    </row>
    <row r="79" customFormat="false" ht="12" hidden="false" customHeight="true" outlineLevel="0" collapsed="false">
      <c r="B79" s="60" t="s">
        <v>289</v>
      </c>
      <c r="C79" s="61" t="n">
        <f aca="false">1_DATOS!C7*2025.4*SIN(RADIANS(330))+1_DATOS!C32*SIN(RADIANS(1_DATOS!C33))</f>
        <v>-13036.2834764832</v>
      </c>
      <c r="D79" s="61" t="n">
        <f aca="false">1_DATOS!C7*2025.4*COS(RADIANS(330))+1_DATOS!C32*COS(RADIANS(1_DATOS!C33))</f>
        <v>20164.6907574168</v>
      </c>
      <c r="E79" s="61" t="n">
        <f aca="false">1_DATOS!C32*SIN(RADIANS(1_DATOS!C33))</f>
        <v>-883.883476483184</v>
      </c>
      <c r="F79" s="61" t="n">
        <f aca="false">1_DATOS!C32*COS(RADIANS(1_DATOS!C33))</f>
        <v>-883.883476483185</v>
      </c>
    </row>
    <row r="80" customFormat="false" ht="12" hidden="false" customHeight="true" outlineLevel="0" collapsed="false">
      <c r="B80" s="60" t="s">
        <v>290</v>
      </c>
      <c r="C80" s="61" t="n">
        <f aca="false">1_DATOS!C7*2025.4*SIN(RADIANS(340))+1_DATOS!C32*SIN(RADIANS(1_DATOS!C33))</f>
        <v>-9196.61465598492</v>
      </c>
      <c r="D80" s="61" t="n">
        <f aca="false">1_DATOS!C7*2025.4*COS(RADIANS(340))+1_DATOS!C32*COS(RADIANS(1_DATOS!C33))</f>
        <v>21955.1577331942</v>
      </c>
      <c r="E80" s="61" t="n">
        <f aca="false">1_DATOS!C32*SIN(RADIANS(1_DATOS!C33))</f>
        <v>-883.883476483184</v>
      </c>
      <c r="F80" s="61" t="n">
        <f aca="false">1_DATOS!C32*COS(RADIANS(1_DATOS!C33))</f>
        <v>-883.883476483185</v>
      </c>
    </row>
    <row r="81" customFormat="false" ht="12" hidden="false" customHeight="true" outlineLevel="0" collapsed="false">
      <c r="B81" s="60" t="s">
        <v>291</v>
      </c>
      <c r="C81" s="61" t="n">
        <f aca="false">1_DATOS!C7*2025.4*SIN(RADIANS(350))+1_DATOS!C32*SIN(RADIANS(1_DATOS!C33))</f>
        <v>-5104.3677050424</v>
      </c>
      <c r="D81" s="61" t="n">
        <f aca="false">1_DATOS!C7*2025.4*COS(RADIANS(350))+1_DATOS!C32*COS(RADIANS(1_DATOS!C33))</f>
        <v>23051.6719989279</v>
      </c>
      <c r="E81" s="61" t="n">
        <f aca="false">1_DATOS!C32*SIN(RADIANS(1_DATOS!C33))</f>
        <v>-883.883476483184</v>
      </c>
      <c r="F81" s="61" t="n">
        <f aca="false">1_DATOS!C32*COS(RADIANS(1_DATOS!C33))</f>
        <v>-883.883476483185</v>
      </c>
    </row>
    <row r="82" customFormat="false" ht="12" hidden="false" customHeight="true" outlineLevel="0" collapsed="false">
      <c r="B82" s="60" t="s">
        <v>292</v>
      </c>
      <c r="C82" s="61" t="n">
        <f aca="false">1_DATOS!C7*2025.4*SIN(RADIANS(360))+1_DATOS!C32*SIN(RADIANS(1_DATOS!C33))</f>
        <v>-883.88347648319</v>
      </c>
      <c r="D82" s="61" t="n">
        <f aca="false">1_DATOS!C7*2025.4*COS(RADIANS(360))+1_DATOS!C32*COS(RADIANS(1_DATOS!C33))</f>
        <v>23420.9165235168</v>
      </c>
      <c r="E82" s="61" t="n">
        <f aca="false">1_DATOS!C32*SIN(RADIANS(1_DATOS!C33))</f>
        <v>-883.883476483184</v>
      </c>
      <c r="F82" s="61" t="n">
        <f aca="false">1_DATOS!C32*COS(RADIANS(1_DATOS!C33))</f>
        <v>-883.883476483185</v>
      </c>
    </row>
    <row r="84" customFormat="false" ht="49.5" hidden="false" customHeight="true" outlineLevel="0" collapsed="false">
      <c r="B84" s="62" t="s">
        <v>298</v>
      </c>
      <c r="C84" s="62"/>
      <c r="D84" s="62"/>
      <c r="E84" s="62"/>
      <c r="F84" s="62"/>
      <c r="G84" s="62"/>
      <c r="H84" s="62"/>
      <c r="I84" s="62"/>
    </row>
  </sheetData>
  <mergeCells count="5">
    <mergeCell ref="B1:I1"/>
    <mergeCell ref="B2:I2"/>
    <mergeCell ref="B4:I4"/>
    <mergeCell ref="B44:I44"/>
    <mergeCell ref="B84:I8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E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"/>
    <col collapsed="false" customWidth="true" hidden="false" outlineLevel="0" max="2" min="2" style="1" width="38"/>
    <col collapsed="false" customWidth="true" hidden="false" outlineLevel="0" max="5" min="3" style="1" width="22"/>
    <col collapsed="false" customWidth="true" hidden="false" outlineLevel="0" max="6" min="6" style="1" width="3"/>
  </cols>
  <sheetData>
    <row r="1" customFormat="false" ht="36" hidden="false" customHeight="true" outlineLevel="0" collapsed="false">
      <c r="B1" s="65" t="s">
        <v>299</v>
      </c>
      <c r="C1" s="65"/>
      <c r="D1" s="65"/>
      <c r="E1" s="65"/>
    </row>
    <row r="3" customFormat="false" ht="19.5" hidden="false" customHeight="true" outlineLevel="0" collapsed="false">
      <c r="B3" s="5" t="s">
        <v>300</v>
      </c>
      <c r="C3" s="5" t="s">
        <v>301</v>
      </c>
      <c r="D3" s="5" t="s">
        <v>302</v>
      </c>
    </row>
    <row r="4" customFormat="false" ht="18" hidden="false" customHeight="true" outlineLevel="0" collapsed="false">
      <c r="B4" s="49" t="s">
        <v>303</v>
      </c>
      <c r="C4" s="66" t="s">
        <v>60</v>
      </c>
      <c r="D4" s="67" t="s">
        <v>62</v>
      </c>
    </row>
    <row r="5" customFormat="false" ht="18" hidden="false" customHeight="true" outlineLevel="0" collapsed="false">
      <c r="B5" s="49" t="s">
        <v>304</v>
      </c>
      <c r="C5" s="66" t="s">
        <v>61</v>
      </c>
      <c r="D5" s="67" t="s">
        <v>305</v>
      </c>
    </row>
    <row r="6" customFormat="false" ht="18" hidden="false" customHeight="true" outlineLevel="0" collapsed="false">
      <c r="B6" s="49" t="s">
        <v>306</v>
      </c>
      <c r="C6" s="68" t="n">
        <f aca="false">1_DATOS!C6</f>
        <v>60</v>
      </c>
      <c r="D6" s="69" t="n">
        <f aca="false">1_DATOS!C7</f>
        <v>12</v>
      </c>
    </row>
    <row r="7" customFormat="false" ht="18" hidden="false" customHeight="true" outlineLevel="0" collapsed="false">
      <c r="B7" s="49" t="s">
        <v>307</v>
      </c>
      <c r="C7" s="66" t="str">
        <f aca="false">1_DATOS!C22&amp;"–"&amp;1_DATOS!C23&amp;" mn"</f>
        <v>10–7 mn</v>
      </c>
      <c r="D7" s="67" t="s">
        <v>308</v>
      </c>
    </row>
    <row r="8" customFormat="false" ht="18" hidden="false" customHeight="true" outlineLevel="0" collapsed="false">
      <c r="B8" s="49" t="s">
        <v>309</v>
      </c>
      <c r="C8" s="70" t="n">
        <f aca="false">1_DATOS!C26/100</f>
        <v>0.8</v>
      </c>
      <c r="D8" s="71" t="n">
        <f aca="false">1_DATOS!C27/100</f>
        <v>0.8</v>
      </c>
    </row>
    <row r="9" customFormat="false" ht="18" hidden="false" customHeight="true" outlineLevel="0" collapsed="false">
      <c r="B9" s="49" t="s">
        <v>310</v>
      </c>
      <c r="C9" s="70" t="n">
        <f aca="false">2_CÁLCULOS!C40</f>
        <v>0.56</v>
      </c>
      <c r="D9" s="71" t="n">
        <f aca="false">2_CÁLCULOS!E40</f>
        <v>0.56</v>
      </c>
    </row>
    <row r="10" customFormat="false" ht="18" hidden="false" customHeight="true" outlineLevel="0" collapsed="false">
      <c r="B10" s="49" t="s">
        <v>311</v>
      </c>
      <c r="C10" s="70" t="n">
        <f aca="false">2_CÁLCULOS!C41</f>
        <v>0.8064</v>
      </c>
      <c r="D10" s="71" t="n">
        <f aca="false">2_CÁLCULOS!E41</f>
        <v>0.8064</v>
      </c>
    </row>
    <row r="11" customFormat="false" ht="18" hidden="false" customHeight="true" outlineLevel="0" collapsed="false">
      <c r="B11" s="49" t="s">
        <v>312</v>
      </c>
      <c r="C11" s="70" t="n">
        <f aca="false">2_CÁLCULOS!C42</f>
        <v>0.8064</v>
      </c>
      <c r="D11" s="71" t="n">
        <f aca="false">2_CÁLCULOS!E42</f>
        <v>0.8064</v>
      </c>
    </row>
    <row r="12" customFormat="false" ht="18" hidden="false" customHeight="true" outlineLevel="0" collapsed="false">
      <c r="B12" s="49" t="s">
        <v>313</v>
      </c>
      <c r="C12" s="66" t="str">
        <f aca="false">2_CÁLCULOS!B44</f>
        <v>Pk TOTAL para GRUPO de tarea (ambos buques en capas):  98.5%</v>
      </c>
      <c r="D12" s="67" t="s">
        <v>305</v>
      </c>
    </row>
    <row r="13" customFormat="false" ht="18" hidden="false" customHeight="true" outlineLevel="0" collapsed="false">
      <c r="B13" s="49" t="s">
        <v>314</v>
      </c>
      <c r="C13" s="68" t="n">
        <f aca="false">1_DATOS!C30</f>
        <v>3500</v>
      </c>
      <c r="D13" s="69" t="n">
        <f aca="false">1_DATOS!C32</f>
        <v>1250</v>
      </c>
    </row>
    <row r="14" customFormat="false" ht="18" hidden="false" customHeight="true" outlineLevel="0" collapsed="false">
      <c r="B14" s="49" t="s">
        <v>315</v>
      </c>
      <c r="C14" s="68" t="n">
        <f aca="false">1_DATOS!C31</f>
        <v>180</v>
      </c>
      <c r="D14" s="69" t="n">
        <f aca="false">1_DATOS!C33</f>
        <v>225</v>
      </c>
    </row>
    <row r="15" customFormat="false" ht="18" hidden="false" customHeight="true" outlineLevel="0" collapsed="false">
      <c r="B15" s="49" t="s">
        <v>51</v>
      </c>
      <c r="C15" s="68" t="n">
        <f aca="false">1_DATOS!C34</f>
        <v>0</v>
      </c>
      <c r="D15" s="69" t="n">
        <f aca="false">1_DATOS!C34</f>
        <v>0</v>
      </c>
    </row>
    <row r="17" customFormat="false" ht="21.75" hidden="false" customHeight="true" outlineLevel="0" collapsed="false">
      <c r="B17" s="72" t="s">
        <v>316</v>
      </c>
      <c r="C17" s="72"/>
      <c r="D17" s="72"/>
      <c r="E17" s="72"/>
    </row>
    <row r="18" customFormat="false" ht="18" hidden="false" customHeight="true" outlineLevel="0" collapsed="false">
      <c r="B18" s="11" t="s">
        <v>317</v>
      </c>
      <c r="C18" s="11" t="s">
        <v>83</v>
      </c>
      <c r="D18" s="11" t="s">
        <v>318</v>
      </c>
      <c r="E18" s="11" t="s">
        <v>319</v>
      </c>
    </row>
    <row r="19" customFormat="false" ht="15.75" hidden="false" customHeight="true" outlineLevel="0" collapsed="false">
      <c r="B19" s="73" t="s">
        <v>320</v>
      </c>
      <c r="C19" s="74" t="s">
        <v>262</v>
      </c>
      <c r="D19" s="44" t="n">
        <f aca="false">60*1852/(1_DATOS!C15*0.5144)</f>
        <v>392.7612045808</v>
      </c>
      <c r="E19" s="75" t="s">
        <v>321</v>
      </c>
    </row>
    <row r="20" customFormat="false" ht="15.75" hidden="false" customHeight="true" outlineLevel="0" collapsed="false">
      <c r="B20" s="73" t="s">
        <v>322</v>
      </c>
      <c r="C20" s="74" t="n">
        <f aca="false">1_DATOS!C19</f>
        <v>10</v>
      </c>
      <c r="D20" s="44" t="n">
        <f aca="false">1_DATOS!C19*1852/(1_DATOS!C15*0.5144)</f>
        <v>65.4602007634667</v>
      </c>
      <c r="E20" s="75" t="s">
        <v>323</v>
      </c>
    </row>
    <row r="21" customFormat="false" ht="15.75" hidden="false" customHeight="true" outlineLevel="0" collapsed="false">
      <c r="B21" s="73" t="s">
        <v>324</v>
      </c>
      <c r="C21" s="74" t="n">
        <f aca="false">1_DATOS!C6</f>
        <v>60</v>
      </c>
      <c r="D21" s="44" t="n">
        <f aca="false">1_DATOS!C6*1852/(1_DATOS!C15*0.5144)</f>
        <v>392.7612045808</v>
      </c>
      <c r="E21" s="75" t="s">
        <v>325</v>
      </c>
    </row>
    <row r="22" customFormat="false" ht="15.75" hidden="false" customHeight="true" outlineLevel="0" collapsed="false">
      <c r="B22" s="73" t="s">
        <v>326</v>
      </c>
      <c r="C22" s="74" t="n">
        <f aca="false">1_DATOS!C5</f>
        <v>25</v>
      </c>
      <c r="D22" s="44" t="n">
        <f aca="false">1_DATOS!C5*1852/(1_DATOS!C15*0.5144)</f>
        <v>163.650501908667</v>
      </c>
      <c r="E22" s="75" t="s">
        <v>327</v>
      </c>
    </row>
    <row r="23" customFormat="false" ht="15.75" hidden="false" customHeight="true" outlineLevel="0" collapsed="false">
      <c r="B23" s="73" t="s">
        <v>328</v>
      </c>
      <c r="C23" s="74" t="s">
        <v>119</v>
      </c>
      <c r="D23" s="44" t="n">
        <f aca="false">5*1852/(1_DATOS!C15*0.5144)</f>
        <v>32.7301003817334</v>
      </c>
      <c r="E23" s="75" t="s">
        <v>329</v>
      </c>
    </row>
    <row r="24" customFormat="false" ht="15.75" hidden="false" customHeight="true" outlineLevel="0" collapsed="false">
      <c r="B24" s="73" t="s">
        <v>330</v>
      </c>
      <c r="C24" s="74" t="n">
        <f aca="false">1_DATOS!C7</f>
        <v>12</v>
      </c>
      <c r="D24" s="44" t="n">
        <f aca="false">1_DATOS!C7*1852/(1_DATOS!C15*0.5144)</f>
        <v>78.5522409161601</v>
      </c>
      <c r="E24" s="75" t="s">
        <v>331</v>
      </c>
    </row>
    <row r="25" customFormat="false" ht="15.75" hidden="false" customHeight="true" outlineLevel="0" collapsed="false">
      <c r="B25" s="73" t="s">
        <v>332</v>
      </c>
      <c r="C25" s="74" t="n">
        <f aca="false">5000/2025.4</f>
        <v>2.46864816826306</v>
      </c>
      <c r="D25" s="44" t="n">
        <f aca="false">(5000/2025.4)*1852/(1_DATOS!C15*0.5144)</f>
        <v>16.1598204708864</v>
      </c>
      <c r="E25" s="75" t="s">
        <v>333</v>
      </c>
    </row>
    <row r="26" customFormat="false" ht="15.75" hidden="false" customHeight="true" outlineLevel="0" collapsed="false">
      <c r="B26" s="73" t="s">
        <v>334</v>
      </c>
      <c r="C26" s="74" t="n">
        <f aca="false">2000/2025.4</f>
        <v>0.987459267305224</v>
      </c>
      <c r="D26" s="44" t="n">
        <f aca="false">(2000/2025.4)*1852/(1_DATOS!C15*0.5144)</f>
        <v>6.46392818835457</v>
      </c>
      <c r="E26" s="75" t="s">
        <v>302</v>
      </c>
    </row>
    <row r="27" customFormat="false" ht="15.75" hidden="false" customHeight="true" outlineLevel="0" collapsed="false">
      <c r="B27" s="73" t="s">
        <v>335</v>
      </c>
      <c r="C27" s="74" t="n">
        <f aca="false">500/2025.4</f>
        <v>0.246864816826306</v>
      </c>
      <c r="D27" s="44" t="n">
        <f aca="false">(500/2025.4)*1852/(1_DATOS!C15*0.5144)</f>
        <v>1.61598204708864</v>
      </c>
      <c r="E27" s="75" t="s">
        <v>336</v>
      </c>
    </row>
    <row r="28" customFormat="false" ht="15.75" hidden="false" customHeight="true" outlineLevel="0" collapsed="false">
      <c r="B28" s="73" t="s">
        <v>337</v>
      </c>
      <c r="C28" s="74" t="s">
        <v>257</v>
      </c>
      <c r="D28" s="44" t="s">
        <v>257</v>
      </c>
      <c r="E28" s="75" t="s">
        <v>338</v>
      </c>
    </row>
  </sheetData>
  <mergeCells count="2">
    <mergeCell ref="B1:E1"/>
    <mergeCell ref="B17:E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R10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2"/>
    <col collapsed="false" customWidth="true" hidden="false" outlineLevel="0" max="14" min="3" style="0" width="13"/>
    <col collapsed="false" customWidth="true" hidden="false" outlineLevel="0" max="29" min="15" style="0" width="10"/>
  </cols>
  <sheetData>
    <row r="1" customFormat="false" ht="36" hidden="false" customHeight="true" outlineLevel="0" collapsed="false">
      <c r="B1" s="65" t="s">
        <v>339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customFormat="false" ht="24" hidden="false" customHeight="true" outlineLevel="0" collapsed="false">
      <c r="B2" s="76" t="s">
        <v>340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</row>
    <row r="4" customFormat="false" ht="24" hidden="false" customHeight="true" outlineLevel="0" collapsed="false">
      <c r="B4" s="77" t="s">
        <v>341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customFormat="false" ht="19.5" hidden="false" customHeight="true" outlineLevel="0" collapsed="false">
      <c r="B5" s="53" t="s">
        <v>342</v>
      </c>
      <c r="C5" s="78" t="s">
        <v>343</v>
      </c>
      <c r="D5" s="78"/>
      <c r="E5" s="78"/>
      <c r="G5" s="79" t="s">
        <v>344</v>
      </c>
      <c r="H5" s="80" t="n">
        <f aca="false">IF(LEFT(C5,1)="1",1,2)</f>
        <v>2</v>
      </c>
      <c r="J5" s="81" t="s">
        <v>345</v>
      </c>
      <c r="K5" s="82" t="n">
        <f aca="false">IF(MID(C5,FIND("+",$C$5)+2,1)="1",1,IF(MID(C5,FIND("+",$C$5)+2,1)="2",2,3))</f>
        <v>2</v>
      </c>
    </row>
    <row r="6" customFormat="false" ht="27.75" hidden="false" customHeight="true" outlineLevel="0" collapsed="false">
      <c r="B6" s="83" t="s">
        <v>346</v>
      </c>
      <c r="C6" s="83" t="s">
        <v>347</v>
      </c>
      <c r="D6" s="83" t="s">
        <v>348</v>
      </c>
      <c r="E6" s="84" t="s">
        <v>349</v>
      </c>
      <c r="F6" s="85" t="s">
        <v>350</v>
      </c>
      <c r="G6" s="86" t="s">
        <v>351</v>
      </c>
      <c r="I6" s="87" t="s">
        <v>352</v>
      </c>
      <c r="J6" s="87"/>
      <c r="K6" s="87"/>
      <c r="L6" s="87"/>
      <c r="M6" s="87"/>
      <c r="N6" s="87"/>
    </row>
    <row r="7" customFormat="false" ht="15.75" hidden="false" customHeight="true" outlineLevel="0" collapsed="false">
      <c r="B7" s="88" t="s">
        <v>353</v>
      </c>
      <c r="C7" s="89" t="n">
        <v>3500</v>
      </c>
      <c r="D7" s="89" t="n">
        <v>180</v>
      </c>
      <c r="E7" s="90" t="n">
        <f aca="false">1_DATOS!C5</f>
        <v>25</v>
      </c>
      <c r="F7" s="91" t="s">
        <v>305</v>
      </c>
      <c r="G7" s="92" t="str">
        <f aca="false">IF(H5&gt;=1,"SI","NO")</f>
        <v>SI</v>
      </c>
      <c r="I7" s="93" t="s">
        <v>354</v>
      </c>
      <c r="J7" s="93"/>
      <c r="K7" s="93"/>
      <c r="L7" s="93"/>
      <c r="M7" s="93"/>
      <c r="N7" s="93"/>
    </row>
    <row r="8" customFormat="false" ht="15.75" hidden="false" customHeight="true" outlineLevel="0" collapsed="false">
      <c r="B8" s="88" t="s">
        <v>355</v>
      </c>
      <c r="C8" s="89" t="n">
        <v>4200</v>
      </c>
      <c r="D8" s="89" t="n">
        <v>160</v>
      </c>
      <c r="E8" s="90" t="n">
        <f aca="false">1_DATOS!C5</f>
        <v>25</v>
      </c>
      <c r="F8" s="91" t="s">
        <v>305</v>
      </c>
      <c r="G8" s="92" t="str">
        <f aca="false">IF(H5&gt;=2,"SI","NO")</f>
        <v>SI</v>
      </c>
      <c r="I8" s="94" t="s">
        <v>356</v>
      </c>
      <c r="J8" s="94"/>
      <c r="K8" s="94"/>
      <c r="L8" s="94"/>
      <c r="M8" s="94"/>
      <c r="N8" s="94"/>
    </row>
    <row r="9" customFormat="false" ht="15.75" hidden="false" customHeight="true" outlineLevel="0" collapsed="false">
      <c r="B9" s="95" t="s">
        <v>357</v>
      </c>
      <c r="C9" s="96" t="n">
        <v>1250</v>
      </c>
      <c r="D9" s="96" t="n">
        <v>225</v>
      </c>
      <c r="E9" s="90" t="s">
        <v>305</v>
      </c>
      <c r="F9" s="91" t="n">
        <f aca="false">1_DATOS!C7</f>
        <v>12</v>
      </c>
      <c r="G9" s="92" t="str">
        <f aca="false">IF(K5&gt;=1,"SI","NO")</f>
        <v>SI</v>
      </c>
      <c r="I9" s="97" t="s">
        <v>358</v>
      </c>
      <c r="J9" s="97"/>
      <c r="K9" s="97"/>
      <c r="L9" s="97"/>
      <c r="M9" s="97"/>
      <c r="N9" s="97"/>
    </row>
    <row r="10" customFormat="false" ht="15.75" hidden="false" customHeight="true" outlineLevel="0" collapsed="false">
      <c r="B10" s="95" t="s">
        <v>359</v>
      </c>
      <c r="C10" s="96" t="n">
        <v>1000</v>
      </c>
      <c r="D10" s="96" t="n">
        <v>315</v>
      </c>
      <c r="E10" s="90" t="s">
        <v>305</v>
      </c>
      <c r="F10" s="91" t="n">
        <f aca="false">1_DATOS!C7</f>
        <v>12</v>
      </c>
      <c r="G10" s="92" t="str">
        <f aca="false">IF(K5&gt;=2,"SI","NO")</f>
        <v>SI</v>
      </c>
      <c r="I10" s="98" t="s">
        <v>360</v>
      </c>
      <c r="J10" s="98"/>
      <c r="K10" s="98"/>
      <c r="L10" s="98"/>
      <c r="M10" s="98"/>
      <c r="N10" s="98"/>
    </row>
    <row r="11" customFormat="false" ht="15.75" hidden="false" customHeight="true" outlineLevel="0" collapsed="false">
      <c r="B11" s="95" t="s">
        <v>361</v>
      </c>
      <c r="C11" s="96" t="n">
        <v>800</v>
      </c>
      <c r="D11" s="96" t="n">
        <v>45</v>
      </c>
      <c r="E11" s="90" t="s">
        <v>305</v>
      </c>
      <c r="F11" s="91" t="n">
        <f aca="false">1_DATOS!C7</f>
        <v>12</v>
      </c>
      <c r="G11" s="92" t="str">
        <f aca="false">IF(K5&gt;=3,"SI","NO")</f>
        <v>NO</v>
      </c>
      <c r="I11" s="99" t="s">
        <v>362</v>
      </c>
      <c r="J11" s="99"/>
      <c r="K11" s="99"/>
      <c r="L11" s="99"/>
      <c r="M11" s="99"/>
      <c r="N11" s="99"/>
    </row>
    <row r="12" customFormat="false" ht="13.5" hidden="false" customHeight="true" outlineLevel="0" collapsed="false">
      <c r="B12" s="100" t="s">
        <v>363</v>
      </c>
      <c r="C12" s="100"/>
      <c r="D12" s="100"/>
      <c r="E12" s="100"/>
      <c r="F12" s="100"/>
      <c r="G12" s="100"/>
    </row>
    <row r="13" customFormat="false" ht="15.75" hidden="false" customHeight="true" outlineLevel="0" collapsed="false"/>
    <row r="14" customFormat="false" ht="15.75" hidden="false" customHeight="true" outlineLevel="0" collapsed="false">
      <c r="B14" s="101" t="s">
        <v>364</v>
      </c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</row>
    <row r="15" customFormat="false" ht="13.5" hidden="false" customHeight="true" outlineLevel="0" collapsed="false">
      <c r="B15" s="102" t="s">
        <v>365</v>
      </c>
      <c r="C15" s="102" t="s">
        <v>366</v>
      </c>
      <c r="D15" s="102" t="s">
        <v>367</v>
      </c>
      <c r="E15" s="102" t="s">
        <v>368</v>
      </c>
      <c r="F15" s="102" t="s">
        <v>369</v>
      </c>
      <c r="G15" s="102" t="s">
        <v>370</v>
      </c>
      <c r="H15" s="102" t="s">
        <v>371</v>
      </c>
      <c r="I15" s="102" t="s">
        <v>372</v>
      </c>
      <c r="J15" s="102" t="s">
        <v>373</v>
      </c>
      <c r="K15" s="102" t="s">
        <v>374</v>
      </c>
      <c r="L15" s="102" t="s">
        <v>375</v>
      </c>
      <c r="M15" s="102" t="s">
        <v>376</v>
      </c>
      <c r="N15" s="102" t="s">
        <v>377</v>
      </c>
      <c r="O15" s="102" t="s">
        <v>378</v>
      </c>
      <c r="P15" s="102" t="s">
        <v>379</v>
      </c>
      <c r="Q15" s="102" t="s">
        <v>380</v>
      </c>
      <c r="R15" s="102" t="s">
        <v>381</v>
      </c>
    </row>
    <row r="16" customFormat="false" ht="9.75" hidden="false" customHeight="true" outlineLevel="0" collapsed="false">
      <c r="B16" s="103" t="n">
        <v>0</v>
      </c>
      <c r="C16" s="104" t="n">
        <f aca="false">500*SIN(RADIANS(0))</f>
        <v>0</v>
      </c>
      <c r="D16" s="104" t="n">
        <f aca="false">500*COS(RADIANS(0))</f>
        <v>500</v>
      </c>
      <c r="E16" s="104" t="n">
        <f aca="false">2000*SIN(RADIANS(0))</f>
        <v>0</v>
      </c>
      <c r="F16" s="104" t="n">
        <f aca="false">2000*COS(RADIANS(0))</f>
        <v>2000</v>
      </c>
      <c r="G16" s="104" t="n">
        <f aca="false">5000*SIN(RADIANS(0))</f>
        <v>0</v>
      </c>
      <c r="H16" s="104" t="n">
        <f aca="false">5000*COS(RADIANS(0))</f>
        <v>5000</v>
      </c>
      <c r="I16" s="104" t="n">
        <f aca="false">1_DATOS!$C$5*2025.4*SIN(RADIANS(0))+$C$7*SIN(RADIANS($D$7))</f>
        <v>4.28626379701574E-013</v>
      </c>
      <c r="J16" s="104" t="n">
        <f aca="false">1_DATOS!$C$5*2025.4*COS(RADIANS(0))+$C$7*COS(RADIANS($D$7))</f>
        <v>47135</v>
      </c>
      <c r="K16" s="104" t="n">
        <f aca="false">1_DATOS!$C$5*2025.4*SIN(RADIANS(0))+$C$8*SIN(RADIANS($D$8))</f>
        <v>1436.48460196781</v>
      </c>
      <c r="L16" s="104" t="n">
        <f aca="false">1_DATOS!$C$5*2025.4*COS(RADIANS(0))+$C$8*COS(RADIANS($D$8))</f>
        <v>46688.2909926992</v>
      </c>
      <c r="M16" s="104" t="n">
        <f aca="false">1_DATOS!$C$7*2025.4*SIN(RADIANS(0))+$C$9*SIN(RADIANS($D$9))</f>
        <v>-883.883476483184</v>
      </c>
      <c r="N16" s="104" t="n">
        <f aca="false">1_DATOS!$C$7*2025.4*COS(RADIANS(0))+$C$9*COS(RADIANS($D$9))</f>
        <v>23420.9165235168</v>
      </c>
      <c r="O16" s="104" t="n">
        <f aca="false">1_DATOS!$C$7*2025.4*SIN(RADIANS(0))+$C$10*SIN(RADIANS($D$10))</f>
        <v>-707.106781186548</v>
      </c>
      <c r="P16" s="104" t="n">
        <f aca="false">1_DATOS!$C$7*2025.4*COS(RADIANS(0))+$C$10*COS(RADIANS($D$10))</f>
        <v>25011.9067811866</v>
      </c>
      <c r="Q16" s="104" t="n">
        <f aca="false">1_DATOS!$C$7*2025.4*SIN(RADIANS(0))+$C$11*SIN(RADIANS($D$11))</f>
        <v>565.685424949238</v>
      </c>
      <c r="R16" s="104" t="n">
        <f aca="false">1_DATOS!$C$7*2025.4*COS(RADIANS(0))+$C$11*COS(RADIANS($D$11))</f>
        <v>24870.4854249492</v>
      </c>
    </row>
    <row r="17" customFormat="false" ht="9.75" hidden="false" customHeight="true" outlineLevel="0" collapsed="false">
      <c r="B17" s="103" t="n">
        <v>5</v>
      </c>
      <c r="C17" s="104" t="n">
        <f aca="false">500*SIN(RADIANS(5))</f>
        <v>43.5778713738291</v>
      </c>
      <c r="D17" s="104" t="n">
        <f aca="false">500*COS(RADIANS(5))</f>
        <v>498.097349045873</v>
      </c>
      <c r="E17" s="104" t="n">
        <f aca="false">2000*SIN(RADIANS(5))</f>
        <v>174.311485495316</v>
      </c>
      <c r="F17" s="104" t="n">
        <f aca="false">2000*COS(RADIANS(5))</f>
        <v>1992.38939618349</v>
      </c>
      <c r="G17" s="104" t="n">
        <f aca="false">5000*SIN(RADIANS(5))</f>
        <v>435.778713738291</v>
      </c>
      <c r="H17" s="104" t="n">
        <f aca="false">5000*COS(RADIANS(5))</f>
        <v>4980.97349045873</v>
      </c>
      <c r="I17" s="104" t="n">
        <f aca="false">1_DATOS!$C$5*2025.4*SIN(RADIANS(5))+$C$7*SIN(RADIANS($D$7))</f>
        <v>4413.13103402767</v>
      </c>
      <c r="J17" s="104" t="n">
        <f aca="false">1_DATOS!$C$5*2025.4*COS(RADIANS(5))+$C$7*COS(RADIANS($D$7))</f>
        <v>46942.3185378755</v>
      </c>
      <c r="K17" s="104" t="n">
        <f aca="false">1_DATOS!$C$5*2025.4*SIN(RADIANS(5))+$C$8*SIN(RADIANS($D$8))</f>
        <v>5849.61563599548</v>
      </c>
      <c r="L17" s="104" t="n">
        <f aca="false">1_DATOS!$C$5*2025.4*COS(RADIANS(5))+$C$8*COS(RADIANS($D$8))</f>
        <v>46495.6095305747</v>
      </c>
      <c r="M17" s="104" t="n">
        <f aca="false">1_DATOS!$C$7*2025.4*SIN(RADIANS(5))+$C$9*SIN(RADIANS($D$9))</f>
        <v>1234.4194198501</v>
      </c>
      <c r="N17" s="104" t="n">
        <f aca="false">1_DATOS!$C$7*2025.4*COS(RADIANS(5))+$C$9*COS(RADIANS($D$9))</f>
        <v>23328.4294216971</v>
      </c>
      <c r="O17" s="104" t="n">
        <f aca="false">1_DATOS!$C$7*2025.4*SIN(RADIANS(5))+$C$10*SIN(RADIANS($D$10))</f>
        <v>1411.19611514673</v>
      </c>
      <c r="P17" s="104" t="n">
        <f aca="false">1_DATOS!$C$7*2025.4*COS(RADIANS(5))+$C$10*COS(RADIANS($D$10))</f>
        <v>24919.4196793668</v>
      </c>
      <c r="Q17" s="104" t="n">
        <f aca="false">1_DATOS!$C$7*2025.4*SIN(RADIANS(5))+$C$11*SIN(RADIANS($D$11))</f>
        <v>2683.98832128252</v>
      </c>
      <c r="R17" s="104" t="n">
        <f aca="false">1_DATOS!$C$7*2025.4*COS(RADIANS(5))+$C$11*COS(RADIANS($D$11))</f>
        <v>24777.9983231295</v>
      </c>
    </row>
    <row r="18" customFormat="false" ht="9.75" hidden="false" customHeight="true" outlineLevel="0" collapsed="false">
      <c r="B18" s="103" t="n">
        <v>10</v>
      </c>
      <c r="C18" s="104" t="n">
        <f aca="false">500*SIN(RADIANS(10))</f>
        <v>86.8240888334652</v>
      </c>
      <c r="D18" s="104" t="n">
        <f aca="false">500*COS(RADIANS(10))</f>
        <v>492.403876506104</v>
      </c>
      <c r="E18" s="104" t="n">
        <f aca="false">2000*SIN(RADIANS(10))</f>
        <v>347.296355333861</v>
      </c>
      <c r="F18" s="104" t="n">
        <f aca="false">2000*COS(RADIANS(10))</f>
        <v>1969.61550602442</v>
      </c>
      <c r="G18" s="104" t="n">
        <f aca="false">5000*SIN(RADIANS(10))</f>
        <v>868.240888334652</v>
      </c>
      <c r="H18" s="104" t="n">
        <f aca="false">5000*COS(RADIANS(10))</f>
        <v>4924.03876506104</v>
      </c>
      <c r="I18" s="104" t="n">
        <f aca="false">1_DATOS!$C$5*2025.4*SIN(RADIANS(10))+$C$7*SIN(RADIANS($D$7))</f>
        <v>8792.67547616502</v>
      </c>
      <c r="J18" s="104" t="n">
        <f aca="false">1_DATOS!$C$5*2025.4*COS(RADIANS(10))+$C$7*COS(RADIANS($D$7))</f>
        <v>46365.7405737732</v>
      </c>
      <c r="K18" s="104" t="n">
        <f aca="false">1_DATOS!$C$5*2025.4*SIN(RADIANS(10))+$C$8*SIN(RADIANS($D$8))</f>
        <v>10229.1600781328</v>
      </c>
      <c r="L18" s="104" t="n">
        <f aca="false">1_DATOS!$C$5*2025.4*COS(RADIANS(10))+$C$8*COS(RADIANS($D$8))</f>
        <v>45919.0315664723</v>
      </c>
      <c r="M18" s="104" t="n">
        <f aca="false">1_DATOS!$C$7*2025.4*SIN(RADIANS(10))+$C$9*SIN(RADIANS($D$9))</f>
        <v>3336.60075207602</v>
      </c>
      <c r="N18" s="104" t="n">
        <f aca="false">1_DATOS!$C$7*2025.4*COS(RADIANS(10))+$C$9*COS(RADIANS($D$9))</f>
        <v>23051.6719989279</v>
      </c>
      <c r="O18" s="104" t="n">
        <f aca="false">1_DATOS!$C$7*2025.4*SIN(RADIANS(10))+$C$10*SIN(RADIANS($D$10))</f>
        <v>3513.37744737266</v>
      </c>
      <c r="P18" s="104" t="n">
        <f aca="false">1_DATOS!$C$7*2025.4*COS(RADIANS(10))+$C$10*COS(RADIANS($D$10))</f>
        <v>24642.6622565977</v>
      </c>
      <c r="Q18" s="104" t="n">
        <f aca="false">1_DATOS!$C$7*2025.4*SIN(RADIANS(10))+$C$11*SIN(RADIANS($D$11))</f>
        <v>4786.16965350845</v>
      </c>
      <c r="R18" s="104" t="n">
        <f aca="false">1_DATOS!$C$7*2025.4*COS(RADIANS(10))+$C$11*COS(RADIANS($D$11))</f>
        <v>24501.2409003604</v>
      </c>
    </row>
    <row r="19" customFormat="false" ht="9.75" hidden="false" customHeight="true" outlineLevel="0" collapsed="false">
      <c r="B19" s="103" t="n">
        <v>15</v>
      </c>
      <c r="C19" s="104" t="n">
        <f aca="false">500*SIN(RADIANS(15))</f>
        <v>129.40952255126</v>
      </c>
      <c r="D19" s="104" t="n">
        <f aca="false">500*COS(RADIANS(15))</f>
        <v>482.962913144534</v>
      </c>
      <c r="E19" s="104" t="n">
        <f aca="false">2000*SIN(RADIANS(15))</f>
        <v>517.638090205042</v>
      </c>
      <c r="F19" s="104" t="n">
        <f aca="false">2000*COS(RADIANS(15))</f>
        <v>1931.85165257814</v>
      </c>
      <c r="G19" s="104" t="n">
        <f aca="false">5000*SIN(RADIANS(15))</f>
        <v>1294.0952255126</v>
      </c>
      <c r="H19" s="104" t="n">
        <f aca="false">5000*COS(RADIANS(15))</f>
        <v>4829.62913144534</v>
      </c>
      <c r="I19" s="104" t="n">
        <f aca="false">1_DATOS!$C$5*2025.4*SIN(RADIANS(15))+$C$7*SIN(RADIANS($D$7))</f>
        <v>13105.3023487661</v>
      </c>
      <c r="J19" s="104" t="n">
        <f aca="false">1_DATOS!$C$5*2025.4*COS(RADIANS(15))+$C$7*COS(RADIANS($D$7))</f>
        <v>45409.654214147</v>
      </c>
      <c r="K19" s="104" t="n">
        <f aca="false">1_DATOS!$C$5*2025.4*SIN(RADIANS(15))+$C$8*SIN(RADIANS($D$8))</f>
        <v>14541.7869507339</v>
      </c>
      <c r="L19" s="104" t="n">
        <f aca="false">1_DATOS!$C$5*2025.4*COS(RADIANS(15))+$C$8*COS(RADIANS($D$8))</f>
        <v>44962.9452068462</v>
      </c>
      <c r="M19" s="104" t="n">
        <f aca="false">1_DATOS!$C$7*2025.4*SIN(RADIANS(15))+$C$9*SIN(RADIANS($D$9))</f>
        <v>5406.66165092456</v>
      </c>
      <c r="N19" s="104" t="n">
        <f aca="false">1_DATOS!$C$7*2025.4*COS(RADIANS(15))+$C$9*COS(RADIANS($D$9))</f>
        <v>22592.7505463074</v>
      </c>
      <c r="O19" s="104" t="n">
        <f aca="false">1_DATOS!$C$7*2025.4*SIN(RADIANS(15))+$C$10*SIN(RADIANS($D$10))</f>
        <v>5583.4383462212</v>
      </c>
      <c r="P19" s="104" t="n">
        <f aca="false">1_DATOS!$C$7*2025.4*COS(RADIANS(15))+$C$10*COS(RADIANS($D$10))</f>
        <v>24183.7408039771</v>
      </c>
      <c r="Q19" s="104" t="n">
        <f aca="false">1_DATOS!$C$7*2025.4*SIN(RADIANS(15))+$C$11*SIN(RADIANS($D$11))</f>
        <v>6856.23055235699</v>
      </c>
      <c r="R19" s="104" t="n">
        <f aca="false">1_DATOS!$C$7*2025.4*COS(RADIANS(15))+$C$11*COS(RADIANS($D$11))</f>
        <v>24042.3194477398</v>
      </c>
    </row>
    <row r="20" customFormat="false" ht="9.75" hidden="false" customHeight="true" outlineLevel="0" collapsed="false">
      <c r="B20" s="103" t="n">
        <v>20</v>
      </c>
      <c r="C20" s="104" t="n">
        <f aca="false">500*SIN(RADIANS(20))</f>
        <v>171.010071662834</v>
      </c>
      <c r="D20" s="104" t="n">
        <f aca="false">500*COS(RADIANS(20))</f>
        <v>469.846310392954</v>
      </c>
      <c r="E20" s="104" t="n">
        <f aca="false">2000*SIN(RADIANS(20))</f>
        <v>684.040286651337</v>
      </c>
      <c r="F20" s="104" t="n">
        <f aca="false">2000*COS(RADIANS(20))</f>
        <v>1879.38524157182</v>
      </c>
      <c r="G20" s="104" t="n">
        <f aca="false">5000*SIN(RADIANS(20))</f>
        <v>1710.10071662834</v>
      </c>
      <c r="H20" s="104" t="n">
        <f aca="false">5000*COS(RADIANS(20))</f>
        <v>4698.46310392954</v>
      </c>
      <c r="I20" s="104" t="n">
        <f aca="false">1_DATOS!$C$5*2025.4*SIN(RADIANS(20))+$C$7*SIN(RADIANS($D$7))</f>
        <v>17318.1899572952</v>
      </c>
      <c r="J20" s="104" t="n">
        <f aca="false">1_DATOS!$C$5*2025.4*COS(RADIANS(20))+$C$7*COS(RADIANS($D$7))</f>
        <v>44081.3358534945</v>
      </c>
      <c r="K20" s="104" t="n">
        <f aca="false">1_DATOS!$C$5*2025.4*SIN(RADIANS(20))+$C$8*SIN(RADIANS($D$8))</f>
        <v>18754.674559263</v>
      </c>
      <c r="L20" s="104" t="n">
        <f aca="false">1_DATOS!$C$5*2025.4*COS(RADIANS(20))+$C$8*COS(RADIANS($D$8))</f>
        <v>43634.6268461937</v>
      </c>
      <c r="M20" s="104" t="n">
        <f aca="false">1_DATOS!$C$7*2025.4*SIN(RADIANS(20))+$C$9*SIN(RADIANS($D$9))</f>
        <v>7428.84770301853</v>
      </c>
      <c r="N20" s="104" t="n">
        <f aca="false">1_DATOS!$C$7*2025.4*COS(RADIANS(20))+$C$9*COS(RADIANS($D$9))</f>
        <v>21955.1577331942</v>
      </c>
      <c r="O20" s="104" t="n">
        <f aca="false">1_DATOS!$C$7*2025.4*SIN(RADIANS(20))+$C$10*SIN(RADIANS($D$10))</f>
        <v>7605.62439831517</v>
      </c>
      <c r="P20" s="104" t="n">
        <f aca="false">1_DATOS!$C$7*2025.4*COS(RADIANS(20))+$C$10*COS(RADIANS($D$10))</f>
        <v>23546.1479908639</v>
      </c>
      <c r="Q20" s="104" t="n">
        <f aca="false">1_DATOS!$C$7*2025.4*SIN(RADIANS(20))+$C$11*SIN(RADIANS($D$11))</f>
        <v>8878.41660445095</v>
      </c>
      <c r="R20" s="104" t="n">
        <f aca="false">1_DATOS!$C$7*2025.4*COS(RADIANS(20))+$C$11*COS(RADIANS($D$11))</f>
        <v>23404.7266346266</v>
      </c>
    </row>
    <row r="21" customFormat="false" ht="9.75" hidden="false" customHeight="true" outlineLevel="0" collapsed="false">
      <c r="B21" s="103" t="n">
        <v>25</v>
      </c>
      <c r="C21" s="104" t="n">
        <f aca="false">500*SIN(RADIANS(25))</f>
        <v>211.30913087035</v>
      </c>
      <c r="D21" s="104" t="n">
        <f aca="false">500*COS(RADIANS(25))</f>
        <v>453.153893518325</v>
      </c>
      <c r="E21" s="104" t="n">
        <f aca="false">2000*SIN(RADIANS(25))</f>
        <v>845.236523481399</v>
      </c>
      <c r="F21" s="104" t="n">
        <f aca="false">2000*COS(RADIANS(25))</f>
        <v>1812.6155740733</v>
      </c>
      <c r="G21" s="104" t="n">
        <f aca="false">5000*SIN(RADIANS(25))</f>
        <v>2113.0913087035</v>
      </c>
      <c r="H21" s="104" t="n">
        <f aca="false">5000*COS(RADIANS(25))</f>
        <v>4531.53893518325</v>
      </c>
      <c r="I21" s="104" t="n">
        <f aca="false">1_DATOS!$C$5*2025.4*SIN(RADIANS(25))+$C$7*SIN(RADIANS($D$7))</f>
        <v>21399.2756832403</v>
      </c>
      <c r="J21" s="104" t="n">
        <f aca="false">1_DATOS!$C$5*2025.4*COS(RADIANS(25))+$C$7*COS(RADIANS($D$7))</f>
        <v>42390.8947966008</v>
      </c>
      <c r="K21" s="104" t="n">
        <f aca="false">1_DATOS!$C$5*2025.4*SIN(RADIANS(25))+$C$8*SIN(RADIANS($D$8))</f>
        <v>22835.7602852081</v>
      </c>
      <c r="L21" s="104" t="n">
        <f aca="false">1_DATOS!$C$5*2025.4*COS(RADIANS(25))+$C$8*COS(RADIANS($D$8))</f>
        <v>41944.1857893</v>
      </c>
      <c r="M21" s="104" t="n">
        <f aca="false">1_DATOS!$C$7*2025.4*SIN(RADIANS(25))+$C$9*SIN(RADIANS($D$9))</f>
        <v>9387.76885147217</v>
      </c>
      <c r="N21" s="104" t="n">
        <f aca="false">1_DATOS!$C$7*2025.4*COS(RADIANS(25))+$C$9*COS(RADIANS($D$9))</f>
        <v>21143.7460258852</v>
      </c>
      <c r="O21" s="104" t="n">
        <f aca="false">1_DATOS!$C$7*2025.4*SIN(RADIANS(25))+$C$10*SIN(RADIANS($D$10))</f>
        <v>9564.54554676881</v>
      </c>
      <c r="P21" s="104" t="n">
        <f aca="false">1_DATOS!$C$7*2025.4*COS(RADIANS(25))+$C$10*COS(RADIANS($D$10))</f>
        <v>22734.7362835549</v>
      </c>
      <c r="Q21" s="104" t="n">
        <f aca="false">1_DATOS!$C$7*2025.4*SIN(RADIANS(25))+$C$11*SIN(RADIANS($D$11))</f>
        <v>10837.3377529046</v>
      </c>
      <c r="R21" s="104" t="n">
        <f aca="false">1_DATOS!$C$7*2025.4*COS(RADIANS(25))+$C$11*COS(RADIANS($D$11))</f>
        <v>22593.3149273176</v>
      </c>
    </row>
    <row r="22" customFormat="false" ht="9.75" hidden="false" customHeight="true" outlineLevel="0" collapsed="false">
      <c r="B22" s="103" t="n">
        <v>30</v>
      </c>
      <c r="C22" s="104" t="n">
        <f aca="false">500*SIN(RADIANS(30))</f>
        <v>250</v>
      </c>
      <c r="D22" s="104" t="n">
        <f aca="false">500*COS(RADIANS(30))</f>
        <v>433.012701892219</v>
      </c>
      <c r="E22" s="104" t="n">
        <f aca="false">2000*SIN(RADIANS(30))</f>
        <v>1000</v>
      </c>
      <c r="F22" s="104" t="n">
        <f aca="false">2000*COS(RADIANS(30))</f>
        <v>1732.05080756888</v>
      </c>
      <c r="G22" s="104" t="n">
        <f aca="false">5000*SIN(RADIANS(30))</f>
        <v>2500</v>
      </c>
      <c r="H22" s="104" t="n">
        <f aca="false">5000*COS(RADIANS(30))</f>
        <v>4330.12701892219</v>
      </c>
      <c r="I22" s="104" t="n">
        <f aca="false">1_DATOS!$C$5*2025.4*SIN(RADIANS(30))+$C$7*SIN(RADIANS($D$7))</f>
        <v>25317.5</v>
      </c>
      <c r="J22" s="104" t="n">
        <f aca="false">1_DATOS!$C$5*2025.4*COS(RADIANS(30))+$C$7*COS(RADIANS($D$7))</f>
        <v>40351.1963206251</v>
      </c>
      <c r="K22" s="104" t="n">
        <f aca="false">1_DATOS!$C$5*2025.4*SIN(RADIANS(30))+$C$8*SIN(RADIANS($D$8))</f>
        <v>26753.9846019678</v>
      </c>
      <c r="L22" s="104" t="n">
        <f aca="false">1_DATOS!$C$5*2025.4*COS(RADIANS(30))+$C$8*COS(RADIANS($D$8))</f>
        <v>39904.4873133242</v>
      </c>
      <c r="M22" s="104" t="n">
        <f aca="false">1_DATOS!$C$7*2025.4*SIN(RADIANS(30))+$C$9*SIN(RADIANS($D$9))</f>
        <v>11268.5165235168</v>
      </c>
      <c r="N22" s="104" t="n">
        <f aca="false">1_DATOS!$C$7*2025.4*COS(RADIANS(30))+$C$9*COS(RADIANS($D$9))</f>
        <v>20164.6907574168</v>
      </c>
      <c r="O22" s="104" t="n">
        <f aca="false">1_DATOS!$C$7*2025.4*SIN(RADIANS(30))+$C$10*SIN(RADIANS($D$10))</f>
        <v>11445.2932188135</v>
      </c>
      <c r="P22" s="104" t="n">
        <f aca="false">1_DATOS!$C$7*2025.4*COS(RADIANS(30))+$C$10*COS(RADIANS($D$10))</f>
        <v>21755.6810150866</v>
      </c>
      <c r="Q22" s="104" t="n">
        <f aca="false">1_DATOS!$C$7*2025.4*SIN(RADIANS(30))+$C$11*SIN(RADIANS($D$11))</f>
        <v>12718.0854249492</v>
      </c>
      <c r="R22" s="104" t="n">
        <f aca="false">1_DATOS!$C$7*2025.4*COS(RADIANS(30))+$C$11*COS(RADIANS($D$11))</f>
        <v>21614.2596588493</v>
      </c>
    </row>
    <row r="23" customFormat="false" ht="9.75" hidden="false" customHeight="true" outlineLevel="0" collapsed="false">
      <c r="B23" s="103" t="n">
        <v>35</v>
      </c>
      <c r="C23" s="104" t="n">
        <f aca="false">500*SIN(RADIANS(35))</f>
        <v>286.788218175523</v>
      </c>
      <c r="D23" s="104" t="n">
        <f aca="false">500*COS(RADIANS(35))</f>
        <v>409.576022144496</v>
      </c>
      <c r="E23" s="104" t="n">
        <f aca="false">2000*SIN(RADIANS(35))</f>
        <v>1147.15287270209</v>
      </c>
      <c r="F23" s="104" t="n">
        <f aca="false">2000*COS(RADIANS(35))</f>
        <v>1638.30408857798</v>
      </c>
      <c r="G23" s="104" t="n">
        <f aca="false">5000*SIN(RADIANS(35))</f>
        <v>2867.88218175523</v>
      </c>
      <c r="H23" s="104" t="n">
        <f aca="false">5000*COS(RADIANS(35))</f>
        <v>4095.76022144496</v>
      </c>
      <c r="I23" s="104" t="n">
        <f aca="false">1_DATOS!$C$5*2025.4*SIN(RADIANS(35))+$C$7*SIN(RADIANS($D$7))</f>
        <v>29043.0428546352</v>
      </c>
      <c r="J23" s="104" t="n">
        <f aca="false">1_DATOS!$C$5*2025.4*COS(RADIANS(35))+$C$7*COS(RADIANS($D$7))</f>
        <v>37977.7637625731</v>
      </c>
      <c r="K23" s="104" t="n">
        <f aca="false">1_DATOS!$C$5*2025.4*SIN(RADIANS(35))+$C$8*SIN(RADIANS($D$8))</f>
        <v>30479.527456603</v>
      </c>
      <c r="L23" s="104" t="n">
        <f aca="false">1_DATOS!$C$5*2025.4*COS(RADIANS(35))+$C$8*COS(RADIANS($D$8))</f>
        <v>37531.0547552723</v>
      </c>
      <c r="M23" s="104" t="n">
        <f aca="false">1_DATOS!$C$7*2025.4*SIN(RADIANS(35))+$C$9*SIN(RADIANS($D$9))</f>
        <v>13056.7770937417</v>
      </c>
      <c r="N23" s="104" t="n">
        <f aca="false">1_DATOS!$C$7*2025.4*COS(RADIANS(35))+$C$9*COS(RADIANS($D$9))</f>
        <v>19025.4431295519</v>
      </c>
      <c r="O23" s="104" t="n">
        <f aca="false">1_DATOS!$C$7*2025.4*SIN(RADIANS(35))+$C$10*SIN(RADIANS($D$10))</f>
        <v>13233.5537890384</v>
      </c>
      <c r="P23" s="104" t="n">
        <f aca="false">1_DATOS!$C$7*2025.4*COS(RADIANS(35))+$C$10*COS(RADIANS($D$10))</f>
        <v>20616.4333872216</v>
      </c>
      <c r="Q23" s="104" t="n">
        <f aca="false">1_DATOS!$C$7*2025.4*SIN(RADIANS(35))+$C$11*SIN(RADIANS($D$11))</f>
        <v>14506.3459951741</v>
      </c>
      <c r="R23" s="104" t="n">
        <f aca="false">1_DATOS!$C$7*2025.4*COS(RADIANS(35))+$C$11*COS(RADIANS($D$11))</f>
        <v>20475.0120309843</v>
      </c>
    </row>
    <row r="24" customFormat="false" ht="9.75" hidden="false" customHeight="true" outlineLevel="0" collapsed="false">
      <c r="B24" s="103" t="n">
        <v>40</v>
      </c>
      <c r="C24" s="104" t="n">
        <f aca="false">500*SIN(RADIANS(40))</f>
        <v>321.39380484327</v>
      </c>
      <c r="D24" s="104" t="n">
        <f aca="false">500*COS(RADIANS(40))</f>
        <v>383.022221559489</v>
      </c>
      <c r="E24" s="104" t="n">
        <f aca="false">2000*SIN(RADIANS(40))</f>
        <v>1285.57521937308</v>
      </c>
      <c r="F24" s="104" t="n">
        <f aca="false">2000*COS(RADIANS(40))</f>
        <v>1532.08888623796</v>
      </c>
      <c r="G24" s="104" t="n">
        <f aca="false">5000*SIN(RADIANS(40))</f>
        <v>3213.9380484327</v>
      </c>
      <c r="H24" s="104" t="n">
        <f aca="false">5000*COS(RADIANS(40))</f>
        <v>3830.22221559489</v>
      </c>
      <c r="I24" s="104" t="n">
        <f aca="false">1_DATOS!$C$5*2025.4*SIN(RADIANS(40))+$C$7*SIN(RADIANS($D$7))</f>
        <v>32547.5506164779</v>
      </c>
      <c r="J24" s="104" t="n">
        <f aca="false">1_DATOS!$C$5*2025.4*COS(RADIANS(40))+$C$7*COS(RADIANS($D$7))</f>
        <v>35288.6603773295</v>
      </c>
      <c r="K24" s="104" t="n">
        <f aca="false">1_DATOS!$C$5*2025.4*SIN(RADIANS(40))+$C$8*SIN(RADIANS($D$8))</f>
        <v>33984.0352184457</v>
      </c>
      <c r="L24" s="104" t="n">
        <f aca="false">1_DATOS!$C$5*2025.4*COS(RADIANS(40))+$C$8*COS(RADIANS($D$8))</f>
        <v>34841.9513700286</v>
      </c>
      <c r="M24" s="104" t="n">
        <f aca="false">1_DATOS!$C$7*2025.4*SIN(RADIANS(40))+$C$9*SIN(RADIANS($D$9))</f>
        <v>14738.9408194262</v>
      </c>
      <c r="N24" s="104" t="n">
        <f aca="false">1_DATOS!$C$7*2025.4*COS(RADIANS(40))+$C$9*COS(RADIANS($D$9))</f>
        <v>17734.673504635</v>
      </c>
      <c r="O24" s="104" t="n">
        <f aca="false">1_DATOS!$C$7*2025.4*SIN(RADIANS(40))+$C$10*SIN(RADIANS($D$10))</f>
        <v>14915.7175147229</v>
      </c>
      <c r="P24" s="104" t="n">
        <f aca="false">1_DATOS!$C$7*2025.4*COS(RADIANS(40))+$C$10*COS(RADIANS($D$10))</f>
        <v>19325.6637623047</v>
      </c>
      <c r="Q24" s="104" t="n">
        <f aca="false">1_DATOS!$C$7*2025.4*SIN(RADIANS(40))+$C$11*SIN(RADIANS($D$11))</f>
        <v>16188.5097208586</v>
      </c>
      <c r="R24" s="104" t="n">
        <f aca="false">1_DATOS!$C$7*2025.4*COS(RADIANS(40))+$C$11*COS(RADIANS($D$11))</f>
        <v>19184.2424060674</v>
      </c>
    </row>
    <row r="25" customFormat="false" ht="9.75" hidden="false" customHeight="true" outlineLevel="0" collapsed="false">
      <c r="B25" s="103" t="n">
        <v>45</v>
      </c>
      <c r="C25" s="104" t="n">
        <f aca="false">500*SIN(RADIANS(45))</f>
        <v>353.553390593274</v>
      </c>
      <c r="D25" s="104" t="n">
        <f aca="false">500*COS(RADIANS(45))</f>
        <v>353.553390593274</v>
      </c>
      <c r="E25" s="104" t="n">
        <f aca="false">2000*SIN(RADIANS(45))</f>
        <v>1414.21356237309</v>
      </c>
      <c r="F25" s="104" t="n">
        <f aca="false">2000*COS(RADIANS(45))</f>
        <v>1414.2135623731</v>
      </c>
      <c r="G25" s="104" t="n">
        <f aca="false">5000*SIN(RADIANS(45))</f>
        <v>3535.53390593274</v>
      </c>
      <c r="H25" s="104" t="n">
        <f aca="false">5000*COS(RADIANS(45))</f>
        <v>3535.53390593274</v>
      </c>
      <c r="I25" s="104" t="n">
        <f aca="false">1_DATOS!$C$5*2025.4*SIN(RADIANS(45))+$C$7*SIN(RADIANS($D$7))</f>
        <v>35804.3518653808</v>
      </c>
      <c r="J25" s="104" t="n">
        <f aca="false">1_DATOS!$C$5*2025.4*COS(RADIANS(45))+$C$7*COS(RADIANS($D$7))</f>
        <v>32304.3518653808</v>
      </c>
      <c r="K25" s="104" t="n">
        <f aca="false">1_DATOS!$C$5*2025.4*SIN(RADIANS(45))+$C$8*SIN(RADIANS($D$8))</f>
        <v>37240.8364673486</v>
      </c>
      <c r="L25" s="104" t="n">
        <f aca="false">1_DATOS!$C$5*2025.4*COS(RADIANS(45))+$C$8*COS(RADIANS($D$8))</f>
        <v>31857.64285808</v>
      </c>
      <c r="M25" s="104" t="n">
        <f aca="false">1_DATOS!$C$7*2025.4*SIN(RADIANS(45))+$C$9*SIN(RADIANS($D$9))</f>
        <v>16302.2054188996</v>
      </c>
      <c r="N25" s="104" t="n">
        <f aca="false">1_DATOS!$C$7*2025.4*COS(RADIANS(45))+$C$9*COS(RADIANS($D$9))</f>
        <v>16302.2054188996</v>
      </c>
      <c r="O25" s="104" t="n">
        <f aca="false">1_DATOS!$C$7*2025.4*SIN(RADIANS(45))+$C$10*SIN(RADIANS($D$10))</f>
        <v>16478.9821141963</v>
      </c>
      <c r="P25" s="104" t="n">
        <f aca="false">1_DATOS!$C$7*2025.4*COS(RADIANS(45))+$C$10*COS(RADIANS($D$10))</f>
        <v>17893.1956765694</v>
      </c>
      <c r="Q25" s="104" t="n">
        <f aca="false">1_DATOS!$C$7*2025.4*SIN(RADIANS(45))+$C$11*SIN(RADIANS($D$11))</f>
        <v>17751.774320332</v>
      </c>
      <c r="R25" s="104" t="n">
        <f aca="false">1_DATOS!$C$7*2025.4*COS(RADIANS(45))+$C$11*COS(RADIANS($D$11))</f>
        <v>17751.774320332</v>
      </c>
    </row>
    <row r="26" customFormat="false" ht="9.75" hidden="false" customHeight="true" outlineLevel="0" collapsed="false">
      <c r="B26" s="103" t="n">
        <v>50</v>
      </c>
      <c r="C26" s="104" t="n">
        <f aca="false">500*SIN(RADIANS(50))</f>
        <v>383.022221559489</v>
      </c>
      <c r="D26" s="104" t="n">
        <f aca="false">500*COS(RADIANS(50))</f>
        <v>321.39380484327</v>
      </c>
      <c r="E26" s="104" t="n">
        <f aca="false">2000*SIN(RADIANS(50))</f>
        <v>1532.08888623796</v>
      </c>
      <c r="F26" s="104" t="n">
        <f aca="false">2000*COS(RADIANS(50))</f>
        <v>1285.57521937308</v>
      </c>
      <c r="G26" s="104" t="n">
        <f aca="false">5000*SIN(RADIANS(50))</f>
        <v>3830.22221559489</v>
      </c>
      <c r="H26" s="104" t="n">
        <f aca="false">5000*COS(RADIANS(50))</f>
        <v>3213.9380484327</v>
      </c>
      <c r="I26" s="104" t="n">
        <f aca="false">1_DATOS!$C$5*2025.4*SIN(RADIANS(50))+$C$7*SIN(RADIANS($D$7))</f>
        <v>38788.6603773295</v>
      </c>
      <c r="J26" s="104" t="n">
        <f aca="false">1_DATOS!$C$5*2025.4*COS(RADIANS(50))+$C$7*COS(RADIANS($D$7))</f>
        <v>29047.5506164779</v>
      </c>
      <c r="K26" s="104" t="n">
        <f aca="false">1_DATOS!$C$5*2025.4*SIN(RADIANS(50))+$C$8*SIN(RADIANS($D$8))</f>
        <v>40225.1449792973</v>
      </c>
      <c r="L26" s="104" t="n">
        <f aca="false">1_DATOS!$C$5*2025.4*COS(RADIANS(50))+$C$8*COS(RADIANS($D$8))</f>
        <v>28600.8416091771</v>
      </c>
      <c r="M26" s="104" t="n">
        <f aca="false">1_DATOS!$C$7*2025.4*SIN(RADIANS(50))+$C$9*SIN(RADIANS($D$9))</f>
        <v>17734.673504635</v>
      </c>
      <c r="N26" s="104" t="n">
        <f aca="false">1_DATOS!$C$7*2025.4*COS(RADIANS(50))+$C$9*COS(RADIANS($D$9))</f>
        <v>14738.9408194262</v>
      </c>
      <c r="O26" s="104" t="n">
        <f aca="false">1_DATOS!$C$7*2025.4*SIN(RADIANS(50))+$C$10*SIN(RADIANS($D$10))</f>
        <v>17911.4501999316</v>
      </c>
      <c r="P26" s="104" t="n">
        <f aca="false">1_DATOS!$C$7*2025.4*COS(RADIANS(50))+$C$10*COS(RADIANS($D$10))</f>
        <v>16329.931077096</v>
      </c>
      <c r="Q26" s="104" t="n">
        <f aca="false">1_DATOS!$C$7*2025.4*SIN(RADIANS(50))+$C$11*SIN(RADIANS($D$11))</f>
        <v>19184.2424060674</v>
      </c>
      <c r="R26" s="104" t="n">
        <f aca="false">1_DATOS!$C$7*2025.4*COS(RADIANS(50))+$C$11*COS(RADIANS($D$11))</f>
        <v>16188.5097208586</v>
      </c>
    </row>
    <row r="27" customFormat="false" ht="9.75" hidden="false" customHeight="true" outlineLevel="0" collapsed="false">
      <c r="B27" s="103" t="n">
        <v>55</v>
      </c>
      <c r="C27" s="104" t="n">
        <f aca="false">500*SIN(RADIANS(55))</f>
        <v>409.576022144496</v>
      </c>
      <c r="D27" s="104" t="n">
        <f aca="false">500*COS(RADIANS(55))</f>
        <v>286.788218175523</v>
      </c>
      <c r="E27" s="104" t="n">
        <f aca="false">2000*SIN(RADIANS(55))</f>
        <v>1638.30408857798</v>
      </c>
      <c r="F27" s="104" t="n">
        <f aca="false">2000*COS(RADIANS(55))</f>
        <v>1147.15287270209</v>
      </c>
      <c r="G27" s="104" t="n">
        <f aca="false">5000*SIN(RADIANS(55))</f>
        <v>4095.76022144496</v>
      </c>
      <c r="H27" s="104" t="n">
        <f aca="false">5000*COS(RADIANS(55))</f>
        <v>2867.88218175523</v>
      </c>
      <c r="I27" s="104" t="n">
        <f aca="false">1_DATOS!$C$5*2025.4*SIN(RADIANS(55))+$C$7*SIN(RADIANS($D$7))</f>
        <v>41477.7637625731</v>
      </c>
      <c r="J27" s="104" t="n">
        <f aca="false">1_DATOS!$C$5*2025.4*COS(RADIANS(55))+$C$7*COS(RADIANS($D$7))</f>
        <v>25543.0428546352</v>
      </c>
      <c r="K27" s="104" t="n">
        <f aca="false">1_DATOS!$C$5*2025.4*SIN(RADIANS(55))+$C$8*SIN(RADIANS($D$8))</f>
        <v>42914.2483645409</v>
      </c>
      <c r="L27" s="104" t="n">
        <f aca="false">1_DATOS!$C$5*2025.4*COS(RADIANS(55))+$C$8*COS(RADIANS($D$8))</f>
        <v>25096.3338473344</v>
      </c>
      <c r="M27" s="104" t="n">
        <f aca="false">1_DATOS!$C$7*2025.4*SIN(RADIANS(55))+$C$9*SIN(RADIANS($D$9))</f>
        <v>19025.4431295519</v>
      </c>
      <c r="N27" s="104" t="n">
        <f aca="false">1_DATOS!$C$7*2025.4*COS(RADIANS(55))+$C$9*COS(RADIANS($D$9))</f>
        <v>13056.7770937417</v>
      </c>
      <c r="O27" s="104" t="n">
        <f aca="false">1_DATOS!$C$7*2025.4*SIN(RADIANS(55))+$C$10*SIN(RADIANS($D$10))</f>
        <v>19202.2198248485</v>
      </c>
      <c r="P27" s="104" t="n">
        <f aca="false">1_DATOS!$C$7*2025.4*COS(RADIANS(55))+$C$10*COS(RADIANS($D$10))</f>
        <v>14647.7673514115</v>
      </c>
      <c r="Q27" s="104" t="n">
        <f aca="false">1_DATOS!$C$7*2025.4*SIN(RADIANS(55))+$C$11*SIN(RADIANS($D$11))</f>
        <v>20475.0120309843</v>
      </c>
      <c r="R27" s="104" t="n">
        <f aca="false">1_DATOS!$C$7*2025.4*COS(RADIANS(55))+$C$11*COS(RADIANS($D$11))</f>
        <v>14506.3459951741</v>
      </c>
    </row>
    <row r="28" customFormat="false" ht="9.75" hidden="false" customHeight="true" outlineLevel="0" collapsed="false">
      <c r="B28" s="103" t="n">
        <v>60</v>
      </c>
      <c r="C28" s="104" t="n">
        <f aca="false">500*SIN(RADIANS(60))</f>
        <v>433.012701892219</v>
      </c>
      <c r="D28" s="104" t="n">
        <f aca="false">500*COS(RADIANS(60))</f>
        <v>250</v>
      </c>
      <c r="E28" s="104" t="n">
        <f aca="false">2000*SIN(RADIANS(60))</f>
        <v>1732.05080756888</v>
      </c>
      <c r="F28" s="104" t="n">
        <f aca="false">2000*COS(RADIANS(60))</f>
        <v>1000</v>
      </c>
      <c r="G28" s="104" t="n">
        <f aca="false">5000*SIN(RADIANS(60))</f>
        <v>4330.12701892219</v>
      </c>
      <c r="H28" s="104" t="n">
        <f aca="false">5000*COS(RADIANS(60))</f>
        <v>2500</v>
      </c>
      <c r="I28" s="104" t="n">
        <f aca="false">1_DATOS!$C$5*2025.4*SIN(RADIANS(60))+$C$7*SIN(RADIANS($D$7))</f>
        <v>43851.1963206251</v>
      </c>
      <c r="J28" s="104" t="n">
        <f aca="false">1_DATOS!$C$5*2025.4*COS(RADIANS(60))+$C$7*COS(RADIANS($D$7))</f>
        <v>21817.5</v>
      </c>
      <c r="K28" s="104" t="n">
        <f aca="false">1_DATOS!$C$5*2025.4*SIN(RADIANS(60))+$C$8*SIN(RADIANS($D$8))</f>
        <v>45287.6809225929</v>
      </c>
      <c r="L28" s="104" t="n">
        <f aca="false">1_DATOS!$C$5*2025.4*COS(RADIANS(60))+$C$8*COS(RADIANS($D$8))</f>
        <v>21370.7909926992</v>
      </c>
      <c r="M28" s="104" t="n">
        <f aca="false">1_DATOS!$C$7*2025.4*SIN(RADIANS(60))+$C$9*SIN(RADIANS($D$9))</f>
        <v>20164.6907574168</v>
      </c>
      <c r="N28" s="104" t="n">
        <f aca="false">1_DATOS!$C$7*2025.4*COS(RADIANS(60))+$C$9*COS(RADIANS($D$9))</f>
        <v>11268.5165235168</v>
      </c>
      <c r="O28" s="104" t="n">
        <f aca="false">1_DATOS!$C$7*2025.4*SIN(RADIANS(60))+$C$10*SIN(RADIANS($D$10))</f>
        <v>20341.4674527135</v>
      </c>
      <c r="P28" s="104" t="n">
        <f aca="false">1_DATOS!$C$7*2025.4*COS(RADIANS(60))+$C$10*COS(RADIANS($D$10))</f>
        <v>12859.5067811866</v>
      </c>
      <c r="Q28" s="104" t="n">
        <f aca="false">1_DATOS!$C$7*2025.4*SIN(RADIANS(60))+$C$11*SIN(RADIANS($D$11))</f>
        <v>21614.2596588493</v>
      </c>
      <c r="R28" s="104" t="n">
        <f aca="false">1_DATOS!$C$7*2025.4*COS(RADIANS(60))+$C$11*COS(RADIANS($D$11))</f>
        <v>12718.0854249492</v>
      </c>
    </row>
    <row r="29" customFormat="false" ht="9.75" hidden="false" customHeight="true" outlineLevel="0" collapsed="false">
      <c r="B29" s="103" t="n">
        <v>65</v>
      </c>
      <c r="C29" s="104" t="n">
        <f aca="false">500*SIN(RADIANS(65))</f>
        <v>453.153893518325</v>
      </c>
      <c r="D29" s="104" t="n">
        <f aca="false">500*COS(RADIANS(65))</f>
        <v>211.30913087035</v>
      </c>
      <c r="E29" s="104" t="n">
        <f aca="false">2000*SIN(RADIANS(65))</f>
        <v>1812.6155740733</v>
      </c>
      <c r="F29" s="104" t="n">
        <f aca="false">2000*COS(RADIANS(65))</f>
        <v>845.236523481399</v>
      </c>
      <c r="G29" s="104" t="n">
        <f aca="false">5000*SIN(RADIANS(65))</f>
        <v>4531.53893518325</v>
      </c>
      <c r="H29" s="104" t="n">
        <f aca="false">5000*COS(RADIANS(65))</f>
        <v>2113.0913087035</v>
      </c>
      <c r="I29" s="104" t="n">
        <f aca="false">1_DATOS!$C$5*2025.4*SIN(RADIANS(65))+$C$7*SIN(RADIANS($D$7))</f>
        <v>45890.8947966008</v>
      </c>
      <c r="J29" s="104" t="n">
        <f aca="false">1_DATOS!$C$5*2025.4*COS(RADIANS(65))+$C$7*COS(RADIANS($D$7))</f>
        <v>17899.2756832403</v>
      </c>
      <c r="K29" s="104" t="n">
        <f aca="false">1_DATOS!$C$5*2025.4*SIN(RADIANS(65))+$C$8*SIN(RADIANS($D$8))</f>
        <v>47327.3793985686</v>
      </c>
      <c r="L29" s="104" t="n">
        <f aca="false">1_DATOS!$C$5*2025.4*COS(RADIANS(65))+$C$8*COS(RADIANS($D$8))</f>
        <v>17452.5666759395</v>
      </c>
      <c r="M29" s="104" t="n">
        <f aca="false">1_DATOS!$C$7*2025.4*SIN(RADIANS(65))+$C$9*SIN(RADIANS($D$9))</f>
        <v>21143.7460258852</v>
      </c>
      <c r="N29" s="104" t="n">
        <f aca="false">1_DATOS!$C$7*2025.4*COS(RADIANS(65))+$C$9*COS(RADIANS($D$9))</f>
        <v>9387.76885147217</v>
      </c>
      <c r="O29" s="104" t="n">
        <f aca="false">1_DATOS!$C$7*2025.4*SIN(RADIANS(65))+$C$10*SIN(RADIANS($D$10))</f>
        <v>21320.5227211818</v>
      </c>
      <c r="P29" s="104" t="n">
        <f aca="false">1_DATOS!$C$7*2025.4*COS(RADIANS(65))+$C$10*COS(RADIANS($D$10))</f>
        <v>10978.7591091419</v>
      </c>
      <c r="Q29" s="104" t="n">
        <f aca="false">1_DATOS!$C$7*2025.4*SIN(RADIANS(65))+$C$11*SIN(RADIANS($D$11))</f>
        <v>22593.3149273176</v>
      </c>
      <c r="R29" s="104" t="n">
        <f aca="false">1_DATOS!$C$7*2025.4*COS(RADIANS(65))+$C$11*COS(RADIANS($D$11))</f>
        <v>10837.3377529046</v>
      </c>
    </row>
    <row r="30" customFormat="false" ht="9.75" hidden="false" customHeight="true" outlineLevel="0" collapsed="false">
      <c r="B30" s="103" t="n">
        <v>70</v>
      </c>
      <c r="C30" s="104" t="n">
        <f aca="false">500*SIN(RADIANS(70))</f>
        <v>469.846310392954</v>
      </c>
      <c r="D30" s="104" t="n">
        <f aca="false">500*COS(RADIANS(70))</f>
        <v>171.010071662834</v>
      </c>
      <c r="E30" s="104" t="n">
        <f aca="false">2000*SIN(RADIANS(70))</f>
        <v>1879.38524157182</v>
      </c>
      <c r="F30" s="104" t="n">
        <f aca="false">2000*COS(RADIANS(70))</f>
        <v>684.040286651338</v>
      </c>
      <c r="G30" s="104" t="n">
        <f aca="false">5000*SIN(RADIANS(70))</f>
        <v>4698.46310392954</v>
      </c>
      <c r="H30" s="104" t="n">
        <f aca="false">5000*COS(RADIANS(70))</f>
        <v>1710.10071662834</v>
      </c>
      <c r="I30" s="104" t="n">
        <f aca="false">1_DATOS!$C$5*2025.4*SIN(RADIANS(70))+$C$7*SIN(RADIANS($D$7))</f>
        <v>47581.3358534945</v>
      </c>
      <c r="J30" s="104" t="n">
        <f aca="false">1_DATOS!$C$5*2025.4*COS(RADIANS(70))+$C$7*COS(RADIANS($D$7))</f>
        <v>13818.1899572952</v>
      </c>
      <c r="K30" s="104" t="n">
        <f aca="false">1_DATOS!$C$5*2025.4*SIN(RADIANS(70))+$C$8*SIN(RADIANS($D$8))</f>
        <v>49017.8204554623</v>
      </c>
      <c r="L30" s="104" t="n">
        <f aca="false">1_DATOS!$C$5*2025.4*COS(RADIANS(70))+$C$8*COS(RADIANS($D$8))</f>
        <v>13371.4809499944</v>
      </c>
      <c r="M30" s="104" t="n">
        <f aca="false">1_DATOS!$C$7*2025.4*SIN(RADIANS(70))+$C$9*SIN(RADIANS($D$9))</f>
        <v>21955.1577331942</v>
      </c>
      <c r="N30" s="104" t="n">
        <f aca="false">1_DATOS!$C$7*2025.4*COS(RADIANS(70))+$C$9*COS(RADIANS($D$9))</f>
        <v>7428.84770301853</v>
      </c>
      <c r="O30" s="104" t="n">
        <f aca="false">1_DATOS!$C$7*2025.4*SIN(RADIANS(70))+$C$10*SIN(RADIANS($D$10))</f>
        <v>22131.9344284908</v>
      </c>
      <c r="P30" s="104" t="n">
        <f aca="false">1_DATOS!$C$7*2025.4*COS(RADIANS(70))+$C$10*COS(RADIANS($D$10))</f>
        <v>9019.83796068826</v>
      </c>
      <c r="Q30" s="104" t="n">
        <f aca="false">1_DATOS!$C$7*2025.4*SIN(RADIANS(70))+$C$11*SIN(RADIANS($D$11))</f>
        <v>23404.7266346266</v>
      </c>
      <c r="R30" s="104" t="n">
        <f aca="false">1_DATOS!$C$7*2025.4*COS(RADIANS(70))+$C$11*COS(RADIANS($D$11))</f>
        <v>8878.41660445096</v>
      </c>
    </row>
    <row r="31" customFormat="false" ht="9.75" hidden="false" customHeight="true" outlineLevel="0" collapsed="false">
      <c r="B31" s="103" t="n">
        <v>75</v>
      </c>
      <c r="C31" s="104" t="n">
        <f aca="false">500*SIN(RADIANS(75))</f>
        <v>482.962913144534</v>
      </c>
      <c r="D31" s="104" t="n">
        <f aca="false">500*COS(RADIANS(75))</f>
        <v>129.40952255126</v>
      </c>
      <c r="E31" s="104" t="n">
        <f aca="false">2000*SIN(RADIANS(75))</f>
        <v>1931.85165257814</v>
      </c>
      <c r="F31" s="104" t="n">
        <f aca="false">2000*COS(RADIANS(75))</f>
        <v>517.638090205042</v>
      </c>
      <c r="G31" s="104" t="n">
        <f aca="false">5000*SIN(RADIANS(75))</f>
        <v>4829.62913144534</v>
      </c>
      <c r="H31" s="104" t="n">
        <f aca="false">5000*COS(RADIANS(75))</f>
        <v>1294.0952255126</v>
      </c>
      <c r="I31" s="104" t="n">
        <f aca="false">1_DATOS!$C$5*2025.4*SIN(RADIANS(75))+$C$7*SIN(RADIANS($D$7))</f>
        <v>48909.654214147</v>
      </c>
      <c r="J31" s="104" t="n">
        <f aca="false">1_DATOS!$C$5*2025.4*COS(RADIANS(75))+$C$7*COS(RADIANS($D$7))</f>
        <v>9605.30234876614</v>
      </c>
      <c r="K31" s="104" t="n">
        <f aca="false">1_DATOS!$C$5*2025.4*SIN(RADIANS(75))+$C$8*SIN(RADIANS($D$8))</f>
        <v>50346.1388161148</v>
      </c>
      <c r="L31" s="104" t="n">
        <f aca="false">1_DATOS!$C$5*2025.4*COS(RADIANS(75))+$C$8*COS(RADIANS($D$8))</f>
        <v>9158.59334146532</v>
      </c>
      <c r="M31" s="104" t="n">
        <f aca="false">1_DATOS!$C$7*2025.4*SIN(RADIANS(75))+$C$9*SIN(RADIANS($D$9))</f>
        <v>22592.7505463074</v>
      </c>
      <c r="N31" s="104" t="n">
        <f aca="false">1_DATOS!$C$7*2025.4*COS(RADIANS(75))+$C$9*COS(RADIANS($D$9))</f>
        <v>5406.66165092456</v>
      </c>
      <c r="O31" s="104" t="n">
        <f aca="false">1_DATOS!$C$7*2025.4*SIN(RADIANS(75))+$C$10*SIN(RADIANS($D$10))</f>
        <v>22769.527241604</v>
      </c>
      <c r="P31" s="104" t="n">
        <f aca="false">1_DATOS!$C$7*2025.4*COS(RADIANS(75))+$C$10*COS(RADIANS($D$10))</f>
        <v>6997.6519085943</v>
      </c>
      <c r="Q31" s="104" t="n">
        <f aca="false">1_DATOS!$C$7*2025.4*SIN(RADIANS(75))+$C$11*SIN(RADIANS($D$11))</f>
        <v>24042.3194477398</v>
      </c>
      <c r="R31" s="104" t="n">
        <f aca="false">1_DATOS!$C$7*2025.4*COS(RADIANS(75))+$C$11*COS(RADIANS($D$11))</f>
        <v>6856.23055235699</v>
      </c>
    </row>
    <row r="32" customFormat="false" ht="9.75" hidden="false" customHeight="true" outlineLevel="0" collapsed="false">
      <c r="B32" s="103" t="n">
        <v>80</v>
      </c>
      <c r="C32" s="104" t="n">
        <f aca="false">500*SIN(RADIANS(80))</f>
        <v>492.403876506104</v>
      </c>
      <c r="D32" s="104" t="n">
        <f aca="false">500*COS(RADIANS(80))</f>
        <v>86.8240888334652</v>
      </c>
      <c r="E32" s="104" t="n">
        <f aca="false">2000*SIN(RADIANS(80))</f>
        <v>1969.61550602442</v>
      </c>
      <c r="F32" s="104" t="n">
        <f aca="false">2000*COS(RADIANS(80))</f>
        <v>347.296355333861</v>
      </c>
      <c r="G32" s="104" t="n">
        <f aca="false">5000*SIN(RADIANS(80))</f>
        <v>4924.03876506104</v>
      </c>
      <c r="H32" s="104" t="n">
        <f aca="false">5000*COS(RADIANS(80))</f>
        <v>868.240888334652</v>
      </c>
      <c r="I32" s="104" t="n">
        <f aca="false">1_DATOS!$C$5*2025.4*SIN(RADIANS(80))+$C$7*SIN(RADIANS($D$7))</f>
        <v>49865.7405737732</v>
      </c>
      <c r="J32" s="104" t="n">
        <f aca="false">1_DATOS!$C$5*2025.4*COS(RADIANS(80))+$C$7*COS(RADIANS($D$7))</f>
        <v>5292.67547616502</v>
      </c>
      <c r="K32" s="104" t="n">
        <f aca="false">1_DATOS!$C$5*2025.4*SIN(RADIANS(80))+$C$8*SIN(RADIANS($D$8))</f>
        <v>51302.225175741</v>
      </c>
      <c r="L32" s="104" t="n">
        <f aca="false">1_DATOS!$C$5*2025.4*COS(RADIANS(80))+$C$8*COS(RADIANS($D$8))</f>
        <v>4845.96646886421</v>
      </c>
      <c r="M32" s="104" t="n">
        <f aca="false">1_DATOS!$C$7*2025.4*SIN(RADIANS(80))+$C$9*SIN(RADIANS($D$9))</f>
        <v>23051.6719989279</v>
      </c>
      <c r="N32" s="104" t="n">
        <f aca="false">1_DATOS!$C$7*2025.4*COS(RADIANS(80))+$C$9*COS(RADIANS($D$9))</f>
        <v>3336.60075207603</v>
      </c>
      <c r="O32" s="104" t="n">
        <f aca="false">1_DATOS!$C$7*2025.4*SIN(RADIANS(80))+$C$10*SIN(RADIANS($D$10))</f>
        <v>23228.4486942246</v>
      </c>
      <c r="P32" s="104" t="n">
        <f aca="false">1_DATOS!$C$7*2025.4*COS(RADIANS(80))+$C$10*COS(RADIANS($D$10))</f>
        <v>4927.59100974576</v>
      </c>
      <c r="Q32" s="104" t="n">
        <f aca="false">1_DATOS!$C$7*2025.4*SIN(RADIANS(80))+$C$11*SIN(RADIANS($D$11))</f>
        <v>24501.2409003604</v>
      </c>
      <c r="R32" s="104" t="n">
        <f aca="false">1_DATOS!$C$7*2025.4*COS(RADIANS(80))+$C$11*COS(RADIANS($D$11))</f>
        <v>4786.16965350845</v>
      </c>
    </row>
    <row r="33" customFormat="false" ht="9.75" hidden="false" customHeight="true" outlineLevel="0" collapsed="false">
      <c r="B33" s="103" t="n">
        <v>85</v>
      </c>
      <c r="C33" s="104" t="n">
        <f aca="false">500*SIN(RADIANS(85))</f>
        <v>498.097349045873</v>
      </c>
      <c r="D33" s="104" t="n">
        <f aca="false">500*COS(RADIANS(85))</f>
        <v>43.5778713738292</v>
      </c>
      <c r="E33" s="104" t="n">
        <f aca="false">2000*SIN(RADIANS(85))</f>
        <v>1992.38939618349</v>
      </c>
      <c r="F33" s="104" t="n">
        <f aca="false">2000*COS(RADIANS(85))</f>
        <v>174.311485495317</v>
      </c>
      <c r="G33" s="104" t="n">
        <f aca="false">5000*SIN(RADIANS(85))</f>
        <v>4980.97349045873</v>
      </c>
      <c r="H33" s="104" t="n">
        <f aca="false">5000*COS(RADIANS(85))</f>
        <v>435.778713738292</v>
      </c>
      <c r="I33" s="104" t="n">
        <f aca="false">1_DATOS!$C$5*2025.4*SIN(RADIANS(85))+$C$7*SIN(RADIANS($D$7))</f>
        <v>50442.3185378755</v>
      </c>
      <c r="J33" s="104" t="n">
        <f aca="false">1_DATOS!$C$5*2025.4*COS(RADIANS(85))+$C$7*COS(RADIANS($D$7))</f>
        <v>913.131034027681</v>
      </c>
      <c r="K33" s="104" t="n">
        <f aca="false">1_DATOS!$C$5*2025.4*SIN(RADIANS(85))+$C$8*SIN(RADIANS($D$8))</f>
        <v>51878.8031398433</v>
      </c>
      <c r="L33" s="104" t="n">
        <f aca="false">1_DATOS!$C$5*2025.4*COS(RADIANS(85))+$C$8*COS(RADIANS($D$8))</f>
        <v>466.422026726867</v>
      </c>
      <c r="M33" s="104" t="n">
        <f aca="false">1_DATOS!$C$7*2025.4*SIN(RADIANS(85))+$C$9*SIN(RADIANS($D$9))</f>
        <v>23328.4294216971</v>
      </c>
      <c r="N33" s="104" t="n">
        <f aca="false">1_DATOS!$C$7*2025.4*COS(RADIANS(85))+$C$9*COS(RADIANS($D$9))</f>
        <v>1234.4194198501</v>
      </c>
      <c r="O33" s="104" t="n">
        <f aca="false">1_DATOS!$C$7*2025.4*SIN(RADIANS(85))+$C$10*SIN(RADIANS($D$10))</f>
        <v>23505.2061169937</v>
      </c>
      <c r="P33" s="104" t="n">
        <f aca="false">1_DATOS!$C$7*2025.4*COS(RADIANS(85))+$C$10*COS(RADIANS($D$10))</f>
        <v>2825.40967751983</v>
      </c>
      <c r="Q33" s="104" t="n">
        <f aca="false">1_DATOS!$C$7*2025.4*SIN(RADIANS(85))+$C$11*SIN(RADIANS($D$11))</f>
        <v>24777.9983231295</v>
      </c>
      <c r="R33" s="104" t="n">
        <f aca="false">1_DATOS!$C$7*2025.4*COS(RADIANS(85))+$C$11*COS(RADIANS($D$11))</f>
        <v>2683.98832128253</v>
      </c>
    </row>
    <row r="34" customFormat="false" ht="9.75" hidden="false" customHeight="true" outlineLevel="0" collapsed="false">
      <c r="B34" s="103" t="n">
        <v>90</v>
      </c>
      <c r="C34" s="104" t="n">
        <f aca="false">500*SIN(RADIANS(90))</f>
        <v>500</v>
      </c>
      <c r="D34" s="104" t="n">
        <f aca="false">500*COS(RADIANS(90))</f>
        <v>3.06161699786838E-014</v>
      </c>
      <c r="E34" s="104" t="n">
        <f aca="false">2000*SIN(RADIANS(90))</f>
        <v>2000</v>
      </c>
      <c r="F34" s="104" t="n">
        <f aca="false">2000*COS(RADIANS(90))</f>
        <v>1.22464679914735E-013</v>
      </c>
      <c r="G34" s="104" t="n">
        <f aca="false">5000*SIN(RADIANS(90))</f>
        <v>5000</v>
      </c>
      <c r="H34" s="104" t="n">
        <f aca="false">5000*COS(RADIANS(90))</f>
        <v>3.06161699786838E-013</v>
      </c>
      <c r="I34" s="104" t="n">
        <f aca="false">1_DATOS!$C$5*2025.4*SIN(RADIANS(90))+$C$7*SIN(RADIANS($D$7))</f>
        <v>50635</v>
      </c>
      <c r="J34" s="104" t="n">
        <f aca="false">1_DATOS!$C$5*2025.4*COS(RADIANS(90))+$C$7*COS(RADIANS($D$7))</f>
        <v>-3500</v>
      </c>
      <c r="K34" s="104" t="n">
        <f aca="false">1_DATOS!$C$5*2025.4*SIN(RADIANS(90))+$C$8*SIN(RADIANS($D$8))</f>
        <v>52071.4846019678</v>
      </c>
      <c r="L34" s="104" t="n">
        <f aca="false">1_DATOS!$C$5*2025.4*COS(RADIANS(90))+$C$8*COS(RADIANS($D$8))</f>
        <v>-3946.70900730081</v>
      </c>
      <c r="M34" s="104" t="n">
        <f aca="false">1_DATOS!$C$7*2025.4*SIN(RADIANS(90))+$C$9*SIN(RADIANS($D$9))</f>
        <v>23420.9165235168</v>
      </c>
      <c r="N34" s="104" t="n">
        <f aca="false">1_DATOS!$C$7*2025.4*COS(RADIANS(90))+$C$9*COS(RADIANS($D$9))</f>
        <v>-883.883476483183</v>
      </c>
      <c r="O34" s="104" t="n">
        <f aca="false">1_DATOS!$C$7*2025.4*SIN(RADIANS(90))+$C$10*SIN(RADIANS($D$10))</f>
        <v>23597.6932188135</v>
      </c>
      <c r="P34" s="104" t="n">
        <f aca="false">1_DATOS!$C$7*2025.4*COS(RADIANS(90))+$C$10*COS(RADIANS($D$10))</f>
        <v>707.106781186549</v>
      </c>
      <c r="Q34" s="104" t="n">
        <f aca="false">1_DATOS!$C$7*2025.4*SIN(RADIANS(90))+$C$11*SIN(RADIANS($D$11))</f>
        <v>24870.4854249492</v>
      </c>
      <c r="R34" s="104" t="n">
        <f aca="false">1_DATOS!$C$7*2025.4*COS(RADIANS(90))+$C$11*COS(RADIANS($D$11))</f>
        <v>565.68542494924</v>
      </c>
    </row>
    <row r="35" customFormat="false" ht="9.75" hidden="false" customHeight="true" outlineLevel="0" collapsed="false">
      <c r="B35" s="103" t="n">
        <v>95</v>
      </c>
      <c r="C35" s="104" t="n">
        <f aca="false">500*SIN(RADIANS(95))</f>
        <v>498.097349045873</v>
      </c>
      <c r="D35" s="104" t="n">
        <f aca="false">500*COS(RADIANS(95))</f>
        <v>-43.5778713738291</v>
      </c>
      <c r="E35" s="104" t="n">
        <f aca="false">2000*SIN(RADIANS(95))</f>
        <v>1992.38939618349</v>
      </c>
      <c r="F35" s="104" t="n">
        <f aca="false">2000*COS(RADIANS(95))</f>
        <v>-174.311485495316</v>
      </c>
      <c r="G35" s="104" t="n">
        <f aca="false">5000*SIN(RADIANS(95))</f>
        <v>4980.97349045873</v>
      </c>
      <c r="H35" s="104" t="n">
        <f aca="false">5000*COS(RADIANS(95))</f>
        <v>-435.778713738291</v>
      </c>
      <c r="I35" s="104" t="n">
        <f aca="false">1_DATOS!$C$5*2025.4*SIN(RADIANS(95))+$C$7*SIN(RADIANS($D$7))</f>
        <v>50442.3185378755</v>
      </c>
      <c r="J35" s="104" t="n">
        <f aca="false">1_DATOS!$C$5*2025.4*COS(RADIANS(95))+$C$7*COS(RADIANS($D$7))</f>
        <v>-7913.13103402768</v>
      </c>
      <c r="K35" s="104" t="n">
        <f aca="false">1_DATOS!$C$5*2025.4*SIN(RADIANS(95))+$C$8*SIN(RADIANS($D$8))</f>
        <v>51878.8031398433</v>
      </c>
      <c r="L35" s="104" t="n">
        <f aca="false">1_DATOS!$C$5*2025.4*COS(RADIANS(95))+$C$8*COS(RADIANS($D$8))</f>
        <v>-8359.84004132849</v>
      </c>
      <c r="M35" s="104" t="n">
        <f aca="false">1_DATOS!$C$7*2025.4*SIN(RADIANS(95))+$C$9*SIN(RADIANS($D$9))</f>
        <v>23328.4294216971</v>
      </c>
      <c r="N35" s="104" t="n">
        <f aca="false">1_DATOS!$C$7*2025.4*COS(RADIANS(95))+$C$9*COS(RADIANS($D$9))</f>
        <v>-3002.18637281647</v>
      </c>
      <c r="O35" s="104" t="n">
        <f aca="false">1_DATOS!$C$7*2025.4*SIN(RADIANS(95))+$C$10*SIN(RADIANS($D$10))</f>
        <v>23505.2061169937</v>
      </c>
      <c r="P35" s="104" t="n">
        <f aca="false">1_DATOS!$C$7*2025.4*COS(RADIANS(95))+$C$10*COS(RADIANS($D$10))</f>
        <v>-1411.19611514674</v>
      </c>
      <c r="Q35" s="104" t="n">
        <f aca="false">1_DATOS!$C$7*2025.4*SIN(RADIANS(95))+$C$11*SIN(RADIANS($D$11))</f>
        <v>24777.9983231295</v>
      </c>
      <c r="R35" s="104" t="n">
        <f aca="false">1_DATOS!$C$7*2025.4*COS(RADIANS(95))+$C$11*COS(RADIANS($D$11))</f>
        <v>-1552.61747138405</v>
      </c>
    </row>
    <row r="36" customFormat="false" ht="9.75" hidden="false" customHeight="true" outlineLevel="0" collapsed="false">
      <c r="B36" s="103" t="n">
        <v>100</v>
      </c>
      <c r="C36" s="104" t="n">
        <f aca="false">500*SIN(RADIANS(100))</f>
        <v>492.403876506104</v>
      </c>
      <c r="D36" s="104" t="n">
        <f aca="false">500*COS(RADIANS(100))</f>
        <v>-86.8240888334652</v>
      </c>
      <c r="E36" s="104" t="n">
        <f aca="false">2000*SIN(RADIANS(100))</f>
        <v>1969.61550602442</v>
      </c>
      <c r="F36" s="104" t="n">
        <f aca="false">2000*COS(RADIANS(100))</f>
        <v>-347.296355333861</v>
      </c>
      <c r="G36" s="104" t="n">
        <f aca="false">5000*SIN(RADIANS(100))</f>
        <v>4924.03876506104</v>
      </c>
      <c r="H36" s="104" t="n">
        <f aca="false">5000*COS(RADIANS(100))</f>
        <v>-868.240888334652</v>
      </c>
      <c r="I36" s="104" t="n">
        <f aca="false">1_DATOS!$C$5*2025.4*SIN(RADIANS(100))+$C$7*SIN(RADIANS($D$7))</f>
        <v>49865.7405737732</v>
      </c>
      <c r="J36" s="104" t="n">
        <f aca="false">1_DATOS!$C$5*2025.4*COS(RADIANS(100))+$C$7*COS(RADIANS($D$7))</f>
        <v>-12292.675476165</v>
      </c>
      <c r="K36" s="104" t="n">
        <f aca="false">1_DATOS!$C$5*2025.4*SIN(RADIANS(100))+$C$8*SIN(RADIANS($D$8))</f>
        <v>51302.225175741</v>
      </c>
      <c r="L36" s="104" t="n">
        <f aca="false">1_DATOS!$C$5*2025.4*COS(RADIANS(100))+$C$8*COS(RADIANS($D$8))</f>
        <v>-12739.3844834658</v>
      </c>
      <c r="M36" s="104" t="n">
        <f aca="false">1_DATOS!$C$7*2025.4*SIN(RADIANS(100))+$C$9*SIN(RADIANS($D$9))</f>
        <v>23051.6719989279</v>
      </c>
      <c r="N36" s="104" t="n">
        <f aca="false">1_DATOS!$C$7*2025.4*COS(RADIANS(100))+$C$9*COS(RADIANS($D$9))</f>
        <v>-5104.36770504239</v>
      </c>
      <c r="O36" s="104" t="n">
        <f aca="false">1_DATOS!$C$7*2025.4*SIN(RADIANS(100))+$C$10*SIN(RADIANS($D$10))</f>
        <v>23228.4486942246</v>
      </c>
      <c r="P36" s="104" t="n">
        <f aca="false">1_DATOS!$C$7*2025.4*COS(RADIANS(100))+$C$10*COS(RADIANS($D$10))</f>
        <v>-3513.37744737266</v>
      </c>
      <c r="Q36" s="104" t="n">
        <f aca="false">1_DATOS!$C$7*2025.4*SIN(RADIANS(100))+$C$11*SIN(RADIANS($D$11))</f>
        <v>24501.2409003604</v>
      </c>
      <c r="R36" s="104" t="n">
        <f aca="false">1_DATOS!$C$7*2025.4*COS(RADIANS(100))+$C$11*COS(RADIANS($D$11))</f>
        <v>-3654.79880360997</v>
      </c>
    </row>
    <row r="37" customFormat="false" ht="9.75" hidden="false" customHeight="true" outlineLevel="0" collapsed="false">
      <c r="B37" s="103" t="n">
        <v>105</v>
      </c>
      <c r="C37" s="104" t="n">
        <f aca="false">500*SIN(RADIANS(105))</f>
        <v>482.962913144534</v>
      </c>
      <c r="D37" s="104" t="n">
        <f aca="false">500*COS(RADIANS(105))</f>
        <v>-129.40952255126</v>
      </c>
      <c r="E37" s="104" t="n">
        <f aca="false">2000*SIN(RADIANS(105))</f>
        <v>1931.85165257814</v>
      </c>
      <c r="F37" s="104" t="n">
        <f aca="false">2000*COS(RADIANS(105))</f>
        <v>-517.638090205042</v>
      </c>
      <c r="G37" s="104" t="n">
        <f aca="false">5000*SIN(RADIANS(105))</f>
        <v>4829.62913144534</v>
      </c>
      <c r="H37" s="104" t="n">
        <f aca="false">5000*COS(RADIANS(105))</f>
        <v>-1294.0952255126</v>
      </c>
      <c r="I37" s="104" t="n">
        <f aca="false">1_DATOS!$C$5*2025.4*SIN(RADIANS(105))+$C$7*SIN(RADIANS($D$7))</f>
        <v>48909.654214147</v>
      </c>
      <c r="J37" s="104" t="n">
        <f aca="false">1_DATOS!$C$5*2025.4*COS(RADIANS(105))+$C$7*COS(RADIANS($D$7))</f>
        <v>-16605.3023487661</v>
      </c>
      <c r="K37" s="104" t="n">
        <f aca="false">1_DATOS!$C$5*2025.4*SIN(RADIANS(105))+$C$8*SIN(RADIANS($D$8))</f>
        <v>50346.1388161148</v>
      </c>
      <c r="L37" s="104" t="n">
        <f aca="false">1_DATOS!$C$5*2025.4*COS(RADIANS(105))+$C$8*COS(RADIANS($D$8))</f>
        <v>-17052.011356067</v>
      </c>
      <c r="M37" s="104" t="n">
        <f aca="false">1_DATOS!$C$7*2025.4*SIN(RADIANS(105))+$C$9*SIN(RADIANS($D$9))</f>
        <v>22592.7505463074</v>
      </c>
      <c r="N37" s="104" t="n">
        <f aca="false">1_DATOS!$C$7*2025.4*COS(RADIANS(105))+$C$9*COS(RADIANS($D$9))</f>
        <v>-7174.42860389093</v>
      </c>
      <c r="O37" s="104" t="n">
        <f aca="false">1_DATOS!$C$7*2025.4*SIN(RADIANS(105))+$C$10*SIN(RADIANS($D$10))</f>
        <v>22769.527241604</v>
      </c>
      <c r="P37" s="104" t="n">
        <f aca="false">1_DATOS!$C$7*2025.4*COS(RADIANS(105))+$C$10*COS(RADIANS($D$10))</f>
        <v>-5583.4383462212</v>
      </c>
      <c r="Q37" s="104" t="n">
        <f aca="false">1_DATOS!$C$7*2025.4*SIN(RADIANS(105))+$C$11*SIN(RADIANS($D$11))</f>
        <v>24042.3194477398</v>
      </c>
      <c r="R37" s="104" t="n">
        <f aca="false">1_DATOS!$C$7*2025.4*COS(RADIANS(105))+$C$11*COS(RADIANS($D$11))</f>
        <v>-5724.85970245851</v>
      </c>
    </row>
    <row r="38" customFormat="false" ht="9.75" hidden="false" customHeight="true" outlineLevel="0" collapsed="false">
      <c r="B38" s="103" t="n">
        <v>110</v>
      </c>
      <c r="C38" s="104" t="n">
        <f aca="false">500*SIN(RADIANS(110))</f>
        <v>469.846310392954</v>
      </c>
      <c r="D38" s="104" t="n">
        <f aca="false">500*COS(RADIANS(110))</f>
        <v>-171.010071662834</v>
      </c>
      <c r="E38" s="104" t="n">
        <f aca="false">2000*SIN(RADIANS(110))</f>
        <v>1879.38524157182</v>
      </c>
      <c r="F38" s="104" t="n">
        <f aca="false">2000*COS(RADIANS(110))</f>
        <v>-684.040286651337</v>
      </c>
      <c r="G38" s="104" t="n">
        <f aca="false">5000*SIN(RADIANS(110))</f>
        <v>4698.46310392954</v>
      </c>
      <c r="H38" s="104" t="n">
        <f aca="false">5000*COS(RADIANS(110))</f>
        <v>-1710.10071662834</v>
      </c>
      <c r="I38" s="104" t="n">
        <f aca="false">1_DATOS!$C$5*2025.4*SIN(RADIANS(110))+$C$7*SIN(RADIANS($D$7))</f>
        <v>47581.3358534945</v>
      </c>
      <c r="J38" s="104" t="n">
        <f aca="false">1_DATOS!$C$5*2025.4*COS(RADIANS(110))+$C$7*COS(RADIANS($D$7))</f>
        <v>-20818.1899572952</v>
      </c>
      <c r="K38" s="104" t="n">
        <f aca="false">1_DATOS!$C$5*2025.4*SIN(RADIANS(110))+$C$8*SIN(RADIANS($D$8))</f>
        <v>49017.8204554623</v>
      </c>
      <c r="L38" s="104" t="n">
        <f aca="false">1_DATOS!$C$5*2025.4*COS(RADIANS(110))+$C$8*COS(RADIANS($D$8))</f>
        <v>-21264.8989645961</v>
      </c>
      <c r="M38" s="104" t="n">
        <f aca="false">1_DATOS!$C$7*2025.4*SIN(RADIANS(110))+$C$9*SIN(RADIANS($D$9))</f>
        <v>21955.1577331942</v>
      </c>
      <c r="N38" s="104" t="n">
        <f aca="false">1_DATOS!$C$7*2025.4*COS(RADIANS(110))+$C$9*COS(RADIANS($D$9))</f>
        <v>-9196.6146559849</v>
      </c>
      <c r="O38" s="104" t="n">
        <f aca="false">1_DATOS!$C$7*2025.4*SIN(RADIANS(110))+$C$10*SIN(RADIANS($D$10))</f>
        <v>22131.9344284908</v>
      </c>
      <c r="P38" s="104" t="n">
        <f aca="false">1_DATOS!$C$7*2025.4*COS(RADIANS(110))+$C$10*COS(RADIANS($D$10))</f>
        <v>-7605.62439831517</v>
      </c>
      <c r="Q38" s="104" t="n">
        <f aca="false">1_DATOS!$C$7*2025.4*SIN(RADIANS(110))+$C$11*SIN(RADIANS($D$11))</f>
        <v>23404.7266346266</v>
      </c>
      <c r="R38" s="104" t="n">
        <f aca="false">1_DATOS!$C$7*2025.4*COS(RADIANS(110))+$C$11*COS(RADIANS($D$11))</f>
        <v>-7747.04575455248</v>
      </c>
    </row>
    <row r="39" customFormat="false" ht="9.75" hidden="false" customHeight="true" outlineLevel="0" collapsed="false">
      <c r="B39" s="103" t="n">
        <v>115</v>
      </c>
      <c r="C39" s="104" t="n">
        <f aca="false">500*SIN(RADIANS(115))</f>
        <v>453.153893518325</v>
      </c>
      <c r="D39" s="104" t="n">
        <f aca="false">500*COS(RADIANS(115))</f>
        <v>-211.30913087035</v>
      </c>
      <c r="E39" s="104" t="n">
        <f aca="false">2000*SIN(RADIANS(115))</f>
        <v>1812.6155740733</v>
      </c>
      <c r="F39" s="104" t="n">
        <f aca="false">2000*COS(RADIANS(115))</f>
        <v>-845.236523481399</v>
      </c>
      <c r="G39" s="104" t="n">
        <f aca="false">5000*SIN(RADIANS(115))</f>
        <v>4531.53893518325</v>
      </c>
      <c r="H39" s="104" t="n">
        <f aca="false">5000*COS(RADIANS(115))</f>
        <v>-2113.0913087035</v>
      </c>
      <c r="I39" s="104" t="n">
        <f aca="false">1_DATOS!$C$5*2025.4*SIN(RADIANS(115))+$C$7*SIN(RADIANS($D$7))</f>
        <v>45890.8947966008</v>
      </c>
      <c r="J39" s="104" t="n">
        <f aca="false">1_DATOS!$C$5*2025.4*COS(RADIANS(115))+$C$7*COS(RADIANS($D$7))</f>
        <v>-24899.2756832403</v>
      </c>
      <c r="K39" s="104" t="n">
        <f aca="false">1_DATOS!$C$5*2025.4*SIN(RADIANS(115))+$C$8*SIN(RADIANS($D$8))</f>
        <v>47327.3793985686</v>
      </c>
      <c r="L39" s="104" t="n">
        <f aca="false">1_DATOS!$C$5*2025.4*COS(RADIANS(115))+$C$8*COS(RADIANS($D$8))</f>
        <v>-25345.9846905411</v>
      </c>
      <c r="M39" s="104" t="n">
        <f aca="false">1_DATOS!$C$7*2025.4*SIN(RADIANS(115))+$C$9*SIN(RADIANS($D$9))</f>
        <v>21143.7460258852</v>
      </c>
      <c r="N39" s="104" t="n">
        <f aca="false">1_DATOS!$C$7*2025.4*COS(RADIANS(115))+$C$9*COS(RADIANS($D$9))</f>
        <v>-11155.5358044385</v>
      </c>
      <c r="O39" s="104" t="n">
        <f aca="false">1_DATOS!$C$7*2025.4*SIN(RADIANS(115))+$C$10*SIN(RADIANS($D$10))</f>
        <v>21320.5227211818</v>
      </c>
      <c r="P39" s="104" t="n">
        <f aca="false">1_DATOS!$C$7*2025.4*COS(RADIANS(115))+$C$10*COS(RADIANS($D$10))</f>
        <v>-9564.5455467688</v>
      </c>
      <c r="Q39" s="104" t="n">
        <f aca="false">1_DATOS!$C$7*2025.4*SIN(RADIANS(115))+$C$11*SIN(RADIANS($D$11))</f>
        <v>22593.3149273176</v>
      </c>
      <c r="R39" s="104" t="n">
        <f aca="false">1_DATOS!$C$7*2025.4*COS(RADIANS(115))+$C$11*COS(RADIANS($D$11))</f>
        <v>-9705.96690300611</v>
      </c>
    </row>
    <row r="40" customFormat="false" ht="9.75" hidden="false" customHeight="true" outlineLevel="0" collapsed="false">
      <c r="B40" s="103" t="n">
        <v>120</v>
      </c>
      <c r="C40" s="104" t="n">
        <f aca="false">500*SIN(RADIANS(120))</f>
        <v>433.012701892219</v>
      </c>
      <c r="D40" s="104" t="n">
        <f aca="false">500*COS(RADIANS(120))</f>
        <v>-250</v>
      </c>
      <c r="E40" s="104" t="n">
        <f aca="false">2000*SIN(RADIANS(120))</f>
        <v>1732.05080756888</v>
      </c>
      <c r="F40" s="104" t="n">
        <f aca="false">2000*COS(RADIANS(120))</f>
        <v>-1000</v>
      </c>
      <c r="G40" s="104" t="n">
        <f aca="false">5000*SIN(RADIANS(120))</f>
        <v>4330.12701892219</v>
      </c>
      <c r="H40" s="104" t="n">
        <f aca="false">5000*COS(RADIANS(120))</f>
        <v>-2500</v>
      </c>
      <c r="I40" s="104" t="n">
        <f aca="false">1_DATOS!$C$5*2025.4*SIN(RADIANS(120))+$C$7*SIN(RADIANS($D$7))</f>
        <v>43851.1963206251</v>
      </c>
      <c r="J40" s="104" t="n">
        <f aca="false">1_DATOS!$C$5*2025.4*COS(RADIANS(120))+$C$7*COS(RADIANS($D$7))</f>
        <v>-28817.5</v>
      </c>
      <c r="K40" s="104" t="n">
        <f aca="false">1_DATOS!$C$5*2025.4*SIN(RADIANS(120))+$C$8*SIN(RADIANS($D$8))</f>
        <v>45287.6809225929</v>
      </c>
      <c r="L40" s="104" t="n">
        <f aca="false">1_DATOS!$C$5*2025.4*COS(RADIANS(120))+$C$8*COS(RADIANS($D$8))</f>
        <v>-29264.2090073008</v>
      </c>
      <c r="M40" s="104" t="n">
        <f aca="false">1_DATOS!$C$7*2025.4*SIN(RADIANS(120))+$C$9*SIN(RADIANS($D$9))</f>
        <v>20164.6907574168</v>
      </c>
      <c r="N40" s="104" t="n">
        <f aca="false">1_DATOS!$C$7*2025.4*COS(RADIANS(120))+$C$9*COS(RADIANS($D$9))</f>
        <v>-13036.2834764832</v>
      </c>
      <c r="O40" s="104" t="n">
        <f aca="false">1_DATOS!$C$7*2025.4*SIN(RADIANS(120))+$C$10*SIN(RADIANS($D$10))</f>
        <v>20341.4674527135</v>
      </c>
      <c r="P40" s="104" t="n">
        <f aca="false">1_DATOS!$C$7*2025.4*COS(RADIANS(120))+$C$10*COS(RADIANS($D$10))</f>
        <v>-11445.2932188135</v>
      </c>
      <c r="Q40" s="104" t="n">
        <f aca="false">1_DATOS!$C$7*2025.4*SIN(RADIANS(120))+$C$11*SIN(RADIANS($D$11))</f>
        <v>21614.2596588493</v>
      </c>
      <c r="R40" s="104" t="n">
        <f aca="false">1_DATOS!$C$7*2025.4*COS(RADIANS(120))+$C$11*COS(RADIANS($D$11))</f>
        <v>-11586.7145750508</v>
      </c>
    </row>
    <row r="41" customFormat="false" ht="9.75" hidden="false" customHeight="true" outlineLevel="0" collapsed="false">
      <c r="B41" s="103" t="n">
        <v>125</v>
      </c>
      <c r="C41" s="104" t="n">
        <f aca="false">500*SIN(RADIANS(125))</f>
        <v>409.576022144496</v>
      </c>
      <c r="D41" s="104" t="n">
        <f aca="false">500*COS(RADIANS(125))</f>
        <v>-286.788218175523</v>
      </c>
      <c r="E41" s="104" t="n">
        <f aca="false">2000*SIN(RADIANS(125))</f>
        <v>1638.30408857798</v>
      </c>
      <c r="F41" s="104" t="n">
        <f aca="false">2000*COS(RADIANS(125))</f>
        <v>-1147.15287270209</v>
      </c>
      <c r="G41" s="104" t="n">
        <f aca="false">5000*SIN(RADIANS(125))</f>
        <v>4095.76022144496</v>
      </c>
      <c r="H41" s="104" t="n">
        <f aca="false">5000*COS(RADIANS(125))</f>
        <v>-2867.88218175523</v>
      </c>
      <c r="I41" s="104" t="n">
        <f aca="false">1_DATOS!$C$5*2025.4*SIN(RADIANS(125))+$C$7*SIN(RADIANS($D$7))</f>
        <v>41477.7637625731</v>
      </c>
      <c r="J41" s="104" t="n">
        <f aca="false">1_DATOS!$C$5*2025.4*COS(RADIANS(125))+$C$7*COS(RADIANS($D$7))</f>
        <v>-32543.0428546352</v>
      </c>
      <c r="K41" s="104" t="n">
        <f aca="false">1_DATOS!$C$5*2025.4*SIN(RADIANS(125))+$C$8*SIN(RADIANS($D$8))</f>
        <v>42914.2483645409</v>
      </c>
      <c r="L41" s="104" t="n">
        <f aca="false">1_DATOS!$C$5*2025.4*COS(RADIANS(125))+$C$8*COS(RADIANS($D$8))</f>
        <v>-32989.751861936</v>
      </c>
      <c r="M41" s="104" t="n">
        <f aca="false">1_DATOS!$C$7*2025.4*SIN(RADIANS(125))+$C$9*SIN(RADIANS($D$9))</f>
        <v>19025.4431295519</v>
      </c>
      <c r="N41" s="104" t="n">
        <f aca="false">1_DATOS!$C$7*2025.4*COS(RADIANS(125))+$C$9*COS(RADIANS($D$9))</f>
        <v>-14824.5440467081</v>
      </c>
      <c r="O41" s="104" t="n">
        <f aca="false">1_DATOS!$C$7*2025.4*SIN(RADIANS(125))+$C$10*SIN(RADIANS($D$10))</f>
        <v>19202.2198248485</v>
      </c>
      <c r="P41" s="104" t="n">
        <f aca="false">1_DATOS!$C$7*2025.4*COS(RADIANS(125))+$C$10*COS(RADIANS($D$10))</f>
        <v>-13233.5537890384</v>
      </c>
      <c r="Q41" s="104" t="n">
        <f aca="false">1_DATOS!$C$7*2025.4*SIN(RADIANS(125))+$C$11*SIN(RADIANS($D$11))</f>
        <v>20475.0120309843</v>
      </c>
      <c r="R41" s="104" t="n">
        <f aca="false">1_DATOS!$C$7*2025.4*COS(RADIANS(125))+$C$11*COS(RADIANS($D$11))</f>
        <v>-13374.9751452757</v>
      </c>
    </row>
    <row r="42" customFormat="false" ht="9.75" hidden="false" customHeight="true" outlineLevel="0" collapsed="false">
      <c r="B42" s="103" t="n">
        <v>130</v>
      </c>
      <c r="C42" s="104" t="n">
        <f aca="false">500*SIN(RADIANS(130))</f>
        <v>383.022221559489</v>
      </c>
      <c r="D42" s="104" t="n">
        <f aca="false">500*COS(RADIANS(130))</f>
        <v>-321.39380484327</v>
      </c>
      <c r="E42" s="104" t="n">
        <f aca="false">2000*SIN(RADIANS(130))</f>
        <v>1532.08888623796</v>
      </c>
      <c r="F42" s="104" t="n">
        <f aca="false">2000*COS(RADIANS(130))</f>
        <v>-1285.57521937308</v>
      </c>
      <c r="G42" s="104" t="n">
        <f aca="false">5000*SIN(RADIANS(130))</f>
        <v>3830.22221559489</v>
      </c>
      <c r="H42" s="104" t="n">
        <f aca="false">5000*COS(RADIANS(130))</f>
        <v>-3213.9380484327</v>
      </c>
      <c r="I42" s="104" t="n">
        <f aca="false">1_DATOS!$C$5*2025.4*SIN(RADIANS(130))+$C$7*SIN(RADIANS($D$7))</f>
        <v>38788.6603773295</v>
      </c>
      <c r="J42" s="104" t="n">
        <f aca="false">1_DATOS!$C$5*2025.4*COS(RADIANS(130))+$C$7*COS(RADIANS($D$7))</f>
        <v>-36047.5506164779</v>
      </c>
      <c r="K42" s="104" t="n">
        <f aca="false">1_DATOS!$C$5*2025.4*SIN(RADIANS(130))+$C$8*SIN(RADIANS($D$8))</f>
        <v>40225.1449792973</v>
      </c>
      <c r="L42" s="104" t="n">
        <f aca="false">1_DATOS!$C$5*2025.4*COS(RADIANS(130))+$C$8*COS(RADIANS($D$8))</f>
        <v>-36494.2596237787</v>
      </c>
      <c r="M42" s="104" t="n">
        <f aca="false">1_DATOS!$C$7*2025.4*SIN(RADIANS(130))+$C$9*SIN(RADIANS($D$9))</f>
        <v>17734.673504635</v>
      </c>
      <c r="N42" s="104" t="n">
        <f aca="false">1_DATOS!$C$7*2025.4*COS(RADIANS(130))+$C$9*COS(RADIANS($D$9))</f>
        <v>-16506.7077723926</v>
      </c>
      <c r="O42" s="104" t="n">
        <f aca="false">1_DATOS!$C$7*2025.4*SIN(RADIANS(130))+$C$10*SIN(RADIANS($D$10))</f>
        <v>17911.4501999316</v>
      </c>
      <c r="P42" s="104" t="n">
        <f aca="false">1_DATOS!$C$7*2025.4*COS(RADIANS(130))+$C$10*COS(RADIANS($D$10))</f>
        <v>-14915.7175147229</v>
      </c>
      <c r="Q42" s="104" t="n">
        <f aca="false">1_DATOS!$C$7*2025.4*SIN(RADIANS(130))+$C$11*SIN(RADIANS($D$11))</f>
        <v>19184.2424060674</v>
      </c>
      <c r="R42" s="104" t="n">
        <f aca="false">1_DATOS!$C$7*2025.4*COS(RADIANS(130))+$C$11*COS(RADIANS($D$11))</f>
        <v>-15057.1388709602</v>
      </c>
    </row>
    <row r="43" customFormat="false" ht="9.75" hidden="false" customHeight="true" outlineLevel="0" collapsed="false">
      <c r="B43" s="103" t="n">
        <v>135</v>
      </c>
      <c r="C43" s="104" t="n">
        <f aca="false">500*SIN(RADIANS(135))</f>
        <v>353.553390593274</v>
      </c>
      <c r="D43" s="104" t="n">
        <f aca="false">500*COS(RADIANS(135))</f>
        <v>-353.553390593274</v>
      </c>
      <c r="E43" s="104" t="n">
        <f aca="false">2000*SIN(RADIANS(135))</f>
        <v>1414.2135623731</v>
      </c>
      <c r="F43" s="104" t="n">
        <f aca="false">2000*COS(RADIANS(135))</f>
        <v>-1414.21356237309</v>
      </c>
      <c r="G43" s="104" t="n">
        <f aca="false">5000*SIN(RADIANS(135))</f>
        <v>3535.53390593274</v>
      </c>
      <c r="H43" s="104" t="n">
        <f aca="false">5000*COS(RADIANS(135))</f>
        <v>-3535.53390593274</v>
      </c>
      <c r="I43" s="104" t="n">
        <f aca="false">1_DATOS!$C$5*2025.4*SIN(RADIANS(135))+$C$7*SIN(RADIANS($D$7))</f>
        <v>35804.3518653808</v>
      </c>
      <c r="J43" s="104" t="n">
        <f aca="false">1_DATOS!$C$5*2025.4*COS(RADIANS(135))+$C$7*COS(RADIANS($D$7))</f>
        <v>-39304.3518653808</v>
      </c>
      <c r="K43" s="104" t="n">
        <f aca="false">1_DATOS!$C$5*2025.4*SIN(RADIANS(135))+$C$8*SIN(RADIANS($D$8))</f>
        <v>37240.8364673486</v>
      </c>
      <c r="L43" s="104" t="n">
        <f aca="false">1_DATOS!$C$5*2025.4*COS(RADIANS(135))+$C$8*COS(RADIANS($D$8))</f>
        <v>-39751.0608726816</v>
      </c>
      <c r="M43" s="104" t="n">
        <f aca="false">1_DATOS!$C$7*2025.4*SIN(RADIANS(135))+$C$9*SIN(RADIANS($D$9))</f>
        <v>16302.2054188996</v>
      </c>
      <c r="N43" s="104" t="n">
        <f aca="false">1_DATOS!$C$7*2025.4*COS(RADIANS(135))+$C$9*COS(RADIANS($D$9))</f>
        <v>-18069.972371866</v>
      </c>
      <c r="O43" s="104" t="n">
        <f aca="false">1_DATOS!$C$7*2025.4*SIN(RADIANS(135))+$C$10*SIN(RADIANS($D$10))</f>
        <v>16478.9821141963</v>
      </c>
      <c r="P43" s="104" t="n">
        <f aca="false">1_DATOS!$C$7*2025.4*COS(RADIANS(135))+$C$10*COS(RADIANS($D$10))</f>
        <v>-16478.9821141963</v>
      </c>
      <c r="Q43" s="104" t="n">
        <f aca="false">1_DATOS!$C$7*2025.4*SIN(RADIANS(135))+$C$11*SIN(RADIANS($D$11))</f>
        <v>17751.774320332</v>
      </c>
      <c r="R43" s="104" t="n">
        <f aca="false">1_DATOS!$C$7*2025.4*COS(RADIANS(135))+$C$11*COS(RADIANS($D$11))</f>
        <v>-16620.4034704336</v>
      </c>
    </row>
    <row r="44" customFormat="false" ht="9.75" hidden="false" customHeight="true" outlineLevel="0" collapsed="false">
      <c r="B44" s="103" t="n">
        <v>140</v>
      </c>
      <c r="C44" s="104" t="n">
        <f aca="false">500*SIN(RADIANS(140))</f>
        <v>321.39380484327</v>
      </c>
      <c r="D44" s="104" t="n">
        <f aca="false">500*COS(RADIANS(140))</f>
        <v>-383.022221559489</v>
      </c>
      <c r="E44" s="104" t="n">
        <f aca="false">2000*SIN(RADIANS(140))</f>
        <v>1285.57521937308</v>
      </c>
      <c r="F44" s="104" t="n">
        <f aca="false">2000*COS(RADIANS(140))</f>
        <v>-1532.08888623796</v>
      </c>
      <c r="G44" s="104" t="n">
        <f aca="false">5000*SIN(RADIANS(140))</f>
        <v>3213.9380484327</v>
      </c>
      <c r="H44" s="104" t="n">
        <f aca="false">5000*COS(RADIANS(140))</f>
        <v>-3830.22221559489</v>
      </c>
      <c r="I44" s="104" t="n">
        <f aca="false">1_DATOS!$C$5*2025.4*SIN(RADIANS(140))+$C$7*SIN(RADIANS($D$7))</f>
        <v>32547.5506164779</v>
      </c>
      <c r="J44" s="104" t="n">
        <f aca="false">1_DATOS!$C$5*2025.4*COS(RADIANS(140))+$C$7*COS(RADIANS($D$7))</f>
        <v>-42288.6603773295</v>
      </c>
      <c r="K44" s="104" t="n">
        <f aca="false">1_DATOS!$C$5*2025.4*SIN(RADIANS(140))+$C$8*SIN(RADIANS($D$8))</f>
        <v>33984.0352184457</v>
      </c>
      <c r="L44" s="104" t="n">
        <f aca="false">1_DATOS!$C$5*2025.4*COS(RADIANS(140))+$C$8*COS(RADIANS($D$8))</f>
        <v>-42735.3693846303</v>
      </c>
      <c r="M44" s="104" t="n">
        <f aca="false">1_DATOS!$C$7*2025.4*SIN(RADIANS(140))+$C$9*SIN(RADIANS($D$9))</f>
        <v>14738.9408194262</v>
      </c>
      <c r="N44" s="104" t="n">
        <f aca="false">1_DATOS!$C$7*2025.4*COS(RADIANS(140))+$C$9*COS(RADIANS($D$9))</f>
        <v>-19502.4404576013</v>
      </c>
      <c r="O44" s="104" t="n">
        <f aca="false">1_DATOS!$C$7*2025.4*SIN(RADIANS(140))+$C$10*SIN(RADIANS($D$10))</f>
        <v>14915.7175147229</v>
      </c>
      <c r="P44" s="104" t="n">
        <f aca="false">1_DATOS!$C$7*2025.4*COS(RADIANS(140))+$C$10*COS(RADIANS($D$10))</f>
        <v>-17911.4501999316</v>
      </c>
      <c r="Q44" s="104" t="n">
        <f aca="false">1_DATOS!$C$7*2025.4*SIN(RADIANS(140))+$C$11*SIN(RADIANS($D$11))</f>
        <v>16188.5097208586</v>
      </c>
      <c r="R44" s="104" t="n">
        <f aca="false">1_DATOS!$C$7*2025.4*COS(RADIANS(140))+$C$11*COS(RADIANS($D$11))</f>
        <v>-18052.8715561689</v>
      </c>
    </row>
    <row r="45" customFormat="false" ht="9.75" hidden="false" customHeight="true" outlineLevel="0" collapsed="false">
      <c r="B45" s="103" t="n">
        <v>145</v>
      </c>
      <c r="C45" s="104" t="n">
        <f aca="false">500*SIN(RADIANS(145))</f>
        <v>286.788218175523</v>
      </c>
      <c r="D45" s="104" t="n">
        <f aca="false">500*COS(RADIANS(145))</f>
        <v>-409.576022144496</v>
      </c>
      <c r="E45" s="104" t="n">
        <f aca="false">2000*SIN(RADIANS(145))</f>
        <v>1147.15287270209</v>
      </c>
      <c r="F45" s="104" t="n">
        <f aca="false">2000*COS(RADIANS(145))</f>
        <v>-1638.30408857798</v>
      </c>
      <c r="G45" s="104" t="n">
        <f aca="false">5000*SIN(RADIANS(145))</f>
        <v>2867.88218175523</v>
      </c>
      <c r="H45" s="104" t="n">
        <f aca="false">5000*COS(RADIANS(145))</f>
        <v>-4095.76022144496</v>
      </c>
      <c r="I45" s="104" t="n">
        <f aca="false">1_DATOS!$C$5*2025.4*SIN(RADIANS(145))+$C$7*SIN(RADIANS($D$7))</f>
        <v>29043.0428546352</v>
      </c>
      <c r="J45" s="104" t="n">
        <f aca="false">1_DATOS!$C$5*2025.4*COS(RADIANS(145))+$C$7*COS(RADIANS($D$7))</f>
        <v>-44977.7637625731</v>
      </c>
      <c r="K45" s="104" t="n">
        <f aca="false">1_DATOS!$C$5*2025.4*SIN(RADIANS(145))+$C$8*SIN(RADIANS($D$8))</f>
        <v>30479.527456603</v>
      </c>
      <c r="L45" s="104" t="n">
        <f aca="false">1_DATOS!$C$5*2025.4*COS(RADIANS(145))+$C$8*COS(RADIANS($D$8))</f>
        <v>-45424.4727698739</v>
      </c>
      <c r="M45" s="104" t="n">
        <f aca="false">1_DATOS!$C$7*2025.4*SIN(RADIANS(145))+$C$9*SIN(RADIANS($D$9))</f>
        <v>13056.7770937417</v>
      </c>
      <c r="N45" s="104" t="n">
        <f aca="false">1_DATOS!$C$7*2025.4*COS(RADIANS(145))+$C$9*COS(RADIANS($D$9))</f>
        <v>-20793.2100825183</v>
      </c>
      <c r="O45" s="104" t="n">
        <f aca="false">1_DATOS!$C$7*2025.4*SIN(RADIANS(145))+$C$10*SIN(RADIANS($D$10))</f>
        <v>13233.5537890384</v>
      </c>
      <c r="P45" s="104" t="n">
        <f aca="false">1_DATOS!$C$7*2025.4*COS(RADIANS(145))+$C$10*COS(RADIANS($D$10))</f>
        <v>-19202.2198248485</v>
      </c>
      <c r="Q45" s="104" t="n">
        <f aca="false">1_DATOS!$C$7*2025.4*SIN(RADIANS(145))+$C$11*SIN(RADIANS($D$11))</f>
        <v>14506.3459951741</v>
      </c>
      <c r="R45" s="104" t="n">
        <f aca="false">1_DATOS!$C$7*2025.4*COS(RADIANS(145))+$C$11*COS(RADIANS($D$11))</f>
        <v>-19343.6411810859</v>
      </c>
    </row>
    <row r="46" customFormat="false" ht="9.75" hidden="false" customHeight="true" outlineLevel="0" collapsed="false">
      <c r="B46" s="103" t="n">
        <v>150</v>
      </c>
      <c r="C46" s="104" t="n">
        <f aca="false">500*SIN(RADIANS(150))</f>
        <v>250</v>
      </c>
      <c r="D46" s="104" t="n">
        <f aca="false">500*COS(RADIANS(150))</f>
        <v>-433.012701892219</v>
      </c>
      <c r="E46" s="104" t="n">
        <f aca="false">2000*SIN(RADIANS(150))</f>
        <v>1000</v>
      </c>
      <c r="F46" s="104" t="n">
        <f aca="false">2000*COS(RADIANS(150))</f>
        <v>-1732.05080756888</v>
      </c>
      <c r="G46" s="104" t="n">
        <f aca="false">5000*SIN(RADIANS(150))</f>
        <v>2500</v>
      </c>
      <c r="H46" s="104" t="n">
        <f aca="false">5000*COS(RADIANS(150))</f>
        <v>-4330.12701892219</v>
      </c>
      <c r="I46" s="104" t="n">
        <f aca="false">1_DATOS!$C$5*2025.4*SIN(RADIANS(150))+$C$7*SIN(RADIANS($D$7))</f>
        <v>25317.5</v>
      </c>
      <c r="J46" s="104" t="n">
        <f aca="false">1_DATOS!$C$5*2025.4*COS(RADIANS(150))+$C$7*COS(RADIANS($D$7))</f>
        <v>-47351.1963206251</v>
      </c>
      <c r="K46" s="104" t="n">
        <f aca="false">1_DATOS!$C$5*2025.4*SIN(RADIANS(150))+$C$8*SIN(RADIANS($D$8))</f>
        <v>26753.9846019678</v>
      </c>
      <c r="L46" s="104" t="n">
        <f aca="false">1_DATOS!$C$5*2025.4*COS(RADIANS(150))+$C$8*COS(RADIANS($D$8))</f>
        <v>-47797.9053279259</v>
      </c>
      <c r="M46" s="104" t="n">
        <f aca="false">1_DATOS!$C$7*2025.4*SIN(RADIANS(150))+$C$9*SIN(RADIANS($D$9))</f>
        <v>11268.5165235168</v>
      </c>
      <c r="N46" s="104" t="n">
        <f aca="false">1_DATOS!$C$7*2025.4*COS(RADIANS(150))+$C$9*COS(RADIANS($D$9))</f>
        <v>-21932.4577103832</v>
      </c>
      <c r="O46" s="104" t="n">
        <f aca="false">1_DATOS!$C$7*2025.4*SIN(RADIANS(150))+$C$10*SIN(RADIANS($D$10))</f>
        <v>11445.2932188135</v>
      </c>
      <c r="P46" s="104" t="n">
        <f aca="false">1_DATOS!$C$7*2025.4*COS(RADIANS(150))+$C$10*COS(RADIANS($D$10))</f>
        <v>-20341.4674527135</v>
      </c>
      <c r="Q46" s="104" t="n">
        <f aca="false">1_DATOS!$C$7*2025.4*SIN(RADIANS(150))+$C$11*SIN(RADIANS($D$11))</f>
        <v>12718.0854249492</v>
      </c>
      <c r="R46" s="104" t="n">
        <f aca="false">1_DATOS!$C$7*2025.4*COS(RADIANS(150))+$C$11*COS(RADIANS($D$11))</f>
        <v>-20482.8888089508</v>
      </c>
    </row>
    <row r="47" customFormat="false" ht="9.75" hidden="false" customHeight="true" outlineLevel="0" collapsed="false">
      <c r="B47" s="103" t="n">
        <v>155</v>
      </c>
      <c r="C47" s="104" t="n">
        <f aca="false">500*SIN(RADIANS(155))</f>
        <v>211.30913087035</v>
      </c>
      <c r="D47" s="104" t="n">
        <f aca="false">500*COS(RADIANS(155))</f>
        <v>-453.153893518325</v>
      </c>
      <c r="E47" s="104" t="n">
        <f aca="false">2000*SIN(RADIANS(155))</f>
        <v>845.236523481399</v>
      </c>
      <c r="F47" s="104" t="n">
        <f aca="false">2000*COS(RADIANS(155))</f>
        <v>-1812.6155740733</v>
      </c>
      <c r="G47" s="104" t="n">
        <f aca="false">5000*SIN(RADIANS(155))</f>
        <v>2113.0913087035</v>
      </c>
      <c r="H47" s="104" t="n">
        <f aca="false">5000*COS(RADIANS(155))</f>
        <v>-4531.53893518325</v>
      </c>
      <c r="I47" s="104" t="n">
        <f aca="false">1_DATOS!$C$5*2025.4*SIN(RADIANS(155))+$C$7*SIN(RADIANS($D$7))</f>
        <v>21399.2756832403</v>
      </c>
      <c r="J47" s="104" t="n">
        <f aca="false">1_DATOS!$C$5*2025.4*COS(RADIANS(155))+$C$7*COS(RADIANS($D$7))</f>
        <v>-49390.8947966008</v>
      </c>
      <c r="K47" s="104" t="n">
        <f aca="false">1_DATOS!$C$5*2025.4*SIN(RADIANS(155))+$C$8*SIN(RADIANS($D$8))</f>
        <v>22835.7602852081</v>
      </c>
      <c r="L47" s="104" t="n">
        <f aca="false">1_DATOS!$C$5*2025.4*COS(RADIANS(155))+$C$8*COS(RADIANS($D$8))</f>
        <v>-49837.6038039016</v>
      </c>
      <c r="M47" s="104" t="n">
        <f aca="false">1_DATOS!$C$7*2025.4*SIN(RADIANS(155))+$C$9*SIN(RADIANS($D$9))</f>
        <v>9387.76885147217</v>
      </c>
      <c r="N47" s="104" t="n">
        <f aca="false">1_DATOS!$C$7*2025.4*COS(RADIANS(155))+$C$9*COS(RADIANS($D$9))</f>
        <v>-22911.5129788516</v>
      </c>
      <c r="O47" s="104" t="n">
        <f aca="false">1_DATOS!$C$7*2025.4*SIN(RADIANS(155))+$C$10*SIN(RADIANS($D$10))</f>
        <v>9564.54554676881</v>
      </c>
      <c r="P47" s="104" t="n">
        <f aca="false">1_DATOS!$C$7*2025.4*COS(RADIANS(155))+$C$10*COS(RADIANS($D$10))</f>
        <v>-21320.5227211818</v>
      </c>
      <c r="Q47" s="104" t="n">
        <f aca="false">1_DATOS!$C$7*2025.4*SIN(RADIANS(155))+$C$11*SIN(RADIANS($D$11))</f>
        <v>10837.3377529046</v>
      </c>
      <c r="R47" s="104" t="n">
        <f aca="false">1_DATOS!$C$7*2025.4*COS(RADIANS(155))+$C$11*COS(RADIANS($D$11))</f>
        <v>-21461.9440774191</v>
      </c>
    </row>
    <row r="48" customFormat="false" ht="9.75" hidden="false" customHeight="true" outlineLevel="0" collapsed="false">
      <c r="B48" s="103" t="n">
        <v>160</v>
      </c>
      <c r="C48" s="104" t="n">
        <f aca="false">500*SIN(RADIANS(160))</f>
        <v>171.010071662834</v>
      </c>
      <c r="D48" s="104" t="n">
        <f aca="false">500*COS(RADIANS(160))</f>
        <v>-469.846310392954</v>
      </c>
      <c r="E48" s="104" t="n">
        <f aca="false">2000*SIN(RADIANS(160))</f>
        <v>684.040286651338</v>
      </c>
      <c r="F48" s="104" t="n">
        <f aca="false">2000*COS(RADIANS(160))</f>
        <v>-1879.38524157182</v>
      </c>
      <c r="G48" s="104" t="n">
        <f aca="false">5000*SIN(RADIANS(160))</f>
        <v>1710.10071662834</v>
      </c>
      <c r="H48" s="104" t="n">
        <f aca="false">5000*COS(RADIANS(160))</f>
        <v>-4698.46310392954</v>
      </c>
      <c r="I48" s="104" t="n">
        <f aca="false">1_DATOS!$C$5*2025.4*SIN(RADIANS(160))+$C$7*SIN(RADIANS($D$7))</f>
        <v>17318.1899572952</v>
      </c>
      <c r="J48" s="104" t="n">
        <f aca="false">1_DATOS!$C$5*2025.4*COS(RADIANS(160))+$C$7*COS(RADIANS($D$7))</f>
        <v>-51081.3358534945</v>
      </c>
      <c r="K48" s="104" t="n">
        <f aca="false">1_DATOS!$C$5*2025.4*SIN(RADIANS(160))+$C$8*SIN(RADIANS($D$8))</f>
        <v>18754.6745592631</v>
      </c>
      <c r="L48" s="104" t="n">
        <f aca="false">1_DATOS!$C$5*2025.4*COS(RADIANS(160))+$C$8*COS(RADIANS($D$8))</f>
        <v>-51528.0448607953</v>
      </c>
      <c r="M48" s="104" t="n">
        <f aca="false">1_DATOS!$C$7*2025.4*SIN(RADIANS(160))+$C$9*SIN(RADIANS($D$9))</f>
        <v>7428.84770301853</v>
      </c>
      <c r="N48" s="104" t="n">
        <f aca="false">1_DATOS!$C$7*2025.4*COS(RADIANS(160))+$C$9*COS(RADIANS($D$9))</f>
        <v>-23722.9246861605</v>
      </c>
      <c r="O48" s="104" t="n">
        <f aca="false">1_DATOS!$C$7*2025.4*SIN(RADIANS(160))+$C$10*SIN(RADIANS($D$10))</f>
        <v>7605.62439831517</v>
      </c>
      <c r="P48" s="104" t="n">
        <f aca="false">1_DATOS!$C$7*2025.4*COS(RADIANS(160))+$C$10*COS(RADIANS($D$10))</f>
        <v>-22131.9344284908</v>
      </c>
      <c r="Q48" s="104" t="n">
        <f aca="false">1_DATOS!$C$7*2025.4*SIN(RADIANS(160))+$C$11*SIN(RADIANS($D$11))</f>
        <v>8878.41660445096</v>
      </c>
      <c r="R48" s="104" t="n">
        <f aca="false">1_DATOS!$C$7*2025.4*COS(RADIANS(160))+$C$11*COS(RADIANS($D$11))</f>
        <v>-22273.3557847281</v>
      </c>
    </row>
    <row r="49" customFormat="false" ht="9.75" hidden="false" customHeight="true" outlineLevel="0" collapsed="false">
      <c r="B49" s="103" t="n">
        <v>165</v>
      </c>
      <c r="C49" s="104" t="n">
        <f aca="false">500*SIN(RADIANS(165))</f>
        <v>129.409522551261</v>
      </c>
      <c r="D49" s="104" t="n">
        <f aca="false">500*COS(RADIANS(165))</f>
        <v>-482.962913144534</v>
      </c>
      <c r="E49" s="104" t="n">
        <f aca="false">2000*SIN(RADIANS(165))</f>
        <v>517.638090205042</v>
      </c>
      <c r="F49" s="104" t="n">
        <f aca="false">2000*COS(RADIANS(165))</f>
        <v>-1931.85165257814</v>
      </c>
      <c r="G49" s="104" t="n">
        <f aca="false">5000*SIN(RADIANS(165))</f>
        <v>1294.09522551261</v>
      </c>
      <c r="H49" s="104" t="n">
        <f aca="false">5000*COS(RADIANS(165))</f>
        <v>-4829.62913144534</v>
      </c>
      <c r="I49" s="104" t="n">
        <f aca="false">1_DATOS!$C$5*2025.4*SIN(RADIANS(165))+$C$7*SIN(RADIANS($D$7))</f>
        <v>13105.3023487662</v>
      </c>
      <c r="J49" s="104" t="n">
        <f aca="false">1_DATOS!$C$5*2025.4*COS(RADIANS(165))+$C$7*COS(RADIANS($D$7))</f>
        <v>-52409.654214147</v>
      </c>
      <c r="K49" s="104" t="n">
        <f aca="false">1_DATOS!$C$5*2025.4*SIN(RADIANS(165))+$C$8*SIN(RADIANS($D$8))</f>
        <v>14541.786950734</v>
      </c>
      <c r="L49" s="104" t="n">
        <f aca="false">1_DATOS!$C$5*2025.4*COS(RADIANS(165))+$C$8*COS(RADIANS($D$8))</f>
        <v>-52856.3632214478</v>
      </c>
      <c r="M49" s="104" t="n">
        <f aca="false">1_DATOS!$C$7*2025.4*SIN(RADIANS(165))+$C$9*SIN(RADIANS($D$9))</f>
        <v>5406.66165092457</v>
      </c>
      <c r="N49" s="104" t="n">
        <f aca="false">1_DATOS!$C$7*2025.4*COS(RADIANS(165))+$C$9*COS(RADIANS($D$9))</f>
        <v>-24360.5174992737</v>
      </c>
      <c r="O49" s="104" t="n">
        <f aca="false">1_DATOS!$C$7*2025.4*SIN(RADIANS(165))+$C$10*SIN(RADIANS($D$10))</f>
        <v>5583.43834622121</v>
      </c>
      <c r="P49" s="104" t="n">
        <f aca="false">1_DATOS!$C$7*2025.4*COS(RADIANS(165))+$C$10*COS(RADIANS($D$10))</f>
        <v>-22769.527241604</v>
      </c>
      <c r="Q49" s="104" t="n">
        <f aca="false">1_DATOS!$C$7*2025.4*SIN(RADIANS(165))+$C$11*SIN(RADIANS($D$11))</f>
        <v>6856.23055235699</v>
      </c>
      <c r="R49" s="104" t="n">
        <f aca="false">1_DATOS!$C$7*2025.4*COS(RADIANS(165))+$C$11*COS(RADIANS($D$11))</f>
        <v>-22910.9485978413</v>
      </c>
    </row>
    <row r="50" customFormat="false" ht="9.75" hidden="false" customHeight="true" outlineLevel="0" collapsed="false">
      <c r="B50" s="103" t="n">
        <v>170</v>
      </c>
      <c r="C50" s="104" t="n">
        <f aca="false">500*SIN(RADIANS(170))</f>
        <v>86.8240888334653</v>
      </c>
      <c r="D50" s="104" t="n">
        <f aca="false">500*COS(RADIANS(170))</f>
        <v>-492.403876506104</v>
      </c>
      <c r="E50" s="104" t="n">
        <f aca="false">2000*SIN(RADIANS(170))</f>
        <v>347.296355333861</v>
      </c>
      <c r="F50" s="104" t="n">
        <f aca="false">2000*COS(RADIANS(170))</f>
        <v>-1969.61550602442</v>
      </c>
      <c r="G50" s="104" t="n">
        <f aca="false">5000*SIN(RADIANS(170))</f>
        <v>868.240888334654</v>
      </c>
      <c r="H50" s="104" t="n">
        <f aca="false">5000*COS(RADIANS(170))</f>
        <v>-4924.03876506104</v>
      </c>
      <c r="I50" s="104" t="n">
        <f aca="false">1_DATOS!$C$5*2025.4*SIN(RADIANS(170))+$C$7*SIN(RADIANS($D$7))</f>
        <v>8792.67547616504</v>
      </c>
      <c r="J50" s="104" t="n">
        <f aca="false">1_DATOS!$C$5*2025.4*COS(RADIANS(170))+$C$7*COS(RADIANS($D$7))</f>
        <v>-53365.7405737732</v>
      </c>
      <c r="K50" s="104" t="n">
        <f aca="false">1_DATOS!$C$5*2025.4*SIN(RADIANS(170))+$C$8*SIN(RADIANS($D$8))</f>
        <v>10229.1600781328</v>
      </c>
      <c r="L50" s="104" t="n">
        <f aca="false">1_DATOS!$C$5*2025.4*COS(RADIANS(170))+$C$8*COS(RADIANS($D$8))</f>
        <v>-53812.449581074</v>
      </c>
      <c r="M50" s="104" t="n">
        <f aca="false">1_DATOS!$C$7*2025.4*SIN(RADIANS(170))+$C$9*SIN(RADIANS($D$9))</f>
        <v>3336.60075207603</v>
      </c>
      <c r="N50" s="104" t="n">
        <f aca="false">1_DATOS!$C$7*2025.4*COS(RADIANS(170))+$C$9*COS(RADIANS($D$9))</f>
        <v>-24819.4389518943</v>
      </c>
      <c r="O50" s="104" t="n">
        <f aca="false">1_DATOS!$C$7*2025.4*SIN(RADIANS(170))+$C$10*SIN(RADIANS($D$10))</f>
        <v>3513.37744737267</v>
      </c>
      <c r="P50" s="104" t="n">
        <f aca="false">1_DATOS!$C$7*2025.4*COS(RADIANS(170))+$C$10*COS(RADIANS($D$10))</f>
        <v>-23228.4486942246</v>
      </c>
      <c r="Q50" s="104" t="n">
        <f aca="false">1_DATOS!$C$7*2025.4*SIN(RADIANS(170))+$C$11*SIN(RADIANS($D$11))</f>
        <v>4786.16965350846</v>
      </c>
      <c r="R50" s="104" t="n">
        <f aca="false">1_DATOS!$C$7*2025.4*COS(RADIANS(170))+$C$11*COS(RADIANS($D$11))</f>
        <v>-23369.8700504619</v>
      </c>
    </row>
    <row r="51" customFormat="false" ht="9.75" hidden="false" customHeight="true" outlineLevel="0" collapsed="false">
      <c r="B51" s="103" t="n">
        <v>175</v>
      </c>
      <c r="C51" s="104" t="n">
        <f aca="false">500*SIN(RADIANS(175))</f>
        <v>43.5778713738291</v>
      </c>
      <c r="D51" s="104" t="n">
        <f aca="false">500*COS(RADIANS(175))</f>
        <v>-498.097349045873</v>
      </c>
      <c r="E51" s="104" t="n">
        <f aca="false">2000*SIN(RADIANS(175))</f>
        <v>174.311485495316</v>
      </c>
      <c r="F51" s="104" t="n">
        <f aca="false">2000*COS(RADIANS(175))</f>
        <v>-1992.38939618349</v>
      </c>
      <c r="G51" s="104" t="n">
        <f aca="false">5000*SIN(RADIANS(175))</f>
        <v>435.778713738291</v>
      </c>
      <c r="H51" s="104" t="n">
        <f aca="false">5000*COS(RADIANS(175))</f>
        <v>-4980.97349045873</v>
      </c>
      <c r="I51" s="104" t="n">
        <f aca="false">1_DATOS!$C$5*2025.4*SIN(RADIANS(175))+$C$7*SIN(RADIANS($D$7))</f>
        <v>4413.13103402767</v>
      </c>
      <c r="J51" s="104" t="n">
        <f aca="false">1_DATOS!$C$5*2025.4*COS(RADIANS(175))+$C$7*COS(RADIANS($D$7))</f>
        <v>-53942.3185378755</v>
      </c>
      <c r="K51" s="104" t="n">
        <f aca="false">1_DATOS!$C$5*2025.4*SIN(RADIANS(175))+$C$8*SIN(RADIANS($D$8))</f>
        <v>5849.61563599548</v>
      </c>
      <c r="L51" s="104" t="n">
        <f aca="false">1_DATOS!$C$5*2025.4*COS(RADIANS(175))+$C$8*COS(RADIANS($D$8))</f>
        <v>-54389.0275451764</v>
      </c>
      <c r="M51" s="104" t="n">
        <f aca="false">1_DATOS!$C$7*2025.4*SIN(RADIANS(175))+$C$9*SIN(RADIANS($D$9))</f>
        <v>1234.4194198501</v>
      </c>
      <c r="N51" s="104" t="n">
        <f aca="false">1_DATOS!$C$7*2025.4*COS(RADIANS(175))+$C$9*COS(RADIANS($D$9))</f>
        <v>-25096.1963746634</v>
      </c>
      <c r="O51" s="104" t="n">
        <f aca="false">1_DATOS!$C$7*2025.4*SIN(RADIANS(175))+$C$10*SIN(RADIANS($D$10))</f>
        <v>1411.19611514674</v>
      </c>
      <c r="P51" s="104" t="n">
        <f aca="false">1_DATOS!$C$7*2025.4*COS(RADIANS(175))+$C$10*COS(RADIANS($D$10))</f>
        <v>-23505.2061169937</v>
      </c>
      <c r="Q51" s="104" t="n">
        <f aca="false">1_DATOS!$C$7*2025.4*SIN(RADIANS(175))+$C$11*SIN(RADIANS($D$11))</f>
        <v>2683.98832128252</v>
      </c>
      <c r="R51" s="104" t="n">
        <f aca="false">1_DATOS!$C$7*2025.4*COS(RADIANS(175))+$C$11*COS(RADIANS($D$11))</f>
        <v>-23646.627473231</v>
      </c>
    </row>
    <row r="52" customFormat="false" ht="9.75" hidden="false" customHeight="true" outlineLevel="0" collapsed="false">
      <c r="B52" s="103" t="n">
        <v>180</v>
      </c>
      <c r="C52" s="104" t="n">
        <f aca="false">500*SIN(RADIANS(180))</f>
        <v>6.12323399573677E-014</v>
      </c>
      <c r="D52" s="104" t="n">
        <f aca="false">500*COS(RADIANS(180))</f>
        <v>-500</v>
      </c>
      <c r="E52" s="104" t="n">
        <f aca="false">2000*SIN(RADIANS(180))</f>
        <v>2.44929359829471E-013</v>
      </c>
      <c r="F52" s="104" t="n">
        <f aca="false">2000*COS(RADIANS(180))</f>
        <v>-2000</v>
      </c>
      <c r="G52" s="104" t="n">
        <f aca="false">5000*SIN(RADIANS(180))</f>
        <v>6.12323399573677E-013</v>
      </c>
      <c r="H52" s="104" t="n">
        <f aca="false">5000*COS(RADIANS(180))</f>
        <v>-5000</v>
      </c>
      <c r="I52" s="104" t="n">
        <f aca="false">1_DATOS!$C$5*2025.4*SIN(RADIANS(180))+$C$7*SIN(RADIANS($D$7))</f>
        <v>6.6296254471842E-012</v>
      </c>
      <c r="J52" s="104" t="n">
        <f aca="false">1_DATOS!$C$5*2025.4*COS(RADIANS(180))+$C$7*COS(RADIANS($D$7))</f>
        <v>-54135</v>
      </c>
      <c r="K52" s="104" t="n">
        <f aca="false">1_DATOS!$C$5*2025.4*SIN(RADIANS(180))+$C$8*SIN(RADIANS($D$8))</f>
        <v>1436.48460196782</v>
      </c>
      <c r="L52" s="104" t="n">
        <f aca="false">1_DATOS!$C$5*2025.4*COS(RADIANS(180))+$C$8*COS(RADIANS($D$8))</f>
        <v>-54581.7090073008</v>
      </c>
      <c r="M52" s="104" t="n">
        <f aca="false">1_DATOS!$C$7*2025.4*SIN(RADIANS(180))+$C$9*SIN(RADIANS($D$9))</f>
        <v>-883.883476483181</v>
      </c>
      <c r="N52" s="104" t="n">
        <f aca="false">1_DATOS!$C$7*2025.4*COS(RADIANS(180))+$C$9*COS(RADIANS($D$9))</f>
        <v>-25188.6834764832</v>
      </c>
      <c r="O52" s="104" t="n">
        <f aca="false">1_DATOS!$C$7*2025.4*SIN(RADIANS(180))+$C$10*SIN(RADIANS($D$10))</f>
        <v>-707.106781186545</v>
      </c>
      <c r="P52" s="104" t="n">
        <f aca="false">1_DATOS!$C$7*2025.4*COS(RADIANS(180))+$C$10*COS(RADIANS($D$10))</f>
        <v>-23597.6932188135</v>
      </c>
      <c r="Q52" s="104" t="n">
        <f aca="false">1_DATOS!$C$7*2025.4*SIN(RADIANS(180))+$C$11*SIN(RADIANS($D$11))</f>
        <v>565.685424949241</v>
      </c>
      <c r="R52" s="104" t="n">
        <f aca="false">1_DATOS!$C$7*2025.4*COS(RADIANS(180))+$C$11*COS(RADIANS($D$11))</f>
        <v>-23739.1145750508</v>
      </c>
    </row>
    <row r="53" customFormat="false" ht="9.75" hidden="false" customHeight="true" outlineLevel="0" collapsed="false">
      <c r="B53" s="103" t="n">
        <v>185</v>
      </c>
      <c r="C53" s="104" t="n">
        <f aca="false">500*SIN(RADIANS(185))</f>
        <v>-43.577871373829</v>
      </c>
      <c r="D53" s="104" t="n">
        <f aca="false">500*COS(RADIANS(185))</f>
        <v>-498.097349045873</v>
      </c>
      <c r="E53" s="104" t="n">
        <f aca="false">2000*SIN(RADIANS(185))</f>
        <v>-174.311485495316</v>
      </c>
      <c r="F53" s="104" t="n">
        <f aca="false">2000*COS(RADIANS(185))</f>
        <v>-1992.38939618349</v>
      </c>
      <c r="G53" s="104" t="n">
        <f aca="false">5000*SIN(RADIANS(185))</f>
        <v>-435.77871373829</v>
      </c>
      <c r="H53" s="104" t="n">
        <f aca="false">5000*COS(RADIANS(185))</f>
        <v>-4980.97349045873</v>
      </c>
      <c r="I53" s="104" t="n">
        <f aca="false">1_DATOS!$C$5*2025.4*SIN(RADIANS(185))+$C$7*SIN(RADIANS($D$7))</f>
        <v>-4413.13103402766</v>
      </c>
      <c r="J53" s="104" t="n">
        <f aca="false">1_DATOS!$C$5*2025.4*COS(RADIANS(185))+$C$7*COS(RADIANS($D$7))</f>
        <v>-53942.3185378755</v>
      </c>
      <c r="K53" s="104" t="n">
        <f aca="false">1_DATOS!$C$5*2025.4*SIN(RADIANS(185))+$C$8*SIN(RADIANS($D$8))</f>
        <v>-2976.64643205985</v>
      </c>
      <c r="L53" s="104" t="n">
        <f aca="false">1_DATOS!$C$5*2025.4*COS(RADIANS(185))+$C$8*COS(RADIANS($D$8))</f>
        <v>-54389.0275451764</v>
      </c>
      <c r="M53" s="104" t="n">
        <f aca="false">1_DATOS!$C$7*2025.4*SIN(RADIANS(185))+$C$9*SIN(RADIANS($D$9))</f>
        <v>-3002.18637281646</v>
      </c>
      <c r="N53" s="104" t="n">
        <f aca="false">1_DATOS!$C$7*2025.4*COS(RADIANS(185))+$C$9*COS(RADIANS($D$9))</f>
        <v>-25096.1963746634</v>
      </c>
      <c r="O53" s="104" t="n">
        <f aca="false">1_DATOS!$C$7*2025.4*SIN(RADIANS(185))+$C$10*SIN(RADIANS($D$10))</f>
        <v>-2825.40967751983</v>
      </c>
      <c r="P53" s="104" t="n">
        <f aca="false">1_DATOS!$C$7*2025.4*COS(RADIANS(185))+$C$10*COS(RADIANS($D$10))</f>
        <v>-23505.2061169937</v>
      </c>
      <c r="Q53" s="104" t="n">
        <f aca="false">1_DATOS!$C$7*2025.4*SIN(RADIANS(185))+$C$11*SIN(RADIANS($D$11))</f>
        <v>-1552.61747138404</v>
      </c>
      <c r="R53" s="104" t="n">
        <f aca="false">1_DATOS!$C$7*2025.4*COS(RADIANS(185))+$C$11*COS(RADIANS($D$11))</f>
        <v>-23646.627473231</v>
      </c>
    </row>
    <row r="54" customFormat="false" ht="9.75" hidden="false" customHeight="true" outlineLevel="0" collapsed="false">
      <c r="B54" s="103" t="n">
        <v>190</v>
      </c>
      <c r="C54" s="104" t="n">
        <f aca="false">500*SIN(RADIANS(190))</f>
        <v>-86.8240888334652</v>
      </c>
      <c r="D54" s="104" t="n">
        <f aca="false">500*COS(RADIANS(190))</f>
        <v>-492.403876506104</v>
      </c>
      <c r="E54" s="104" t="n">
        <f aca="false">2000*SIN(RADIANS(190))</f>
        <v>-347.296355333861</v>
      </c>
      <c r="F54" s="104" t="n">
        <f aca="false">2000*COS(RADIANS(190))</f>
        <v>-1969.61550602442</v>
      </c>
      <c r="G54" s="104" t="n">
        <f aca="false">5000*SIN(RADIANS(190))</f>
        <v>-868.240888334652</v>
      </c>
      <c r="H54" s="104" t="n">
        <f aca="false">5000*COS(RADIANS(190))</f>
        <v>-4924.03876506104</v>
      </c>
      <c r="I54" s="104" t="n">
        <f aca="false">1_DATOS!$C$5*2025.4*SIN(RADIANS(190))+$C$7*SIN(RADIANS($D$7))</f>
        <v>-8792.67547616503</v>
      </c>
      <c r="J54" s="104" t="n">
        <f aca="false">1_DATOS!$C$5*2025.4*COS(RADIANS(190))+$C$7*COS(RADIANS($D$7))</f>
        <v>-53365.7405737732</v>
      </c>
      <c r="K54" s="104" t="n">
        <f aca="false">1_DATOS!$C$5*2025.4*SIN(RADIANS(190))+$C$8*SIN(RADIANS($D$8))</f>
        <v>-7356.19087419722</v>
      </c>
      <c r="L54" s="104" t="n">
        <f aca="false">1_DATOS!$C$5*2025.4*COS(RADIANS(190))+$C$8*COS(RADIANS($D$8))</f>
        <v>-53812.449581074</v>
      </c>
      <c r="M54" s="104" t="n">
        <f aca="false">1_DATOS!$C$7*2025.4*SIN(RADIANS(190))+$C$9*SIN(RADIANS($D$9))</f>
        <v>-5104.3677050424</v>
      </c>
      <c r="N54" s="104" t="n">
        <f aca="false">1_DATOS!$C$7*2025.4*COS(RADIANS(190))+$C$9*COS(RADIANS($D$9))</f>
        <v>-24819.4389518943</v>
      </c>
      <c r="O54" s="104" t="n">
        <f aca="false">1_DATOS!$C$7*2025.4*SIN(RADIANS(190))+$C$10*SIN(RADIANS($D$10))</f>
        <v>-4927.59100974576</v>
      </c>
      <c r="P54" s="104" t="n">
        <f aca="false">1_DATOS!$C$7*2025.4*COS(RADIANS(190))+$C$10*COS(RADIANS($D$10))</f>
        <v>-23228.4486942246</v>
      </c>
      <c r="Q54" s="104" t="n">
        <f aca="false">1_DATOS!$C$7*2025.4*SIN(RADIANS(190))+$C$11*SIN(RADIANS($D$11))</f>
        <v>-3654.79880360997</v>
      </c>
      <c r="R54" s="104" t="n">
        <f aca="false">1_DATOS!$C$7*2025.4*COS(RADIANS(190))+$C$11*COS(RADIANS($D$11))</f>
        <v>-23369.8700504619</v>
      </c>
    </row>
    <row r="55" customFormat="false" ht="9.75" hidden="false" customHeight="true" outlineLevel="0" collapsed="false">
      <c r="B55" s="103" t="n">
        <v>195</v>
      </c>
      <c r="C55" s="104" t="n">
        <f aca="false">500*SIN(RADIANS(195))</f>
        <v>-129.40952255126</v>
      </c>
      <c r="D55" s="104" t="n">
        <f aca="false">500*COS(RADIANS(195))</f>
        <v>-482.962913144534</v>
      </c>
      <c r="E55" s="104" t="n">
        <f aca="false">2000*SIN(RADIANS(195))</f>
        <v>-517.638090205041</v>
      </c>
      <c r="F55" s="104" t="n">
        <f aca="false">2000*COS(RADIANS(195))</f>
        <v>-1931.85165257814</v>
      </c>
      <c r="G55" s="104" t="n">
        <f aca="false">5000*SIN(RADIANS(195))</f>
        <v>-1294.0952255126</v>
      </c>
      <c r="H55" s="104" t="n">
        <f aca="false">5000*COS(RADIANS(195))</f>
        <v>-4829.62913144534</v>
      </c>
      <c r="I55" s="104" t="n">
        <f aca="false">1_DATOS!$C$5*2025.4*SIN(RADIANS(195))+$C$7*SIN(RADIANS($D$7))</f>
        <v>-13105.3023487661</v>
      </c>
      <c r="J55" s="104" t="n">
        <f aca="false">1_DATOS!$C$5*2025.4*COS(RADIANS(195))+$C$7*COS(RADIANS($D$7))</f>
        <v>-52409.654214147</v>
      </c>
      <c r="K55" s="104" t="n">
        <f aca="false">1_DATOS!$C$5*2025.4*SIN(RADIANS(195))+$C$8*SIN(RADIANS($D$8))</f>
        <v>-11668.8177467983</v>
      </c>
      <c r="L55" s="104" t="n">
        <f aca="false">1_DATOS!$C$5*2025.4*COS(RADIANS(195))+$C$8*COS(RADIANS($D$8))</f>
        <v>-52856.3632214478</v>
      </c>
      <c r="M55" s="104" t="n">
        <f aca="false">1_DATOS!$C$7*2025.4*SIN(RADIANS(195))+$C$9*SIN(RADIANS($D$9))</f>
        <v>-7174.42860389092</v>
      </c>
      <c r="N55" s="104" t="n">
        <f aca="false">1_DATOS!$C$7*2025.4*COS(RADIANS(195))+$C$9*COS(RADIANS($D$9))</f>
        <v>-24360.5174992737</v>
      </c>
      <c r="O55" s="104" t="n">
        <f aca="false">1_DATOS!$C$7*2025.4*SIN(RADIANS(195))+$C$10*SIN(RADIANS($D$10))</f>
        <v>-6997.65190859429</v>
      </c>
      <c r="P55" s="104" t="n">
        <f aca="false">1_DATOS!$C$7*2025.4*COS(RADIANS(195))+$C$10*COS(RADIANS($D$10))</f>
        <v>-22769.527241604</v>
      </c>
      <c r="Q55" s="104" t="n">
        <f aca="false">1_DATOS!$C$7*2025.4*SIN(RADIANS(195))+$C$11*SIN(RADIANS($D$11))</f>
        <v>-5724.8597024585</v>
      </c>
      <c r="R55" s="104" t="n">
        <f aca="false">1_DATOS!$C$7*2025.4*COS(RADIANS(195))+$C$11*COS(RADIANS($D$11))</f>
        <v>-22910.9485978413</v>
      </c>
    </row>
    <row r="56" customFormat="false" ht="9.75" hidden="false" customHeight="true" outlineLevel="0" collapsed="false">
      <c r="B56" s="103" t="n">
        <v>200</v>
      </c>
      <c r="C56" s="104" t="n">
        <f aca="false">500*SIN(RADIANS(200))</f>
        <v>-171.010071662834</v>
      </c>
      <c r="D56" s="104" t="n">
        <f aca="false">500*COS(RADIANS(200))</f>
        <v>-469.846310392954</v>
      </c>
      <c r="E56" s="104" t="n">
        <f aca="false">2000*SIN(RADIANS(200))</f>
        <v>-684.040286651337</v>
      </c>
      <c r="F56" s="104" t="n">
        <f aca="false">2000*COS(RADIANS(200))</f>
        <v>-1879.38524157182</v>
      </c>
      <c r="G56" s="104" t="n">
        <f aca="false">5000*SIN(RADIANS(200))</f>
        <v>-1710.10071662834</v>
      </c>
      <c r="H56" s="104" t="n">
        <f aca="false">5000*COS(RADIANS(200))</f>
        <v>-4698.46310392954</v>
      </c>
      <c r="I56" s="104" t="n">
        <f aca="false">1_DATOS!$C$5*2025.4*SIN(RADIANS(200))+$C$7*SIN(RADIANS($D$7))</f>
        <v>-17318.1899572952</v>
      </c>
      <c r="J56" s="104" t="n">
        <f aca="false">1_DATOS!$C$5*2025.4*COS(RADIANS(200))+$C$7*COS(RADIANS($D$7))</f>
        <v>-51081.3358534945</v>
      </c>
      <c r="K56" s="104" t="n">
        <f aca="false">1_DATOS!$C$5*2025.4*SIN(RADIANS(200))+$C$8*SIN(RADIANS($D$8))</f>
        <v>-15881.7053553274</v>
      </c>
      <c r="L56" s="104" t="n">
        <f aca="false">1_DATOS!$C$5*2025.4*COS(RADIANS(200))+$C$8*COS(RADIANS($D$8))</f>
        <v>-51528.0448607953</v>
      </c>
      <c r="M56" s="104" t="n">
        <f aca="false">1_DATOS!$C$7*2025.4*SIN(RADIANS(200))+$C$9*SIN(RADIANS($D$9))</f>
        <v>-9196.6146559849</v>
      </c>
      <c r="N56" s="104" t="n">
        <f aca="false">1_DATOS!$C$7*2025.4*COS(RADIANS(200))+$C$9*COS(RADIANS($D$9))</f>
        <v>-23722.9246861605</v>
      </c>
      <c r="O56" s="104" t="n">
        <f aca="false">1_DATOS!$C$7*2025.4*SIN(RADIANS(200))+$C$10*SIN(RADIANS($D$10))</f>
        <v>-9019.83796068826</v>
      </c>
      <c r="P56" s="104" t="n">
        <f aca="false">1_DATOS!$C$7*2025.4*COS(RADIANS(200))+$C$10*COS(RADIANS($D$10))</f>
        <v>-22131.9344284908</v>
      </c>
      <c r="Q56" s="104" t="n">
        <f aca="false">1_DATOS!$C$7*2025.4*SIN(RADIANS(200))+$C$11*SIN(RADIANS($D$11))</f>
        <v>-7747.04575455247</v>
      </c>
      <c r="R56" s="104" t="n">
        <f aca="false">1_DATOS!$C$7*2025.4*COS(RADIANS(200))+$C$11*COS(RADIANS($D$11))</f>
        <v>-22273.3557847281</v>
      </c>
    </row>
    <row r="57" customFormat="false" ht="9.75" hidden="false" customHeight="true" outlineLevel="0" collapsed="false">
      <c r="B57" s="103" t="n">
        <v>205</v>
      </c>
      <c r="C57" s="104" t="n">
        <f aca="false">500*SIN(RADIANS(205))</f>
        <v>-211.30913087035</v>
      </c>
      <c r="D57" s="104" t="n">
        <f aca="false">500*COS(RADIANS(205))</f>
        <v>-453.153893518325</v>
      </c>
      <c r="E57" s="104" t="n">
        <f aca="false">2000*SIN(RADIANS(205))</f>
        <v>-845.236523481399</v>
      </c>
      <c r="F57" s="104" t="n">
        <f aca="false">2000*COS(RADIANS(205))</f>
        <v>-1812.6155740733</v>
      </c>
      <c r="G57" s="104" t="n">
        <f aca="false">5000*SIN(RADIANS(205))</f>
        <v>-2113.0913087035</v>
      </c>
      <c r="H57" s="104" t="n">
        <f aca="false">5000*COS(RADIANS(205))</f>
        <v>-4531.53893518325</v>
      </c>
      <c r="I57" s="104" t="n">
        <f aca="false">1_DATOS!$C$5*2025.4*SIN(RADIANS(205))+$C$7*SIN(RADIANS($D$7))</f>
        <v>-21399.2756832403</v>
      </c>
      <c r="J57" s="104" t="n">
        <f aca="false">1_DATOS!$C$5*2025.4*COS(RADIANS(205))+$C$7*COS(RADIANS($D$7))</f>
        <v>-49390.8947966008</v>
      </c>
      <c r="K57" s="104" t="n">
        <f aca="false">1_DATOS!$C$5*2025.4*SIN(RADIANS(205))+$C$8*SIN(RADIANS($D$8))</f>
        <v>-19962.7910812725</v>
      </c>
      <c r="L57" s="104" t="n">
        <f aca="false">1_DATOS!$C$5*2025.4*COS(RADIANS(205))+$C$8*COS(RADIANS($D$8))</f>
        <v>-49837.6038039016</v>
      </c>
      <c r="M57" s="104" t="n">
        <f aca="false">1_DATOS!$C$7*2025.4*SIN(RADIANS(205))+$C$9*SIN(RADIANS($D$9))</f>
        <v>-11155.5358044385</v>
      </c>
      <c r="N57" s="104" t="n">
        <f aca="false">1_DATOS!$C$7*2025.4*COS(RADIANS(205))+$C$9*COS(RADIANS($D$9))</f>
        <v>-22911.5129788516</v>
      </c>
      <c r="O57" s="104" t="n">
        <f aca="false">1_DATOS!$C$7*2025.4*SIN(RADIANS(205))+$C$10*SIN(RADIANS($D$10))</f>
        <v>-10978.7591091419</v>
      </c>
      <c r="P57" s="104" t="n">
        <f aca="false">1_DATOS!$C$7*2025.4*COS(RADIANS(205))+$C$10*COS(RADIANS($D$10))</f>
        <v>-21320.5227211818</v>
      </c>
      <c r="Q57" s="104" t="n">
        <f aca="false">1_DATOS!$C$7*2025.4*SIN(RADIANS(205))+$C$11*SIN(RADIANS($D$11))</f>
        <v>-9705.96690300611</v>
      </c>
      <c r="R57" s="104" t="n">
        <f aca="false">1_DATOS!$C$7*2025.4*COS(RADIANS(205))+$C$11*COS(RADIANS($D$11))</f>
        <v>-21461.9440774191</v>
      </c>
    </row>
    <row r="58" customFormat="false" ht="9.75" hidden="false" customHeight="true" outlineLevel="0" collapsed="false">
      <c r="B58" s="103" t="n">
        <v>210</v>
      </c>
      <c r="C58" s="104" t="n">
        <f aca="false">500*SIN(RADIANS(210))</f>
        <v>-250</v>
      </c>
      <c r="D58" s="104" t="n">
        <f aca="false">500*COS(RADIANS(210))</f>
        <v>-433.012701892219</v>
      </c>
      <c r="E58" s="104" t="n">
        <f aca="false">2000*SIN(RADIANS(210))</f>
        <v>-1000</v>
      </c>
      <c r="F58" s="104" t="n">
        <f aca="false">2000*COS(RADIANS(210))</f>
        <v>-1732.05080756888</v>
      </c>
      <c r="G58" s="104" t="n">
        <f aca="false">5000*SIN(RADIANS(210))</f>
        <v>-2500</v>
      </c>
      <c r="H58" s="104" t="n">
        <f aca="false">5000*COS(RADIANS(210))</f>
        <v>-4330.12701892219</v>
      </c>
      <c r="I58" s="104" t="n">
        <f aca="false">1_DATOS!$C$5*2025.4*SIN(RADIANS(210))+$C$7*SIN(RADIANS($D$7))</f>
        <v>-25317.5</v>
      </c>
      <c r="J58" s="104" t="n">
        <f aca="false">1_DATOS!$C$5*2025.4*COS(RADIANS(210))+$C$7*COS(RADIANS($D$7))</f>
        <v>-47351.1963206251</v>
      </c>
      <c r="K58" s="104" t="n">
        <f aca="false">1_DATOS!$C$5*2025.4*SIN(RADIANS(210))+$C$8*SIN(RADIANS($D$8))</f>
        <v>-23881.0153980322</v>
      </c>
      <c r="L58" s="104" t="n">
        <f aca="false">1_DATOS!$C$5*2025.4*COS(RADIANS(210))+$C$8*COS(RADIANS($D$8))</f>
        <v>-47797.9053279259</v>
      </c>
      <c r="M58" s="104" t="n">
        <f aca="false">1_DATOS!$C$7*2025.4*SIN(RADIANS(210))+$C$9*SIN(RADIANS($D$9))</f>
        <v>-13036.2834764832</v>
      </c>
      <c r="N58" s="104" t="n">
        <f aca="false">1_DATOS!$C$7*2025.4*COS(RADIANS(210))+$C$9*COS(RADIANS($D$9))</f>
        <v>-21932.4577103832</v>
      </c>
      <c r="O58" s="104" t="n">
        <f aca="false">1_DATOS!$C$7*2025.4*SIN(RADIANS(210))+$C$10*SIN(RADIANS($D$10))</f>
        <v>-12859.5067811866</v>
      </c>
      <c r="P58" s="104" t="n">
        <f aca="false">1_DATOS!$C$7*2025.4*COS(RADIANS(210))+$C$10*COS(RADIANS($D$10))</f>
        <v>-20341.4674527135</v>
      </c>
      <c r="Q58" s="104" t="n">
        <f aca="false">1_DATOS!$C$7*2025.4*SIN(RADIANS(210))+$C$11*SIN(RADIANS($D$11))</f>
        <v>-11586.7145750508</v>
      </c>
      <c r="R58" s="104" t="n">
        <f aca="false">1_DATOS!$C$7*2025.4*COS(RADIANS(210))+$C$11*COS(RADIANS($D$11))</f>
        <v>-20482.8888089508</v>
      </c>
    </row>
    <row r="59" customFormat="false" ht="9.75" hidden="false" customHeight="true" outlineLevel="0" collapsed="false">
      <c r="B59" s="103" t="n">
        <v>215</v>
      </c>
      <c r="C59" s="104" t="n">
        <f aca="false">500*SIN(RADIANS(215))</f>
        <v>-286.788218175523</v>
      </c>
      <c r="D59" s="104" t="n">
        <f aca="false">500*COS(RADIANS(215))</f>
        <v>-409.576022144496</v>
      </c>
      <c r="E59" s="104" t="n">
        <f aca="false">2000*SIN(RADIANS(215))</f>
        <v>-1147.15287270209</v>
      </c>
      <c r="F59" s="104" t="n">
        <f aca="false">2000*COS(RADIANS(215))</f>
        <v>-1638.30408857798</v>
      </c>
      <c r="G59" s="104" t="n">
        <f aca="false">5000*SIN(RADIANS(215))</f>
        <v>-2867.88218175523</v>
      </c>
      <c r="H59" s="104" t="n">
        <f aca="false">5000*COS(RADIANS(215))</f>
        <v>-4095.76022144496</v>
      </c>
      <c r="I59" s="104" t="n">
        <f aca="false">1_DATOS!$C$5*2025.4*SIN(RADIANS(215))+$C$7*SIN(RADIANS($D$7))</f>
        <v>-29043.0428546352</v>
      </c>
      <c r="J59" s="104" t="n">
        <f aca="false">1_DATOS!$C$5*2025.4*COS(RADIANS(215))+$C$7*COS(RADIANS($D$7))</f>
        <v>-44977.7637625731</v>
      </c>
      <c r="K59" s="104" t="n">
        <f aca="false">1_DATOS!$C$5*2025.4*SIN(RADIANS(215))+$C$8*SIN(RADIANS($D$8))</f>
        <v>-27606.5582526674</v>
      </c>
      <c r="L59" s="104" t="n">
        <f aca="false">1_DATOS!$C$5*2025.4*COS(RADIANS(215))+$C$8*COS(RADIANS($D$8))</f>
        <v>-45424.4727698739</v>
      </c>
      <c r="M59" s="104" t="n">
        <f aca="false">1_DATOS!$C$7*2025.4*SIN(RADIANS(215))+$C$9*SIN(RADIANS($D$9))</f>
        <v>-14824.5440467081</v>
      </c>
      <c r="N59" s="104" t="n">
        <f aca="false">1_DATOS!$C$7*2025.4*COS(RADIANS(215))+$C$9*COS(RADIANS($D$9))</f>
        <v>-20793.2100825183</v>
      </c>
      <c r="O59" s="104" t="n">
        <f aca="false">1_DATOS!$C$7*2025.4*SIN(RADIANS(215))+$C$10*SIN(RADIANS($D$10))</f>
        <v>-14647.7673514114</v>
      </c>
      <c r="P59" s="104" t="n">
        <f aca="false">1_DATOS!$C$7*2025.4*COS(RADIANS(215))+$C$10*COS(RADIANS($D$10))</f>
        <v>-19202.2198248485</v>
      </c>
      <c r="Q59" s="104" t="n">
        <f aca="false">1_DATOS!$C$7*2025.4*SIN(RADIANS(215))+$C$11*SIN(RADIANS($D$11))</f>
        <v>-13374.9751452757</v>
      </c>
      <c r="R59" s="104" t="n">
        <f aca="false">1_DATOS!$C$7*2025.4*COS(RADIANS(215))+$C$11*COS(RADIANS($D$11))</f>
        <v>-19343.6411810859</v>
      </c>
    </row>
    <row r="60" customFormat="false" ht="9.75" hidden="false" customHeight="true" outlineLevel="0" collapsed="false">
      <c r="B60" s="103" t="n">
        <v>220</v>
      </c>
      <c r="C60" s="104" t="n">
        <f aca="false">500*SIN(RADIANS(220))</f>
        <v>-321.39380484327</v>
      </c>
      <c r="D60" s="104" t="n">
        <f aca="false">500*COS(RADIANS(220))</f>
        <v>-383.022221559489</v>
      </c>
      <c r="E60" s="104" t="n">
        <f aca="false">2000*SIN(RADIANS(220))</f>
        <v>-1285.57521937308</v>
      </c>
      <c r="F60" s="104" t="n">
        <f aca="false">2000*COS(RADIANS(220))</f>
        <v>-1532.08888623796</v>
      </c>
      <c r="G60" s="104" t="n">
        <f aca="false">5000*SIN(RADIANS(220))</f>
        <v>-3213.9380484327</v>
      </c>
      <c r="H60" s="104" t="n">
        <f aca="false">5000*COS(RADIANS(220))</f>
        <v>-3830.22221559489</v>
      </c>
      <c r="I60" s="104" t="n">
        <f aca="false">1_DATOS!$C$5*2025.4*SIN(RADIANS(220))+$C$7*SIN(RADIANS($D$7))</f>
        <v>-32547.5506164779</v>
      </c>
      <c r="J60" s="104" t="n">
        <f aca="false">1_DATOS!$C$5*2025.4*COS(RADIANS(220))+$C$7*COS(RADIANS($D$7))</f>
        <v>-42288.6603773295</v>
      </c>
      <c r="K60" s="104" t="n">
        <f aca="false">1_DATOS!$C$5*2025.4*SIN(RADIANS(220))+$C$8*SIN(RADIANS($D$8))</f>
        <v>-31111.0660145101</v>
      </c>
      <c r="L60" s="104" t="n">
        <f aca="false">1_DATOS!$C$5*2025.4*COS(RADIANS(220))+$C$8*COS(RADIANS($D$8))</f>
        <v>-42735.3693846303</v>
      </c>
      <c r="M60" s="104" t="n">
        <f aca="false">1_DATOS!$C$7*2025.4*SIN(RADIANS(220))+$C$9*SIN(RADIANS($D$9))</f>
        <v>-16506.7077723926</v>
      </c>
      <c r="N60" s="104" t="n">
        <f aca="false">1_DATOS!$C$7*2025.4*COS(RADIANS(220))+$C$9*COS(RADIANS($D$9))</f>
        <v>-19502.4404576013</v>
      </c>
      <c r="O60" s="104" t="n">
        <f aca="false">1_DATOS!$C$7*2025.4*SIN(RADIANS(220))+$C$10*SIN(RADIANS($D$10))</f>
        <v>-16329.9310770959</v>
      </c>
      <c r="P60" s="104" t="n">
        <f aca="false">1_DATOS!$C$7*2025.4*COS(RADIANS(220))+$C$10*COS(RADIANS($D$10))</f>
        <v>-17911.4501999316</v>
      </c>
      <c r="Q60" s="104" t="n">
        <f aca="false">1_DATOS!$C$7*2025.4*SIN(RADIANS(220))+$C$11*SIN(RADIANS($D$11))</f>
        <v>-15057.1388709602</v>
      </c>
      <c r="R60" s="104" t="n">
        <f aca="false">1_DATOS!$C$7*2025.4*COS(RADIANS(220))+$C$11*COS(RADIANS($D$11))</f>
        <v>-18052.8715561689</v>
      </c>
    </row>
    <row r="61" customFormat="false" ht="9.75" hidden="false" customHeight="true" outlineLevel="0" collapsed="false">
      <c r="B61" s="103" t="n">
        <v>225</v>
      </c>
      <c r="C61" s="104" t="n">
        <f aca="false">500*SIN(RADIANS(225))</f>
        <v>-353.553390593274</v>
      </c>
      <c r="D61" s="104" t="n">
        <f aca="false">500*COS(RADIANS(225))</f>
        <v>-353.553390593274</v>
      </c>
      <c r="E61" s="104" t="n">
        <f aca="false">2000*SIN(RADIANS(225))</f>
        <v>-1414.21356237309</v>
      </c>
      <c r="F61" s="104" t="n">
        <f aca="false">2000*COS(RADIANS(225))</f>
        <v>-1414.2135623731</v>
      </c>
      <c r="G61" s="104" t="n">
        <f aca="false">5000*SIN(RADIANS(225))</f>
        <v>-3535.53390593274</v>
      </c>
      <c r="H61" s="104" t="n">
        <f aca="false">5000*COS(RADIANS(225))</f>
        <v>-3535.53390593274</v>
      </c>
      <c r="I61" s="104" t="n">
        <f aca="false">1_DATOS!$C$5*2025.4*SIN(RADIANS(225))+$C$7*SIN(RADIANS($D$7))</f>
        <v>-35804.3518653808</v>
      </c>
      <c r="J61" s="104" t="n">
        <f aca="false">1_DATOS!$C$5*2025.4*COS(RADIANS(225))+$C$7*COS(RADIANS($D$7))</f>
        <v>-39304.3518653808</v>
      </c>
      <c r="K61" s="104" t="n">
        <f aca="false">1_DATOS!$C$5*2025.4*SIN(RADIANS(225))+$C$8*SIN(RADIANS($D$8))</f>
        <v>-34367.867263413</v>
      </c>
      <c r="L61" s="104" t="n">
        <f aca="false">1_DATOS!$C$5*2025.4*COS(RADIANS(225))+$C$8*COS(RADIANS($D$8))</f>
        <v>-39751.0608726817</v>
      </c>
      <c r="M61" s="104" t="n">
        <f aca="false">1_DATOS!$C$7*2025.4*SIN(RADIANS(225))+$C$9*SIN(RADIANS($D$9))</f>
        <v>-18069.972371866</v>
      </c>
      <c r="N61" s="104" t="n">
        <f aca="false">1_DATOS!$C$7*2025.4*COS(RADIANS(225))+$C$9*COS(RADIANS($D$9))</f>
        <v>-18069.972371866</v>
      </c>
      <c r="O61" s="104" t="n">
        <f aca="false">1_DATOS!$C$7*2025.4*SIN(RADIANS(225))+$C$10*SIN(RADIANS($D$10))</f>
        <v>-17893.1956765693</v>
      </c>
      <c r="P61" s="104" t="n">
        <f aca="false">1_DATOS!$C$7*2025.4*COS(RADIANS(225))+$C$10*COS(RADIANS($D$10))</f>
        <v>-16478.9821141963</v>
      </c>
      <c r="Q61" s="104" t="n">
        <f aca="false">1_DATOS!$C$7*2025.4*SIN(RADIANS(225))+$C$11*SIN(RADIANS($D$11))</f>
        <v>-16620.4034704336</v>
      </c>
      <c r="R61" s="104" t="n">
        <f aca="false">1_DATOS!$C$7*2025.4*COS(RADIANS(225))+$C$11*COS(RADIANS($D$11))</f>
        <v>-16620.4034704336</v>
      </c>
    </row>
    <row r="62" customFormat="false" ht="9.75" hidden="false" customHeight="true" outlineLevel="0" collapsed="false">
      <c r="B62" s="103" t="n">
        <v>230</v>
      </c>
      <c r="C62" s="104" t="n">
        <f aca="false">500*SIN(RADIANS(230))</f>
        <v>-383.022221559489</v>
      </c>
      <c r="D62" s="104" t="n">
        <f aca="false">500*COS(RADIANS(230))</f>
        <v>-321.39380484327</v>
      </c>
      <c r="E62" s="104" t="n">
        <f aca="false">2000*SIN(RADIANS(230))</f>
        <v>-1532.08888623796</v>
      </c>
      <c r="F62" s="104" t="n">
        <f aca="false">2000*COS(RADIANS(230))</f>
        <v>-1285.57521937308</v>
      </c>
      <c r="G62" s="104" t="n">
        <f aca="false">5000*SIN(RADIANS(230))</f>
        <v>-3830.22221559489</v>
      </c>
      <c r="H62" s="104" t="n">
        <f aca="false">5000*COS(RADIANS(230))</f>
        <v>-3213.9380484327</v>
      </c>
      <c r="I62" s="104" t="n">
        <f aca="false">1_DATOS!$C$5*2025.4*SIN(RADIANS(230))+$C$7*SIN(RADIANS($D$7))</f>
        <v>-38788.6603773295</v>
      </c>
      <c r="J62" s="104" t="n">
        <f aca="false">1_DATOS!$C$5*2025.4*COS(RADIANS(230))+$C$7*COS(RADIANS($D$7))</f>
        <v>-36047.5506164779</v>
      </c>
      <c r="K62" s="104" t="n">
        <f aca="false">1_DATOS!$C$5*2025.4*SIN(RADIANS(230))+$C$8*SIN(RADIANS($D$8))</f>
        <v>-37352.1757753616</v>
      </c>
      <c r="L62" s="104" t="n">
        <f aca="false">1_DATOS!$C$5*2025.4*COS(RADIANS(230))+$C$8*COS(RADIANS($D$8))</f>
        <v>-36494.2596237787</v>
      </c>
      <c r="M62" s="104" t="n">
        <f aca="false">1_DATOS!$C$7*2025.4*SIN(RADIANS(230))+$C$9*SIN(RADIANS($D$9))</f>
        <v>-19502.4404576013</v>
      </c>
      <c r="N62" s="104" t="n">
        <f aca="false">1_DATOS!$C$7*2025.4*COS(RADIANS(230))+$C$9*COS(RADIANS($D$9))</f>
        <v>-16506.7077723926</v>
      </c>
      <c r="O62" s="104" t="n">
        <f aca="false">1_DATOS!$C$7*2025.4*SIN(RADIANS(230))+$C$10*SIN(RADIANS($D$10))</f>
        <v>-19325.6637623047</v>
      </c>
      <c r="P62" s="104" t="n">
        <f aca="false">1_DATOS!$C$7*2025.4*COS(RADIANS(230))+$C$10*COS(RADIANS($D$10))</f>
        <v>-14915.7175147229</v>
      </c>
      <c r="Q62" s="104" t="n">
        <f aca="false">1_DATOS!$C$7*2025.4*SIN(RADIANS(230))+$C$11*SIN(RADIANS($D$11))</f>
        <v>-18052.8715561689</v>
      </c>
      <c r="R62" s="104" t="n">
        <f aca="false">1_DATOS!$C$7*2025.4*COS(RADIANS(230))+$C$11*COS(RADIANS($D$11))</f>
        <v>-15057.1388709602</v>
      </c>
    </row>
    <row r="63" customFormat="false" ht="9.75" hidden="false" customHeight="true" outlineLevel="0" collapsed="false">
      <c r="B63" s="103" t="n">
        <v>235</v>
      </c>
      <c r="C63" s="104" t="n">
        <f aca="false">500*SIN(RADIANS(235))</f>
        <v>-409.576022144496</v>
      </c>
      <c r="D63" s="104" t="n">
        <f aca="false">500*COS(RADIANS(235))</f>
        <v>-286.788218175523</v>
      </c>
      <c r="E63" s="104" t="n">
        <f aca="false">2000*SIN(RADIANS(235))</f>
        <v>-1638.30408857798</v>
      </c>
      <c r="F63" s="104" t="n">
        <f aca="false">2000*COS(RADIANS(235))</f>
        <v>-1147.15287270209</v>
      </c>
      <c r="G63" s="104" t="n">
        <f aca="false">5000*SIN(RADIANS(235))</f>
        <v>-4095.76022144496</v>
      </c>
      <c r="H63" s="104" t="n">
        <f aca="false">5000*COS(RADIANS(235))</f>
        <v>-2867.88218175523</v>
      </c>
      <c r="I63" s="104" t="n">
        <f aca="false">1_DATOS!$C$5*2025.4*SIN(RADIANS(235))+$C$7*SIN(RADIANS($D$7))</f>
        <v>-41477.7637625731</v>
      </c>
      <c r="J63" s="104" t="n">
        <f aca="false">1_DATOS!$C$5*2025.4*COS(RADIANS(235))+$C$7*COS(RADIANS($D$7))</f>
        <v>-32543.0428546352</v>
      </c>
      <c r="K63" s="104" t="n">
        <f aca="false">1_DATOS!$C$5*2025.4*SIN(RADIANS(235))+$C$8*SIN(RADIANS($D$8))</f>
        <v>-40041.2791606053</v>
      </c>
      <c r="L63" s="104" t="n">
        <f aca="false">1_DATOS!$C$5*2025.4*COS(RADIANS(235))+$C$8*COS(RADIANS($D$8))</f>
        <v>-32989.7518619361</v>
      </c>
      <c r="M63" s="104" t="n">
        <f aca="false">1_DATOS!$C$7*2025.4*SIN(RADIANS(235))+$C$9*SIN(RADIANS($D$9))</f>
        <v>-20793.2100825183</v>
      </c>
      <c r="N63" s="104" t="n">
        <f aca="false">1_DATOS!$C$7*2025.4*COS(RADIANS(235))+$C$9*COS(RADIANS($D$9))</f>
        <v>-14824.5440467081</v>
      </c>
      <c r="O63" s="104" t="n">
        <f aca="false">1_DATOS!$C$7*2025.4*SIN(RADIANS(235))+$C$10*SIN(RADIANS($D$10))</f>
        <v>-20616.4333872216</v>
      </c>
      <c r="P63" s="104" t="n">
        <f aca="false">1_DATOS!$C$7*2025.4*COS(RADIANS(235))+$C$10*COS(RADIANS($D$10))</f>
        <v>-13233.5537890384</v>
      </c>
      <c r="Q63" s="104" t="n">
        <f aca="false">1_DATOS!$C$7*2025.4*SIN(RADIANS(235))+$C$11*SIN(RADIANS($D$11))</f>
        <v>-19343.6411810858</v>
      </c>
      <c r="R63" s="104" t="n">
        <f aca="false">1_DATOS!$C$7*2025.4*COS(RADIANS(235))+$C$11*COS(RADIANS($D$11))</f>
        <v>-13374.9751452757</v>
      </c>
    </row>
    <row r="64" customFormat="false" ht="9.75" hidden="false" customHeight="true" outlineLevel="0" collapsed="false">
      <c r="B64" s="103" t="n">
        <v>240</v>
      </c>
      <c r="C64" s="104" t="n">
        <f aca="false">500*SIN(RADIANS(240))</f>
        <v>-433.012701892219</v>
      </c>
      <c r="D64" s="104" t="n">
        <f aca="false">500*COS(RADIANS(240))</f>
        <v>-250</v>
      </c>
      <c r="E64" s="104" t="n">
        <f aca="false">2000*SIN(RADIANS(240))</f>
        <v>-1732.05080756888</v>
      </c>
      <c r="F64" s="104" t="n">
        <f aca="false">2000*COS(RADIANS(240))</f>
        <v>-1000</v>
      </c>
      <c r="G64" s="104" t="n">
        <f aca="false">5000*SIN(RADIANS(240))</f>
        <v>-4330.12701892219</v>
      </c>
      <c r="H64" s="104" t="n">
        <f aca="false">5000*COS(RADIANS(240))</f>
        <v>-2500</v>
      </c>
      <c r="I64" s="104" t="n">
        <f aca="false">1_DATOS!$C$5*2025.4*SIN(RADIANS(240))+$C$7*SIN(RADIANS($D$7))</f>
        <v>-43851.196320625</v>
      </c>
      <c r="J64" s="104" t="n">
        <f aca="false">1_DATOS!$C$5*2025.4*COS(RADIANS(240))+$C$7*COS(RADIANS($D$7))</f>
        <v>-28817.5</v>
      </c>
      <c r="K64" s="104" t="n">
        <f aca="false">1_DATOS!$C$5*2025.4*SIN(RADIANS(240))+$C$8*SIN(RADIANS($D$8))</f>
        <v>-42414.7117186572</v>
      </c>
      <c r="L64" s="104" t="n">
        <f aca="false">1_DATOS!$C$5*2025.4*COS(RADIANS(240))+$C$8*COS(RADIANS($D$8))</f>
        <v>-29264.2090073008</v>
      </c>
      <c r="M64" s="104" t="n">
        <f aca="false">1_DATOS!$C$7*2025.4*SIN(RADIANS(240))+$C$9*SIN(RADIANS($D$9))</f>
        <v>-21932.4577103832</v>
      </c>
      <c r="N64" s="104" t="n">
        <f aca="false">1_DATOS!$C$7*2025.4*COS(RADIANS(240))+$C$9*COS(RADIANS($D$9))</f>
        <v>-13036.2834764832</v>
      </c>
      <c r="O64" s="104" t="n">
        <f aca="false">1_DATOS!$C$7*2025.4*SIN(RADIANS(240))+$C$10*SIN(RADIANS($D$10))</f>
        <v>-21755.6810150866</v>
      </c>
      <c r="P64" s="104" t="n">
        <f aca="false">1_DATOS!$C$7*2025.4*COS(RADIANS(240))+$C$10*COS(RADIANS($D$10))</f>
        <v>-11445.2932188135</v>
      </c>
      <c r="Q64" s="104" t="n">
        <f aca="false">1_DATOS!$C$7*2025.4*SIN(RADIANS(240))+$C$11*SIN(RADIANS($D$11))</f>
        <v>-20482.8888089508</v>
      </c>
      <c r="R64" s="104" t="n">
        <f aca="false">1_DATOS!$C$7*2025.4*COS(RADIANS(240))+$C$11*COS(RADIANS($D$11))</f>
        <v>-11586.7145750508</v>
      </c>
    </row>
    <row r="65" customFormat="false" ht="9.75" hidden="false" customHeight="true" outlineLevel="0" collapsed="false">
      <c r="B65" s="103" t="n">
        <v>245</v>
      </c>
      <c r="C65" s="104" t="n">
        <f aca="false">500*SIN(RADIANS(245))</f>
        <v>-453.153893518325</v>
      </c>
      <c r="D65" s="104" t="n">
        <f aca="false">500*COS(RADIANS(245))</f>
        <v>-211.30913087035</v>
      </c>
      <c r="E65" s="104" t="n">
        <f aca="false">2000*SIN(RADIANS(245))</f>
        <v>-1812.6155740733</v>
      </c>
      <c r="F65" s="104" t="n">
        <f aca="false">2000*COS(RADIANS(245))</f>
        <v>-845.236523481398</v>
      </c>
      <c r="G65" s="104" t="n">
        <f aca="false">5000*SIN(RADIANS(245))</f>
        <v>-4531.53893518325</v>
      </c>
      <c r="H65" s="104" t="n">
        <f aca="false">5000*COS(RADIANS(245))</f>
        <v>-2113.0913087035</v>
      </c>
      <c r="I65" s="104" t="n">
        <f aca="false">1_DATOS!$C$5*2025.4*SIN(RADIANS(245))+$C$7*SIN(RADIANS($D$7))</f>
        <v>-45890.8947966008</v>
      </c>
      <c r="J65" s="104" t="n">
        <f aca="false">1_DATOS!$C$5*2025.4*COS(RADIANS(245))+$C$7*COS(RADIANS($D$7))</f>
        <v>-24899.2756832403</v>
      </c>
      <c r="K65" s="104" t="n">
        <f aca="false">1_DATOS!$C$5*2025.4*SIN(RADIANS(245))+$C$8*SIN(RADIANS($D$8))</f>
        <v>-44454.410194633</v>
      </c>
      <c r="L65" s="104" t="n">
        <f aca="false">1_DATOS!$C$5*2025.4*COS(RADIANS(245))+$C$8*COS(RADIANS($D$8))</f>
        <v>-25345.9846905411</v>
      </c>
      <c r="M65" s="104" t="n">
        <f aca="false">1_DATOS!$C$7*2025.4*SIN(RADIANS(245))+$C$9*SIN(RADIANS($D$9))</f>
        <v>-22911.5129788516</v>
      </c>
      <c r="N65" s="104" t="n">
        <f aca="false">1_DATOS!$C$7*2025.4*COS(RADIANS(245))+$C$9*COS(RADIANS($D$9))</f>
        <v>-11155.5358044385</v>
      </c>
      <c r="O65" s="104" t="n">
        <f aca="false">1_DATOS!$C$7*2025.4*SIN(RADIANS(245))+$C$10*SIN(RADIANS($D$10))</f>
        <v>-22734.7362835549</v>
      </c>
      <c r="P65" s="104" t="n">
        <f aca="false">1_DATOS!$C$7*2025.4*COS(RADIANS(245))+$C$10*COS(RADIANS($D$10))</f>
        <v>-9564.5455467688</v>
      </c>
      <c r="Q65" s="104" t="n">
        <f aca="false">1_DATOS!$C$7*2025.4*SIN(RADIANS(245))+$C$11*SIN(RADIANS($D$11))</f>
        <v>-21461.9440774191</v>
      </c>
      <c r="R65" s="104" t="n">
        <f aca="false">1_DATOS!$C$7*2025.4*COS(RADIANS(245))+$C$11*COS(RADIANS($D$11))</f>
        <v>-9705.96690300611</v>
      </c>
    </row>
    <row r="66" customFormat="false" ht="9.75" hidden="false" customHeight="true" outlineLevel="0" collapsed="false">
      <c r="B66" s="103" t="n">
        <v>250</v>
      </c>
      <c r="C66" s="104" t="n">
        <f aca="false">500*SIN(RADIANS(250))</f>
        <v>-469.846310392954</v>
      </c>
      <c r="D66" s="104" t="n">
        <f aca="false">500*COS(RADIANS(250))</f>
        <v>-171.010071662835</v>
      </c>
      <c r="E66" s="104" t="n">
        <f aca="false">2000*SIN(RADIANS(250))</f>
        <v>-1879.38524157182</v>
      </c>
      <c r="F66" s="104" t="n">
        <f aca="false">2000*COS(RADIANS(250))</f>
        <v>-684.040286651339</v>
      </c>
      <c r="G66" s="104" t="n">
        <f aca="false">5000*SIN(RADIANS(250))</f>
        <v>-4698.46310392954</v>
      </c>
      <c r="H66" s="104" t="n">
        <f aca="false">5000*COS(RADIANS(250))</f>
        <v>-1710.10071662835</v>
      </c>
      <c r="I66" s="104" t="n">
        <f aca="false">1_DATOS!$C$5*2025.4*SIN(RADIANS(250))+$C$7*SIN(RADIANS($D$7))</f>
        <v>-47581.3358534945</v>
      </c>
      <c r="J66" s="104" t="n">
        <f aca="false">1_DATOS!$C$5*2025.4*COS(RADIANS(250))+$C$7*COS(RADIANS($D$7))</f>
        <v>-20818.1899572953</v>
      </c>
      <c r="K66" s="104" t="n">
        <f aca="false">1_DATOS!$C$5*2025.4*SIN(RADIANS(250))+$C$8*SIN(RADIANS($D$8))</f>
        <v>-46144.8512515267</v>
      </c>
      <c r="L66" s="104" t="n">
        <f aca="false">1_DATOS!$C$5*2025.4*COS(RADIANS(250))+$C$8*COS(RADIANS($D$8))</f>
        <v>-21264.8989645961</v>
      </c>
      <c r="M66" s="104" t="n">
        <f aca="false">1_DATOS!$C$7*2025.4*SIN(RADIANS(250))+$C$9*SIN(RADIANS($D$9))</f>
        <v>-23722.9246861605</v>
      </c>
      <c r="N66" s="104" t="n">
        <f aca="false">1_DATOS!$C$7*2025.4*COS(RADIANS(250))+$C$9*COS(RADIANS($D$9))</f>
        <v>-9196.61465598492</v>
      </c>
      <c r="O66" s="104" t="n">
        <f aca="false">1_DATOS!$C$7*2025.4*SIN(RADIANS(250))+$C$10*SIN(RADIANS($D$10))</f>
        <v>-23546.1479908639</v>
      </c>
      <c r="P66" s="104" t="n">
        <f aca="false">1_DATOS!$C$7*2025.4*COS(RADIANS(250))+$C$10*COS(RADIANS($D$10))</f>
        <v>-7605.62439831518</v>
      </c>
      <c r="Q66" s="104" t="n">
        <f aca="false">1_DATOS!$C$7*2025.4*SIN(RADIANS(250))+$C$11*SIN(RADIANS($D$11))</f>
        <v>-22273.3557847281</v>
      </c>
      <c r="R66" s="104" t="n">
        <f aca="false">1_DATOS!$C$7*2025.4*COS(RADIANS(250))+$C$11*COS(RADIANS($D$11))</f>
        <v>-7747.04575455249</v>
      </c>
    </row>
    <row r="67" customFormat="false" ht="9.75" hidden="false" customHeight="true" outlineLevel="0" collapsed="false">
      <c r="B67" s="103" t="n">
        <v>255</v>
      </c>
      <c r="C67" s="104" t="n">
        <f aca="false">500*SIN(RADIANS(255))</f>
        <v>-482.962913144534</v>
      </c>
      <c r="D67" s="104" t="n">
        <f aca="false">500*COS(RADIANS(255))</f>
        <v>-129.40952255126</v>
      </c>
      <c r="E67" s="104" t="n">
        <f aca="false">2000*SIN(RADIANS(255))</f>
        <v>-1931.85165257814</v>
      </c>
      <c r="F67" s="104" t="n">
        <f aca="false">2000*COS(RADIANS(255))</f>
        <v>-517.638090205041</v>
      </c>
      <c r="G67" s="104" t="n">
        <f aca="false">5000*SIN(RADIANS(255))</f>
        <v>-4829.62913144534</v>
      </c>
      <c r="H67" s="104" t="n">
        <f aca="false">5000*COS(RADIANS(255))</f>
        <v>-1294.0952255126</v>
      </c>
      <c r="I67" s="104" t="n">
        <f aca="false">1_DATOS!$C$5*2025.4*SIN(RADIANS(255))+$C$7*SIN(RADIANS($D$7))</f>
        <v>-48909.654214147</v>
      </c>
      <c r="J67" s="104" t="n">
        <f aca="false">1_DATOS!$C$5*2025.4*COS(RADIANS(255))+$C$7*COS(RADIANS($D$7))</f>
        <v>-16605.3023487661</v>
      </c>
      <c r="K67" s="104" t="n">
        <f aca="false">1_DATOS!$C$5*2025.4*SIN(RADIANS(255))+$C$8*SIN(RADIANS($D$8))</f>
        <v>-47473.1696121792</v>
      </c>
      <c r="L67" s="104" t="n">
        <f aca="false">1_DATOS!$C$5*2025.4*COS(RADIANS(255))+$C$8*COS(RADIANS($D$8))</f>
        <v>-17052.011356067</v>
      </c>
      <c r="M67" s="104" t="n">
        <f aca="false">1_DATOS!$C$7*2025.4*SIN(RADIANS(255))+$C$9*SIN(RADIANS($D$9))</f>
        <v>-24360.5174992737</v>
      </c>
      <c r="N67" s="104" t="n">
        <f aca="false">1_DATOS!$C$7*2025.4*COS(RADIANS(255))+$C$9*COS(RADIANS($D$9))</f>
        <v>-7174.42860389093</v>
      </c>
      <c r="O67" s="104" t="n">
        <f aca="false">1_DATOS!$C$7*2025.4*SIN(RADIANS(255))+$C$10*SIN(RADIANS($D$10))</f>
        <v>-24183.7408039771</v>
      </c>
      <c r="P67" s="104" t="n">
        <f aca="false">1_DATOS!$C$7*2025.4*COS(RADIANS(255))+$C$10*COS(RADIANS($D$10))</f>
        <v>-5583.4383462212</v>
      </c>
      <c r="Q67" s="104" t="n">
        <f aca="false">1_DATOS!$C$7*2025.4*SIN(RADIANS(255))+$C$11*SIN(RADIANS($D$11))</f>
        <v>-22910.9485978413</v>
      </c>
      <c r="R67" s="104" t="n">
        <f aca="false">1_DATOS!$C$7*2025.4*COS(RADIANS(255))+$C$11*COS(RADIANS($D$11))</f>
        <v>-5724.85970245851</v>
      </c>
    </row>
    <row r="68" customFormat="false" ht="9.75" hidden="false" customHeight="true" outlineLevel="0" collapsed="false">
      <c r="B68" s="103" t="n">
        <v>260</v>
      </c>
      <c r="C68" s="104" t="n">
        <f aca="false">500*SIN(RADIANS(260))</f>
        <v>-492.403876506104</v>
      </c>
      <c r="D68" s="104" t="n">
        <f aca="false">500*COS(RADIANS(260))</f>
        <v>-86.8240888334652</v>
      </c>
      <c r="E68" s="104" t="n">
        <f aca="false">2000*SIN(RADIANS(260))</f>
        <v>-1969.61550602442</v>
      </c>
      <c r="F68" s="104" t="n">
        <f aca="false">2000*COS(RADIANS(260))</f>
        <v>-347.296355333861</v>
      </c>
      <c r="G68" s="104" t="n">
        <f aca="false">5000*SIN(RADIANS(260))</f>
        <v>-4924.03876506104</v>
      </c>
      <c r="H68" s="104" t="n">
        <f aca="false">5000*COS(RADIANS(260))</f>
        <v>-868.240888334652</v>
      </c>
      <c r="I68" s="104" t="n">
        <f aca="false">1_DATOS!$C$5*2025.4*SIN(RADIANS(260))+$C$7*SIN(RADIANS($D$7))</f>
        <v>-49865.7405737732</v>
      </c>
      <c r="J68" s="104" t="n">
        <f aca="false">1_DATOS!$C$5*2025.4*COS(RADIANS(260))+$C$7*COS(RADIANS($D$7))</f>
        <v>-12292.675476165</v>
      </c>
      <c r="K68" s="104" t="n">
        <f aca="false">1_DATOS!$C$5*2025.4*SIN(RADIANS(260))+$C$8*SIN(RADIANS($D$8))</f>
        <v>-48429.2559718053</v>
      </c>
      <c r="L68" s="104" t="n">
        <f aca="false">1_DATOS!$C$5*2025.4*COS(RADIANS(260))+$C$8*COS(RADIANS($D$8))</f>
        <v>-12739.3844834658</v>
      </c>
      <c r="M68" s="104" t="n">
        <f aca="false">1_DATOS!$C$7*2025.4*SIN(RADIANS(260))+$C$9*SIN(RADIANS($D$9))</f>
        <v>-24819.4389518943</v>
      </c>
      <c r="N68" s="104" t="n">
        <f aca="false">1_DATOS!$C$7*2025.4*COS(RADIANS(260))+$C$9*COS(RADIANS($D$9))</f>
        <v>-5104.36770504239</v>
      </c>
      <c r="O68" s="104" t="n">
        <f aca="false">1_DATOS!$C$7*2025.4*SIN(RADIANS(260))+$C$10*SIN(RADIANS($D$10))</f>
        <v>-24642.6622565977</v>
      </c>
      <c r="P68" s="104" t="n">
        <f aca="false">1_DATOS!$C$7*2025.4*COS(RADIANS(260))+$C$10*COS(RADIANS($D$10))</f>
        <v>-3513.37744737266</v>
      </c>
      <c r="Q68" s="104" t="n">
        <f aca="false">1_DATOS!$C$7*2025.4*SIN(RADIANS(260))+$C$11*SIN(RADIANS($D$11))</f>
        <v>-23369.8700504619</v>
      </c>
      <c r="R68" s="104" t="n">
        <f aca="false">1_DATOS!$C$7*2025.4*COS(RADIANS(260))+$C$11*COS(RADIANS($D$11))</f>
        <v>-3654.79880360997</v>
      </c>
    </row>
    <row r="69" customFormat="false" ht="9.75" hidden="false" customHeight="true" outlineLevel="0" collapsed="false">
      <c r="B69" s="103" t="n">
        <v>265</v>
      </c>
      <c r="C69" s="104" t="n">
        <f aca="false">500*SIN(RADIANS(265))</f>
        <v>-498.097349045873</v>
      </c>
      <c r="D69" s="104" t="n">
        <f aca="false">500*COS(RADIANS(265))</f>
        <v>-43.5778713738291</v>
      </c>
      <c r="E69" s="104" t="n">
        <f aca="false">2000*SIN(RADIANS(265))</f>
        <v>-1992.38939618349</v>
      </c>
      <c r="F69" s="104" t="n">
        <f aca="false">2000*COS(RADIANS(265))</f>
        <v>-174.311485495317</v>
      </c>
      <c r="G69" s="104" t="n">
        <f aca="false">5000*SIN(RADIANS(265))</f>
        <v>-4980.97349045873</v>
      </c>
      <c r="H69" s="104" t="n">
        <f aca="false">5000*COS(RADIANS(265))</f>
        <v>-435.778713738291</v>
      </c>
      <c r="I69" s="104" t="n">
        <f aca="false">1_DATOS!$C$5*2025.4*SIN(RADIANS(265))+$C$7*SIN(RADIANS($D$7))</f>
        <v>-50442.3185378755</v>
      </c>
      <c r="J69" s="104" t="n">
        <f aca="false">1_DATOS!$C$5*2025.4*COS(RADIANS(265))+$C$7*COS(RADIANS($D$7))</f>
        <v>-7913.13103402768</v>
      </c>
      <c r="K69" s="104" t="n">
        <f aca="false">1_DATOS!$C$5*2025.4*SIN(RADIANS(265))+$C$8*SIN(RADIANS($D$8))</f>
        <v>-49005.8339359077</v>
      </c>
      <c r="L69" s="104" t="n">
        <f aca="false">1_DATOS!$C$5*2025.4*COS(RADIANS(265))+$C$8*COS(RADIANS($D$8))</f>
        <v>-8359.84004132849</v>
      </c>
      <c r="M69" s="104" t="n">
        <f aca="false">1_DATOS!$C$7*2025.4*SIN(RADIANS(265))+$C$9*SIN(RADIANS($D$9))</f>
        <v>-25096.1963746634</v>
      </c>
      <c r="N69" s="104" t="n">
        <f aca="false">1_DATOS!$C$7*2025.4*COS(RADIANS(265))+$C$9*COS(RADIANS($D$9))</f>
        <v>-3002.18637281647</v>
      </c>
      <c r="O69" s="104" t="n">
        <f aca="false">1_DATOS!$C$7*2025.4*SIN(RADIANS(265))+$C$10*SIN(RADIANS($D$10))</f>
        <v>-24919.4196793668</v>
      </c>
      <c r="P69" s="104" t="n">
        <f aca="false">1_DATOS!$C$7*2025.4*COS(RADIANS(265))+$C$10*COS(RADIANS($D$10))</f>
        <v>-1411.19611514674</v>
      </c>
      <c r="Q69" s="104" t="n">
        <f aca="false">1_DATOS!$C$7*2025.4*SIN(RADIANS(265))+$C$11*SIN(RADIANS($D$11))</f>
        <v>-23646.627473231</v>
      </c>
      <c r="R69" s="104" t="n">
        <f aca="false">1_DATOS!$C$7*2025.4*COS(RADIANS(265))+$C$11*COS(RADIANS($D$11))</f>
        <v>-1552.61747138405</v>
      </c>
    </row>
    <row r="70" customFormat="false" ht="9.75" hidden="false" customHeight="true" outlineLevel="0" collapsed="false">
      <c r="B70" s="103" t="n">
        <v>270</v>
      </c>
      <c r="C70" s="104" t="n">
        <f aca="false">500*SIN(RADIANS(270))</f>
        <v>-500</v>
      </c>
      <c r="D70" s="104" t="n">
        <f aca="false">500*COS(RADIANS(270))</f>
        <v>-9.18485099360515E-014</v>
      </c>
      <c r="E70" s="104" t="n">
        <f aca="false">2000*SIN(RADIANS(270))</f>
        <v>-2000</v>
      </c>
      <c r="F70" s="104" t="n">
        <f aca="false">2000*COS(RADIANS(270))</f>
        <v>-3.67394039744206E-013</v>
      </c>
      <c r="G70" s="104" t="n">
        <f aca="false">5000*SIN(RADIANS(270))</f>
        <v>-5000</v>
      </c>
      <c r="H70" s="104" t="n">
        <f aca="false">5000*COS(RADIANS(270))</f>
        <v>-9.18485099360515E-013</v>
      </c>
      <c r="I70" s="104" t="n">
        <f aca="false">1_DATOS!$C$5*2025.4*SIN(RADIANS(270))+$C$7*SIN(RADIANS($D$7))</f>
        <v>-50635</v>
      </c>
      <c r="J70" s="104" t="n">
        <f aca="false">1_DATOS!$C$5*2025.4*COS(RADIANS(270))+$C$7*COS(RADIANS($D$7))</f>
        <v>-3500.00000000001</v>
      </c>
      <c r="K70" s="104" t="n">
        <f aca="false">1_DATOS!$C$5*2025.4*SIN(RADIANS(270))+$C$8*SIN(RADIANS($D$8))</f>
        <v>-49198.5153980322</v>
      </c>
      <c r="L70" s="104" t="n">
        <f aca="false">1_DATOS!$C$5*2025.4*COS(RADIANS(270))+$C$8*COS(RADIANS($D$8))</f>
        <v>-3946.70900730082</v>
      </c>
      <c r="M70" s="104" t="n">
        <f aca="false">1_DATOS!$C$7*2025.4*SIN(RADIANS(270))+$C$9*SIN(RADIANS($D$9))</f>
        <v>-25188.6834764832</v>
      </c>
      <c r="N70" s="104" t="n">
        <f aca="false">1_DATOS!$C$7*2025.4*COS(RADIANS(270))+$C$9*COS(RADIANS($D$9))</f>
        <v>-883.883476483189</v>
      </c>
      <c r="O70" s="104" t="n">
        <f aca="false">1_DATOS!$C$7*2025.4*SIN(RADIANS(270))+$C$10*SIN(RADIANS($D$10))</f>
        <v>-25011.9067811866</v>
      </c>
      <c r="P70" s="104" t="n">
        <f aca="false">1_DATOS!$C$7*2025.4*COS(RADIANS(270))+$C$10*COS(RADIANS($D$10))</f>
        <v>707.106781186543</v>
      </c>
      <c r="Q70" s="104" t="n">
        <f aca="false">1_DATOS!$C$7*2025.4*SIN(RADIANS(270))+$C$11*SIN(RADIANS($D$11))</f>
        <v>-23739.1145750508</v>
      </c>
      <c r="R70" s="104" t="n">
        <f aca="false">1_DATOS!$C$7*2025.4*COS(RADIANS(270))+$C$11*COS(RADIANS($D$11))</f>
        <v>565.685424949234</v>
      </c>
    </row>
    <row r="71" customFormat="false" ht="9.75" hidden="false" customHeight="true" outlineLevel="0" collapsed="false">
      <c r="B71" s="103" t="n">
        <v>275</v>
      </c>
      <c r="C71" s="104" t="n">
        <f aca="false">500*SIN(RADIANS(275))</f>
        <v>-498.097349045873</v>
      </c>
      <c r="D71" s="104" t="n">
        <f aca="false">500*COS(RADIANS(275))</f>
        <v>43.5778713738289</v>
      </c>
      <c r="E71" s="104" t="n">
        <f aca="false">2000*SIN(RADIANS(275))</f>
        <v>-1992.38939618349</v>
      </c>
      <c r="F71" s="104" t="n">
        <f aca="false">2000*COS(RADIANS(275))</f>
        <v>174.311485495316</v>
      </c>
      <c r="G71" s="104" t="n">
        <f aca="false">5000*SIN(RADIANS(275))</f>
        <v>-4980.97349045873</v>
      </c>
      <c r="H71" s="104" t="n">
        <f aca="false">5000*COS(RADIANS(275))</f>
        <v>435.778713738289</v>
      </c>
      <c r="I71" s="104" t="n">
        <f aca="false">1_DATOS!$C$5*2025.4*SIN(RADIANS(275))+$C$7*SIN(RADIANS($D$7))</f>
        <v>-50442.3185378755</v>
      </c>
      <c r="J71" s="104" t="n">
        <f aca="false">1_DATOS!$C$5*2025.4*COS(RADIANS(275))+$C$7*COS(RADIANS($D$7))</f>
        <v>913.131034027657</v>
      </c>
      <c r="K71" s="104" t="n">
        <f aca="false">1_DATOS!$C$5*2025.4*SIN(RADIANS(275))+$C$8*SIN(RADIANS($D$8))</f>
        <v>-49005.8339359077</v>
      </c>
      <c r="L71" s="104" t="n">
        <f aca="false">1_DATOS!$C$5*2025.4*COS(RADIANS(275))+$C$8*COS(RADIANS($D$8))</f>
        <v>466.422026726842</v>
      </c>
      <c r="M71" s="104" t="n">
        <f aca="false">1_DATOS!$C$7*2025.4*SIN(RADIANS(275))+$C$9*SIN(RADIANS($D$9))</f>
        <v>-25096.1963746634</v>
      </c>
      <c r="N71" s="104" t="n">
        <f aca="false">1_DATOS!$C$7*2025.4*COS(RADIANS(275))+$C$9*COS(RADIANS($D$9))</f>
        <v>1234.41941985009</v>
      </c>
      <c r="O71" s="104" t="n">
        <f aca="false">1_DATOS!$C$7*2025.4*SIN(RADIANS(275))+$C$10*SIN(RADIANS($D$10))</f>
        <v>-24919.4196793668</v>
      </c>
      <c r="P71" s="104" t="n">
        <f aca="false">1_DATOS!$C$7*2025.4*COS(RADIANS(275))+$C$10*COS(RADIANS($D$10))</f>
        <v>2825.40967751982</v>
      </c>
      <c r="Q71" s="104" t="n">
        <f aca="false">1_DATOS!$C$7*2025.4*SIN(RADIANS(275))+$C$11*SIN(RADIANS($D$11))</f>
        <v>-23646.627473231</v>
      </c>
      <c r="R71" s="104" t="n">
        <f aca="false">1_DATOS!$C$7*2025.4*COS(RADIANS(275))+$C$11*COS(RADIANS($D$11))</f>
        <v>2683.98832128251</v>
      </c>
    </row>
    <row r="72" customFormat="false" ht="9.75" hidden="false" customHeight="true" outlineLevel="0" collapsed="false">
      <c r="B72" s="103" t="n">
        <v>280</v>
      </c>
      <c r="C72" s="104" t="n">
        <f aca="false">500*SIN(RADIANS(280))</f>
        <v>-492.403876506104</v>
      </c>
      <c r="D72" s="104" t="n">
        <f aca="false">500*COS(RADIANS(280))</f>
        <v>86.824088833465</v>
      </c>
      <c r="E72" s="104" t="n">
        <f aca="false">2000*SIN(RADIANS(280))</f>
        <v>-1969.61550602442</v>
      </c>
      <c r="F72" s="104" t="n">
        <f aca="false">2000*COS(RADIANS(280))</f>
        <v>347.29635533386</v>
      </c>
      <c r="G72" s="104" t="n">
        <f aca="false">5000*SIN(RADIANS(280))</f>
        <v>-4924.03876506104</v>
      </c>
      <c r="H72" s="104" t="n">
        <f aca="false">5000*COS(RADIANS(280))</f>
        <v>868.24088833465</v>
      </c>
      <c r="I72" s="104" t="n">
        <f aca="false">1_DATOS!$C$5*2025.4*SIN(RADIANS(280))+$C$7*SIN(RADIANS($D$7))</f>
        <v>-49865.7405737732</v>
      </c>
      <c r="J72" s="104" t="n">
        <f aca="false">1_DATOS!$C$5*2025.4*COS(RADIANS(280))+$C$7*COS(RADIANS($D$7))</f>
        <v>5292.675476165</v>
      </c>
      <c r="K72" s="104" t="n">
        <f aca="false">1_DATOS!$C$5*2025.4*SIN(RADIANS(280))+$C$8*SIN(RADIANS($D$8))</f>
        <v>-48429.2559718054</v>
      </c>
      <c r="L72" s="104" t="n">
        <f aca="false">1_DATOS!$C$5*2025.4*COS(RADIANS(280))+$C$8*COS(RADIANS($D$8))</f>
        <v>4845.96646886418</v>
      </c>
      <c r="M72" s="104" t="n">
        <f aca="false">1_DATOS!$C$7*2025.4*SIN(RADIANS(280))+$C$9*SIN(RADIANS($D$9))</f>
        <v>-24819.4389518943</v>
      </c>
      <c r="N72" s="104" t="n">
        <f aca="false">1_DATOS!$C$7*2025.4*COS(RADIANS(280))+$C$9*COS(RADIANS($D$9))</f>
        <v>3336.60075207602</v>
      </c>
      <c r="O72" s="104" t="n">
        <f aca="false">1_DATOS!$C$7*2025.4*SIN(RADIANS(280))+$C$10*SIN(RADIANS($D$10))</f>
        <v>-24642.6622565977</v>
      </c>
      <c r="P72" s="104" t="n">
        <f aca="false">1_DATOS!$C$7*2025.4*COS(RADIANS(280))+$C$10*COS(RADIANS($D$10))</f>
        <v>4927.59100974575</v>
      </c>
      <c r="Q72" s="104" t="n">
        <f aca="false">1_DATOS!$C$7*2025.4*SIN(RADIANS(280))+$C$11*SIN(RADIANS($D$11))</f>
        <v>-23369.8700504619</v>
      </c>
      <c r="R72" s="104" t="n">
        <f aca="false">1_DATOS!$C$7*2025.4*COS(RADIANS(280))+$C$11*COS(RADIANS($D$11))</f>
        <v>4786.16965350844</v>
      </c>
    </row>
    <row r="73" customFormat="false" ht="9.75" hidden="false" customHeight="true" outlineLevel="0" collapsed="false">
      <c r="B73" s="103" t="n">
        <v>285</v>
      </c>
      <c r="C73" s="104" t="n">
        <f aca="false">500*SIN(RADIANS(285))</f>
        <v>-482.962913144534</v>
      </c>
      <c r="D73" s="104" t="n">
        <f aca="false">500*COS(RADIANS(285))</f>
        <v>129.40952255126</v>
      </c>
      <c r="E73" s="104" t="n">
        <f aca="false">2000*SIN(RADIANS(285))</f>
        <v>-1931.85165257814</v>
      </c>
      <c r="F73" s="104" t="n">
        <f aca="false">2000*COS(RADIANS(285))</f>
        <v>517.638090205041</v>
      </c>
      <c r="G73" s="104" t="n">
        <f aca="false">5000*SIN(RADIANS(285))</f>
        <v>-4829.62913144534</v>
      </c>
      <c r="H73" s="104" t="n">
        <f aca="false">5000*COS(RADIANS(285))</f>
        <v>1294.0952255126</v>
      </c>
      <c r="I73" s="104" t="n">
        <f aca="false">1_DATOS!$C$5*2025.4*SIN(RADIANS(285))+$C$7*SIN(RADIANS($D$7))</f>
        <v>-48909.654214147</v>
      </c>
      <c r="J73" s="104" t="n">
        <f aca="false">1_DATOS!$C$5*2025.4*COS(RADIANS(285))+$C$7*COS(RADIANS($D$7))</f>
        <v>9605.30234876612</v>
      </c>
      <c r="K73" s="104" t="n">
        <f aca="false">1_DATOS!$C$5*2025.4*SIN(RADIANS(285))+$C$8*SIN(RADIANS($D$8))</f>
        <v>-47473.1696121792</v>
      </c>
      <c r="L73" s="104" t="n">
        <f aca="false">1_DATOS!$C$5*2025.4*COS(RADIANS(285))+$C$8*COS(RADIANS($D$8))</f>
        <v>9158.5933414653</v>
      </c>
      <c r="M73" s="104" t="n">
        <f aca="false">1_DATOS!$C$7*2025.4*SIN(RADIANS(285))+$C$9*SIN(RADIANS($D$9))</f>
        <v>-24360.5174992737</v>
      </c>
      <c r="N73" s="104" t="n">
        <f aca="false">1_DATOS!$C$7*2025.4*COS(RADIANS(285))+$C$9*COS(RADIANS($D$9))</f>
        <v>5406.66165092455</v>
      </c>
      <c r="O73" s="104" t="n">
        <f aca="false">1_DATOS!$C$7*2025.4*SIN(RADIANS(285))+$C$10*SIN(RADIANS($D$10))</f>
        <v>-24183.7408039771</v>
      </c>
      <c r="P73" s="104" t="n">
        <f aca="false">1_DATOS!$C$7*2025.4*COS(RADIANS(285))+$C$10*COS(RADIANS($D$10))</f>
        <v>6997.65190859428</v>
      </c>
      <c r="Q73" s="104" t="n">
        <f aca="false">1_DATOS!$C$7*2025.4*SIN(RADIANS(285))+$C$11*SIN(RADIANS($D$11))</f>
        <v>-22910.9485978413</v>
      </c>
      <c r="R73" s="104" t="n">
        <f aca="false">1_DATOS!$C$7*2025.4*COS(RADIANS(285))+$C$11*COS(RADIANS($D$11))</f>
        <v>6856.23055235697</v>
      </c>
    </row>
    <row r="74" customFormat="false" ht="9.75" hidden="false" customHeight="true" outlineLevel="0" collapsed="false">
      <c r="B74" s="103" t="n">
        <v>290</v>
      </c>
      <c r="C74" s="104" t="n">
        <f aca="false">500*SIN(RADIANS(290))</f>
        <v>-469.846310392954</v>
      </c>
      <c r="D74" s="104" t="n">
        <f aca="false">500*COS(RADIANS(290))</f>
        <v>171.010071662835</v>
      </c>
      <c r="E74" s="104" t="n">
        <f aca="false">2000*SIN(RADIANS(290))</f>
        <v>-1879.38524157182</v>
      </c>
      <c r="F74" s="104" t="n">
        <f aca="false">2000*COS(RADIANS(290))</f>
        <v>684.040286651338</v>
      </c>
      <c r="G74" s="104" t="n">
        <f aca="false">5000*SIN(RADIANS(290))</f>
        <v>-4698.46310392954</v>
      </c>
      <c r="H74" s="104" t="n">
        <f aca="false">5000*COS(RADIANS(290))</f>
        <v>1710.10071662835</v>
      </c>
      <c r="I74" s="104" t="n">
        <f aca="false">1_DATOS!$C$5*2025.4*SIN(RADIANS(290))+$C$7*SIN(RADIANS($D$7))</f>
        <v>-47581.3358534945</v>
      </c>
      <c r="J74" s="104" t="n">
        <f aca="false">1_DATOS!$C$5*2025.4*COS(RADIANS(290))+$C$7*COS(RADIANS($D$7))</f>
        <v>13818.1899572953</v>
      </c>
      <c r="K74" s="104" t="n">
        <f aca="false">1_DATOS!$C$5*2025.4*SIN(RADIANS(290))+$C$8*SIN(RADIANS($D$8))</f>
        <v>-46144.8512515267</v>
      </c>
      <c r="L74" s="104" t="n">
        <f aca="false">1_DATOS!$C$5*2025.4*COS(RADIANS(290))+$C$8*COS(RADIANS($D$8))</f>
        <v>13371.4809499944</v>
      </c>
      <c r="M74" s="104" t="n">
        <f aca="false">1_DATOS!$C$7*2025.4*SIN(RADIANS(290))+$C$9*SIN(RADIANS($D$9))</f>
        <v>-23722.9246861605</v>
      </c>
      <c r="N74" s="104" t="n">
        <f aca="false">1_DATOS!$C$7*2025.4*COS(RADIANS(290))+$C$9*COS(RADIANS($D$9))</f>
        <v>7428.84770301854</v>
      </c>
      <c r="O74" s="104" t="n">
        <f aca="false">1_DATOS!$C$7*2025.4*SIN(RADIANS(290))+$C$10*SIN(RADIANS($D$10))</f>
        <v>-23546.1479908639</v>
      </c>
      <c r="P74" s="104" t="n">
        <f aca="false">1_DATOS!$C$7*2025.4*COS(RADIANS(290))+$C$10*COS(RADIANS($D$10))</f>
        <v>9019.83796068827</v>
      </c>
      <c r="Q74" s="104" t="n">
        <f aca="false">1_DATOS!$C$7*2025.4*SIN(RADIANS(290))+$C$11*SIN(RADIANS($D$11))</f>
        <v>-22273.3557847281</v>
      </c>
      <c r="R74" s="104" t="n">
        <f aca="false">1_DATOS!$C$7*2025.4*COS(RADIANS(290))+$C$11*COS(RADIANS($D$11))</f>
        <v>8878.41660445096</v>
      </c>
    </row>
    <row r="75" customFormat="false" ht="9.75" hidden="false" customHeight="true" outlineLevel="0" collapsed="false">
      <c r="B75" s="103" t="n">
        <v>295</v>
      </c>
      <c r="C75" s="104" t="n">
        <f aca="false">500*SIN(RADIANS(295))</f>
        <v>-453.153893518325</v>
      </c>
      <c r="D75" s="104" t="n">
        <f aca="false">500*COS(RADIANS(295))</f>
        <v>211.309130870349</v>
      </c>
      <c r="E75" s="104" t="n">
        <f aca="false">2000*SIN(RADIANS(295))</f>
        <v>-1812.6155740733</v>
      </c>
      <c r="F75" s="104" t="n">
        <f aca="false">2000*COS(RADIANS(295))</f>
        <v>845.236523481398</v>
      </c>
      <c r="G75" s="104" t="n">
        <f aca="false">5000*SIN(RADIANS(295))</f>
        <v>-4531.53893518325</v>
      </c>
      <c r="H75" s="104" t="n">
        <f aca="false">5000*COS(RADIANS(295))</f>
        <v>2113.09130870349</v>
      </c>
      <c r="I75" s="104" t="n">
        <f aca="false">1_DATOS!$C$5*2025.4*SIN(RADIANS(295))+$C$7*SIN(RADIANS($D$7))</f>
        <v>-45890.8947966008</v>
      </c>
      <c r="J75" s="104" t="n">
        <f aca="false">1_DATOS!$C$5*2025.4*COS(RADIANS(295))+$C$7*COS(RADIANS($D$7))</f>
        <v>17899.2756832403</v>
      </c>
      <c r="K75" s="104" t="n">
        <f aca="false">1_DATOS!$C$5*2025.4*SIN(RADIANS(295))+$C$8*SIN(RADIANS($D$8))</f>
        <v>-44454.410194633</v>
      </c>
      <c r="L75" s="104" t="n">
        <f aca="false">1_DATOS!$C$5*2025.4*COS(RADIANS(295))+$C$8*COS(RADIANS($D$8))</f>
        <v>17452.5666759395</v>
      </c>
      <c r="M75" s="104" t="n">
        <f aca="false">1_DATOS!$C$7*2025.4*SIN(RADIANS(295))+$C$9*SIN(RADIANS($D$9))</f>
        <v>-22911.5129788516</v>
      </c>
      <c r="N75" s="104" t="n">
        <f aca="false">1_DATOS!$C$7*2025.4*COS(RADIANS(295))+$C$9*COS(RADIANS($D$9))</f>
        <v>9387.76885147215</v>
      </c>
      <c r="O75" s="104" t="n">
        <f aca="false">1_DATOS!$C$7*2025.4*SIN(RADIANS(295))+$C$10*SIN(RADIANS($D$10))</f>
        <v>-22734.7362835549</v>
      </c>
      <c r="P75" s="104" t="n">
        <f aca="false">1_DATOS!$C$7*2025.4*COS(RADIANS(295))+$C$10*COS(RADIANS($D$10))</f>
        <v>10978.7591091419</v>
      </c>
      <c r="Q75" s="104" t="n">
        <f aca="false">1_DATOS!$C$7*2025.4*SIN(RADIANS(295))+$C$11*SIN(RADIANS($D$11))</f>
        <v>-21461.9440774191</v>
      </c>
      <c r="R75" s="104" t="n">
        <f aca="false">1_DATOS!$C$7*2025.4*COS(RADIANS(295))+$C$11*COS(RADIANS($D$11))</f>
        <v>10837.3377529046</v>
      </c>
    </row>
    <row r="76" customFormat="false" ht="9.75" hidden="false" customHeight="true" outlineLevel="0" collapsed="false">
      <c r="B76" s="103" t="n">
        <v>300</v>
      </c>
      <c r="C76" s="104" t="n">
        <f aca="false">500*SIN(RADIANS(300))</f>
        <v>-433.012701892219</v>
      </c>
      <c r="D76" s="104" t="n">
        <f aca="false">500*COS(RADIANS(300))</f>
        <v>250</v>
      </c>
      <c r="E76" s="104" t="n">
        <f aca="false">2000*SIN(RADIANS(300))</f>
        <v>-1732.05080756888</v>
      </c>
      <c r="F76" s="104" t="n">
        <f aca="false">2000*COS(RADIANS(300))</f>
        <v>1000</v>
      </c>
      <c r="G76" s="104" t="n">
        <f aca="false">5000*SIN(RADIANS(300))</f>
        <v>-4330.12701892219</v>
      </c>
      <c r="H76" s="104" t="n">
        <f aca="false">5000*COS(RADIANS(300))</f>
        <v>2500</v>
      </c>
      <c r="I76" s="104" t="n">
        <f aca="false">1_DATOS!$C$5*2025.4*SIN(RADIANS(300))+$C$7*SIN(RADIANS($D$7))</f>
        <v>-43851.1963206251</v>
      </c>
      <c r="J76" s="104" t="n">
        <f aca="false">1_DATOS!$C$5*2025.4*COS(RADIANS(300))+$C$7*COS(RADIANS($D$7))</f>
        <v>21817.5</v>
      </c>
      <c r="K76" s="104" t="n">
        <f aca="false">1_DATOS!$C$5*2025.4*SIN(RADIANS(300))+$C$8*SIN(RADIANS($D$8))</f>
        <v>-42414.7117186572</v>
      </c>
      <c r="L76" s="104" t="n">
        <f aca="false">1_DATOS!$C$5*2025.4*COS(RADIANS(300))+$C$8*COS(RADIANS($D$8))</f>
        <v>21370.7909926992</v>
      </c>
      <c r="M76" s="104" t="n">
        <f aca="false">1_DATOS!$C$7*2025.4*SIN(RADIANS(300))+$C$9*SIN(RADIANS($D$9))</f>
        <v>-21932.4577103832</v>
      </c>
      <c r="N76" s="104" t="n">
        <f aca="false">1_DATOS!$C$7*2025.4*COS(RADIANS(300))+$C$9*COS(RADIANS($D$9))</f>
        <v>11268.5165235168</v>
      </c>
      <c r="O76" s="104" t="n">
        <f aca="false">1_DATOS!$C$7*2025.4*SIN(RADIANS(300))+$C$10*SIN(RADIANS($D$10))</f>
        <v>-21755.6810150866</v>
      </c>
      <c r="P76" s="104" t="n">
        <f aca="false">1_DATOS!$C$7*2025.4*COS(RADIANS(300))+$C$10*COS(RADIANS($D$10))</f>
        <v>12859.5067811866</v>
      </c>
      <c r="Q76" s="104" t="n">
        <f aca="false">1_DATOS!$C$7*2025.4*SIN(RADIANS(300))+$C$11*SIN(RADIANS($D$11))</f>
        <v>-20482.8888089508</v>
      </c>
      <c r="R76" s="104" t="n">
        <f aca="false">1_DATOS!$C$7*2025.4*COS(RADIANS(300))+$C$11*COS(RADIANS($D$11))</f>
        <v>12718.0854249492</v>
      </c>
    </row>
    <row r="77" customFormat="false" ht="9.75" hidden="false" customHeight="true" outlineLevel="0" collapsed="false">
      <c r="B77" s="103" t="n">
        <v>305</v>
      </c>
      <c r="C77" s="104" t="n">
        <f aca="false">500*SIN(RADIANS(305))</f>
        <v>-409.576022144496</v>
      </c>
      <c r="D77" s="104" t="n">
        <f aca="false">500*COS(RADIANS(305))</f>
        <v>286.788218175523</v>
      </c>
      <c r="E77" s="104" t="n">
        <f aca="false">2000*SIN(RADIANS(305))</f>
        <v>-1638.30408857798</v>
      </c>
      <c r="F77" s="104" t="n">
        <f aca="false">2000*COS(RADIANS(305))</f>
        <v>1147.15287270209</v>
      </c>
      <c r="G77" s="104" t="n">
        <f aca="false">5000*SIN(RADIANS(305))</f>
        <v>-4095.76022144496</v>
      </c>
      <c r="H77" s="104" t="n">
        <f aca="false">5000*COS(RADIANS(305))</f>
        <v>2867.88218175523</v>
      </c>
      <c r="I77" s="104" t="n">
        <f aca="false">1_DATOS!$C$5*2025.4*SIN(RADIANS(305))+$C$7*SIN(RADIANS($D$7))</f>
        <v>-41477.7637625731</v>
      </c>
      <c r="J77" s="104" t="n">
        <f aca="false">1_DATOS!$C$5*2025.4*COS(RADIANS(305))+$C$7*COS(RADIANS($D$7))</f>
        <v>25543.0428546352</v>
      </c>
      <c r="K77" s="104" t="n">
        <f aca="false">1_DATOS!$C$5*2025.4*SIN(RADIANS(305))+$C$8*SIN(RADIANS($D$8))</f>
        <v>-40041.2791606053</v>
      </c>
      <c r="L77" s="104" t="n">
        <f aca="false">1_DATOS!$C$5*2025.4*COS(RADIANS(305))+$C$8*COS(RADIANS($D$8))</f>
        <v>25096.3338473344</v>
      </c>
      <c r="M77" s="104" t="n">
        <f aca="false">1_DATOS!$C$7*2025.4*SIN(RADIANS(305))+$C$9*SIN(RADIANS($D$9))</f>
        <v>-20793.2100825183</v>
      </c>
      <c r="N77" s="104" t="n">
        <f aca="false">1_DATOS!$C$7*2025.4*COS(RADIANS(305))+$C$9*COS(RADIANS($D$9))</f>
        <v>13056.7770937417</v>
      </c>
      <c r="O77" s="104" t="n">
        <f aca="false">1_DATOS!$C$7*2025.4*SIN(RADIANS(305))+$C$10*SIN(RADIANS($D$10))</f>
        <v>-20616.4333872216</v>
      </c>
      <c r="P77" s="104" t="n">
        <f aca="false">1_DATOS!$C$7*2025.4*COS(RADIANS(305))+$C$10*COS(RADIANS($D$10))</f>
        <v>14647.7673514115</v>
      </c>
      <c r="Q77" s="104" t="n">
        <f aca="false">1_DATOS!$C$7*2025.4*SIN(RADIANS(305))+$C$11*SIN(RADIANS($D$11))</f>
        <v>-19343.6411810859</v>
      </c>
      <c r="R77" s="104" t="n">
        <f aca="false">1_DATOS!$C$7*2025.4*COS(RADIANS(305))+$C$11*COS(RADIANS($D$11))</f>
        <v>14506.3459951741</v>
      </c>
    </row>
    <row r="78" customFormat="false" ht="9.75" hidden="false" customHeight="true" outlineLevel="0" collapsed="false">
      <c r="B78" s="103" t="n">
        <v>310</v>
      </c>
      <c r="C78" s="104" t="n">
        <f aca="false">500*SIN(RADIANS(310))</f>
        <v>-383.022221559489</v>
      </c>
      <c r="D78" s="104" t="n">
        <f aca="false">500*COS(RADIANS(310))</f>
        <v>321.39380484327</v>
      </c>
      <c r="E78" s="104" t="n">
        <f aca="false">2000*SIN(RADIANS(310))</f>
        <v>-1532.08888623796</v>
      </c>
      <c r="F78" s="104" t="n">
        <f aca="false">2000*COS(RADIANS(310))</f>
        <v>1285.57521937308</v>
      </c>
      <c r="G78" s="104" t="n">
        <f aca="false">5000*SIN(RADIANS(310))</f>
        <v>-3830.22221559489</v>
      </c>
      <c r="H78" s="104" t="n">
        <f aca="false">5000*COS(RADIANS(310))</f>
        <v>3213.9380484327</v>
      </c>
      <c r="I78" s="104" t="n">
        <f aca="false">1_DATOS!$C$5*2025.4*SIN(RADIANS(310))+$C$7*SIN(RADIANS($D$7))</f>
        <v>-38788.6603773295</v>
      </c>
      <c r="J78" s="104" t="n">
        <f aca="false">1_DATOS!$C$5*2025.4*COS(RADIANS(310))+$C$7*COS(RADIANS($D$7))</f>
        <v>29047.5506164779</v>
      </c>
      <c r="K78" s="104" t="n">
        <f aca="false">1_DATOS!$C$5*2025.4*SIN(RADIANS(310))+$C$8*SIN(RADIANS($D$8))</f>
        <v>-37352.1757753617</v>
      </c>
      <c r="L78" s="104" t="n">
        <f aca="false">1_DATOS!$C$5*2025.4*COS(RADIANS(310))+$C$8*COS(RADIANS($D$8))</f>
        <v>28600.8416091771</v>
      </c>
      <c r="M78" s="104" t="n">
        <f aca="false">1_DATOS!$C$7*2025.4*SIN(RADIANS(310))+$C$9*SIN(RADIANS($D$9))</f>
        <v>-19502.4404576013</v>
      </c>
      <c r="N78" s="104" t="n">
        <f aca="false">1_DATOS!$C$7*2025.4*COS(RADIANS(310))+$C$9*COS(RADIANS($D$9))</f>
        <v>14738.9408194262</v>
      </c>
      <c r="O78" s="104" t="n">
        <f aca="false">1_DATOS!$C$7*2025.4*SIN(RADIANS(310))+$C$10*SIN(RADIANS($D$10))</f>
        <v>-19325.6637623047</v>
      </c>
      <c r="P78" s="104" t="n">
        <f aca="false">1_DATOS!$C$7*2025.4*COS(RADIANS(310))+$C$10*COS(RADIANS($D$10))</f>
        <v>16329.9310770959</v>
      </c>
      <c r="Q78" s="104" t="n">
        <f aca="false">1_DATOS!$C$7*2025.4*SIN(RADIANS(310))+$C$11*SIN(RADIANS($D$11))</f>
        <v>-18052.8715561689</v>
      </c>
      <c r="R78" s="104" t="n">
        <f aca="false">1_DATOS!$C$7*2025.4*COS(RADIANS(310))+$C$11*COS(RADIANS($D$11))</f>
        <v>16188.5097208586</v>
      </c>
    </row>
    <row r="79" customFormat="false" ht="9.75" hidden="false" customHeight="true" outlineLevel="0" collapsed="false">
      <c r="B79" s="103" t="n">
        <v>315</v>
      </c>
      <c r="C79" s="104" t="n">
        <f aca="false">500*SIN(RADIANS(315))</f>
        <v>-353.553390593274</v>
      </c>
      <c r="D79" s="104" t="n">
        <f aca="false">500*COS(RADIANS(315))</f>
        <v>353.553390593274</v>
      </c>
      <c r="E79" s="104" t="n">
        <f aca="false">2000*SIN(RADIANS(315))</f>
        <v>-1414.2135623731</v>
      </c>
      <c r="F79" s="104" t="n">
        <f aca="false">2000*COS(RADIANS(315))</f>
        <v>1414.21356237309</v>
      </c>
      <c r="G79" s="104" t="n">
        <f aca="false">5000*SIN(RADIANS(315))</f>
        <v>-3535.53390593274</v>
      </c>
      <c r="H79" s="104" t="n">
        <f aca="false">5000*COS(RADIANS(315))</f>
        <v>3535.53390593274</v>
      </c>
      <c r="I79" s="104" t="n">
        <f aca="false">1_DATOS!$C$5*2025.4*SIN(RADIANS(315))+$C$7*SIN(RADIANS($D$7))</f>
        <v>-35804.3518653808</v>
      </c>
      <c r="J79" s="104" t="n">
        <f aca="false">1_DATOS!$C$5*2025.4*COS(RADIANS(315))+$C$7*COS(RADIANS($D$7))</f>
        <v>32304.3518653808</v>
      </c>
      <c r="K79" s="104" t="n">
        <f aca="false">1_DATOS!$C$5*2025.4*SIN(RADIANS(315))+$C$8*SIN(RADIANS($D$8))</f>
        <v>-34367.867263413</v>
      </c>
      <c r="L79" s="104" t="n">
        <f aca="false">1_DATOS!$C$5*2025.4*COS(RADIANS(315))+$C$8*COS(RADIANS($D$8))</f>
        <v>31857.64285808</v>
      </c>
      <c r="M79" s="104" t="n">
        <f aca="false">1_DATOS!$C$7*2025.4*SIN(RADIANS(315))+$C$9*SIN(RADIANS($D$9))</f>
        <v>-18069.972371866</v>
      </c>
      <c r="N79" s="104" t="n">
        <f aca="false">1_DATOS!$C$7*2025.4*COS(RADIANS(315))+$C$9*COS(RADIANS($D$9))</f>
        <v>16302.2054188996</v>
      </c>
      <c r="O79" s="104" t="n">
        <f aca="false">1_DATOS!$C$7*2025.4*SIN(RADIANS(315))+$C$10*SIN(RADIANS($D$10))</f>
        <v>-17893.1956765694</v>
      </c>
      <c r="P79" s="104" t="n">
        <f aca="false">1_DATOS!$C$7*2025.4*COS(RADIANS(315))+$C$10*COS(RADIANS($D$10))</f>
        <v>17893.1956765693</v>
      </c>
      <c r="Q79" s="104" t="n">
        <f aca="false">1_DATOS!$C$7*2025.4*SIN(RADIANS(315))+$C$11*SIN(RADIANS($D$11))</f>
        <v>-16620.4034704336</v>
      </c>
      <c r="R79" s="104" t="n">
        <f aca="false">1_DATOS!$C$7*2025.4*COS(RADIANS(315))+$C$11*COS(RADIANS($D$11))</f>
        <v>17751.774320332</v>
      </c>
    </row>
    <row r="80" customFormat="false" ht="9.75" hidden="false" customHeight="true" outlineLevel="0" collapsed="false">
      <c r="B80" s="103" t="n">
        <v>320</v>
      </c>
      <c r="C80" s="104" t="n">
        <f aca="false">500*SIN(RADIANS(320))</f>
        <v>-321.39380484327</v>
      </c>
      <c r="D80" s="104" t="n">
        <f aca="false">500*COS(RADIANS(320))</f>
        <v>383.022221559489</v>
      </c>
      <c r="E80" s="104" t="n">
        <f aca="false">2000*SIN(RADIANS(320))</f>
        <v>-1285.57521937308</v>
      </c>
      <c r="F80" s="104" t="n">
        <f aca="false">2000*COS(RADIANS(320))</f>
        <v>1532.08888623796</v>
      </c>
      <c r="G80" s="104" t="n">
        <f aca="false">5000*SIN(RADIANS(320))</f>
        <v>-3213.9380484327</v>
      </c>
      <c r="H80" s="104" t="n">
        <f aca="false">5000*COS(RADIANS(320))</f>
        <v>3830.22221559489</v>
      </c>
      <c r="I80" s="104" t="n">
        <f aca="false">1_DATOS!$C$5*2025.4*SIN(RADIANS(320))+$C$7*SIN(RADIANS($D$7))</f>
        <v>-32547.5506164779</v>
      </c>
      <c r="J80" s="104" t="n">
        <f aca="false">1_DATOS!$C$5*2025.4*COS(RADIANS(320))+$C$7*COS(RADIANS($D$7))</f>
        <v>35288.6603773294</v>
      </c>
      <c r="K80" s="104" t="n">
        <f aca="false">1_DATOS!$C$5*2025.4*SIN(RADIANS(320))+$C$8*SIN(RADIANS($D$8))</f>
        <v>-31111.0660145101</v>
      </c>
      <c r="L80" s="104" t="n">
        <f aca="false">1_DATOS!$C$5*2025.4*COS(RADIANS(320))+$C$8*COS(RADIANS($D$8))</f>
        <v>34841.9513700286</v>
      </c>
      <c r="M80" s="104" t="n">
        <f aca="false">1_DATOS!$C$7*2025.4*SIN(RADIANS(320))+$C$9*SIN(RADIANS($D$9))</f>
        <v>-16506.7077723926</v>
      </c>
      <c r="N80" s="104" t="n">
        <f aca="false">1_DATOS!$C$7*2025.4*COS(RADIANS(320))+$C$9*COS(RADIANS($D$9))</f>
        <v>17734.673504635</v>
      </c>
      <c r="O80" s="104" t="n">
        <f aca="false">1_DATOS!$C$7*2025.4*SIN(RADIANS(320))+$C$10*SIN(RADIANS($D$10))</f>
        <v>-16329.931077096</v>
      </c>
      <c r="P80" s="104" t="n">
        <f aca="false">1_DATOS!$C$7*2025.4*COS(RADIANS(320))+$C$10*COS(RADIANS($D$10))</f>
        <v>19325.6637623047</v>
      </c>
      <c r="Q80" s="104" t="n">
        <f aca="false">1_DATOS!$C$7*2025.4*SIN(RADIANS(320))+$C$11*SIN(RADIANS($D$11))</f>
        <v>-15057.1388709602</v>
      </c>
      <c r="R80" s="104" t="n">
        <f aca="false">1_DATOS!$C$7*2025.4*COS(RADIANS(320))+$C$11*COS(RADIANS($D$11))</f>
        <v>19184.2424060674</v>
      </c>
    </row>
    <row r="81" customFormat="false" ht="9.75" hidden="false" customHeight="true" outlineLevel="0" collapsed="false">
      <c r="B81" s="103" t="n">
        <v>325</v>
      </c>
      <c r="C81" s="104" t="n">
        <f aca="false">500*SIN(RADIANS(325))</f>
        <v>-286.788218175523</v>
      </c>
      <c r="D81" s="104" t="n">
        <f aca="false">500*COS(RADIANS(325))</f>
        <v>409.576022144496</v>
      </c>
      <c r="E81" s="104" t="n">
        <f aca="false">2000*SIN(RADIANS(325))</f>
        <v>-1147.15287270209</v>
      </c>
      <c r="F81" s="104" t="n">
        <f aca="false">2000*COS(RADIANS(325))</f>
        <v>1638.30408857798</v>
      </c>
      <c r="G81" s="104" t="n">
        <f aca="false">5000*SIN(RADIANS(325))</f>
        <v>-2867.88218175523</v>
      </c>
      <c r="H81" s="104" t="n">
        <f aca="false">5000*COS(RADIANS(325))</f>
        <v>4095.76022144496</v>
      </c>
      <c r="I81" s="104" t="n">
        <f aca="false">1_DATOS!$C$5*2025.4*SIN(RADIANS(325))+$C$7*SIN(RADIANS($D$7))</f>
        <v>-29043.0428546352</v>
      </c>
      <c r="J81" s="104" t="n">
        <f aca="false">1_DATOS!$C$5*2025.4*COS(RADIANS(325))+$C$7*COS(RADIANS($D$7))</f>
        <v>37977.7637625731</v>
      </c>
      <c r="K81" s="104" t="n">
        <f aca="false">1_DATOS!$C$5*2025.4*SIN(RADIANS(325))+$C$8*SIN(RADIANS($D$8))</f>
        <v>-27606.5582526674</v>
      </c>
      <c r="L81" s="104" t="n">
        <f aca="false">1_DATOS!$C$5*2025.4*COS(RADIANS(325))+$C$8*COS(RADIANS($D$8))</f>
        <v>37531.0547552723</v>
      </c>
      <c r="M81" s="104" t="n">
        <f aca="false">1_DATOS!$C$7*2025.4*SIN(RADIANS(325))+$C$9*SIN(RADIANS($D$9))</f>
        <v>-14824.5440467081</v>
      </c>
      <c r="N81" s="104" t="n">
        <f aca="false">1_DATOS!$C$7*2025.4*COS(RADIANS(325))+$C$9*COS(RADIANS($D$9))</f>
        <v>19025.4431295519</v>
      </c>
      <c r="O81" s="104" t="n">
        <f aca="false">1_DATOS!$C$7*2025.4*SIN(RADIANS(325))+$C$10*SIN(RADIANS($D$10))</f>
        <v>-14647.7673514115</v>
      </c>
      <c r="P81" s="104" t="n">
        <f aca="false">1_DATOS!$C$7*2025.4*COS(RADIANS(325))+$C$10*COS(RADIANS($D$10))</f>
        <v>20616.4333872216</v>
      </c>
      <c r="Q81" s="104" t="n">
        <f aca="false">1_DATOS!$C$7*2025.4*SIN(RADIANS(325))+$C$11*SIN(RADIANS($D$11))</f>
        <v>-13374.9751452757</v>
      </c>
      <c r="R81" s="104" t="n">
        <f aca="false">1_DATOS!$C$7*2025.4*COS(RADIANS(325))+$C$11*COS(RADIANS($D$11))</f>
        <v>20475.0120309843</v>
      </c>
    </row>
    <row r="82" customFormat="false" ht="9.75" hidden="false" customHeight="true" outlineLevel="0" collapsed="false">
      <c r="B82" s="103" t="n">
        <v>330</v>
      </c>
      <c r="C82" s="104" t="n">
        <f aca="false">500*SIN(RADIANS(330))</f>
        <v>-250</v>
      </c>
      <c r="D82" s="104" t="n">
        <f aca="false">500*COS(RADIANS(330))</f>
        <v>433.012701892219</v>
      </c>
      <c r="E82" s="104" t="n">
        <f aca="false">2000*SIN(RADIANS(330))</f>
        <v>-1000</v>
      </c>
      <c r="F82" s="104" t="n">
        <f aca="false">2000*COS(RADIANS(330))</f>
        <v>1732.05080756888</v>
      </c>
      <c r="G82" s="104" t="n">
        <f aca="false">5000*SIN(RADIANS(330))</f>
        <v>-2500</v>
      </c>
      <c r="H82" s="104" t="n">
        <f aca="false">5000*COS(RADIANS(330))</f>
        <v>4330.12701892219</v>
      </c>
      <c r="I82" s="104" t="n">
        <f aca="false">1_DATOS!$C$5*2025.4*SIN(RADIANS(330))+$C$7*SIN(RADIANS($D$7))</f>
        <v>-25317.5</v>
      </c>
      <c r="J82" s="104" t="n">
        <f aca="false">1_DATOS!$C$5*2025.4*COS(RADIANS(330))+$C$7*COS(RADIANS($D$7))</f>
        <v>40351.196320625</v>
      </c>
      <c r="K82" s="104" t="n">
        <f aca="false">1_DATOS!$C$5*2025.4*SIN(RADIANS(330))+$C$8*SIN(RADIANS($D$8))</f>
        <v>-23881.0153980322</v>
      </c>
      <c r="L82" s="104" t="n">
        <f aca="false">1_DATOS!$C$5*2025.4*COS(RADIANS(330))+$C$8*COS(RADIANS($D$8))</f>
        <v>39904.4873133242</v>
      </c>
      <c r="M82" s="104" t="n">
        <f aca="false">1_DATOS!$C$7*2025.4*SIN(RADIANS(330))+$C$9*SIN(RADIANS($D$9))</f>
        <v>-13036.2834764832</v>
      </c>
      <c r="N82" s="104" t="n">
        <f aca="false">1_DATOS!$C$7*2025.4*COS(RADIANS(330))+$C$9*COS(RADIANS($D$9))</f>
        <v>20164.6907574168</v>
      </c>
      <c r="O82" s="104" t="n">
        <f aca="false">1_DATOS!$C$7*2025.4*SIN(RADIANS(330))+$C$10*SIN(RADIANS($D$10))</f>
        <v>-12859.5067811866</v>
      </c>
      <c r="P82" s="104" t="n">
        <f aca="false">1_DATOS!$C$7*2025.4*COS(RADIANS(330))+$C$10*COS(RADIANS($D$10))</f>
        <v>21755.6810150866</v>
      </c>
      <c r="Q82" s="104" t="n">
        <f aca="false">1_DATOS!$C$7*2025.4*SIN(RADIANS(330))+$C$11*SIN(RADIANS($D$11))</f>
        <v>-11586.7145750508</v>
      </c>
      <c r="R82" s="104" t="n">
        <f aca="false">1_DATOS!$C$7*2025.4*COS(RADIANS(330))+$C$11*COS(RADIANS($D$11))</f>
        <v>21614.2596588493</v>
      </c>
    </row>
    <row r="83" customFormat="false" ht="9.75" hidden="false" customHeight="true" outlineLevel="0" collapsed="false">
      <c r="B83" s="103" t="n">
        <v>335</v>
      </c>
      <c r="C83" s="104" t="n">
        <f aca="false">500*SIN(RADIANS(335))</f>
        <v>-211.30913087035</v>
      </c>
      <c r="D83" s="104" t="n">
        <f aca="false">500*COS(RADIANS(335))</f>
        <v>453.153893518325</v>
      </c>
      <c r="E83" s="104" t="n">
        <f aca="false">2000*SIN(RADIANS(335))</f>
        <v>-845.236523481398</v>
      </c>
      <c r="F83" s="104" t="n">
        <f aca="false">2000*COS(RADIANS(335))</f>
        <v>1812.6155740733</v>
      </c>
      <c r="G83" s="104" t="n">
        <f aca="false">5000*SIN(RADIANS(335))</f>
        <v>-2113.0913087035</v>
      </c>
      <c r="H83" s="104" t="n">
        <f aca="false">5000*COS(RADIANS(335))</f>
        <v>4531.53893518325</v>
      </c>
      <c r="I83" s="104" t="n">
        <f aca="false">1_DATOS!$C$5*2025.4*SIN(RADIANS(335))+$C$7*SIN(RADIANS($D$7))</f>
        <v>-21399.2756832403</v>
      </c>
      <c r="J83" s="104" t="n">
        <f aca="false">1_DATOS!$C$5*2025.4*COS(RADIANS(335))+$C$7*COS(RADIANS($D$7))</f>
        <v>42390.8947966008</v>
      </c>
      <c r="K83" s="104" t="n">
        <f aca="false">1_DATOS!$C$5*2025.4*SIN(RADIANS(335))+$C$8*SIN(RADIANS($D$8))</f>
        <v>-19962.7910812725</v>
      </c>
      <c r="L83" s="104" t="n">
        <f aca="false">1_DATOS!$C$5*2025.4*COS(RADIANS(335))+$C$8*COS(RADIANS($D$8))</f>
        <v>41944.1857893</v>
      </c>
      <c r="M83" s="104" t="n">
        <f aca="false">1_DATOS!$C$7*2025.4*SIN(RADIANS(335))+$C$9*SIN(RADIANS($D$9))</f>
        <v>-11155.5358044385</v>
      </c>
      <c r="N83" s="104" t="n">
        <f aca="false">1_DATOS!$C$7*2025.4*COS(RADIANS(335))+$C$9*COS(RADIANS($D$9))</f>
        <v>21143.7460258852</v>
      </c>
      <c r="O83" s="104" t="n">
        <f aca="false">1_DATOS!$C$7*2025.4*SIN(RADIANS(335))+$C$10*SIN(RADIANS($D$10))</f>
        <v>-10978.7591091419</v>
      </c>
      <c r="P83" s="104" t="n">
        <f aca="false">1_DATOS!$C$7*2025.4*COS(RADIANS(335))+$C$10*COS(RADIANS($D$10))</f>
        <v>22734.7362835549</v>
      </c>
      <c r="Q83" s="104" t="n">
        <f aca="false">1_DATOS!$C$7*2025.4*SIN(RADIANS(335))+$C$11*SIN(RADIANS($D$11))</f>
        <v>-9705.96690300611</v>
      </c>
      <c r="R83" s="104" t="n">
        <f aca="false">1_DATOS!$C$7*2025.4*COS(RADIANS(335))+$C$11*COS(RADIANS($D$11))</f>
        <v>22593.3149273176</v>
      </c>
    </row>
    <row r="84" customFormat="false" ht="9.75" hidden="false" customHeight="true" outlineLevel="0" collapsed="false">
      <c r="B84" s="103" t="n">
        <v>340</v>
      </c>
      <c r="C84" s="104" t="n">
        <f aca="false">500*SIN(RADIANS(340))</f>
        <v>-171.010071662835</v>
      </c>
      <c r="D84" s="104" t="n">
        <f aca="false">500*COS(RADIANS(340))</f>
        <v>469.846310392954</v>
      </c>
      <c r="E84" s="104" t="n">
        <f aca="false">2000*SIN(RADIANS(340))</f>
        <v>-684.040286651339</v>
      </c>
      <c r="F84" s="104" t="n">
        <f aca="false">2000*COS(RADIANS(340))</f>
        <v>1879.38524157182</v>
      </c>
      <c r="G84" s="104" t="n">
        <f aca="false">5000*SIN(RADIANS(340))</f>
        <v>-1710.10071662835</v>
      </c>
      <c r="H84" s="104" t="n">
        <f aca="false">5000*COS(RADIANS(340))</f>
        <v>4698.46310392954</v>
      </c>
      <c r="I84" s="104" t="n">
        <f aca="false">1_DATOS!$C$5*2025.4*SIN(RADIANS(340))+$C$7*SIN(RADIANS($D$7))</f>
        <v>-17318.1899572953</v>
      </c>
      <c r="J84" s="104" t="n">
        <f aca="false">1_DATOS!$C$5*2025.4*COS(RADIANS(340))+$C$7*COS(RADIANS($D$7))</f>
        <v>44081.3358534945</v>
      </c>
      <c r="K84" s="104" t="n">
        <f aca="false">1_DATOS!$C$5*2025.4*SIN(RADIANS(340))+$C$8*SIN(RADIANS($D$8))</f>
        <v>-15881.7053553275</v>
      </c>
      <c r="L84" s="104" t="n">
        <f aca="false">1_DATOS!$C$5*2025.4*COS(RADIANS(340))+$C$8*COS(RADIANS($D$8))</f>
        <v>43634.6268461936</v>
      </c>
      <c r="M84" s="104" t="n">
        <f aca="false">1_DATOS!$C$7*2025.4*SIN(RADIANS(340))+$C$9*SIN(RADIANS($D$9))</f>
        <v>-9196.61465598492</v>
      </c>
      <c r="N84" s="104" t="n">
        <f aca="false">1_DATOS!$C$7*2025.4*COS(RADIANS(340))+$C$9*COS(RADIANS($D$9))</f>
        <v>21955.1577331942</v>
      </c>
      <c r="O84" s="104" t="n">
        <f aca="false">1_DATOS!$C$7*2025.4*SIN(RADIANS(340))+$C$10*SIN(RADIANS($D$10))</f>
        <v>-9019.83796068828</v>
      </c>
      <c r="P84" s="104" t="n">
        <f aca="false">1_DATOS!$C$7*2025.4*COS(RADIANS(340))+$C$10*COS(RADIANS($D$10))</f>
        <v>23546.1479908639</v>
      </c>
      <c r="Q84" s="104" t="n">
        <f aca="false">1_DATOS!$C$7*2025.4*SIN(RADIANS(340))+$C$11*SIN(RADIANS($D$11))</f>
        <v>-7747.04575455249</v>
      </c>
      <c r="R84" s="104" t="n">
        <f aca="false">1_DATOS!$C$7*2025.4*COS(RADIANS(340))+$C$11*COS(RADIANS($D$11))</f>
        <v>23404.7266346266</v>
      </c>
    </row>
    <row r="85" customFormat="false" ht="9.75" hidden="false" customHeight="true" outlineLevel="0" collapsed="false">
      <c r="B85" s="103" t="n">
        <v>345</v>
      </c>
      <c r="C85" s="104" t="n">
        <f aca="false">500*SIN(RADIANS(345))</f>
        <v>-129.40952255126</v>
      </c>
      <c r="D85" s="104" t="n">
        <f aca="false">500*COS(RADIANS(345))</f>
        <v>482.962913144534</v>
      </c>
      <c r="E85" s="104" t="n">
        <f aca="false">2000*SIN(RADIANS(345))</f>
        <v>-517.638090205041</v>
      </c>
      <c r="F85" s="104" t="n">
        <f aca="false">2000*COS(RADIANS(345))</f>
        <v>1931.85165257814</v>
      </c>
      <c r="G85" s="104" t="n">
        <f aca="false">5000*SIN(RADIANS(345))</f>
        <v>-1294.0952255126</v>
      </c>
      <c r="H85" s="104" t="n">
        <f aca="false">5000*COS(RADIANS(345))</f>
        <v>4829.62913144534</v>
      </c>
      <c r="I85" s="104" t="n">
        <f aca="false">1_DATOS!$C$5*2025.4*SIN(RADIANS(345))+$C$7*SIN(RADIANS($D$7))</f>
        <v>-13105.3023487661</v>
      </c>
      <c r="J85" s="104" t="n">
        <f aca="false">1_DATOS!$C$5*2025.4*COS(RADIANS(345))+$C$7*COS(RADIANS($D$7))</f>
        <v>45409.654214147</v>
      </c>
      <c r="K85" s="104" t="n">
        <f aca="false">1_DATOS!$C$5*2025.4*SIN(RADIANS(345))+$C$8*SIN(RADIANS($D$8))</f>
        <v>-11668.8177467983</v>
      </c>
      <c r="L85" s="104" t="n">
        <f aca="false">1_DATOS!$C$5*2025.4*COS(RADIANS(345))+$C$8*COS(RADIANS($D$8))</f>
        <v>44962.9452068462</v>
      </c>
      <c r="M85" s="104" t="n">
        <f aca="false">1_DATOS!$C$7*2025.4*SIN(RADIANS(345))+$C$9*SIN(RADIANS($D$9))</f>
        <v>-7174.42860389093</v>
      </c>
      <c r="N85" s="104" t="n">
        <f aca="false">1_DATOS!$C$7*2025.4*COS(RADIANS(345))+$C$9*COS(RADIANS($D$9))</f>
        <v>22592.7505463074</v>
      </c>
      <c r="O85" s="104" t="n">
        <f aca="false">1_DATOS!$C$7*2025.4*SIN(RADIANS(345))+$C$10*SIN(RADIANS($D$10))</f>
        <v>-6997.65190859429</v>
      </c>
      <c r="P85" s="104" t="n">
        <f aca="false">1_DATOS!$C$7*2025.4*COS(RADIANS(345))+$C$10*COS(RADIANS($D$10))</f>
        <v>24183.7408039771</v>
      </c>
      <c r="Q85" s="104" t="n">
        <f aca="false">1_DATOS!$C$7*2025.4*SIN(RADIANS(345))+$C$11*SIN(RADIANS($D$11))</f>
        <v>-5724.85970245851</v>
      </c>
      <c r="R85" s="104" t="n">
        <f aca="false">1_DATOS!$C$7*2025.4*COS(RADIANS(345))+$C$11*COS(RADIANS($D$11))</f>
        <v>24042.3194477398</v>
      </c>
    </row>
    <row r="86" customFormat="false" ht="9.75" hidden="false" customHeight="true" outlineLevel="0" collapsed="false">
      <c r="B86" s="103" t="n">
        <v>350</v>
      </c>
      <c r="C86" s="104" t="n">
        <f aca="false">500*SIN(RADIANS(350))</f>
        <v>-86.8240888334652</v>
      </c>
      <c r="D86" s="104" t="n">
        <f aca="false">500*COS(RADIANS(350))</f>
        <v>492.403876506104</v>
      </c>
      <c r="E86" s="104" t="n">
        <f aca="false">2000*SIN(RADIANS(350))</f>
        <v>-347.296355333861</v>
      </c>
      <c r="F86" s="104" t="n">
        <f aca="false">2000*COS(RADIANS(350))</f>
        <v>1969.61550602442</v>
      </c>
      <c r="G86" s="104" t="n">
        <f aca="false">5000*SIN(RADIANS(350))</f>
        <v>-868.240888334652</v>
      </c>
      <c r="H86" s="104" t="n">
        <f aca="false">5000*COS(RADIANS(350))</f>
        <v>4924.03876506104</v>
      </c>
      <c r="I86" s="104" t="n">
        <f aca="false">1_DATOS!$C$5*2025.4*SIN(RADIANS(350))+$C$7*SIN(RADIANS($D$7))</f>
        <v>-8792.67547616502</v>
      </c>
      <c r="J86" s="104" t="n">
        <f aca="false">1_DATOS!$C$5*2025.4*COS(RADIANS(350))+$C$7*COS(RADIANS($D$7))</f>
        <v>46365.7405737732</v>
      </c>
      <c r="K86" s="104" t="n">
        <f aca="false">1_DATOS!$C$5*2025.4*SIN(RADIANS(350))+$C$8*SIN(RADIANS($D$8))</f>
        <v>-7356.19087419721</v>
      </c>
      <c r="L86" s="104" t="n">
        <f aca="false">1_DATOS!$C$5*2025.4*COS(RADIANS(350))+$C$8*COS(RADIANS($D$8))</f>
        <v>45919.0315664723</v>
      </c>
      <c r="M86" s="104" t="n">
        <f aca="false">1_DATOS!$C$7*2025.4*SIN(RADIANS(350))+$C$9*SIN(RADIANS($D$9))</f>
        <v>-5104.3677050424</v>
      </c>
      <c r="N86" s="104" t="n">
        <f aca="false">1_DATOS!$C$7*2025.4*COS(RADIANS(350))+$C$9*COS(RADIANS($D$9))</f>
        <v>23051.6719989279</v>
      </c>
      <c r="O86" s="104" t="n">
        <f aca="false">1_DATOS!$C$7*2025.4*SIN(RADIANS(350))+$C$10*SIN(RADIANS($D$10))</f>
        <v>-4927.59100974576</v>
      </c>
      <c r="P86" s="104" t="n">
        <f aca="false">1_DATOS!$C$7*2025.4*COS(RADIANS(350))+$C$10*COS(RADIANS($D$10))</f>
        <v>24642.6622565977</v>
      </c>
      <c r="Q86" s="104" t="n">
        <f aca="false">1_DATOS!$C$7*2025.4*SIN(RADIANS(350))+$C$11*SIN(RADIANS($D$11))</f>
        <v>-3654.79880360997</v>
      </c>
      <c r="R86" s="104" t="n">
        <f aca="false">1_DATOS!$C$7*2025.4*COS(RADIANS(350))+$C$11*COS(RADIANS($D$11))</f>
        <v>24501.2409003604</v>
      </c>
    </row>
    <row r="87" customFormat="false" ht="9.75" hidden="false" customHeight="true" outlineLevel="0" collapsed="false">
      <c r="B87" s="103" t="n">
        <v>355</v>
      </c>
      <c r="C87" s="104" t="n">
        <f aca="false">500*SIN(RADIANS(355))</f>
        <v>-43.5778713738292</v>
      </c>
      <c r="D87" s="104" t="n">
        <f aca="false">500*COS(RADIANS(355))</f>
        <v>498.097349045873</v>
      </c>
      <c r="E87" s="104" t="n">
        <f aca="false">2000*SIN(RADIANS(355))</f>
        <v>-174.311485495317</v>
      </c>
      <c r="F87" s="104" t="n">
        <f aca="false">2000*COS(RADIANS(355))</f>
        <v>1992.38939618349</v>
      </c>
      <c r="G87" s="104" t="n">
        <f aca="false">5000*SIN(RADIANS(355))</f>
        <v>-435.778713738292</v>
      </c>
      <c r="H87" s="104" t="n">
        <f aca="false">5000*COS(RADIANS(355))</f>
        <v>4980.97349045873</v>
      </c>
      <c r="I87" s="104" t="n">
        <f aca="false">1_DATOS!$C$5*2025.4*SIN(RADIANS(355))+$C$7*SIN(RADIANS($D$7))</f>
        <v>-4413.13103402768</v>
      </c>
      <c r="J87" s="104" t="n">
        <f aca="false">1_DATOS!$C$5*2025.4*COS(RADIANS(355))+$C$7*COS(RADIANS($D$7))</f>
        <v>46942.3185378755</v>
      </c>
      <c r="K87" s="104" t="n">
        <f aca="false">1_DATOS!$C$5*2025.4*SIN(RADIANS(355))+$C$8*SIN(RADIANS($D$8))</f>
        <v>-2976.64643205987</v>
      </c>
      <c r="L87" s="104" t="n">
        <f aca="false">1_DATOS!$C$5*2025.4*COS(RADIANS(355))+$C$8*COS(RADIANS($D$8))</f>
        <v>46495.6095305747</v>
      </c>
      <c r="M87" s="104" t="n">
        <f aca="false">1_DATOS!$C$7*2025.4*SIN(RADIANS(355))+$C$9*SIN(RADIANS($D$9))</f>
        <v>-3002.18637281647</v>
      </c>
      <c r="N87" s="104" t="n">
        <f aca="false">1_DATOS!$C$7*2025.4*COS(RADIANS(355))+$C$9*COS(RADIANS($D$9))</f>
        <v>23328.4294216971</v>
      </c>
      <c r="O87" s="104" t="n">
        <f aca="false">1_DATOS!$C$7*2025.4*SIN(RADIANS(355))+$C$10*SIN(RADIANS($D$10))</f>
        <v>-2825.40967751983</v>
      </c>
      <c r="P87" s="104" t="n">
        <f aca="false">1_DATOS!$C$7*2025.4*COS(RADIANS(355))+$C$10*COS(RADIANS($D$10))</f>
        <v>24919.4196793668</v>
      </c>
      <c r="Q87" s="104" t="n">
        <f aca="false">1_DATOS!$C$7*2025.4*SIN(RADIANS(355))+$C$11*SIN(RADIANS($D$11))</f>
        <v>-1552.61747138405</v>
      </c>
      <c r="R87" s="104" t="n">
        <f aca="false">1_DATOS!$C$7*2025.4*COS(RADIANS(355))+$C$11*COS(RADIANS($D$11))</f>
        <v>24777.9983231295</v>
      </c>
    </row>
    <row r="88" customFormat="false" ht="9.75" hidden="false" customHeight="true" outlineLevel="0" collapsed="false">
      <c r="B88" s="103" t="n">
        <v>360</v>
      </c>
      <c r="C88" s="104" t="n">
        <f aca="false">500*SIN(RADIANS(360))</f>
        <v>-1.22464679914735E-013</v>
      </c>
      <c r="D88" s="104" t="n">
        <f aca="false">500*COS(RADIANS(360))</f>
        <v>500</v>
      </c>
      <c r="E88" s="104" t="n">
        <f aca="false">2000*SIN(RADIANS(360))</f>
        <v>-4.89858719658941E-013</v>
      </c>
      <c r="F88" s="104" t="n">
        <f aca="false">2000*COS(RADIANS(360))</f>
        <v>2000</v>
      </c>
      <c r="G88" s="104" t="n">
        <f aca="false">5000*SIN(RADIANS(360))</f>
        <v>-1.22464679914735E-012</v>
      </c>
      <c r="H88" s="104" t="n">
        <f aca="false">5000*COS(RADIANS(360))</f>
        <v>5000</v>
      </c>
      <c r="I88" s="104" t="n">
        <f aca="false">1_DATOS!$C$5*2025.4*SIN(RADIANS(360))+$C$7*SIN(RADIANS($D$7))</f>
        <v>-1.19733717552637E-011</v>
      </c>
      <c r="J88" s="104" t="n">
        <f aca="false">1_DATOS!$C$5*2025.4*COS(RADIANS(360))+$C$7*COS(RADIANS($D$7))</f>
        <v>47135</v>
      </c>
      <c r="K88" s="104" t="n">
        <f aca="false">1_DATOS!$C$5*2025.4*SIN(RADIANS(360))+$C$8*SIN(RADIANS($D$8))</f>
        <v>1436.4846019678</v>
      </c>
      <c r="L88" s="104" t="n">
        <f aca="false">1_DATOS!$C$5*2025.4*COS(RADIANS(360))+$C$8*COS(RADIANS($D$8))</f>
        <v>46688.2909926992</v>
      </c>
      <c r="M88" s="104" t="n">
        <f aca="false">1_DATOS!$C$7*2025.4*SIN(RADIANS(360))+$C$9*SIN(RADIANS($D$9))</f>
        <v>-883.88347648319</v>
      </c>
      <c r="N88" s="104" t="n">
        <f aca="false">1_DATOS!$C$7*2025.4*COS(RADIANS(360))+$C$9*COS(RADIANS($D$9))</f>
        <v>23420.9165235168</v>
      </c>
      <c r="O88" s="104" t="n">
        <f aca="false">1_DATOS!$C$7*2025.4*SIN(RADIANS(360))+$C$10*SIN(RADIANS($D$10))</f>
        <v>-707.106781186554</v>
      </c>
      <c r="P88" s="104" t="n">
        <f aca="false">1_DATOS!$C$7*2025.4*COS(RADIANS(360))+$C$10*COS(RADIANS($D$10))</f>
        <v>25011.9067811866</v>
      </c>
      <c r="Q88" s="104" t="n">
        <f aca="false">1_DATOS!$C$7*2025.4*SIN(RADIANS(360))+$C$11*SIN(RADIANS($D$11))</f>
        <v>565.685424949232</v>
      </c>
      <c r="R88" s="104" t="n">
        <f aca="false">1_DATOS!$C$7*2025.4*COS(RADIANS(360))+$C$11*COS(RADIANS($D$11))</f>
        <v>24870.4854249492</v>
      </c>
    </row>
    <row r="90" customFormat="false" ht="12" hidden="false" customHeight="true" outlineLevel="0" collapsed="false">
      <c r="B90" s="105" t="s">
        <v>382</v>
      </c>
      <c r="C90" s="105" t="s">
        <v>383</v>
      </c>
      <c r="D90" s="105" t="s">
        <v>384</v>
      </c>
      <c r="E90" s="105" t="s">
        <v>385</v>
      </c>
    </row>
    <row r="91" customFormat="false" ht="12" hidden="false" customHeight="true" outlineLevel="0" collapsed="false">
      <c r="B91" s="106" t="s">
        <v>337</v>
      </c>
      <c r="C91" s="107" t="s">
        <v>257</v>
      </c>
      <c r="D91" s="107" t="s">
        <v>257</v>
      </c>
      <c r="E91" s="0" t="s">
        <v>386</v>
      </c>
    </row>
    <row r="92" customFormat="false" ht="12" hidden="false" customHeight="true" outlineLevel="0" collapsed="false">
      <c r="B92" s="106" t="s">
        <v>353</v>
      </c>
      <c r="C92" s="107" t="n">
        <f aca="false">$C$7*SIN(RADIANS($D$7))</f>
        <v>4.28626379701574E-013</v>
      </c>
      <c r="D92" s="107" t="n">
        <f aca="false">$C$7*COS(RADIANS($D$7))</f>
        <v>-3500</v>
      </c>
      <c r="E92" s="0" t="s">
        <v>387</v>
      </c>
    </row>
    <row r="93" customFormat="false" ht="12" hidden="false" customHeight="true" outlineLevel="0" collapsed="false">
      <c r="B93" s="106" t="s">
        <v>355</v>
      </c>
      <c r="C93" s="107" t="n">
        <f aca="false">$C$8*SIN(RADIANS($D$8))</f>
        <v>1436.48460196781</v>
      </c>
      <c r="D93" s="107" t="n">
        <f aca="false">$C$8*COS(RADIANS($D$8))</f>
        <v>-3946.70900730082</v>
      </c>
      <c r="E93" s="0" t="s">
        <v>388</v>
      </c>
    </row>
    <row r="94" customFormat="false" ht="12" hidden="false" customHeight="true" outlineLevel="0" collapsed="false">
      <c r="B94" s="106" t="s">
        <v>357</v>
      </c>
      <c r="C94" s="107" t="n">
        <f aca="false">$C$9*SIN(RADIANS($D$9))</f>
        <v>-883.883476483184</v>
      </c>
      <c r="D94" s="107" t="n">
        <f aca="false">$C$9*COS(RADIANS($D$9))</f>
        <v>-883.883476483185</v>
      </c>
      <c r="E94" s="0" t="s">
        <v>389</v>
      </c>
    </row>
    <row r="95" customFormat="false" ht="12" hidden="false" customHeight="true" outlineLevel="0" collapsed="false">
      <c r="B95" s="106" t="s">
        <v>359</v>
      </c>
      <c r="C95" s="107" t="n">
        <f aca="false">$C$10*SIN(RADIANS($D$10))</f>
        <v>-707.106781186548</v>
      </c>
      <c r="D95" s="107" t="n">
        <f aca="false">$C$10*COS(RADIANS($D$10))</f>
        <v>707.106781186547</v>
      </c>
      <c r="E95" s="0" t="s">
        <v>390</v>
      </c>
    </row>
    <row r="96" customFormat="false" ht="21.75" hidden="false" customHeight="true" outlineLevel="0" collapsed="false">
      <c r="B96" s="108" t="s">
        <v>391</v>
      </c>
      <c r="C96" s="108"/>
      <c r="D96" s="108"/>
      <c r="E96" s="108"/>
      <c r="F96" s="108"/>
      <c r="G96" s="108"/>
      <c r="H96" s="108"/>
    </row>
    <row r="97" customFormat="false" ht="27.75" hidden="false" customHeight="true" outlineLevel="0" collapsed="false">
      <c r="B97" s="86" t="s">
        <v>392</v>
      </c>
      <c r="C97" s="86" t="s">
        <v>393</v>
      </c>
      <c r="D97" s="86" t="s">
        <v>302</v>
      </c>
      <c r="E97" s="86" t="s">
        <v>394</v>
      </c>
      <c r="F97" s="86" t="s">
        <v>395</v>
      </c>
      <c r="G97" s="86" t="s">
        <v>396</v>
      </c>
      <c r="H97" s="86" t="s">
        <v>397</v>
      </c>
    </row>
    <row r="98" customFormat="false" ht="21.75" hidden="false" customHeight="true" outlineLevel="0" collapsed="false">
      <c r="B98" s="109" t="s">
        <v>398</v>
      </c>
      <c r="C98" s="110" t="s">
        <v>115</v>
      </c>
      <c r="D98" s="110" t="s">
        <v>115</v>
      </c>
      <c r="E98" s="110" t="s">
        <v>399</v>
      </c>
      <c r="F98" s="110" t="s">
        <v>400</v>
      </c>
      <c r="G98" s="110" t="s">
        <v>401</v>
      </c>
      <c r="H98" s="110" t="s">
        <v>402</v>
      </c>
    </row>
    <row r="99" customFormat="false" ht="21.75" hidden="false" customHeight="true" outlineLevel="0" collapsed="false">
      <c r="B99" s="111" t="s">
        <v>403</v>
      </c>
      <c r="C99" s="112" t="s">
        <v>115</v>
      </c>
      <c r="D99" s="112" t="s">
        <v>116</v>
      </c>
      <c r="E99" s="112" t="s">
        <v>399</v>
      </c>
      <c r="F99" s="112" t="s">
        <v>404</v>
      </c>
      <c r="G99" s="112" t="s">
        <v>405</v>
      </c>
      <c r="H99" s="112" t="s">
        <v>406</v>
      </c>
    </row>
    <row r="100" customFormat="false" ht="21.75" hidden="false" customHeight="true" outlineLevel="0" collapsed="false">
      <c r="B100" s="109" t="s">
        <v>407</v>
      </c>
      <c r="C100" s="110" t="s">
        <v>115</v>
      </c>
      <c r="D100" s="110" t="s">
        <v>117</v>
      </c>
      <c r="E100" s="110" t="s">
        <v>399</v>
      </c>
      <c r="F100" s="110" t="s">
        <v>408</v>
      </c>
      <c r="G100" s="110" t="s">
        <v>409</v>
      </c>
      <c r="H100" s="110" t="s">
        <v>410</v>
      </c>
    </row>
    <row r="101" customFormat="false" ht="21.75" hidden="false" customHeight="true" outlineLevel="0" collapsed="false">
      <c r="B101" s="111" t="s">
        <v>411</v>
      </c>
      <c r="C101" s="112" t="s">
        <v>116</v>
      </c>
      <c r="D101" s="112" t="s">
        <v>115</v>
      </c>
      <c r="E101" s="112" t="s">
        <v>412</v>
      </c>
      <c r="F101" s="112" t="s">
        <v>400</v>
      </c>
      <c r="G101" s="112" t="s">
        <v>413</v>
      </c>
      <c r="H101" s="112" t="s">
        <v>414</v>
      </c>
    </row>
    <row r="102" customFormat="false" ht="21.75" hidden="false" customHeight="true" outlineLevel="0" collapsed="false">
      <c r="B102" s="113" t="s">
        <v>343</v>
      </c>
      <c r="C102" s="114" t="s">
        <v>116</v>
      </c>
      <c r="D102" s="114" t="s">
        <v>116</v>
      </c>
      <c r="E102" s="114" t="s">
        <v>412</v>
      </c>
      <c r="F102" s="114" t="s">
        <v>404</v>
      </c>
      <c r="G102" s="114" t="s">
        <v>415</v>
      </c>
      <c r="H102" s="114" t="s">
        <v>416</v>
      </c>
    </row>
    <row r="103" customFormat="false" ht="21.75" hidden="false" customHeight="true" outlineLevel="0" collapsed="false">
      <c r="B103" s="111" t="s">
        <v>417</v>
      </c>
      <c r="C103" s="112" t="s">
        <v>116</v>
      </c>
      <c r="D103" s="112" t="s">
        <v>117</v>
      </c>
      <c r="E103" s="112" t="s">
        <v>412</v>
      </c>
      <c r="F103" s="112" t="s">
        <v>408</v>
      </c>
      <c r="G103" s="112" t="s">
        <v>418</v>
      </c>
      <c r="H103" s="112" t="s">
        <v>419</v>
      </c>
    </row>
    <row r="105" customFormat="false" ht="39.75" hidden="false" customHeight="true" outlineLevel="0" collapsed="false">
      <c r="B105" s="115" t="s">
        <v>420</v>
      </c>
      <c r="C105" s="115"/>
      <c r="D105" s="115"/>
      <c r="E105" s="115"/>
      <c r="F105" s="115"/>
      <c r="G105" s="115"/>
      <c r="H105" s="115"/>
    </row>
  </sheetData>
  <mergeCells count="14">
    <mergeCell ref="B1:N1"/>
    <mergeCell ref="B2:N2"/>
    <mergeCell ref="B4:N4"/>
    <mergeCell ref="C5:E5"/>
    <mergeCell ref="I6:N6"/>
    <mergeCell ref="I7:N7"/>
    <mergeCell ref="I8:N8"/>
    <mergeCell ref="I9:N9"/>
    <mergeCell ref="I10:N10"/>
    <mergeCell ref="I11:N11"/>
    <mergeCell ref="B12:G12"/>
    <mergeCell ref="B14:N14"/>
    <mergeCell ref="B96:H96"/>
    <mergeCell ref="B105:H105"/>
  </mergeCells>
  <dataValidations count="1">
    <dataValidation allowBlank="false" errorStyle="stop" operator="between" showDropDown="false" showErrorMessage="false" showInputMessage="false" sqref="C5" type="list">
      <formula1>"1-FFG + 1-FF23,1-FFG + 2-FF23,1-FFG + 3-FF23,2-FFG + 1-FF23,2-FFG + 2-FF23,2-FFG + 3-FF23"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2026-04-08T00:24:50Z</dcterms:created>
  <dc:creator>openpyxl</dc:creator>
  <dc:description/>
  <dc:language>en-US</dc:language>
  <cp:lastModifiedBy/>
  <dcterms:modified xsi:type="dcterms:W3CDTF">2026-04-08T00:36:42Z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