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ul\Documents\Raul Bastidas\ICIPEV\2021-T1\Plantas\Plantas 2020\C1 planatas\"/>
    </mc:Choice>
  </mc:AlternateContent>
  <xr:revisionPtr revIDLastSave="0" documentId="13_ncr:1_{20AF3A3C-1C07-40EC-AB31-F18A4256273F}" xr6:coauthVersionLast="47" xr6:coauthVersionMax="47" xr10:uidLastSave="{00000000-0000-0000-0000-000000000000}"/>
  <bookViews>
    <workbookView xWindow="-120" yWindow="-120" windowWidth="20730" windowHeight="11040" firstSheet="3" activeTab="8" xr2:uid="{00000000-000D-0000-FFFF-FFFF00000000}"/>
  </bookViews>
  <sheets>
    <sheet name="PERT" sheetId="1" r:id="rId1"/>
    <sheet name="Confiabilidad" sheetId="7" r:id="rId2"/>
    <sheet name="Confiabilidad (2)" sheetId="16" r:id="rId3"/>
    <sheet name="Confiabilidad (3)" sheetId="17" r:id="rId4"/>
    <sheet name="Ej. 1 (2)" sheetId="15" r:id="rId5"/>
    <sheet name="Ej. 2 " sheetId="6" r:id="rId6"/>
    <sheet name="ej1 taller" sheetId="11" r:id="rId7"/>
    <sheet name="ej 3 taller AA" sheetId="12" r:id="rId8"/>
    <sheet name="ej 3 taller AAA" sheetId="13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7" l="1"/>
  <c r="B16" i="16"/>
  <c r="F7" i="7"/>
  <c r="F6" i="7"/>
  <c r="C20" i="1"/>
  <c r="D20" i="1"/>
  <c r="C21" i="1"/>
  <c r="D21" i="1"/>
  <c r="D19" i="1"/>
  <c r="C19" i="1"/>
  <c r="D12" i="1"/>
  <c r="D13" i="1"/>
  <c r="D14" i="1"/>
  <c r="D15" i="1"/>
  <c r="F3" i="17" l="1"/>
  <c r="F4" i="17"/>
  <c r="F5" i="17"/>
  <c r="F6" i="17"/>
  <c r="F7" i="17"/>
  <c r="F8" i="17"/>
  <c r="F9" i="17"/>
  <c r="F10" i="17"/>
  <c r="F11" i="17"/>
  <c r="F4" i="7"/>
  <c r="F5" i="7"/>
  <c r="F8" i="7"/>
  <c r="F9" i="7"/>
  <c r="B23" i="17"/>
  <c r="B22" i="17"/>
  <c r="B17" i="17"/>
  <c r="K14" i="17"/>
  <c r="F2" i="17"/>
  <c r="G2" i="17" s="1"/>
  <c r="B17" i="16"/>
  <c r="K13" i="16"/>
  <c r="F10" i="16"/>
  <c r="F9" i="16"/>
  <c r="F8" i="16"/>
  <c r="F7" i="16"/>
  <c r="F6" i="16"/>
  <c r="G6" i="16" s="1"/>
  <c r="F5" i="16"/>
  <c r="F4" i="16"/>
  <c r="G4" i="16" s="1"/>
  <c r="F3" i="16"/>
  <c r="F2" i="16"/>
  <c r="B13" i="15"/>
  <c r="C19" i="15" s="1"/>
  <c r="B11" i="15"/>
  <c r="I21" i="15"/>
  <c r="L21" i="15" s="1"/>
  <c r="I20" i="15"/>
  <c r="L20" i="15" s="1"/>
  <c r="I19" i="15"/>
  <c r="L19" i="15" s="1"/>
  <c r="I18" i="15"/>
  <c r="L18" i="15" s="1"/>
  <c r="I9" i="15"/>
  <c r="F8" i="15"/>
  <c r="E8" i="15"/>
  <c r="F7" i="15"/>
  <c r="F6" i="15"/>
  <c r="F4" i="15"/>
  <c r="C12" i="15" s="1"/>
  <c r="E4" i="15"/>
  <c r="B12" i="15" s="1"/>
  <c r="F3" i="15"/>
  <c r="C13" i="15" s="1"/>
  <c r="D19" i="15" s="1"/>
  <c r="E3" i="15"/>
  <c r="F2" i="15"/>
  <c r="C11" i="15" s="1"/>
  <c r="E2" i="15"/>
  <c r="C14" i="15" l="1"/>
  <c r="D18" i="15"/>
  <c r="C20" i="15"/>
  <c r="G3" i="17"/>
  <c r="G10" i="17"/>
  <c r="G6" i="17"/>
  <c r="G8" i="17"/>
  <c r="G4" i="17"/>
  <c r="G11" i="17"/>
  <c r="G9" i="17"/>
  <c r="G7" i="17"/>
  <c r="G5" i="17"/>
  <c r="G25" i="17"/>
  <c r="G23" i="17"/>
  <c r="G21" i="17"/>
  <c r="G19" i="17"/>
  <c r="G17" i="17"/>
  <c r="G15" i="17"/>
  <c r="G14" i="17"/>
  <c r="G24" i="17"/>
  <c r="G22" i="17"/>
  <c r="G20" i="17"/>
  <c r="G18" i="17"/>
  <c r="G16" i="17"/>
  <c r="B18" i="17"/>
  <c r="G8" i="16"/>
  <c r="G10" i="16"/>
  <c r="H10" i="16"/>
  <c r="H9" i="16"/>
  <c r="H7" i="16"/>
  <c r="H5" i="16"/>
  <c r="H3" i="16"/>
  <c r="H2" i="16"/>
  <c r="G23" i="16"/>
  <c r="G3" i="16"/>
  <c r="G5" i="16"/>
  <c r="G7" i="16"/>
  <c r="G9" i="16"/>
  <c r="G24" i="16"/>
  <c r="G13" i="16"/>
  <c r="G14" i="16"/>
  <c r="G18" i="16"/>
  <c r="G20" i="16"/>
  <c r="G22" i="16"/>
  <c r="G2" i="16"/>
  <c r="H4" i="16"/>
  <c r="H6" i="16"/>
  <c r="H8" i="16"/>
  <c r="G15" i="16"/>
  <c r="G16" i="16"/>
  <c r="G17" i="16"/>
  <c r="G19" i="16"/>
  <c r="G21" i="16"/>
  <c r="C18" i="15"/>
  <c r="D20" i="15"/>
  <c r="D13" i="15"/>
  <c r="D11" i="15"/>
  <c r="D12" i="15"/>
  <c r="C21" i="15"/>
  <c r="D21" i="15"/>
  <c r="B14" i="15"/>
  <c r="D14" i="15" s="1"/>
  <c r="H4" i="17" l="1"/>
  <c r="H6" i="17"/>
  <c r="H8" i="17"/>
  <c r="H10" i="17"/>
  <c r="H5" i="17"/>
  <c r="H7" i="17"/>
  <c r="H11" i="17"/>
  <c r="H3" i="17"/>
  <c r="H9" i="17"/>
  <c r="H2" i="17"/>
  <c r="E21" i="15"/>
  <c r="M21" i="15" s="1"/>
  <c r="E19" i="15"/>
  <c r="M19" i="15" s="1"/>
  <c r="E18" i="15"/>
  <c r="M18" i="15" s="1"/>
  <c r="E20" i="15"/>
  <c r="M20" i="15" s="1"/>
  <c r="M23" i="15" l="1"/>
  <c r="K12" i="7" l="1"/>
  <c r="B15" i="13"/>
  <c r="B16" i="13" s="1"/>
  <c r="K12" i="13"/>
  <c r="F9" i="13"/>
  <c r="G9" i="13" s="1"/>
  <c r="F8" i="13"/>
  <c r="G8" i="13" s="1"/>
  <c r="F7" i="13"/>
  <c r="F6" i="13"/>
  <c r="G5" i="13"/>
  <c r="F5" i="13"/>
  <c r="F4" i="13"/>
  <c r="G4" i="13" s="1"/>
  <c r="F3" i="13"/>
  <c r="F2" i="13"/>
  <c r="G2" i="13" s="1"/>
  <c r="K12" i="12"/>
  <c r="B15" i="12"/>
  <c r="B16" i="12" s="1"/>
  <c r="F9" i="12"/>
  <c r="F8" i="12"/>
  <c r="F7" i="12"/>
  <c r="F6" i="12"/>
  <c r="F5" i="12"/>
  <c r="F4" i="12"/>
  <c r="F3" i="12"/>
  <c r="F2" i="12"/>
  <c r="G23" i="13" l="1"/>
  <c r="G3" i="13"/>
  <c r="G6" i="13"/>
  <c r="G7" i="13"/>
  <c r="H8" i="13"/>
  <c r="H6" i="13"/>
  <c r="H4" i="13"/>
  <c r="H9" i="13"/>
  <c r="H7" i="13"/>
  <c r="H5" i="13"/>
  <c r="H3" i="13"/>
  <c r="H2" i="13"/>
  <c r="G12" i="13"/>
  <c r="G13" i="13"/>
  <c r="G17" i="13"/>
  <c r="G19" i="13"/>
  <c r="G21" i="13"/>
  <c r="G14" i="13"/>
  <c r="G15" i="13"/>
  <c r="G16" i="13"/>
  <c r="G18" i="13"/>
  <c r="G20" i="13"/>
  <c r="G22" i="13"/>
  <c r="G3" i="12"/>
  <c r="G5" i="12"/>
  <c r="G6" i="12"/>
  <c r="G8" i="12"/>
  <c r="G23" i="12"/>
  <c r="G4" i="12"/>
  <c r="G9" i="12"/>
  <c r="G7" i="12"/>
  <c r="H8" i="12"/>
  <c r="H6" i="12"/>
  <c r="H5" i="12"/>
  <c r="H3" i="12"/>
  <c r="H7" i="12"/>
  <c r="H2" i="12"/>
  <c r="H9" i="12"/>
  <c r="H4" i="12"/>
  <c r="G12" i="12"/>
  <c r="G14" i="12"/>
  <c r="G15" i="12"/>
  <c r="G16" i="12"/>
  <c r="G18" i="12"/>
  <c r="G20" i="12"/>
  <c r="G22" i="12"/>
  <c r="G2" i="12"/>
  <c r="G13" i="12"/>
  <c r="G17" i="12"/>
  <c r="G19" i="12"/>
  <c r="G21" i="12"/>
  <c r="I24" i="11"/>
  <c r="L24" i="11" s="1"/>
  <c r="I23" i="11"/>
  <c r="L23" i="11" s="1"/>
  <c r="I22" i="11"/>
  <c r="L22" i="11" s="1"/>
  <c r="I21" i="11"/>
  <c r="L21" i="11" s="1"/>
  <c r="I12" i="11"/>
  <c r="F11" i="11"/>
  <c r="E11" i="11"/>
  <c r="F10" i="11"/>
  <c r="E10" i="11"/>
  <c r="F9" i="11"/>
  <c r="E9" i="11"/>
  <c r="F6" i="11"/>
  <c r="E6" i="11"/>
  <c r="F5" i="11"/>
  <c r="E5" i="11"/>
  <c r="F4" i="11"/>
  <c r="E4" i="11"/>
  <c r="F3" i="11"/>
  <c r="E3" i="11"/>
  <c r="F2" i="11"/>
  <c r="C17" i="11" s="1"/>
  <c r="E2" i="11"/>
  <c r="B16" i="11" s="1"/>
  <c r="C14" i="11" l="1"/>
  <c r="B15" i="11"/>
  <c r="C16" i="11"/>
  <c r="D16" i="11" s="1"/>
  <c r="B17" i="11"/>
  <c r="D17" i="11" s="1"/>
  <c r="B14" i="11"/>
  <c r="D14" i="11" s="1"/>
  <c r="C15" i="11"/>
  <c r="C24" i="11" l="1"/>
  <c r="C23" i="11"/>
  <c r="C22" i="11"/>
  <c r="C21" i="11"/>
  <c r="D24" i="11"/>
  <c r="D23" i="11"/>
  <c r="D22" i="11"/>
  <c r="E22" i="11" s="1"/>
  <c r="M22" i="11" s="1"/>
  <c r="D21" i="11"/>
  <c r="E21" i="11" s="1"/>
  <c r="M21" i="11" s="1"/>
  <c r="D15" i="11"/>
  <c r="E24" i="11" l="1"/>
  <c r="M24" i="11" s="1"/>
  <c r="E23" i="11"/>
  <c r="M23" i="11" s="1"/>
  <c r="M26" i="11" s="1"/>
  <c r="F3" i="7"/>
  <c r="F2" i="7"/>
  <c r="G7" i="7" l="1"/>
  <c r="G6" i="7"/>
  <c r="G4" i="7"/>
  <c r="G8" i="7"/>
  <c r="G5" i="7"/>
  <c r="B16" i="7"/>
  <c r="H2" i="7" s="1"/>
  <c r="G12" i="7"/>
  <c r="G14" i="7"/>
  <c r="G16" i="7"/>
  <c r="G18" i="7"/>
  <c r="G20" i="7"/>
  <c r="G22" i="7"/>
  <c r="G13" i="7"/>
  <c r="G15" i="7"/>
  <c r="G17" i="7"/>
  <c r="G19" i="7"/>
  <c r="G21" i="7"/>
  <c r="G23" i="7"/>
  <c r="G3" i="7"/>
  <c r="G2" i="7"/>
  <c r="H3" i="7" l="1"/>
  <c r="H6" i="7"/>
  <c r="H7" i="7"/>
  <c r="H4" i="7"/>
  <c r="H8" i="7"/>
  <c r="H5" i="7"/>
  <c r="H9" i="7"/>
  <c r="B21" i="6"/>
  <c r="F9" i="6"/>
  <c r="E9" i="6"/>
  <c r="I11" i="6"/>
  <c r="I24" i="6"/>
  <c r="L24" i="6" s="1"/>
  <c r="I23" i="6"/>
  <c r="L23" i="6" s="1"/>
  <c r="I22" i="6"/>
  <c r="L22" i="6" s="1"/>
  <c r="I21" i="6"/>
  <c r="L21" i="6" s="1"/>
  <c r="F10" i="6"/>
  <c r="C17" i="6" s="1"/>
  <c r="E10" i="6"/>
  <c r="B17" i="6" s="1"/>
  <c r="F7" i="6"/>
  <c r="C13" i="6" s="1"/>
  <c r="E7" i="6"/>
  <c r="B13" i="6" s="1"/>
  <c r="F6" i="6"/>
  <c r="E6" i="6"/>
  <c r="F5" i="6"/>
  <c r="E5" i="6"/>
  <c r="F4" i="6"/>
  <c r="E4" i="6"/>
  <c r="F3" i="6"/>
  <c r="E3" i="6"/>
  <c r="F2" i="6"/>
  <c r="E2" i="6"/>
  <c r="C15" i="6" l="1"/>
  <c r="C22" i="6"/>
  <c r="C23" i="6"/>
  <c r="C24" i="6"/>
  <c r="D21" i="6"/>
  <c r="E21" i="6" s="1"/>
  <c r="D22" i="6"/>
  <c r="E22" i="6" s="1"/>
  <c r="D23" i="6"/>
  <c r="E23" i="6" s="1"/>
  <c r="D24" i="6"/>
  <c r="E24" i="6" s="1"/>
  <c r="C21" i="6"/>
  <c r="B16" i="6"/>
  <c r="B15" i="6"/>
  <c r="B14" i="6"/>
  <c r="C16" i="6"/>
  <c r="C14" i="6"/>
  <c r="D14" i="6" s="1"/>
  <c r="D17" i="6"/>
  <c r="D16" i="6" l="1"/>
  <c r="D15" i="6"/>
  <c r="D13" i="6"/>
  <c r="M22" i="6" l="1"/>
  <c r="M24" i="6"/>
  <c r="M21" i="6"/>
  <c r="M23" i="6"/>
  <c r="M26" i="6" l="1"/>
  <c r="I28" i="6" s="1"/>
  <c r="E8" i="1"/>
  <c r="F8" i="1"/>
  <c r="L21" i="1"/>
  <c r="L20" i="1"/>
  <c r="L19" i="1"/>
  <c r="I9" i="1"/>
  <c r="E4" i="1" l="1"/>
  <c r="E3" i="1"/>
  <c r="E2" i="1"/>
  <c r="F3" i="1"/>
  <c r="F4" i="1"/>
  <c r="F6" i="1"/>
  <c r="F7" i="1"/>
  <c r="F2" i="1"/>
  <c r="E6" i="1"/>
  <c r="E7" i="1"/>
  <c r="E20" i="1" l="1"/>
  <c r="M20" i="1" s="1"/>
  <c r="D11" i="1"/>
  <c r="E21" i="1" l="1"/>
  <c r="M21" i="1" s="1"/>
  <c r="E19" i="1"/>
  <c r="M19" i="1" s="1"/>
  <c r="M23" i="1" l="1"/>
</calcChain>
</file>

<file path=xl/sharedStrings.xml><?xml version="1.0" encoding="utf-8"?>
<sst xmlns="http://schemas.openxmlformats.org/spreadsheetml/2006/main" count="339" uniqueCount="92">
  <si>
    <t>ACT</t>
  </si>
  <si>
    <t>B</t>
  </si>
  <si>
    <t>C</t>
  </si>
  <si>
    <t>D</t>
  </si>
  <si>
    <t>E</t>
  </si>
  <si>
    <t>F</t>
  </si>
  <si>
    <t>G</t>
  </si>
  <si>
    <t>A</t>
  </si>
  <si>
    <t>TE</t>
  </si>
  <si>
    <t>a: optimista</t>
  </si>
  <si>
    <t>m: probable</t>
  </si>
  <si>
    <t>b: pesimista</t>
  </si>
  <si>
    <t>var</t>
  </si>
  <si>
    <t>POSIBLES RC</t>
  </si>
  <si>
    <t>TE RUTA</t>
  </si>
  <si>
    <t>VARIANZA RUTA</t>
  </si>
  <si>
    <t>TE RUTA + 3*DESV.STD</t>
  </si>
  <si>
    <t>inicio</t>
  </si>
  <si>
    <t>termino</t>
  </si>
  <si>
    <t>Z inicio</t>
  </si>
  <si>
    <t>Z termino</t>
  </si>
  <si>
    <t>Prob</t>
  </si>
  <si>
    <t>ojo verificar celdas de RC</t>
  </si>
  <si>
    <t>INGRESOS</t>
  </si>
  <si>
    <t>COSTO</t>
  </si>
  <si>
    <t>TOTAL</t>
  </si>
  <si>
    <t>COSTO X ACT</t>
  </si>
  <si>
    <t>COSTO POR ATRASO</t>
  </si>
  <si>
    <t>MULTAS</t>
  </si>
  <si>
    <t>BENEFICIO</t>
  </si>
  <si>
    <t>E(BENEFICIO)</t>
  </si>
  <si>
    <t>P*BEN.</t>
  </si>
  <si>
    <t>H</t>
  </si>
  <si>
    <t>I</t>
  </si>
  <si>
    <t>ABEH</t>
  </si>
  <si>
    <t>ADGH</t>
  </si>
  <si>
    <t>ACFH</t>
  </si>
  <si>
    <t>rc</t>
  </si>
  <si>
    <t>FG</t>
  </si>
  <si>
    <t>Capacidad Productiva</t>
  </si>
  <si>
    <t>T° Disponible</t>
  </si>
  <si>
    <t>Cantidad por hacer</t>
  </si>
  <si>
    <t>T° de Proceso</t>
  </si>
  <si>
    <t>Holgura</t>
  </si>
  <si>
    <t>Reparaciones</t>
  </si>
  <si>
    <t>Beneficios</t>
  </si>
  <si>
    <t>Sin Beneficios</t>
  </si>
  <si>
    <t>Actividad</t>
  </si>
  <si>
    <t xml:space="preserve">Equipo </t>
  </si>
  <si>
    <t>Capacidad</t>
  </si>
  <si>
    <t>MTBF</t>
  </si>
  <si>
    <t>MTTR</t>
  </si>
  <si>
    <t>Lambda</t>
  </si>
  <si>
    <t>R (Conf equipo)</t>
  </si>
  <si>
    <t>cant. De reparaciones</t>
  </si>
  <si>
    <t>b1</t>
  </si>
  <si>
    <t>b2</t>
  </si>
  <si>
    <t>c1</t>
  </si>
  <si>
    <t>k</t>
  </si>
  <si>
    <t>J</t>
  </si>
  <si>
    <t>a1</t>
  </si>
  <si>
    <t>a3</t>
  </si>
  <si>
    <t>c2</t>
  </si>
  <si>
    <t>a2 x2</t>
  </si>
  <si>
    <t>b1 x3</t>
  </si>
  <si>
    <t>d1 x3</t>
  </si>
  <si>
    <t>E(BEN)</t>
  </si>
  <si>
    <t>Conf. Sistema</t>
  </si>
  <si>
    <t>BEG</t>
  </si>
  <si>
    <t>ADEG</t>
  </si>
  <si>
    <t>CFDEG</t>
  </si>
  <si>
    <t>CO1</t>
  </si>
  <si>
    <t>CO2</t>
  </si>
  <si>
    <t>PU1</t>
  </si>
  <si>
    <t>PU2</t>
  </si>
  <si>
    <t>PU3</t>
  </si>
  <si>
    <t>AR1</t>
  </si>
  <si>
    <t>AR2</t>
  </si>
  <si>
    <t>PI1</t>
  </si>
  <si>
    <t>PI2</t>
  </si>
  <si>
    <t>p1</t>
  </si>
  <si>
    <t>p2</t>
  </si>
  <si>
    <t>p3</t>
  </si>
  <si>
    <t>t1</t>
  </si>
  <si>
    <t>t2</t>
  </si>
  <si>
    <t>c3</t>
  </si>
  <si>
    <t>c4</t>
  </si>
  <si>
    <t>e1</t>
  </si>
  <si>
    <t>d1</t>
  </si>
  <si>
    <t>d2</t>
  </si>
  <si>
    <t>E1</t>
  </si>
  <si>
    <t>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</si>
</sst>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&quot;$&quot;* #,##0_ ;_ &quot;$&quot;* \-#,##0_ ;_ &quot;$&quot;* &quot;-&quot;_ ;_ @_ 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0.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2" fontId="0" fillId="0" borderId="0" xfId="0" applyNumberFormat="1"/>
    <xf numFmtId="2" fontId="0" fillId="2" borderId="0" xfId="0" applyNumberFormat="1" applyFill="1"/>
    <xf numFmtId="164" fontId="0" fillId="0" borderId="0" xfId="1" applyFont="1"/>
    <xf numFmtId="165" fontId="0" fillId="0" borderId="0" xfId="1" applyNumberFormat="1" applyFont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 vertical="center"/>
    </xf>
    <xf numFmtId="42" fontId="0" fillId="0" borderId="0" xfId="2" applyFont="1"/>
    <xf numFmtId="42" fontId="0" fillId="3" borderId="0" xfId="2" applyFont="1" applyFill="1"/>
    <xf numFmtId="165" fontId="0" fillId="0" borderId="0" xfId="0" applyNumberFormat="1"/>
    <xf numFmtId="166" fontId="0" fillId="0" borderId="0" xfId="0" applyNumberFormat="1"/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workbookViewId="0">
      <selection sqref="A1:XFD1048576"/>
    </sheetView>
  </sheetViews>
  <sheetFormatPr baseColWidth="10" defaultRowHeight="15" x14ac:dyDescent="0.25"/>
  <cols>
    <col min="2" max="2" width="12" bestFit="1" customWidth="1"/>
    <col min="3" max="3" width="11.85546875" bestFit="1" customWidth="1"/>
    <col min="4" max="4" width="16.7109375" bestFit="1" customWidth="1"/>
    <col min="5" max="5" width="9.42578125" customWidth="1"/>
    <col min="6" max="6" width="8.28515625" customWidth="1"/>
    <col min="7" max="7" width="5.42578125" customWidth="1"/>
    <col min="9" max="9" width="13" bestFit="1" customWidth="1"/>
    <col min="10" max="10" width="20.5703125" customWidth="1"/>
    <col min="12" max="12" width="14.5703125" bestFit="1" customWidth="1"/>
    <col min="13" max="13" width="12" bestFit="1" customWidth="1"/>
  </cols>
  <sheetData>
    <row r="1" spans="1:9" x14ac:dyDescent="0.25">
      <c r="A1" t="s">
        <v>0</v>
      </c>
      <c r="B1" t="s">
        <v>9</v>
      </c>
      <c r="C1" t="s">
        <v>10</v>
      </c>
      <c r="D1" t="s">
        <v>11</v>
      </c>
      <c r="E1" t="s">
        <v>8</v>
      </c>
      <c r="F1" t="s">
        <v>12</v>
      </c>
      <c r="H1" t="s">
        <v>0</v>
      </c>
      <c r="I1" t="s">
        <v>24</v>
      </c>
    </row>
    <row r="2" spans="1:9" x14ac:dyDescent="0.25">
      <c r="A2" t="s">
        <v>7</v>
      </c>
      <c r="B2" s="2">
        <v>5</v>
      </c>
      <c r="C2" s="2">
        <v>7</v>
      </c>
      <c r="D2" s="2">
        <v>8</v>
      </c>
      <c r="E2" s="3">
        <f>(B2+4*C2+D2)/6</f>
        <v>6.833333333333333</v>
      </c>
      <c r="F2" s="3">
        <f>POWER((D2-B2)/6,2)</f>
        <v>0.25</v>
      </c>
      <c r="H2" t="s">
        <v>7</v>
      </c>
      <c r="I2">
        <v>20000</v>
      </c>
    </row>
    <row r="3" spans="1:9" x14ac:dyDescent="0.25">
      <c r="A3" t="s">
        <v>1</v>
      </c>
      <c r="B3" s="2">
        <v>10</v>
      </c>
      <c r="C3" s="2">
        <v>12</v>
      </c>
      <c r="D3" s="2">
        <v>15</v>
      </c>
      <c r="E3" s="3">
        <f>(B3+4*C3+D3)/6</f>
        <v>12.166666666666666</v>
      </c>
      <c r="F3" s="3">
        <f t="shared" ref="F3:F8" si="0">POWER((D3-B3)/6,2)</f>
        <v>0.69444444444444453</v>
      </c>
      <c r="H3" t="s">
        <v>1</v>
      </c>
      <c r="I3">
        <v>35000</v>
      </c>
    </row>
    <row r="4" spans="1:9" x14ac:dyDescent="0.25">
      <c r="A4" t="s">
        <v>2</v>
      </c>
      <c r="B4" s="2">
        <v>2</v>
      </c>
      <c r="C4" s="2">
        <v>3</v>
      </c>
      <c r="D4" s="2">
        <v>6</v>
      </c>
      <c r="E4" s="3">
        <f>(B4+4*C4+D4)/6</f>
        <v>3.3333333333333335</v>
      </c>
      <c r="F4" s="3">
        <f t="shared" si="0"/>
        <v>0.44444444444444442</v>
      </c>
      <c r="H4" t="s">
        <v>2</v>
      </c>
      <c r="I4">
        <v>15000</v>
      </c>
    </row>
    <row r="5" spans="1:9" x14ac:dyDescent="0.25">
      <c r="A5" t="s">
        <v>3</v>
      </c>
      <c r="B5" s="2"/>
      <c r="C5" s="2"/>
      <c r="D5" s="2"/>
      <c r="E5" s="3">
        <v>2</v>
      </c>
      <c r="F5" s="3">
        <v>1</v>
      </c>
      <c r="H5" t="s">
        <v>3</v>
      </c>
      <c r="I5">
        <v>5000</v>
      </c>
    </row>
    <row r="6" spans="1:9" x14ac:dyDescent="0.25">
      <c r="A6" t="s">
        <v>4</v>
      </c>
      <c r="B6" s="2">
        <v>1</v>
      </c>
      <c r="C6" s="2">
        <v>2</v>
      </c>
      <c r="D6" s="2">
        <v>3</v>
      </c>
      <c r="E6" s="3">
        <f t="shared" ref="E6:E8" si="1">(B6+4*C6+D6)/6</f>
        <v>2</v>
      </c>
      <c r="F6" s="3">
        <f t="shared" si="0"/>
        <v>0.1111111111111111</v>
      </c>
      <c r="H6" t="s">
        <v>4</v>
      </c>
      <c r="I6">
        <v>9000</v>
      </c>
    </row>
    <row r="7" spans="1:9" x14ac:dyDescent="0.25">
      <c r="A7" t="s">
        <v>5</v>
      </c>
      <c r="B7" s="2">
        <v>2</v>
      </c>
      <c r="C7" s="2">
        <v>3</v>
      </c>
      <c r="D7" s="2">
        <v>4</v>
      </c>
      <c r="E7" s="3">
        <f t="shared" si="1"/>
        <v>3</v>
      </c>
      <c r="F7" s="3">
        <f t="shared" si="0"/>
        <v>0.1111111111111111</v>
      </c>
      <c r="H7" t="s">
        <v>5</v>
      </c>
      <c r="I7">
        <v>8000</v>
      </c>
    </row>
    <row r="8" spans="1:9" x14ac:dyDescent="0.25">
      <c r="A8" t="s">
        <v>6</v>
      </c>
      <c r="B8" s="2">
        <v>15</v>
      </c>
      <c r="C8" s="2">
        <v>17</v>
      </c>
      <c r="D8" s="2">
        <v>20</v>
      </c>
      <c r="E8" s="3">
        <f t="shared" si="1"/>
        <v>17.166666666666668</v>
      </c>
      <c r="F8" s="3">
        <f t="shared" si="0"/>
        <v>0.69444444444444453</v>
      </c>
      <c r="H8" t="s">
        <v>6</v>
      </c>
      <c r="I8">
        <v>50000</v>
      </c>
    </row>
    <row r="9" spans="1:9" x14ac:dyDescent="0.25">
      <c r="H9" t="s">
        <v>25</v>
      </c>
      <c r="I9" s="5">
        <f>SUM(I2:I8)</f>
        <v>142000</v>
      </c>
    </row>
    <row r="10" spans="1:9" x14ac:dyDescent="0.25">
      <c r="A10" t="s">
        <v>13</v>
      </c>
      <c r="B10" t="s">
        <v>14</v>
      </c>
      <c r="C10" t="s">
        <v>15</v>
      </c>
      <c r="D10" t="s">
        <v>16</v>
      </c>
    </row>
    <row r="11" spans="1:9" x14ac:dyDescent="0.25">
      <c r="A11">
        <v>1</v>
      </c>
      <c r="B11" s="3">
        <v>21</v>
      </c>
      <c r="C11" s="3">
        <v>1.6</v>
      </c>
      <c r="D11" s="3">
        <f>B11+3*SQRT(C11)</f>
        <v>24.794733192202056</v>
      </c>
    </row>
    <row r="12" spans="1:9" x14ac:dyDescent="0.25">
      <c r="A12">
        <v>2</v>
      </c>
      <c r="B12" s="3">
        <v>27</v>
      </c>
      <c r="C12" s="3">
        <v>1.9</v>
      </c>
      <c r="D12" s="3">
        <f t="shared" ref="D12:D15" si="2">B12+3*SQRT(C12)</f>
        <v>31.135214625627064</v>
      </c>
    </row>
    <row r="13" spans="1:9" x14ac:dyDescent="0.25">
      <c r="A13">
        <v>3</v>
      </c>
      <c r="B13" s="3">
        <v>29</v>
      </c>
      <c r="C13" s="3">
        <v>2.2000000000000002</v>
      </c>
      <c r="D13" s="3">
        <f t="shared" si="2"/>
        <v>33.449719092257396</v>
      </c>
    </row>
    <row r="14" spans="1:9" x14ac:dyDescent="0.25">
      <c r="A14" s="1">
        <v>4</v>
      </c>
      <c r="B14" s="4">
        <v>22</v>
      </c>
      <c r="C14" s="4">
        <v>1.6</v>
      </c>
      <c r="D14" s="3">
        <f t="shared" si="2"/>
        <v>25.794733192202056</v>
      </c>
    </row>
    <row r="15" spans="1:9" x14ac:dyDescent="0.25">
      <c r="A15">
        <v>5</v>
      </c>
      <c r="B15" s="3">
        <v>26</v>
      </c>
      <c r="C15" s="3">
        <v>1.5</v>
      </c>
      <c r="D15" s="3">
        <f t="shared" si="2"/>
        <v>29.674234614174768</v>
      </c>
    </row>
    <row r="17" spans="1:13" x14ac:dyDescent="0.25">
      <c r="C17" s="17" t="s">
        <v>22</v>
      </c>
      <c r="D17" s="17"/>
    </row>
    <row r="18" spans="1:13" x14ac:dyDescent="0.25">
      <c r="A18" t="s">
        <v>17</v>
      </c>
      <c r="B18" t="s">
        <v>18</v>
      </c>
      <c r="C18" t="s">
        <v>19</v>
      </c>
      <c r="D18" t="s">
        <v>20</v>
      </c>
      <c r="E18" t="s">
        <v>21</v>
      </c>
      <c r="H18" t="s">
        <v>23</v>
      </c>
      <c r="I18" t="s">
        <v>26</v>
      </c>
      <c r="J18" t="s">
        <v>27</v>
      </c>
      <c r="K18" t="s">
        <v>28</v>
      </c>
      <c r="L18" t="s">
        <v>29</v>
      </c>
      <c r="M18" t="s">
        <v>31</v>
      </c>
    </row>
    <row r="19" spans="1:13" x14ac:dyDescent="0.25">
      <c r="A19">
        <v>0</v>
      </c>
      <c r="B19" s="2">
        <v>27</v>
      </c>
      <c r="C19" s="16">
        <f>(A19-$B$13)/SQRT($C$13)</f>
        <v>-19.551796011434021</v>
      </c>
      <c r="D19" s="16">
        <f>(B19-$B$13)/SQRT($C$13)</f>
        <v>-1.3483997249264841</v>
      </c>
      <c r="E19" s="3">
        <f>NORMSDIST(D19)-NORMSDIST(C19)</f>
        <v>8.8764926206076719E-2</v>
      </c>
      <c r="H19">
        <v>2000000</v>
      </c>
      <c r="J19">
        <v>0</v>
      </c>
      <c r="L19" s="6">
        <f>H19-I19-J19-K19</f>
        <v>2000000</v>
      </c>
      <c r="M19" s="15">
        <f>L19*E19</f>
        <v>177529.85241215344</v>
      </c>
    </row>
    <row r="20" spans="1:13" x14ac:dyDescent="0.25">
      <c r="A20" s="2">
        <v>27</v>
      </c>
      <c r="B20" s="2">
        <v>29</v>
      </c>
      <c r="C20" s="16">
        <f t="shared" ref="C20:C21" si="3">(A20-$B$13)/SQRT($C$13)</f>
        <v>-1.3483997249264841</v>
      </c>
      <c r="D20" s="16">
        <f t="shared" ref="D20:D21" si="4">(B20-$B$13)/SQRT($C$13)</f>
        <v>0</v>
      </c>
      <c r="E20" s="3">
        <f>NORMSDIST(D20)-NORMSDIST(C20)</f>
        <v>0.41123507379392327</v>
      </c>
      <c r="H20">
        <v>500000</v>
      </c>
      <c r="J20">
        <v>0</v>
      </c>
      <c r="L20" s="6">
        <f t="shared" ref="L20:L21" si="5">H20-I20-J20-K20</f>
        <v>500000</v>
      </c>
      <c r="M20" s="15">
        <f t="shared" ref="M20:M21" si="6">L20*E20</f>
        <v>205617.53689696162</v>
      </c>
    </row>
    <row r="21" spans="1:13" x14ac:dyDescent="0.25">
      <c r="A21" s="2">
        <v>29</v>
      </c>
      <c r="B21" s="2">
        <v>10000000000</v>
      </c>
      <c r="C21" s="16">
        <f t="shared" si="3"/>
        <v>0</v>
      </c>
      <c r="D21" s="16">
        <f t="shared" si="4"/>
        <v>6741998605.0806246</v>
      </c>
      <c r="E21" s="3">
        <f>NORMSDIST(D21)-NORMSDIST(C21)</f>
        <v>0.5</v>
      </c>
      <c r="H21">
        <v>-1800000</v>
      </c>
      <c r="J21">
        <v>0</v>
      </c>
      <c r="L21" s="6">
        <f t="shared" si="5"/>
        <v>-1800000</v>
      </c>
      <c r="M21" s="15">
        <f t="shared" si="6"/>
        <v>-900000</v>
      </c>
    </row>
    <row r="22" spans="1:13" x14ac:dyDescent="0.25">
      <c r="L22" s="15"/>
      <c r="M22" s="15"/>
    </row>
    <row r="23" spans="1:13" x14ac:dyDescent="0.25">
      <c r="L23" s="15" t="s">
        <v>30</v>
      </c>
      <c r="M23" s="6">
        <f>SUM(M19:M21)</f>
        <v>-516852.61069088493</v>
      </c>
    </row>
  </sheetData>
  <mergeCells count="1">
    <mergeCell ref="C17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opLeftCell="A3" workbookViewId="0">
      <selection activeCell="K11" sqref="K11"/>
    </sheetView>
  </sheetViews>
  <sheetFormatPr baseColWidth="10" defaultRowHeight="15" x14ac:dyDescent="0.25"/>
  <cols>
    <col min="1" max="1" width="20" bestFit="1" customWidth="1"/>
    <col min="7" max="7" width="14.85546875" bestFit="1" customWidth="1"/>
  </cols>
  <sheetData>
    <row r="1" spans="1:11" ht="15.75" thickBot="1" x14ac:dyDescent="0.3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</row>
    <row r="2" spans="1:11" ht="15.75" thickBot="1" x14ac:dyDescent="0.3">
      <c r="A2" s="12" t="s">
        <v>7</v>
      </c>
      <c r="B2" s="7" t="s">
        <v>60</v>
      </c>
      <c r="C2" s="7">
        <v>2000</v>
      </c>
      <c r="D2" s="7">
        <v>10800</v>
      </c>
      <c r="E2" s="7">
        <v>96</v>
      </c>
      <c r="F2" s="7">
        <f>1/D2</f>
        <v>9.2592592592592588E-5</v>
      </c>
      <c r="G2" s="7">
        <f>EXP(-F2*$B$15)</f>
        <v>0.93550698503161778</v>
      </c>
      <c r="H2" s="8">
        <f>IF(E2&gt;$B$16,0,ROUNDDOWN($B$16/E2,0))</f>
        <v>0</v>
      </c>
    </row>
    <row r="3" spans="1:11" ht="15.75" thickBot="1" x14ac:dyDescent="0.3">
      <c r="A3" s="12" t="s">
        <v>1</v>
      </c>
      <c r="B3" s="7" t="s">
        <v>55</v>
      </c>
      <c r="C3" s="7">
        <v>1800</v>
      </c>
      <c r="D3" s="7">
        <v>14400</v>
      </c>
      <c r="E3" s="7">
        <v>120</v>
      </c>
      <c r="F3" s="7">
        <f t="shared" ref="F3:F9" si="0">1/D3</f>
        <v>6.9444444444444444E-5</v>
      </c>
      <c r="G3" s="7">
        <f>EXP(-F3*$B$15)</f>
        <v>0.95122942450071402</v>
      </c>
      <c r="H3" s="8">
        <f>IF(E3&gt;$B$16,0,ROUNDDOWN($B$16/E3,0))</f>
        <v>0</v>
      </c>
    </row>
    <row r="4" spans="1:11" x14ac:dyDescent="0.25">
      <c r="A4" s="18" t="s">
        <v>2</v>
      </c>
      <c r="B4" s="7" t="s">
        <v>57</v>
      </c>
      <c r="C4" s="7">
        <v>950</v>
      </c>
      <c r="D4" s="7">
        <v>28800</v>
      </c>
      <c r="E4" s="7">
        <v>144</v>
      </c>
      <c r="F4" s="7">
        <f t="shared" si="0"/>
        <v>3.4722222222222222E-5</v>
      </c>
      <c r="G4" s="7">
        <f t="shared" ref="G4:G9" si="1">EXP(-F4*$B$15)</f>
        <v>0.97530991202833262</v>
      </c>
      <c r="H4" s="8">
        <f t="shared" ref="H4:H9" si="2">IF(E4&gt;$B$16,0,ROUNDDOWN($B$16/E4,0))</f>
        <v>0</v>
      </c>
    </row>
    <row r="5" spans="1:11" ht="15.75" thickBot="1" x14ac:dyDescent="0.3">
      <c r="A5" s="19"/>
      <c r="B5" s="10" t="s">
        <v>62</v>
      </c>
      <c r="C5" s="10">
        <v>950</v>
      </c>
      <c r="D5" s="10">
        <v>28800</v>
      </c>
      <c r="E5" s="10">
        <v>144</v>
      </c>
      <c r="F5" s="10">
        <f t="shared" si="0"/>
        <v>3.4722222222222222E-5</v>
      </c>
      <c r="G5" s="10">
        <f t="shared" si="1"/>
        <v>0.97530991202833262</v>
      </c>
      <c r="H5" s="11">
        <f t="shared" si="2"/>
        <v>0</v>
      </c>
    </row>
    <row r="6" spans="1:11" x14ac:dyDescent="0.25">
      <c r="A6" s="18" t="s">
        <v>3</v>
      </c>
      <c r="B6" t="s">
        <v>88</v>
      </c>
      <c r="C6">
        <v>2000</v>
      </c>
      <c r="D6">
        <v>7920</v>
      </c>
      <c r="E6">
        <v>120</v>
      </c>
      <c r="F6">
        <f t="shared" si="0"/>
        <v>1.2626262626262626E-4</v>
      </c>
      <c r="G6">
        <f t="shared" si="1"/>
        <v>0.9131007162822623</v>
      </c>
      <c r="H6" s="9">
        <f t="shared" si="2"/>
        <v>0</v>
      </c>
    </row>
    <row r="7" spans="1:11" ht="15.75" thickBot="1" x14ac:dyDescent="0.3">
      <c r="A7" s="19"/>
      <c r="B7" t="s">
        <v>89</v>
      </c>
      <c r="C7">
        <v>2000</v>
      </c>
      <c r="D7">
        <v>7920</v>
      </c>
      <c r="E7">
        <v>120</v>
      </c>
      <c r="F7">
        <f t="shared" si="0"/>
        <v>1.2626262626262626E-4</v>
      </c>
      <c r="G7">
        <f t="shared" si="1"/>
        <v>0.9131007162822623</v>
      </c>
      <c r="H7" s="9">
        <f t="shared" si="2"/>
        <v>0</v>
      </c>
    </row>
    <row r="8" spans="1:11" x14ac:dyDescent="0.25">
      <c r="A8" s="18" t="s">
        <v>4</v>
      </c>
      <c r="B8" s="7" t="s">
        <v>90</v>
      </c>
      <c r="C8" s="7">
        <v>800</v>
      </c>
      <c r="D8" s="7">
        <v>2160</v>
      </c>
      <c r="E8" s="7">
        <v>96</v>
      </c>
      <c r="F8" s="7">
        <f t="shared" si="0"/>
        <v>4.6296296296296298E-4</v>
      </c>
      <c r="G8" s="7">
        <f t="shared" si="1"/>
        <v>0.71653131057378927</v>
      </c>
      <c r="H8" s="8">
        <f t="shared" si="2"/>
        <v>0</v>
      </c>
    </row>
    <row r="9" spans="1:11" ht="15.75" thickBot="1" x14ac:dyDescent="0.3">
      <c r="A9" s="19"/>
      <c r="B9" s="10" t="s">
        <v>91</v>
      </c>
      <c r="C9" s="10">
        <v>600</v>
      </c>
      <c r="D9" s="10">
        <v>1572.33</v>
      </c>
      <c r="E9" s="10">
        <v>168</v>
      </c>
      <c r="F9" s="10">
        <f t="shared" si="0"/>
        <v>6.3599880432224794E-4</v>
      </c>
      <c r="G9" s="10">
        <f>EXP(-F9*$B$15)</f>
        <v>0.6325986266259862</v>
      </c>
      <c r="H9" s="11">
        <f t="shared" si="2"/>
        <v>0</v>
      </c>
    </row>
    <row r="11" spans="1:11" x14ac:dyDescent="0.25">
      <c r="F11" t="s">
        <v>58</v>
      </c>
      <c r="J11" t="s">
        <v>67</v>
      </c>
      <c r="K11" s="2">
        <v>0.80633999999999995</v>
      </c>
    </row>
    <row r="12" spans="1:11" x14ac:dyDescent="0.25">
      <c r="A12" t="s">
        <v>39</v>
      </c>
      <c r="B12" s="2">
        <v>800</v>
      </c>
      <c r="F12">
        <v>0</v>
      </c>
      <c r="G12">
        <f t="shared" ref="G12:G23" si="3">(EXP(-$F$2*$B$15)*($F$2*$B$15)^F12)/FACT(F12)</f>
        <v>0.93550698503161778</v>
      </c>
      <c r="J12" t="s">
        <v>66</v>
      </c>
      <c r="K12" s="13">
        <f>K11*B20+(1-K11)*B21</f>
        <v>0</v>
      </c>
    </row>
    <row r="13" spans="1:11" x14ac:dyDescent="0.25">
      <c r="A13" t="s">
        <v>40</v>
      </c>
      <c r="B13" s="2">
        <v>720</v>
      </c>
      <c r="F13">
        <v>1</v>
      </c>
      <c r="G13">
        <f t="shared" si="3"/>
        <v>6.2367132335441187E-2</v>
      </c>
    </row>
    <row r="14" spans="1:11" x14ac:dyDescent="0.25">
      <c r="A14" t="s">
        <v>41</v>
      </c>
      <c r="B14" s="2">
        <v>1150000</v>
      </c>
      <c r="F14">
        <v>2</v>
      </c>
      <c r="G14">
        <f t="shared" si="3"/>
        <v>2.0789044111813727E-3</v>
      </c>
    </row>
    <row r="15" spans="1:11" x14ac:dyDescent="0.25">
      <c r="A15" t="s">
        <v>42</v>
      </c>
      <c r="B15">
        <v>720</v>
      </c>
      <c r="F15">
        <v>3</v>
      </c>
      <c r="G15">
        <f t="shared" si="3"/>
        <v>4.6197875804030506E-5</v>
      </c>
    </row>
    <row r="16" spans="1:11" x14ac:dyDescent="0.25">
      <c r="A16" t="s">
        <v>43</v>
      </c>
      <c r="B16">
        <f>B13-B15</f>
        <v>0</v>
      </c>
      <c r="F16">
        <v>4</v>
      </c>
      <c r="G16">
        <f t="shared" si="3"/>
        <v>7.6996459673384186E-7</v>
      </c>
    </row>
    <row r="17" spans="1:7" x14ac:dyDescent="0.25">
      <c r="F17">
        <v>5</v>
      </c>
      <c r="G17">
        <f t="shared" si="3"/>
        <v>1.0266194623117891E-8</v>
      </c>
    </row>
    <row r="18" spans="1:7" x14ac:dyDescent="0.25">
      <c r="A18" t="s">
        <v>44</v>
      </c>
      <c r="B18" s="2"/>
      <c r="F18">
        <v>6</v>
      </c>
      <c r="G18">
        <f t="shared" si="3"/>
        <v>1.1406882914575434E-10</v>
      </c>
    </row>
    <row r="19" spans="1:7" x14ac:dyDescent="0.25">
      <c r="F19">
        <v>7</v>
      </c>
      <c r="G19">
        <f t="shared" si="3"/>
        <v>1.0863698013881365E-12</v>
      </c>
    </row>
    <row r="20" spans="1:7" x14ac:dyDescent="0.25">
      <c r="A20" t="s">
        <v>45</v>
      </c>
      <c r="B20" s="14"/>
      <c r="F20">
        <v>8</v>
      </c>
      <c r="G20">
        <f t="shared" si="3"/>
        <v>9.0530816782344714E-15</v>
      </c>
    </row>
    <row r="21" spans="1:7" x14ac:dyDescent="0.25">
      <c r="A21" t="s">
        <v>46</v>
      </c>
      <c r="B21" s="14"/>
      <c r="F21">
        <v>9</v>
      </c>
      <c r="G21">
        <f t="shared" si="3"/>
        <v>6.7059864283218301E-17</v>
      </c>
    </row>
    <row r="22" spans="1:7" x14ac:dyDescent="0.25">
      <c r="F22">
        <v>10</v>
      </c>
      <c r="G22">
        <f t="shared" si="3"/>
        <v>4.4706576188812207E-19</v>
      </c>
    </row>
    <row r="23" spans="1:7" x14ac:dyDescent="0.25">
      <c r="F23">
        <v>11</v>
      </c>
      <c r="G23">
        <f t="shared" si="3"/>
        <v>2.7094894659886182E-21</v>
      </c>
    </row>
  </sheetData>
  <mergeCells count="3">
    <mergeCell ref="A4:A5"/>
    <mergeCell ref="A8:A9"/>
    <mergeCell ref="A6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4"/>
  <sheetViews>
    <sheetView workbookViewId="0">
      <selection sqref="A1:XFD1048576"/>
    </sheetView>
  </sheetViews>
  <sheetFormatPr baseColWidth="10" defaultRowHeight="15" x14ac:dyDescent="0.25"/>
  <cols>
    <col min="1" max="1" width="20" bestFit="1" customWidth="1"/>
    <col min="7" max="7" width="14.85546875" bestFit="1" customWidth="1"/>
  </cols>
  <sheetData>
    <row r="1" spans="1:11" ht="15.75" thickBot="1" x14ac:dyDescent="0.3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</row>
    <row r="2" spans="1:11" x14ac:dyDescent="0.25">
      <c r="A2" s="18" t="s">
        <v>7</v>
      </c>
      <c r="B2" s="7" t="s">
        <v>71</v>
      </c>
      <c r="C2" s="7">
        <v>55</v>
      </c>
      <c r="D2" s="7">
        <v>290</v>
      </c>
      <c r="E2" s="7">
        <v>23</v>
      </c>
      <c r="F2" s="7">
        <f>1/D2</f>
        <v>3.4482758620689655E-3</v>
      </c>
      <c r="G2" s="7">
        <f t="shared" ref="G2:G10" si="0">EXP(-F2*$B$16)</f>
        <v>0.81310375981903771</v>
      </c>
      <c r="H2" s="8">
        <f t="shared" ref="H2:H10" si="1">IF(E2&gt;$B$17,0,ROUNDDOWN($B$17/E2,0))</f>
        <v>0</v>
      </c>
    </row>
    <row r="3" spans="1:11" ht="15.75" thickBot="1" x14ac:dyDescent="0.3">
      <c r="A3" s="19"/>
      <c r="B3" s="10" t="s">
        <v>72</v>
      </c>
      <c r="C3" s="10">
        <v>55</v>
      </c>
      <c r="D3" s="10">
        <v>290</v>
      </c>
      <c r="E3" s="10">
        <v>23</v>
      </c>
      <c r="F3" s="10">
        <f t="shared" ref="F3:F10" si="2">1/D3</f>
        <v>3.4482758620689655E-3</v>
      </c>
      <c r="G3" s="10">
        <f t="shared" si="0"/>
        <v>0.81310375981903771</v>
      </c>
      <c r="H3" s="11">
        <f t="shared" si="1"/>
        <v>0</v>
      </c>
    </row>
    <row r="4" spans="1:11" x14ac:dyDescent="0.25">
      <c r="A4" s="18" t="s">
        <v>1</v>
      </c>
      <c r="B4" s="7" t="s">
        <v>73</v>
      </c>
      <c r="C4" s="7">
        <v>40</v>
      </c>
      <c r="D4" s="7">
        <v>180</v>
      </c>
      <c r="E4" s="7">
        <v>18</v>
      </c>
      <c r="F4" s="7">
        <f t="shared" si="2"/>
        <v>5.5555555555555558E-3</v>
      </c>
      <c r="G4" s="7">
        <f t="shared" si="0"/>
        <v>0.71653131057378927</v>
      </c>
      <c r="H4" s="8">
        <f t="shared" si="1"/>
        <v>0</v>
      </c>
    </row>
    <row r="5" spans="1:11" x14ac:dyDescent="0.25">
      <c r="A5" s="20"/>
      <c r="B5" t="s">
        <v>74</v>
      </c>
      <c r="C5">
        <v>40</v>
      </c>
      <c r="D5">
        <v>180</v>
      </c>
      <c r="E5">
        <v>18</v>
      </c>
      <c r="F5">
        <f t="shared" si="2"/>
        <v>5.5555555555555558E-3</v>
      </c>
      <c r="G5">
        <f t="shared" si="0"/>
        <v>0.71653131057378927</v>
      </c>
      <c r="H5" s="9">
        <f t="shared" si="1"/>
        <v>0</v>
      </c>
    </row>
    <row r="6" spans="1:11" ht="15.75" thickBot="1" x14ac:dyDescent="0.3">
      <c r="A6" s="19"/>
      <c r="B6" s="10" t="s">
        <v>75</v>
      </c>
      <c r="C6" s="10">
        <v>40</v>
      </c>
      <c r="D6" s="10">
        <v>180</v>
      </c>
      <c r="E6" s="10">
        <v>18</v>
      </c>
      <c r="F6" s="10">
        <f t="shared" si="2"/>
        <v>5.5555555555555558E-3</v>
      </c>
      <c r="G6" s="10">
        <f t="shared" si="0"/>
        <v>0.71653131057378927</v>
      </c>
      <c r="H6" s="11">
        <f t="shared" si="1"/>
        <v>0</v>
      </c>
    </row>
    <row r="7" spans="1:11" x14ac:dyDescent="0.25">
      <c r="A7" s="18" t="s">
        <v>2</v>
      </c>
      <c r="B7" s="7" t="s">
        <v>76</v>
      </c>
      <c r="C7" s="7">
        <v>25</v>
      </c>
      <c r="D7" s="7">
        <v>305</v>
      </c>
      <c r="E7" s="7">
        <v>25</v>
      </c>
      <c r="F7" s="7">
        <f t="shared" si="2"/>
        <v>3.2786885245901639E-3</v>
      </c>
      <c r="G7" s="7">
        <f t="shared" si="0"/>
        <v>0.82141952161145282</v>
      </c>
      <c r="H7" s="8">
        <f t="shared" si="1"/>
        <v>0</v>
      </c>
    </row>
    <row r="8" spans="1:11" ht="15.75" thickBot="1" x14ac:dyDescent="0.3">
      <c r="A8" s="19"/>
      <c r="B8" s="10" t="s">
        <v>77</v>
      </c>
      <c r="C8" s="10">
        <v>25</v>
      </c>
      <c r="D8" s="10">
        <v>305</v>
      </c>
      <c r="E8" s="10">
        <v>25</v>
      </c>
      <c r="F8" s="10">
        <f t="shared" si="2"/>
        <v>3.2786885245901639E-3</v>
      </c>
      <c r="G8" s="10">
        <f t="shared" si="0"/>
        <v>0.82141952161145282</v>
      </c>
      <c r="H8" s="11">
        <f t="shared" si="1"/>
        <v>0</v>
      </c>
    </row>
    <row r="9" spans="1:11" x14ac:dyDescent="0.25">
      <c r="A9" s="18" t="s">
        <v>3</v>
      </c>
      <c r="B9" s="7" t="s">
        <v>78</v>
      </c>
      <c r="C9" s="7">
        <v>18</v>
      </c>
      <c r="D9" s="7">
        <v>230</v>
      </c>
      <c r="E9" s="7">
        <v>20</v>
      </c>
      <c r="F9" s="7">
        <f t="shared" si="2"/>
        <v>4.3478260869565218E-3</v>
      </c>
      <c r="G9" s="7">
        <f t="shared" si="0"/>
        <v>0.77038139759214586</v>
      </c>
      <c r="H9" s="8">
        <f t="shared" si="1"/>
        <v>0</v>
      </c>
    </row>
    <row r="10" spans="1:11" ht="15.75" thickBot="1" x14ac:dyDescent="0.3">
      <c r="A10" s="19"/>
      <c r="B10" s="10" t="s">
        <v>79</v>
      </c>
      <c r="C10" s="10">
        <v>18</v>
      </c>
      <c r="D10" s="10">
        <v>230</v>
      </c>
      <c r="E10" s="10">
        <v>20</v>
      </c>
      <c r="F10" s="10">
        <f t="shared" si="2"/>
        <v>4.3478260869565218E-3</v>
      </c>
      <c r="G10" s="10">
        <f t="shared" si="0"/>
        <v>0.77038139759214586</v>
      </c>
      <c r="H10" s="11">
        <f t="shared" si="1"/>
        <v>0</v>
      </c>
    </row>
    <row r="12" spans="1:11" x14ac:dyDescent="0.25">
      <c r="F12" t="s">
        <v>58</v>
      </c>
      <c r="J12" t="s">
        <v>67</v>
      </c>
      <c r="K12" s="2">
        <v>0.31090000000000001</v>
      </c>
    </row>
    <row r="13" spans="1:11" x14ac:dyDescent="0.25">
      <c r="A13" t="s">
        <v>39</v>
      </c>
      <c r="B13" s="2">
        <v>50</v>
      </c>
      <c r="F13">
        <v>0</v>
      </c>
      <c r="G13">
        <f t="shared" ref="G13:G24" si="3">(EXP(-$F$2*$B$16)*($F$2*$B$16)^F13)/FACT(F13)</f>
        <v>0.81310375981903771</v>
      </c>
      <c r="J13" t="s">
        <v>66</v>
      </c>
      <c r="K13" s="13">
        <f>K12*B21+(1-K12)*B22</f>
        <v>501610</v>
      </c>
    </row>
    <row r="14" spans="1:11" x14ac:dyDescent="0.25">
      <c r="A14" t="s">
        <v>40</v>
      </c>
      <c r="B14" s="2">
        <v>72</v>
      </c>
      <c r="F14">
        <v>1</v>
      </c>
      <c r="G14">
        <f t="shared" si="3"/>
        <v>0.16822836410049055</v>
      </c>
    </row>
    <row r="15" spans="1:11" x14ac:dyDescent="0.25">
      <c r="A15" t="s">
        <v>41</v>
      </c>
      <c r="B15" s="2">
        <v>3000</v>
      </c>
      <c r="F15">
        <v>2</v>
      </c>
      <c r="G15">
        <f t="shared" si="3"/>
        <v>1.7402934217292127E-2</v>
      </c>
    </row>
    <row r="16" spans="1:11" x14ac:dyDescent="0.25">
      <c r="A16" t="s">
        <v>42</v>
      </c>
      <c r="B16">
        <f>B15/B13</f>
        <v>60</v>
      </c>
      <c r="F16">
        <v>3</v>
      </c>
      <c r="G16">
        <f t="shared" si="3"/>
        <v>1.2002023598132502E-3</v>
      </c>
    </row>
    <row r="17" spans="1:7" x14ac:dyDescent="0.25">
      <c r="A17" t="s">
        <v>43</v>
      </c>
      <c r="B17">
        <f>B14-B16</f>
        <v>12</v>
      </c>
      <c r="F17">
        <v>4</v>
      </c>
      <c r="G17">
        <f t="shared" si="3"/>
        <v>6.207943240413363E-5</v>
      </c>
    </row>
    <row r="18" spans="1:7" x14ac:dyDescent="0.25">
      <c r="F18">
        <v>5</v>
      </c>
      <c r="G18">
        <f t="shared" si="3"/>
        <v>2.5688040994813913E-6</v>
      </c>
    </row>
    <row r="19" spans="1:7" x14ac:dyDescent="0.25">
      <c r="A19" t="s">
        <v>44</v>
      </c>
      <c r="B19" s="2"/>
      <c r="F19">
        <v>6</v>
      </c>
      <c r="G19">
        <f t="shared" si="3"/>
        <v>8.8579451706254877E-8</v>
      </c>
    </row>
    <row r="20" spans="1:7" x14ac:dyDescent="0.25">
      <c r="F20">
        <v>7</v>
      </c>
      <c r="G20">
        <f t="shared" si="3"/>
        <v>2.6181118730912774E-9</v>
      </c>
    </row>
    <row r="21" spans="1:7" x14ac:dyDescent="0.25">
      <c r="A21" t="s">
        <v>45</v>
      </c>
      <c r="B21" s="14">
        <v>2500000</v>
      </c>
      <c r="F21">
        <v>8</v>
      </c>
      <c r="G21">
        <f t="shared" si="3"/>
        <v>6.7709789821326131E-11</v>
      </c>
    </row>
    <row r="22" spans="1:7" x14ac:dyDescent="0.25">
      <c r="A22" t="s">
        <v>46</v>
      </c>
      <c r="B22" s="14">
        <v>-400000</v>
      </c>
      <c r="F22">
        <v>9</v>
      </c>
      <c r="G22">
        <f t="shared" si="3"/>
        <v>1.5565468924442789E-12</v>
      </c>
    </row>
    <row r="23" spans="1:7" x14ac:dyDescent="0.25">
      <c r="F23">
        <v>10</v>
      </c>
      <c r="G23">
        <f t="shared" si="3"/>
        <v>3.2204418464364389E-14</v>
      </c>
    </row>
    <row r="24" spans="1:7" x14ac:dyDescent="0.25">
      <c r="F24">
        <v>11</v>
      </c>
      <c r="G24">
        <f t="shared" si="3"/>
        <v>6.0572573914164998E-16</v>
      </c>
    </row>
  </sheetData>
  <mergeCells count="4">
    <mergeCell ref="A2:A3"/>
    <mergeCell ref="A4:A6"/>
    <mergeCell ref="A7:A8"/>
    <mergeCell ref="A9:A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5"/>
  <sheetViews>
    <sheetView topLeftCell="A6" workbookViewId="0">
      <selection activeCell="G5" sqref="G5"/>
    </sheetView>
  </sheetViews>
  <sheetFormatPr baseColWidth="10" defaultRowHeight="15" x14ac:dyDescent="0.25"/>
  <cols>
    <col min="1" max="1" width="20" bestFit="1" customWidth="1"/>
    <col min="7" max="7" width="14.85546875" bestFit="1" customWidth="1"/>
  </cols>
  <sheetData>
    <row r="1" spans="1:11" ht="15.75" thickBot="1" x14ac:dyDescent="0.3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</row>
    <row r="2" spans="1:11" ht="15.75" thickBot="1" x14ac:dyDescent="0.3">
      <c r="A2" s="18" t="s">
        <v>7</v>
      </c>
      <c r="B2" s="7" t="s">
        <v>80</v>
      </c>
      <c r="C2" s="7">
        <v>50</v>
      </c>
      <c r="D2" s="7">
        <v>550</v>
      </c>
      <c r="E2" s="7">
        <v>12</v>
      </c>
      <c r="F2" s="7">
        <f>1/D2</f>
        <v>1.8181818181818182E-3</v>
      </c>
      <c r="G2" s="7">
        <f>EXP(-F2*$B$17)</f>
        <v>0.90978637975980103</v>
      </c>
      <c r="H2" s="8">
        <f>IF(E2&gt;$B$18,0,ROUNDDOWN($B$18/E2,0))</f>
        <v>0</v>
      </c>
    </row>
    <row r="3" spans="1:11" ht="15.75" thickBot="1" x14ac:dyDescent="0.3">
      <c r="A3" s="20"/>
      <c r="B3" t="s">
        <v>81</v>
      </c>
      <c r="C3">
        <v>50</v>
      </c>
      <c r="D3">
        <v>550</v>
      </c>
      <c r="E3">
        <v>12</v>
      </c>
      <c r="F3" s="7">
        <f t="shared" ref="F3:F11" si="0">1/D3</f>
        <v>1.8181818181818182E-3</v>
      </c>
      <c r="G3" s="7">
        <f t="shared" ref="G3:G11" si="1">EXP(-F3*$B$17)</f>
        <v>0.90978637975980103</v>
      </c>
      <c r="H3" s="8">
        <f t="shared" ref="H3:H11" si="2">IF(E3&gt;$B$18,0,ROUNDDOWN($B$18/E3,0))</f>
        <v>0</v>
      </c>
    </row>
    <row r="4" spans="1:11" ht="15.75" thickBot="1" x14ac:dyDescent="0.3">
      <c r="A4" s="19"/>
      <c r="B4" s="10" t="s">
        <v>82</v>
      </c>
      <c r="C4" s="10">
        <v>50</v>
      </c>
      <c r="D4" s="10">
        <v>550</v>
      </c>
      <c r="E4" s="10">
        <v>12</v>
      </c>
      <c r="F4" s="7">
        <f t="shared" si="0"/>
        <v>1.8181818181818182E-3</v>
      </c>
      <c r="G4" s="7">
        <f t="shared" si="1"/>
        <v>0.90978637975980103</v>
      </c>
      <c r="H4" s="8">
        <f t="shared" si="2"/>
        <v>0</v>
      </c>
    </row>
    <row r="5" spans="1:11" ht="15.75" thickBot="1" x14ac:dyDescent="0.3">
      <c r="A5" s="18" t="s">
        <v>1</v>
      </c>
      <c r="B5" s="7" t="s">
        <v>83</v>
      </c>
      <c r="C5" s="7">
        <v>50</v>
      </c>
      <c r="D5" s="7">
        <v>2200</v>
      </c>
      <c r="E5" s="7">
        <v>14</v>
      </c>
      <c r="F5" s="7">
        <f t="shared" si="0"/>
        <v>4.5454545454545455E-4</v>
      </c>
      <c r="G5" s="7">
        <f t="shared" si="1"/>
        <v>0.97664078729891601</v>
      </c>
      <c r="H5" s="8">
        <f t="shared" si="2"/>
        <v>0</v>
      </c>
    </row>
    <row r="6" spans="1:11" ht="15.75" thickBot="1" x14ac:dyDescent="0.3">
      <c r="A6" s="19"/>
      <c r="B6" s="10" t="s">
        <v>84</v>
      </c>
      <c r="C6" s="10">
        <v>50</v>
      </c>
      <c r="D6" s="10">
        <v>2200</v>
      </c>
      <c r="E6" s="10">
        <v>14</v>
      </c>
      <c r="F6" s="7">
        <f t="shared" si="0"/>
        <v>4.5454545454545455E-4</v>
      </c>
      <c r="G6" s="7">
        <f t="shared" si="1"/>
        <v>0.97664078729891601</v>
      </c>
      <c r="H6" s="8">
        <f t="shared" si="2"/>
        <v>0</v>
      </c>
    </row>
    <row r="7" spans="1:11" ht="15.75" thickBot="1" x14ac:dyDescent="0.3">
      <c r="A7" s="18" t="s">
        <v>2</v>
      </c>
      <c r="B7" s="7" t="s">
        <v>57</v>
      </c>
      <c r="C7" s="7"/>
      <c r="D7" s="7">
        <v>400</v>
      </c>
      <c r="E7" s="7">
        <v>16</v>
      </c>
      <c r="F7" s="7">
        <f t="shared" si="0"/>
        <v>2.5000000000000001E-3</v>
      </c>
      <c r="G7" s="7">
        <f t="shared" si="1"/>
        <v>0.8780954309205613</v>
      </c>
      <c r="H7" s="8">
        <f t="shared" si="2"/>
        <v>0</v>
      </c>
    </row>
    <row r="8" spans="1:11" ht="15.75" thickBot="1" x14ac:dyDescent="0.3">
      <c r="A8" s="20"/>
      <c r="B8" t="s">
        <v>62</v>
      </c>
      <c r="D8">
        <v>400</v>
      </c>
      <c r="E8">
        <v>16</v>
      </c>
      <c r="F8" s="7">
        <f t="shared" si="0"/>
        <v>2.5000000000000001E-3</v>
      </c>
      <c r="G8" s="7">
        <f t="shared" si="1"/>
        <v>0.8780954309205613</v>
      </c>
      <c r="H8" s="8">
        <f t="shared" si="2"/>
        <v>0</v>
      </c>
    </row>
    <row r="9" spans="1:11" ht="15.75" thickBot="1" x14ac:dyDescent="0.3">
      <c r="A9" s="20"/>
      <c r="B9" t="s">
        <v>85</v>
      </c>
      <c r="D9">
        <v>400</v>
      </c>
      <c r="E9">
        <v>16</v>
      </c>
      <c r="F9" s="7">
        <f t="shared" si="0"/>
        <v>2.5000000000000001E-3</v>
      </c>
      <c r="G9" s="7">
        <f t="shared" si="1"/>
        <v>0.8780954309205613</v>
      </c>
      <c r="H9" s="8">
        <f t="shared" si="2"/>
        <v>0</v>
      </c>
    </row>
    <row r="10" spans="1:11" ht="15.75" thickBot="1" x14ac:dyDescent="0.3">
      <c r="A10" s="19"/>
      <c r="B10" s="10" t="s">
        <v>86</v>
      </c>
      <c r="C10" s="10"/>
      <c r="D10" s="10">
        <v>400</v>
      </c>
      <c r="E10" s="10">
        <v>16</v>
      </c>
      <c r="F10" s="7">
        <f t="shared" si="0"/>
        <v>2.5000000000000001E-3</v>
      </c>
      <c r="G10" s="7">
        <f t="shared" si="1"/>
        <v>0.8780954309205613</v>
      </c>
      <c r="H10" s="8">
        <f t="shared" si="2"/>
        <v>0</v>
      </c>
    </row>
    <row r="11" spans="1:11" x14ac:dyDescent="0.25">
      <c r="A11" s="12" t="s">
        <v>3</v>
      </c>
      <c r="B11" s="7" t="s">
        <v>87</v>
      </c>
      <c r="C11" s="7">
        <v>100</v>
      </c>
      <c r="D11" s="7">
        <v>200</v>
      </c>
      <c r="E11" s="7">
        <v>8</v>
      </c>
      <c r="F11" s="7">
        <f t="shared" si="0"/>
        <v>5.0000000000000001E-3</v>
      </c>
      <c r="G11" s="7">
        <f t="shared" si="1"/>
        <v>0.77105158580356625</v>
      </c>
      <c r="H11" s="8">
        <f t="shared" si="2"/>
        <v>0</v>
      </c>
    </row>
    <row r="13" spans="1:11" x14ac:dyDescent="0.25">
      <c r="F13" t="s">
        <v>58</v>
      </c>
      <c r="J13" t="s">
        <v>67</v>
      </c>
      <c r="K13" s="2">
        <v>0.67120000000000002</v>
      </c>
    </row>
    <row r="14" spans="1:11" x14ac:dyDescent="0.25">
      <c r="A14" t="s">
        <v>39</v>
      </c>
      <c r="B14" s="2">
        <v>100</v>
      </c>
      <c r="F14">
        <v>0</v>
      </c>
      <c r="G14">
        <f t="shared" ref="G14:G25" si="3">(EXP(-$F$11*$B$17)*($F$11*$B$17)^F14)/FACT(F14)</f>
        <v>0.77105158580356625</v>
      </c>
      <c r="J14" t="s">
        <v>66</v>
      </c>
      <c r="K14" s="13">
        <f>K13*B22+(1-K13)*B23</f>
        <v>1396480</v>
      </c>
    </row>
    <row r="15" spans="1:11" x14ac:dyDescent="0.25">
      <c r="A15" t="s">
        <v>40</v>
      </c>
      <c r="B15" s="2">
        <v>56</v>
      </c>
      <c r="F15">
        <v>1</v>
      </c>
      <c r="G15">
        <f t="shared" si="3"/>
        <v>0.20047341230892723</v>
      </c>
    </row>
    <row r="16" spans="1:11" x14ac:dyDescent="0.25">
      <c r="A16" t="s">
        <v>41</v>
      </c>
      <c r="B16" s="2">
        <v>5200</v>
      </c>
      <c r="F16">
        <v>2</v>
      </c>
      <c r="G16">
        <f t="shared" si="3"/>
        <v>2.6061543600160542E-2</v>
      </c>
    </row>
    <row r="17" spans="1:7" x14ac:dyDescent="0.25">
      <c r="A17" t="s">
        <v>42</v>
      </c>
      <c r="B17">
        <f>B16/B14</f>
        <v>52</v>
      </c>
      <c r="F17">
        <v>3</v>
      </c>
      <c r="G17">
        <f t="shared" si="3"/>
        <v>2.2586671120139136E-3</v>
      </c>
    </row>
    <row r="18" spans="1:7" x14ac:dyDescent="0.25">
      <c r="A18" t="s">
        <v>43</v>
      </c>
      <c r="B18">
        <f>B15-B17</f>
        <v>4</v>
      </c>
      <c r="F18">
        <v>4</v>
      </c>
      <c r="G18">
        <f t="shared" si="3"/>
        <v>1.4681336228090439E-4</v>
      </c>
    </row>
    <row r="19" spans="1:7" x14ac:dyDescent="0.25">
      <c r="F19">
        <v>5</v>
      </c>
      <c r="G19">
        <f t="shared" si="3"/>
        <v>7.6342948386070287E-6</v>
      </c>
    </row>
    <row r="20" spans="1:7" x14ac:dyDescent="0.25">
      <c r="A20" t="s">
        <v>44</v>
      </c>
      <c r="B20" s="2"/>
      <c r="F20">
        <v>6</v>
      </c>
      <c r="G20">
        <f t="shared" si="3"/>
        <v>3.3081944300630461E-7</v>
      </c>
    </row>
    <row r="21" spans="1:7" x14ac:dyDescent="0.25">
      <c r="F21">
        <v>7</v>
      </c>
      <c r="G21">
        <f t="shared" si="3"/>
        <v>1.2287579311662743E-8</v>
      </c>
    </row>
    <row r="22" spans="1:7" x14ac:dyDescent="0.25">
      <c r="A22" t="s">
        <v>45</v>
      </c>
      <c r="B22" s="14">
        <f>2500000-150000</f>
        <v>2350000</v>
      </c>
      <c r="F22">
        <v>8</v>
      </c>
      <c r="G22">
        <f t="shared" si="3"/>
        <v>3.9934632762903919E-10</v>
      </c>
    </row>
    <row r="23" spans="1:7" x14ac:dyDescent="0.25">
      <c r="A23" t="s">
        <v>46</v>
      </c>
      <c r="B23" s="14">
        <f>-400000-150000</f>
        <v>-550000</v>
      </c>
      <c r="F23">
        <v>9</v>
      </c>
      <c r="G23">
        <f t="shared" si="3"/>
        <v>1.1536671687061134E-11</v>
      </c>
    </row>
    <row r="24" spans="1:7" x14ac:dyDescent="0.25">
      <c r="F24">
        <v>10</v>
      </c>
      <c r="G24">
        <f t="shared" si="3"/>
        <v>2.9995346386358945E-13</v>
      </c>
    </row>
    <row r="25" spans="1:7" x14ac:dyDescent="0.25">
      <c r="F25">
        <v>11</v>
      </c>
      <c r="G25">
        <f t="shared" si="3"/>
        <v>7.0898091458666592E-15</v>
      </c>
    </row>
  </sheetData>
  <mergeCells count="3">
    <mergeCell ref="A2:A4"/>
    <mergeCell ref="A5:A6"/>
    <mergeCell ref="A7:A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3"/>
  <sheetViews>
    <sheetView workbookViewId="0">
      <selection activeCell="C13" sqref="C13"/>
    </sheetView>
  </sheetViews>
  <sheetFormatPr baseColWidth="10" defaultRowHeight="15" x14ac:dyDescent="0.25"/>
  <cols>
    <col min="2" max="2" width="12" bestFit="1" customWidth="1"/>
    <col min="3" max="3" width="11.5703125" bestFit="1" customWidth="1"/>
    <col min="4" max="4" width="14.5703125" bestFit="1" customWidth="1"/>
    <col min="5" max="5" width="9.42578125" customWidth="1"/>
    <col min="6" max="6" width="8.28515625" customWidth="1"/>
    <col min="7" max="7" width="5.42578125" customWidth="1"/>
    <col min="9" max="9" width="13" bestFit="1" customWidth="1"/>
    <col min="10" max="10" width="20.5703125" customWidth="1"/>
    <col min="12" max="12" width="13" bestFit="1" customWidth="1"/>
    <col min="13" max="13" width="12" bestFit="1" customWidth="1"/>
  </cols>
  <sheetData>
    <row r="1" spans="1:9" x14ac:dyDescent="0.25">
      <c r="A1" t="s">
        <v>0</v>
      </c>
      <c r="B1" t="s">
        <v>9</v>
      </c>
      <c r="C1" t="s">
        <v>10</v>
      </c>
      <c r="D1" t="s">
        <v>11</v>
      </c>
      <c r="E1" t="s">
        <v>8</v>
      </c>
      <c r="F1" t="s">
        <v>12</v>
      </c>
      <c r="H1" t="s">
        <v>0</v>
      </c>
      <c r="I1" t="s">
        <v>24</v>
      </c>
    </row>
    <row r="2" spans="1:9" x14ac:dyDescent="0.25">
      <c r="A2" t="s">
        <v>7</v>
      </c>
      <c r="B2" s="2">
        <v>5</v>
      </c>
      <c r="C2" s="2">
        <v>7</v>
      </c>
      <c r="D2" s="2">
        <v>8</v>
      </c>
      <c r="E2" s="3">
        <f>(B2+4*C2+D2)/6</f>
        <v>6.833333333333333</v>
      </c>
      <c r="F2" s="3">
        <f>POWER((D2-B2)/6,2)</f>
        <v>0.25</v>
      </c>
      <c r="H2" t="s">
        <v>7</v>
      </c>
      <c r="I2">
        <v>20000</v>
      </c>
    </row>
    <row r="3" spans="1:9" x14ac:dyDescent="0.25">
      <c r="A3" t="s">
        <v>1</v>
      </c>
      <c r="B3" s="2">
        <v>10</v>
      </c>
      <c r="C3" s="2">
        <v>12</v>
      </c>
      <c r="D3" s="2">
        <v>15</v>
      </c>
      <c r="E3" s="3">
        <f>(B3+4*C3+D3)/6</f>
        <v>12.166666666666666</v>
      </c>
      <c r="F3" s="3">
        <f t="shared" ref="F3:F8" si="0">POWER((D3-B3)/6,2)</f>
        <v>0.69444444444444453</v>
      </c>
      <c r="H3" t="s">
        <v>1</v>
      </c>
      <c r="I3">
        <v>35000</v>
      </c>
    </row>
    <row r="4" spans="1:9" x14ac:dyDescent="0.25">
      <c r="A4" t="s">
        <v>2</v>
      </c>
      <c r="B4" s="2">
        <v>2</v>
      </c>
      <c r="C4" s="2">
        <v>3</v>
      </c>
      <c r="D4" s="2">
        <v>6</v>
      </c>
      <c r="E4" s="3">
        <f>(B4+4*C4+D4)/6</f>
        <v>3.3333333333333335</v>
      </c>
      <c r="F4" s="3">
        <f t="shared" si="0"/>
        <v>0.44444444444444442</v>
      </c>
      <c r="H4" t="s">
        <v>2</v>
      </c>
      <c r="I4">
        <v>15000</v>
      </c>
    </row>
    <row r="5" spans="1:9" x14ac:dyDescent="0.25">
      <c r="A5" t="s">
        <v>3</v>
      </c>
      <c r="B5" s="2"/>
      <c r="C5" s="2"/>
      <c r="D5" s="2"/>
      <c r="E5" s="3">
        <v>1</v>
      </c>
      <c r="F5" s="3">
        <v>1</v>
      </c>
      <c r="H5" t="s">
        <v>3</v>
      </c>
      <c r="I5">
        <v>40000</v>
      </c>
    </row>
    <row r="6" spans="1:9" x14ac:dyDescent="0.25">
      <c r="A6" t="s">
        <v>4</v>
      </c>
      <c r="B6" s="2">
        <v>1</v>
      </c>
      <c r="C6" s="2">
        <v>2</v>
      </c>
      <c r="D6" s="2">
        <v>3</v>
      </c>
      <c r="E6" s="3">
        <v>1</v>
      </c>
      <c r="F6" s="3">
        <f t="shared" si="0"/>
        <v>0.1111111111111111</v>
      </c>
      <c r="H6" t="s">
        <v>4</v>
      </c>
    </row>
    <row r="7" spans="1:9" x14ac:dyDescent="0.25">
      <c r="A7" t="s">
        <v>5</v>
      </c>
      <c r="B7" s="2">
        <v>2</v>
      </c>
      <c r="C7" s="2">
        <v>3</v>
      </c>
      <c r="D7" s="2">
        <v>4</v>
      </c>
      <c r="E7" s="3">
        <v>3</v>
      </c>
      <c r="F7" s="3">
        <f t="shared" si="0"/>
        <v>0.1111111111111111</v>
      </c>
      <c r="H7" t="s">
        <v>5</v>
      </c>
    </row>
    <row r="8" spans="1:9" x14ac:dyDescent="0.25">
      <c r="A8" t="s">
        <v>6</v>
      </c>
      <c r="B8" s="2">
        <v>15</v>
      </c>
      <c r="C8" s="2">
        <v>17</v>
      </c>
      <c r="D8" s="2">
        <v>20</v>
      </c>
      <c r="E8" s="3">
        <f t="shared" ref="E8" si="1">(B8+4*C8+D8)/6</f>
        <v>17.166666666666668</v>
      </c>
      <c r="F8" s="3">
        <f t="shared" si="0"/>
        <v>0.69444444444444453</v>
      </c>
      <c r="H8" t="s">
        <v>6</v>
      </c>
      <c r="I8">
        <v>50000</v>
      </c>
    </row>
    <row r="9" spans="1:9" x14ac:dyDescent="0.25">
      <c r="H9" t="s">
        <v>25</v>
      </c>
      <c r="I9" s="5">
        <f>SUM(I2:I8)</f>
        <v>160000</v>
      </c>
    </row>
    <row r="10" spans="1:9" x14ac:dyDescent="0.25">
      <c r="A10" t="s">
        <v>13</v>
      </c>
      <c r="B10" t="s">
        <v>14</v>
      </c>
      <c r="C10" t="s">
        <v>15</v>
      </c>
      <c r="D10" t="s">
        <v>16</v>
      </c>
    </row>
    <row r="11" spans="1:9" x14ac:dyDescent="0.25">
      <c r="A11" t="s">
        <v>69</v>
      </c>
      <c r="B11" s="3">
        <f>E2+E5+E8+E6</f>
        <v>26</v>
      </c>
      <c r="C11" s="3">
        <f>F2+F5+F8+F6</f>
        <v>2.0555555555555558</v>
      </c>
      <c r="D11" s="3">
        <f>B11+3*SQRT(C11)</f>
        <v>30.301162633521315</v>
      </c>
    </row>
    <row r="12" spans="1:9" x14ac:dyDescent="0.25">
      <c r="A12" t="s">
        <v>70</v>
      </c>
      <c r="B12" s="3">
        <f>E4+E7+E8+E6+E5</f>
        <v>25.5</v>
      </c>
      <c r="C12" s="3">
        <f>F4+F7+F8+F6+F5</f>
        <v>2.3611111111111112</v>
      </c>
      <c r="D12" s="3">
        <f t="shared" ref="D12:D14" si="2">B12+3*SQRT(C12)</f>
        <v>30.109772228646442</v>
      </c>
      <c r="E12" t="s">
        <v>37</v>
      </c>
    </row>
    <row r="13" spans="1:9" x14ac:dyDescent="0.25">
      <c r="A13" s="1" t="s">
        <v>68</v>
      </c>
      <c r="B13" s="4">
        <f>E3+E6+E8</f>
        <v>30.333333333333336</v>
      </c>
      <c r="C13" s="4">
        <f>F3+F6+F8</f>
        <v>1.5</v>
      </c>
      <c r="D13" s="4">
        <f t="shared" si="2"/>
        <v>34.0075679475081</v>
      </c>
    </row>
    <row r="14" spans="1:9" x14ac:dyDescent="0.25">
      <c r="B14" s="3" t="e">
        <f>E2+E4+E7+#REF!</f>
        <v>#REF!</v>
      </c>
      <c r="C14" s="3" t="e">
        <f>F2+F4+F7+#REF!</f>
        <v>#REF!</v>
      </c>
      <c r="D14" s="3" t="e">
        <f t="shared" si="2"/>
        <v>#REF!</v>
      </c>
    </row>
    <row r="16" spans="1:9" x14ac:dyDescent="0.25">
      <c r="C16" s="17" t="s">
        <v>22</v>
      </c>
      <c r="D16" s="17"/>
    </row>
    <row r="17" spans="1:13" x14ac:dyDescent="0.25">
      <c r="A17" t="s">
        <v>17</v>
      </c>
      <c r="B17" t="s">
        <v>18</v>
      </c>
      <c r="C17" t="s">
        <v>19</v>
      </c>
      <c r="D17" t="s">
        <v>20</v>
      </c>
      <c r="E17" t="s">
        <v>21</v>
      </c>
      <c r="H17" t="s">
        <v>23</v>
      </c>
      <c r="I17" t="s">
        <v>26</v>
      </c>
      <c r="J17" t="s">
        <v>27</v>
      </c>
      <c r="K17" t="s">
        <v>28</v>
      </c>
      <c r="L17" t="s">
        <v>29</v>
      </c>
      <c r="M17" t="s">
        <v>31</v>
      </c>
    </row>
    <row r="18" spans="1:13" x14ac:dyDescent="0.25">
      <c r="A18">
        <v>0</v>
      </c>
      <c r="B18" s="2">
        <v>30</v>
      </c>
      <c r="C18" s="3">
        <f>(A18-$B$13)/SQRT($C$13)</f>
        <v>-24.767062954807695</v>
      </c>
      <c r="D18" s="3">
        <f>(B18-$B$13)/SQRT($C$13)</f>
        <v>-0.27216552697591062</v>
      </c>
      <c r="E18" s="3">
        <f>NORMSDIST(D18)-NORMSDIST(C18)</f>
        <v>0.39274737355917633</v>
      </c>
      <c r="H18">
        <v>300000</v>
      </c>
      <c r="I18">
        <f>SUM(I2:I8)</f>
        <v>160000</v>
      </c>
      <c r="J18">
        <v>0</v>
      </c>
      <c r="L18" s="5">
        <f>H18-I18-J18-K18</f>
        <v>140000</v>
      </c>
      <c r="M18">
        <f>L18*E18</f>
        <v>54984.632298284683</v>
      </c>
    </row>
    <row r="19" spans="1:13" x14ac:dyDescent="0.25">
      <c r="A19" s="2">
        <v>30</v>
      </c>
      <c r="B19" s="2">
        <v>32</v>
      </c>
      <c r="C19" s="3">
        <f t="shared" ref="C19:C20" si="3">(A19-$B$13)/SQRT($C$13)</f>
        <v>-0.27216552697591062</v>
      </c>
      <c r="D19" s="3">
        <f t="shared" ref="D19:D20" si="4">(B19-$B$13)/SQRT($C$13)</f>
        <v>1.3608276348795416</v>
      </c>
      <c r="E19" s="3">
        <f>NORMSDIST(D19)-NORMSDIST(C19)</f>
        <v>0.52046854316286262</v>
      </c>
      <c r="H19">
        <v>225000</v>
      </c>
      <c r="I19">
        <f>SUM(I2:I8)</f>
        <v>160000</v>
      </c>
      <c r="J19">
        <v>0</v>
      </c>
      <c r="L19" s="5">
        <f t="shared" ref="L19:L21" si="5">H19-I19-J19-K19</f>
        <v>65000</v>
      </c>
      <c r="M19">
        <f t="shared" ref="M19:M21" si="6">L19*E19</f>
        <v>33830.455305586067</v>
      </c>
    </row>
    <row r="20" spans="1:13" x14ac:dyDescent="0.25">
      <c r="A20" s="2">
        <v>32</v>
      </c>
      <c r="B20" s="2">
        <v>10000000000</v>
      </c>
      <c r="C20" s="3">
        <f t="shared" si="3"/>
        <v>1.3608276348795416</v>
      </c>
      <c r="D20" s="3">
        <f t="shared" si="4"/>
        <v>8164965784.5101976</v>
      </c>
      <c r="E20" s="3">
        <f>NORMSDIST(D20)-NORMSDIST(C20)</f>
        <v>8.6784083277961055E-2</v>
      </c>
      <c r="H20">
        <v>0</v>
      </c>
      <c r="I20">
        <f>SUM(I2:I8)</f>
        <v>160000</v>
      </c>
      <c r="J20">
        <v>0</v>
      </c>
      <c r="K20">
        <v>100000</v>
      </c>
      <c r="L20" s="5">
        <f t="shared" si="5"/>
        <v>-260000</v>
      </c>
      <c r="M20">
        <f t="shared" si="6"/>
        <v>-22563.861652269876</v>
      </c>
    </row>
    <row r="21" spans="1:13" x14ac:dyDescent="0.25">
      <c r="A21" s="2"/>
      <c r="B21" s="2"/>
      <c r="C21" s="3">
        <f t="shared" ref="C21:D21" si="7">(A21-$B$12)/SQRT($C$12)</f>
        <v>-16.595180023127195</v>
      </c>
      <c r="D21" s="3">
        <f t="shared" si="7"/>
        <v>-16.595180023127195</v>
      </c>
      <c r="E21" s="3">
        <f>NORMSDIST(D21)-NORMSDIST(C21)</f>
        <v>0</v>
      </c>
      <c r="H21">
        <v>0</v>
      </c>
      <c r="I21">
        <f>SUM(I2:I8)</f>
        <v>160000</v>
      </c>
      <c r="J21">
        <v>0</v>
      </c>
      <c r="L21" s="5">
        <f t="shared" si="5"/>
        <v>-160000</v>
      </c>
      <c r="M21">
        <f t="shared" si="6"/>
        <v>0</v>
      </c>
    </row>
    <row r="23" spans="1:13" x14ac:dyDescent="0.25">
      <c r="L23" t="s">
        <v>30</v>
      </c>
      <c r="M23" s="5">
        <f>SUM(M18:M21)</f>
        <v>66251.225951600878</v>
      </c>
    </row>
  </sheetData>
  <mergeCells count="1">
    <mergeCell ref="C16:D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8"/>
  <sheetViews>
    <sheetView workbookViewId="0">
      <selection activeCell="E10" sqref="E10"/>
    </sheetView>
  </sheetViews>
  <sheetFormatPr baseColWidth="10" defaultRowHeight="15" x14ac:dyDescent="0.25"/>
  <cols>
    <col min="3" max="3" width="11.5703125" bestFit="1" customWidth="1"/>
    <col min="4" max="4" width="14.5703125" bestFit="1" customWidth="1"/>
    <col min="5" max="5" width="9.42578125" customWidth="1"/>
    <col min="6" max="6" width="8.28515625" customWidth="1"/>
    <col min="7" max="7" width="5.42578125" customWidth="1"/>
    <col min="8" max="8" width="12" bestFit="1" customWidth="1"/>
    <col min="9" max="9" width="14.7109375" bestFit="1" customWidth="1"/>
    <col min="10" max="10" width="20.5703125" customWidth="1"/>
    <col min="12" max="13" width="14.5703125" bestFit="1" customWidth="1"/>
  </cols>
  <sheetData>
    <row r="1" spans="1:9" x14ac:dyDescent="0.25">
      <c r="A1" t="s">
        <v>0</v>
      </c>
      <c r="B1" t="s">
        <v>9</v>
      </c>
      <c r="C1" t="s">
        <v>10</v>
      </c>
      <c r="D1" t="s">
        <v>11</v>
      </c>
      <c r="E1" t="s">
        <v>8</v>
      </c>
      <c r="F1" t="s">
        <v>12</v>
      </c>
      <c r="H1" t="s">
        <v>0</v>
      </c>
      <c r="I1" t="s">
        <v>24</v>
      </c>
    </row>
    <row r="2" spans="1:9" x14ac:dyDescent="0.25">
      <c r="A2" t="s">
        <v>7</v>
      </c>
      <c r="B2" s="2"/>
      <c r="C2" s="2"/>
      <c r="D2" s="2"/>
      <c r="E2" s="3">
        <f>(B2+4*C2+D2)/6</f>
        <v>0</v>
      </c>
      <c r="F2" s="3">
        <f>POWER((D2-B2)/6,2)</f>
        <v>0</v>
      </c>
      <c r="H2" t="s">
        <v>7</v>
      </c>
      <c r="I2">
        <v>600000</v>
      </c>
    </row>
    <row r="3" spans="1:9" x14ac:dyDescent="0.25">
      <c r="A3" t="s">
        <v>1</v>
      </c>
      <c r="B3" s="2"/>
      <c r="C3" s="2"/>
      <c r="D3" s="2"/>
      <c r="E3" s="3">
        <f>(B3+4*C3+D3)/6</f>
        <v>0</v>
      </c>
      <c r="F3" s="3">
        <f t="shared" ref="F3:F10" si="0">POWER((D3-B3)/6,2)</f>
        <v>0</v>
      </c>
      <c r="H3" t="s">
        <v>1</v>
      </c>
      <c r="I3">
        <v>590000</v>
      </c>
    </row>
    <row r="4" spans="1:9" x14ac:dyDescent="0.25">
      <c r="A4" t="s">
        <v>2</v>
      </c>
      <c r="B4" s="2"/>
      <c r="C4" s="2"/>
      <c r="D4" s="2"/>
      <c r="E4" s="3">
        <f>(B4+4*C4+D4)/6</f>
        <v>0</v>
      </c>
      <c r="F4" s="3">
        <f t="shared" si="0"/>
        <v>0</v>
      </c>
      <c r="H4" t="s">
        <v>2</v>
      </c>
      <c r="I4">
        <v>250000</v>
      </c>
    </row>
    <row r="5" spans="1:9" x14ac:dyDescent="0.25">
      <c r="A5" t="s">
        <v>3</v>
      </c>
      <c r="B5" s="2"/>
      <c r="C5" s="2"/>
      <c r="D5" s="2"/>
      <c r="E5" s="3">
        <f t="shared" ref="E5:E10" si="1">(B5+4*C5+D5)/6</f>
        <v>0</v>
      </c>
      <c r="F5" s="3">
        <f t="shared" si="0"/>
        <v>0</v>
      </c>
      <c r="H5" t="s">
        <v>3</v>
      </c>
      <c r="I5">
        <v>250000</v>
      </c>
    </row>
    <row r="6" spans="1:9" x14ac:dyDescent="0.25">
      <c r="A6" t="s">
        <v>4</v>
      </c>
      <c r="B6" s="2"/>
      <c r="C6" s="2"/>
      <c r="D6" s="2"/>
      <c r="E6" s="3">
        <f t="shared" si="1"/>
        <v>0</v>
      </c>
      <c r="F6" s="3">
        <f t="shared" si="0"/>
        <v>0</v>
      </c>
      <c r="H6" t="s">
        <v>4</v>
      </c>
      <c r="I6">
        <v>120000</v>
      </c>
    </row>
    <row r="7" spans="1:9" x14ac:dyDescent="0.25">
      <c r="A7" t="s">
        <v>5</v>
      </c>
      <c r="B7" s="2">
        <v>2</v>
      </c>
      <c r="C7" s="2">
        <v>3</v>
      </c>
      <c r="D7" s="2">
        <v>4</v>
      </c>
      <c r="E7" s="3">
        <f t="shared" si="1"/>
        <v>3</v>
      </c>
      <c r="F7" s="3">
        <f t="shared" si="0"/>
        <v>0.1111111111111111</v>
      </c>
      <c r="H7" t="s">
        <v>5</v>
      </c>
      <c r="I7">
        <v>240000</v>
      </c>
    </row>
    <row r="8" spans="1:9" x14ac:dyDescent="0.25">
      <c r="A8" t="s">
        <v>6</v>
      </c>
      <c r="B8" s="2"/>
      <c r="C8" s="2"/>
      <c r="D8" s="2"/>
      <c r="E8" s="3">
        <v>12</v>
      </c>
      <c r="F8" s="3">
        <v>0.9</v>
      </c>
      <c r="H8" t="s">
        <v>6</v>
      </c>
      <c r="I8">
        <v>1000000</v>
      </c>
    </row>
    <row r="9" spans="1:9" x14ac:dyDescent="0.25">
      <c r="A9" t="s">
        <v>32</v>
      </c>
      <c r="B9" s="2"/>
      <c r="C9" s="2"/>
      <c r="D9" s="2"/>
      <c r="E9" s="3">
        <f t="shared" si="1"/>
        <v>0</v>
      </c>
      <c r="F9" s="3">
        <f t="shared" si="0"/>
        <v>0</v>
      </c>
      <c r="H9" t="s">
        <v>32</v>
      </c>
      <c r="I9">
        <v>950000</v>
      </c>
    </row>
    <row r="10" spans="1:9" x14ac:dyDescent="0.25">
      <c r="A10" t="s">
        <v>33</v>
      </c>
      <c r="B10" s="2">
        <v>12</v>
      </c>
      <c r="C10" s="2">
        <v>16</v>
      </c>
      <c r="D10" s="2">
        <v>20</v>
      </c>
      <c r="E10" s="3">
        <f t="shared" si="1"/>
        <v>16</v>
      </c>
      <c r="F10" s="3">
        <f t="shared" si="0"/>
        <v>1.7777777777777777</v>
      </c>
      <c r="H10" t="s">
        <v>33</v>
      </c>
      <c r="I10">
        <v>60000</v>
      </c>
    </row>
    <row r="11" spans="1:9" x14ac:dyDescent="0.25">
      <c r="H11" t="s">
        <v>25</v>
      </c>
      <c r="I11" s="6">
        <f>SUM(I2:I10)</f>
        <v>4060000</v>
      </c>
    </row>
    <row r="12" spans="1:9" x14ac:dyDescent="0.25">
      <c r="A12" t="s">
        <v>13</v>
      </c>
      <c r="B12" t="s">
        <v>14</v>
      </c>
      <c r="C12" t="s">
        <v>15</v>
      </c>
      <c r="D12" t="s">
        <v>16</v>
      </c>
    </row>
    <row r="13" spans="1:9" x14ac:dyDescent="0.25">
      <c r="A13" t="s">
        <v>38</v>
      </c>
      <c r="B13" s="3">
        <f>E7+E8</f>
        <v>15</v>
      </c>
      <c r="C13" s="3">
        <f>F7+F8</f>
        <v>1.0111111111111111</v>
      </c>
      <c r="D13" s="3">
        <f>B13+3*SQRT(C13)</f>
        <v>18.016620625799671</v>
      </c>
    </row>
    <row r="14" spans="1:9" x14ac:dyDescent="0.25">
      <c r="B14" s="3">
        <f>E2+E5+E7+E8</f>
        <v>15</v>
      </c>
      <c r="C14" s="3">
        <f>F2+F5+F7+F8</f>
        <v>1.0111111111111111</v>
      </c>
      <c r="D14" s="3">
        <f>B14+3*SQRT(C14)</f>
        <v>18.016620625799671</v>
      </c>
    </row>
    <row r="15" spans="1:9" x14ac:dyDescent="0.25">
      <c r="B15" s="3">
        <f>E3+E5+E9</f>
        <v>0</v>
      </c>
      <c r="C15" s="3">
        <f>F3+F5+F9</f>
        <v>0</v>
      </c>
      <c r="D15" s="3">
        <f t="shared" ref="D15:D17" si="2">B15+3*SQRT(C15)</f>
        <v>0</v>
      </c>
    </row>
    <row r="16" spans="1:9" x14ac:dyDescent="0.25">
      <c r="A16" s="1"/>
      <c r="B16" s="4">
        <f>E3+E6+E9</f>
        <v>0</v>
      </c>
      <c r="C16" s="4">
        <f>F3+F6+F9</f>
        <v>0</v>
      </c>
      <c r="D16" s="4">
        <f t="shared" si="2"/>
        <v>0</v>
      </c>
    </row>
    <row r="17" spans="1:13" x14ac:dyDescent="0.25">
      <c r="A17" t="s">
        <v>33</v>
      </c>
      <c r="B17" s="3">
        <f>E10</f>
        <v>16</v>
      </c>
      <c r="C17" s="3">
        <f>F10</f>
        <v>1.7777777777777777</v>
      </c>
      <c r="D17" s="3">
        <f t="shared" si="2"/>
        <v>20</v>
      </c>
      <c r="E17" t="s">
        <v>37</v>
      </c>
    </row>
    <row r="19" spans="1:13" x14ac:dyDescent="0.25">
      <c r="C19" s="17" t="s">
        <v>22</v>
      </c>
      <c r="D19" s="17"/>
    </row>
    <row r="20" spans="1:13" x14ac:dyDescent="0.25">
      <c r="A20" t="s">
        <v>17</v>
      </c>
      <c r="B20" t="s">
        <v>18</v>
      </c>
      <c r="C20" t="s">
        <v>19</v>
      </c>
      <c r="D20" t="s">
        <v>20</v>
      </c>
      <c r="E20" t="s">
        <v>21</v>
      </c>
      <c r="H20" t="s">
        <v>23</v>
      </c>
      <c r="I20" t="s">
        <v>26</v>
      </c>
      <c r="J20" t="s">
        <v>27</v>
      </c>
      <c r="K20" t="s">
        <v>28</v>
      </c>
      <c r="L20" t="s">
        <v>29</v>
      </c>
      <c r="M20" t="s">
        <v>31</v>
      </c>
    </row>
    <row r="21" spans="1:13" x14ac:dyDescent="0.25">
      <c r="A21">
        <v>0</v>
      </c>
      <c r="B21" s="2">
        <f>37-23</f>
        <v>14</v>
      </c>
      <c r="C21" s="3">
        <f>(A21-$B$17)/SQRT($C$17)</f>
        <v>-12</v>
      </c>
      <c r="D21" s="3">
        <f>(B21-$B$17)/SQRT($C$17)</f>
        <v>-1.5</v>
      </c>
      <c r="E21" s="3">
        <f>NORMSDIST(D21)-NORMSDIST(C21)</f>
        <v>6.6807201268858057E-2</v>
      </c>
      <c r="H21" s="6">
        <v>8993140</v>
      </c>
      <c r="I21" s="6">
        <f>SUM(I2:I10)</f>
        <v>4060000</v>
      </c>
      <c r="J21" s="6">
        <v>0</v>
      </c>
      <c r="K21" s="6"/>
      <c r="L21" s="6">
        <f>H21-I21-J21-K21</f>
        <v>4933140</v>
      </c>
      <c r="M21" s="5">
        <f>L21*E21</f>
        <v>329569.27686745446</v>
      </c>
    </row>
    <row r="22" spans="1:13" x14ac:dyDescent="0.25">
      <c r="A22" s="2">
        <v>14</v>
      </c>
      <c r="B22" s="2">
        <v>15</v>
      </c>
      <c r="C22" s="3">
        <f t="shared" ref="C22:C24" si="3">(A22-$B$17)/SQRT($C$17)</f>
        <v>-1.5</v>
      </c>
      <c r="D22" s="3">
        <f t="shared" ref="D22:D24" si="4">(B22-$B$17)/SQRT($C$17)</f>
        <v>-0.75</v>
      </c>
      <c r="E22" s="3">
        <f t="shared" ref="E22:E24" si="5">NORMSDIST(D22)-NORMSDIST(C22)</f>
        <v>0.15982015110801015</v>
      </c>
      <c r="H22" s="6">
        <v>8993140</v>
      </c>
      <c r="I22" s="6">
        <f>SUM(I2:I10)</f>
        <v>4060000</v>
      </c>
      <c r="J22" s="6">
        <v>500000</v>
      </c>
      <c r="K22" s="6"/>
      <c r="L22" s="6">
        <f t="shared" ref="L22:L24" si="6">H22-I22-J22-K22</f>
        <v>4433140</v>
      </c>
      <c r="M22" s="5">
        <f t="shared" ref="M22:M24" si="7">L22*E22</f>
        <v>708505.10468296416</v>
      </c>
    </row>
    <row r="23" spans="1:13" x14ac:dyDescent="0.25">
      <c r="A23" s="2">
        <v>15</v>
      </c>
      <c r="B23" s="2">
        <v>16</v>
      </c>
      <c r="C23" s="3">
        <f t="shared" si="3"/>
        <v>-0.75</v>
      </c>
      <c r="D23" s="3">
        <f t="shared" si="4"/>
        <v>0</v>
      </c>
      <c r="E23" s="3">
        <f t="shared" si="5"/>
        <v>0.27337264762313179</v>
      </c>
      <c r="H23" s="6">
        <v>8993140</v>
      </c>
      <c r="I23" s="6">
        <f>SUM(I2:I10)</f>
        <v>4060000</v>
      </c>
      <c r="J23" s="6">
        <v>1000000</v>
      </c>
      <c r="K23" s="6"/>
      <c r="L23" s="6">
        <f t="shared" si="6"/>
        <v>3933140</v>
      </c>
      <c r="M23" s="5">
        <f t="shared" si="7"/>
        <v>1075212.8952724445</v>
      </c>
    </row>
    <row r="24" spans="1:13" x14ac:dyDescent="0.25">
      <c r="A24" s="2">
        <v>16</v>
      </c>
      <c r="B24" s="2">
        <v>100000000</v>
      </c>
      <c r="C24" s="3">
        <f t="shared" si="3"/>
        <v>0</v>
      </c>
      <c r="D24" s="3">
        <f t="shared" si="4"/>
        <v>74999988</v>
      </c>
      <c r="E24" s="3">
        <f t="shared" si="5"/>
        <v>0.5</v>
      </c>
      <c r="H24" s="6">
        <v>0</v>
      </c>
      <c r="I24" s="6">
        <f>SUM(I2:I10)</f>
        <v>4060000</v>
      </c>
      <c r="J24" s="6">
        <v>1000000</v>
      </c>
      <c r="K24" s="6"/>
      <c r="L24" s="6">
        <f t="shared" si="6"/>
        <v>-5060000</v>
      </c>
      <c r="M24" s="5">
        <f t="shared" si="7"/>
        <v>-2530000</v>
      </c>
    </row>
    <row r="26" spans="1:13" x14ac:dyDescent="0.25">
      <c r="L26" t="s">
        <v>30</v>
      </c>
      <c r="M26">
        <f>SUM(M21:M24)</f>
        <v>-416712.72317713685</v>
      </c>
    </row>
    <row r="28" spans="1:13" x14ac:dyDescent="0.25">
      <c r="H28" t="s">
        <v>33</v>
      </c>
      <c r="I28">
        <f>(3000000-M26)/SUM(E21:E23)</f>
        <v>6833425.4463542737</v>
      </c>
    </row>
  </sheetData>
  <mergeCells count="1">
    <mergeCell ref="C19:D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6"/>
  <sheetViews>
    <sheetView workbookViewId="0">
      <selection activeCell="F2" sqref="F2"/>
    </sheetView>
  </sheetViews>
  <sheetFormatPr baseColWidth="10" defaultRowHeight="15" x14ac:dyDescent="0.25"/>
  <cols>
    <col min="3" max="3" width="11.5703125" bestFit="1" customWidth="1"/>
    <col min="4" max="4" width="14.5703125" bestFit="1" customWidth="1"/>
    <col min="5" max="5" width="9.42578125" customWidth="1"/>
    <col min="6" max="6" width="8.28515625" customWidth="1"/>
    <col min="7" max="7" width="5.42578125" customWidth="1"/>
    <col min="10" max="10" width="20.5703125" customWidth="1"/>
    <col min="12" max="12" width="13" bestFit="1" customWidth="1"/>
    <col min="13" max="13" width="12" bestFit="1" customWidth="1"/>
  </cols>
  <sheetData>
    <row r="1" spans="1:9" x14ac:dyDescent="0.25">
      <c r="A1" t="s">
        <v>0</v>
      </c>
      <c r="B1" t="s">
        <v>9</v>
      </c>
      <c r="C1" t="s">
        <v>10</v>
      </c>
      <c r="D1" t="s">
        <v>11</v>
      </c>
      <c r="E1" t="s">
        <v>8</v>
      </c>
      <c r="F1" t="s">
        <v>12</v>
      </c>
      <c r="H1" t="s">
        <v>0</v>
      </c>
      <c r="I1" t="s">
        <v>24</v>
      </c>
    </row>
    <row r="2" spans="1:9" x14ac:dyDescent="0.25">
      <c r="A2" t="s">
        <v>7</v>
      </c>
      <c r="B2" s="2">
        <v>8</v>
      </c>
      <c r="C2" s="2">
        <v>9</v>
      </c>
      <c r="D2" s="2">
        <v>15</v>
      </c>
      <c r="E2" s="3">
        <f>(B2+4*C2+D2)/6</f>
        <v>9.8333333333333339</v>
      </c>
      <c r="F2" s="3">
        <f>POWER((D2-B2)/6,2)</f>
        <v>1.3611111111111114</v>
      </c>
      <c r="H2" t="s">
        <v>7</v>
      </c>
    </row>
    <row r="3" spans="1:9" x14ac:dyDescent="0.25">
      <c r="A3" t="s">
        <v>1</v>
      </c>
      <c r="B3" s="2">
        <v>3</v>
      </c>
      <c r="C3" s="2">
        <v>5</v>
      </c>
      <c r="D3" s="2">
        <v>6</v>
      </c>
      <c r="E3" s="3">
        <f>(B3+4*C3+D3)/6</f>
        <v>4.833333333333333</v>
      </c>
      <c r="F3" s="3">
        <f t="shared" ref="F3:F11" si="0">POWER((D3-B3)/6,2)</f>
        <v>0.25</v>
      </c>
      <c r="H3" t="s">
        <v>1</v>
      </c>
    </row>
    <row r="4" spans="1:9" x14ac:dyDescent="0.25">
      <c r="A4" t="s">
        <v>2</v>
      </c>
      <c r="B4" s="2">
        <v>8</v>
      </c>
      <c r="C4" s="2">
        <v>11</v>
      </c>
      <c r="D4" s="2">
        <v>13</v>
      </c>
      <c r="E4" s="3">
        <f>(B4+4*C4+D4)/6</f>
        <v>10.833333333333334</v>
      </c>
      <c r="F4" s="3">
        <f t="shared" si="0"/>
        <v>0.69444444444444453</v>
      </c>
      <c r="H4" t="s">
        <v>2</v>
      </c>
    </row>
    <row r="5" spans="1:9" x14ac:dyDescent="0.25">
      <c r="A5" t="s">
        <v>3</v>
      </c>
      <c r="B5" s="2">
        <v>3</v>
      </c>
      <c r="C5" s="2">
        <v>5</v>
      </c>
      <c r="D5" s="2">
        <v>7</v>
      </c>
      <c r="E5" s="3">
        <f t="shared" ref="E5:E11" si="1">(B5+4*C5+D5)/6</f>
        <v>5</v>
      </c>
      <c r="F5" s="3">
        <f t="shared" si="0"/>
        <v>0.44444444444444442</v>
      </c>
      <c r="H5" t="s">
        <v>3</v>
      </c>
    </row>
    <row r="6" spans="1:9" x14ac:dyDescent="0.25">
      <c r="A6" t="s">
        <v>4</v>
      </c>
      <c r="B6" s="2">
        <v>2</v>
      </c>
      <c r="C6" s="2">
        <v>4</v>
      </c>
      <c r="D6" s="2">
        <v>6</v>
      </c>
      <c r="E6" s="3">
        <f t="shared" si="1"/>
        <v>4</v>
      </c>
      <c r="F6" s="3">
        <f t="shared" si="0"/>
        <v>0.44444444444444442</v>
      </c>
      <c r="H6" t="s">
        <v>4</v>
      </c>
    </row>
    <row r="7" spans="1:9" x14ac:dyDescent="0.25">
      <c r="A7" t="s">
        <v>5</v>
      </c>
      <c r="B7" s="2"/>
      <c r="C7" s="2"/>
      <c r="D7" s="2"/>
      <c r="E7" s="3"/>
      <c r="F7" s="3"/>
    </row>
    <row r="8" spans="1:9" x14ac:dyDescent="0.25">
      <c r="A8" t="s">
        <v>6</v>
      </c>
      <c r="B8" s="2"/>
      <c r="C8" s="2"/>
      <c r="D8" s="2"/>
      <c r="E8" s="3"/>
      <c r="F8" s="3"/>
    </row>
    <row r="9" spans="1:9" x14ac:dyDescent="0.25">
      <c r="A9" t="s">
        <v>32</v>
      </c>
      <c r="B9" s="2">
        <v>3</v>
      </c>
      <c r="C9" s="2">
        <v>5</v>
      </c>
      <c r="D9" s="2">
        <v>6</v>
      </c>
      <c r="E9" s="3">
        <f t="shared" si="1"/>
        <v>4.833333333333333</v>
      </c>
      <c r="F9" s="3">
        <f t="shared" si="0"/>
        <v>0.25</v>
      </c>
      <c r="H9" t="s">
        <v>5</v>
      </c>
    </row>
    <row r="10" spans="1:9" x14ac:dyDescent="0.25">
      <c r="A10" t="s">
        <v>33</v>
      </c>
      <c r="B10" s="2">
        <v>2</v>
      </c>
      <c r="C10" s="2">
        <v>3</v>
      </c>
      <c r="D10" s="2">
        <v>4</v>
      </c>
      <c r="E10" s="3">
        <f t="shared" si="1"/>
        <v>3</v>
      </c>
      <c r="F10" s="3">
        <f t="shared" si="0"/>
        <v>0.1111111111111111</v>
      </c>
      <c r="H10" t="s">
        <v>6</v>
      </c>
    </row>
    <row r="11" spans="1:9" x14ac:dyDescent="0.25">
      <c r="A11" t="s">
        <v>59</v>
      </c>
      <c r="B11" s="2">
        <v>2</v>
      </c>
      <c r="C11" s="2">
        <v>3</v>
      </c>
      <c r="D11" s="2">
        <v>4</v>
      </c>
      <c r="E11" s="3">
        <f t="shared" si="1"/>
        <v>3</v>
      </c>
      <c r="F11" s="3">
        <f t="shared" si="0"/>
        <v>0.1111111111111111</v>
      </c>
      <c r="H11" t="s">
        <v>32</v>
      </c>
    </row>
    <row r="12" spans="1:9" x14ac:dyDescent="0.25">
      <c r="H12" t="s">
        <v>25</v>
      </c>
      <c r="I12" s="5">
        <f>SUM(I2:I11)</f>
        <v>0</v>
      </c>
    </row>
    <row r="13" spans="1:9" x14ac:dyDescent="0.25">
      <c r="A13" t="s">
        <v>13</v>
      </c>
      <c r="B13" t="s">
        <v>14</v>
      </c>
      <c r="C13" t="s">
        <v>15</v>
      </c>
      <c r="D13" t="s">
        <v>16</v>
      </c>
    </row>
    <row r="14" spans="1:9" x14ac:dyDescent="0.25">
      <c r="A14" t="s">
        <v>34</v>
      </c>
      <c r="B14" s="3">
        <f>E2+E3+E11+E6</f>
        <v>21.666666666666668</v>
      </c>
      <c r="C14" s="3">
        <f>F2+F3+F11+F6</f>
        <v>2.166666666666667</v>
      </c>
      <c r="D14" s="3">
        <f>B14+3*SQRT(C14)</f>
        <v>26.082547099830592</v>
      </c>
    </row>
    <row r="15" spans="1:9" x14ac:dyDescent="0.25">
      <c r="A15" t="s">
        <v>36</v>
      </c>
      <c r="B15" s="3">
        <f>E2+E4+E11+E9</f>
        <v>28.5</v>
      </c>
      <c r="C15" s="3">
        <f>F2+F4+F11+F9</f>
        <v>2.416666666666667</v>
      </c>
      <c r="D15" s="3">
        <f t="shared" ref="D15:D17" si="2">B15+3*SQRT(C15)</f>
        <v>33.16368952654441</v>
      </c>
      <c r="E15" t="s">
        <v>37</v>
      </c>
    </row>
    <row r="16" spans="1:9" x14ac:dyDescent="0.25">
      <c r="A16" s="1" t="s">
        <v>35</v>
      </c>
      <c r="B16" s="4">
        <f>E2+E5+E10+E11</f>
        <v>20.833333333333336</v>
      </c>
      <c r="C16" s="4">
        <f>F2+F5+F10+F11</f>
        <v>2.0277777777777781</v>
      </c>
      <c r="D16" s="4">
        <f t="shared" si="2"/>
        <v>25.105335205992102</v>
      </c>
    </row>
    <row r="17" spans="1:13" x14ac:dyDescent="0.25">
      <c r="B17" s="3">
        <f>E2+E4+E9+E11</f>
        <v>28.5</v>
      </c>
      <c r="C17" s="3">
        <f>F2+F4+F9+F11</f>
        <v>2.416666666666667</v>
      </c>
      <c r="D17" s="3">
        <f t="shared" si="2"/>
        <v>33.16368952654441</v>
      </c>
    </row>
    <row r="19" spans="1:13" x14ac:dyDescent="0.25">
      <c r="C19" s="17" t="s">
        <v>22</v>
      </c>
      <c r="D19" s="17"/>
    </row>
    <row r="20" spans="1:13" x14ac:dyDescent="0.25">
      <c r="A20" t="s">
        <v>17</v>
      </c>
      <c r="B20" t="s">
        <v>18</v>
      </c>
      <c r="C20" t="s">
        <v>19</v>
      </c>
      <c r="D20" t="s">
        <v>20</v>
      </c>
      <c r="E20" t="s">
        <v>21</v>
      </c>
      <c r="H20" t="s">
        <v>23</v>
      </c>
      <c r="I20" t="s">
        <v>26</v>
      </c>
      <c r="J20" t="s">
        <v>27</v>
      </c>
      <c r="K20" t="s">
        <v>28</v>
      </c>
      <c r="L20" t="s">
        <v>29</v>
      </c>
      <c r="M20" t="s">
        <v>31</v>
      </c>
    </row>
    <row r="21" spans="1:13" x14ac:dyDescent="0.25">
      <c r="A21">
        <v>0</v>
      </c>
      <c r="B21" s="2">
        <v>33</v>
      </c>
      <c r="C21" s="3">
        <f>(A21-$B$15)/SQRT($C$15)</f>
        <v>-18.33312434572629</v>
      </c>
      <c r="D21" s="3">
        <f>(B21-$B$15)/SQRT($C$15)</f>
        <v>2.8947038440620458</v>
      </c>
      <c r="E21" s="3">
        <f>NORMSDIST(D21)-NORMSDIST(C21)</f>
        <v>0.99810241796650312</v>
      </c>
      <c r="H21">
        <v>300000</v>
      </c>
      <c r="I21">
        <f>SUM(I2:I11)</f>
        <v>0</v>
      </c>
      <c r="J21">
        <v>80000</v>
      </c>
      <c r="L21" s="5">
        <f>H21-I21-J21-K21</f>
        <v>220000</v>
      </c>
      <c r="M21">
        <f>L21*E21</f>
        <v>219582.5319526307</v>
      </c>
    </row>
    <row r="22" spans="1:13" x14ac:dyDescent="0.25">
      <c r="A22" s="2">
        <v>33</v>
      </c>
      <c r="B22" s="2">
        <v>36</v>
      </c>
      <c r="C22" s="3">
        <f t="shared" ref="C22:D24" si="3">(A22-$B$15)/SQRT($C$15)</f>
        <v>2.8947038440620458</v>
      </c>
      <c r="D22" s="3">
        <f t="shared" si="3"/>
        <v>4.8245064067700767</v>
      </c>
      <c r="E22" s="3">
        <f>NORMSDIST(D22)-NORMSDIST(C22)</f>
        <v>1.8968802814658403E-3</v>
      </c>
      <c r="H22">
        <v>150000</v>
      </c>
      <c r="I22">
        <f>SUM(I2:I11)</f>
        <v>0</v>
      </c>
      <c r="J22">
        <v>80000</v>
      </c>
      <c r="L22" s="5">
        <f t="shared" ref="L22:L24" si="4">H22-I22-J22-K22</f>
        <v>70000</v>
      </c>
      <c r="M22">
        <f t="shared" ref="M22:M24" si="5">L22*E22</f>
        <v>132.78161970260882</v>
      </c>
    </row>
    <row r="23" spans="1:13" x14ac:dyDescent="0.25">
      <c r="A23" s="2">
        <v>36</v>
      </c>
      <c r="B23" s="2">
        <v>38</v>
      </c>
      <c r="C23" s="3">
        <f t="shared" si="3"/>
        <v>4.8245064067700767</v>
      </c>
      <c r="D23" s="3">
        <f t="shared" si="3"/>
        <v>6.1110414485754303</v>
      </c>
      <c r="E23" s="3">
        <f>NORMSDIST(D23)-NORMSDIST(C23)</f>
        <v>7.0125711582047501E-7</v>
      </c>
      <c r="H23">
        <v>100000</v>
      </c>
      <c r="I23">
        <f>SUM(I2:I11)</f>
        <v>0</v>
      </c>
      <c r="J23">
        <v>80000</v>
      </c>
      <c r="L23" s="5">
        <f t="shared" si="4"/>
        <v>20000</v>
      </c>
      <c r="M23">
        <f t="shared" si="5"/>
        <v>1.40251423164095E-2</v>
      </c>
    </row>
    <row r="24" spans="1:13" x14ac:dyDescent="0.25">
      <c r="A24" s="2">
        <v>38</v>
      </c>
      <c r="B24" s="2">
        <v>100000000</v>
      </c>
      <c r="C24" s="3">
        <f t="shared" si="3"/>
        <v>6.1110414485754303</v>
      </c>
      <c r="D24" s="3">
        <f t="shared" si="3"/>
        <v>64326733.757143341</v>
      </c>
      <c r="E24" s="3">
        <f>NORMSDIST(D24)-NORMSDIST(C24)</f>
        <v>4.9491521991740228E-10</v>
      </c>
      <c r="H24">
        <v>0</v>
      </c>
      <c r="I24">
        <f>SUM(I2:I11)</f>
        <v>0</v>
      </c>
      <c r="J24">
        <v>80000</v>
      </c>
      <c r="L24" s="5">
        <f t="shared" si="4"/>
        <v>-80000</v>
      </c>
      <c r="M24">
        <f t="shared" si="5"/>
        <v>-3.9593217593392183E-5</v>
      </c>
    </row>
    <row r="26" spans="1:13" x14ac:dyDescent="0.25">
      <c r="L26" t="s">
        <v>30</v>
      </c>
      <c r="M26" s="5">
        <f>SUM(M21:M24)</f>
        <v>219715.32755788241</v>
      </c>
    </row>
  </sheetData>
  <mergeCells count="1">
    <mergeCell ref="C19:D19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3"/>
  <sheetViews>
    <sheetView workbookViewId="0">
      <selection activeCell="C3" sqref="C3"/>
    </sheetView>
  </sheetViews>
  <sheetFormatPr baseColWidth="10" defaultRowHeight="15" x14ac:dyDescent="0.25"/>
  <cols>
    <col min="1" max="1" width="20" bestFit="1" customWidth="1"/>
    <col min="7" max="7" width="14.85546875" bestFit="1" customWidth="1"/>
  </cols>
  <sheetData>
    <row r="1" spans="1:11" ht="15.75" thickBot="1" x14ac:dyDescent="0.3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</row>
    <row r="2" spans="1:11" x14ac:dyDescent="0.25">
      <c r="A2" s="18" t="s">
        <v>7</v>
      </c>
      <c r="B2" s="7" t="s">
        <v>60</v>
      </c>
      <c r="C2" s="7">
        <v>200</v>
      </c>
      <c r="D2" s="7">
        <v>300</v>
      </c>
      <c r="E2" s="7">
        <v>30</v>
      </c>
      <c r="F2" s="7">
        <f>1/D2</f>
        <v>3.3333333333333335E-3</v>
      </c>
      <c r="G2" s="7">
        <f t="shared" ref="G2:G9" si="0">EXP(-F2*$B$15)</f>
        <v>0.8416308400672835</v>
      </c>
      <c r="H2" s="8">
        <f t="shared" ref="H2:H9" si="1">IF(E2&gt;$B$16,0,ROUNDDOWN($B$16/E2,0))</f>
        <v>0</v>
      </c>
    </row>
    <row r="3" spans="1:11" x14ac:dyDescent="0.25">
      <c r="A3" s="20"/>
      <c r="B3" t="s">
        <v>63</v>
      </c>
      <c r="C3">
        <v>140</v>
      </c>
      <c r="D3">
        <v>320</v>
      </c>
      <c r="E3">
        <v>40</v>
      </c>
      <c r="F3">
        <f t="shared" ref="F3:F9" si="2">1/D3</f>
        <v>3.1250000000000002E-3</v>
      </c>
      <c r="G3">
        <f t="shared" si="0"/>
        <v>0.85074917865796473</v>
      </c>
      <c r="H3" s="9">
        <f t="shared" si="1"/>
        <v>0</v>
      </c>
    </row>
    <row r="4" spans="1:11" ht="15.75" thickBot="1" x14ac:dyDescent="0.3">
      <c r="A4" s="19"/>
      <c r="B4" s="10" t="s">
        <v>61</v>
      </c>
      <c r="C4" s="10">
        <v>110</v>
      </c>
      <c r="D4" s="10">
        <v>430</v>
      </c>
      <c r="E4" s="10">
        <v>23</v>
      </c>
      <c r="F4" s="10">
        <f t="shared" si="2"/>
        <v>2.3255813953488372E-3</v>
      </c>
      <c r="G4" s="10">
        <f t="shared" si="0"/>
        <v>0.88666442607314389</v>
      </c>
      <c r="H4" s="11">
        <f t="shared" si="1"/>
        <v>0</v>
      </c>
    </row>
    <row r="5" spans="1:11" x14ac:dyDescent="0.25">
      <c r="A5" s="18" t="s">
        <v>1</v>
      </c>
      <c r="B5" s="7" t="s">
        <v>64</v>
      </c>
      <c r="C5" s="7">
        <v>210</v>
      </c>
      <c r="D5" s="7">
        <v>500</v>
      </c>
      <c r="E5" s="7">
        <v>48</v>
      </c>
      <c r="F5" s="7">
        <f t="shared" si="2"/>
        <v>2E-3</v>
      </c>
      <c r="G5" s="7">
        <f t="shared" si="0"/>
        <v>0.90172266236301157</v>
      </c>
      <c r="H5" s="8">
        <f t="shared" si="1"/>
        <v>0</v>
      </c>
    </row>
    <row r="6" spans="1:11" ht="15.75" thickBot="1" x14ac:dyDescent="0.3">
      <c r="A6" s="19"/>
      <c r="B6" s="10" t="s">
        <v>56</v>
      </c>
      <c r="C6" s="10">
        <v>60</v>
      </c>
      <c r="D6" s="10">
        <v>395</v>
      </c>
      <c r="E6" s="10">
        <v>40</v>
      </c>
      <c r="F6" s="10">
        <f t="shared" si="2"/>
        <v>2.5316455696202532E-3</v>
      </c>
      <c r="G6" s="10">
        <f t="shared" si="0"/>
        <v>0.87726410619102202</v>
      </c>
      <c r="H6" s="11">
        <f t="shared" si="1"/>
        <v>0</v>
      </c>
    </row>
    <row r="7" spans="1:11" x14ac:dyDescent="0.25">
      <c r="A7" s="18" t="s">
        <v>2</v>
      </c>
      <c r="B7" s="7" t="s">
        <v>57</v>
      </c>
      <c r="C7" s="7">
        <v>290</v>
      </c>
      <c r="D7" s="7">
        <v>370</v>
      </c>
      <c r="E7" s="7">
        <v>28</v>
      </c>
      <c r="F7" s="7">
        <f t="shared" si="2"/>
        <v>2.7027027027027029E-3</v>
      </c>
      <c r="G7" s="7">
        <f t="shared" si="0"/>
        <v>0.86953650046895992</v>
      </c>
      <c r="H7" s="8">
        <f t="shared" si="1"/>
        <v>0</v>
      </c>
    </row>
    <row r="8" spans="1:11" ht="15.75" thickBot="1" x14ac:dyDescent="0.3">
      <c r="A8" s="19"/>
      <c r="B8" s="10" t="s">
        <v>62</v>
      </c>
      <c r="C8" s="10">
        <v>290</v>
      </c>
      <c r="D8" s="10">
        <v>483.09199999999998</v>
      </c>
      <c r="E8" s="10">
        <v>25</v>
      </c>
      <c r="F8" s="10">
        <f t="shared" si="2"/>
        <v>2.0699990892004009E-3</v>
      </c>
      <c r="G8" s="10">
        <f t="shared" si="0"/>
        <v>0.89846375016618452</v>
      </c>
      <c r="H8" s="11">
        <f t="shared" si="1"/>
        <v>0</v>
      </c>
    </row>
    <row r="9" spans="1:11" x14ac:dyDescent="0.25">
      <c r="A9" s="12" t="s">
        <v>3</v>
      </c>
      <c r="B9" s="7" t="s">
        <v>65</v>
      </c>
      <c r="C9" s="7">
        <v>110</v>
      </c>
      <c r="D9" s="7">
        <v>410</v>
      </c>
      <c r="E9" s="7">
        <v>18</v>
      </c>
      <c r="F9" s="7">
        <f t="shared" si="2"/>
        <v>2.4390243902439024E-3</v>
      </c>
      <c r="G9" s="7">
        <f t="shared" si="0"/>
        <v>0.8814769430524485</v>
      </c>
      <c r="H9" s="8">
        <f t="shared" si="1"/>
        <v>1</v>
      </c>
    </row>
    <row r="11" spans="1:11" x14ac:dyDescent="0.25">
      <c r="F11" t="s">
        <v>58</v>
      </c>
      <c r="J11" t="s">
        <v>67</v>
      </c>
      <c r="K11" s="2">
        <v>0.95967000000000002</v>
      </c>
    </row>
    <row r="12" spans="1:11" x14ac:dyDescent="0.25">
      <c r="A12" t="s">
        <v>39</v>
      </c>
      <c r="B12" s="2">
        <v>290</v>
      </c>
      <c r="F12">
        <v>0</v>
      </c>
      <c r="G12">
        <f t="shared" ref="G12:G23" si="3">(EXP(-$F$2*$B$15)*($F$2*$B$15)^F12)/FACT(F12)</f>
        <v>0.8416308400672835</v>
      </c>
      <c r="J12" t="s">
        <v>66</v>
      </c>
      <c r="K12">
        <f>K11*B20+(1-K11)*B21</f>
        <v>947571000</v>
      </c>
    </row>
    <row r="13" spans="1:11" x14ac:dyDescent="0.25">
      <c r="A13" t="s">
        <v>40</v>
      </c>
      <c r="B13" s="2">
        <v>72</v>
      </c>
      <c r="F13">
        <v>1</v>
      </c>
      <c r="G13">
        <f t="shared" si="3"/>
        <v>0.145108765528842</v>
      </c>
    </row>
    <row r="14" spans="1:11" x14ac:dyDescent="0.25">
      <c r="A14" t="s">
        <v>41</v>
      </c>
      <c r="B14" s="2">
        <v>15000</v>
      </c>
      <c r="F14">
        <v>2</v>
      </c>
      <c r="G14">
        <f t="shared" si="3"/>
        <v>1.2509376338693276E-2</v>
      </c>
    </row>
    <row r="15" spans="1:11" x14ac:dyDescent="0.25">
      <c r="A15" t="s">
        <v>42</v>
      </c>
      <c r="B15">
        <f>B14/B12</f>
        <v>51.724137931034484</v>
      </c>
      <c r="F15">
        <v>3</v>
      </c>
      <c r="G15">
        <f t="shared" si="3"/>
        <v>7.189296746375446E-4</v>
      </c>
    </row>
    <row r="16" spans="1:11" x14ac:dyDescent="0.25">
      <c r="A16" t="s">
        <v>43</v>
      </c>
      <c r="B16">
        <f>B13-B15</f>
        <v>20.275862068965516</v>
      </c>
      <c r="F16">
        <v>4</v>
      </c>
      <c r="G16">
        <f t="shared" si="3"/>
        <v>3.0988348044721748E-5</v>
      </c>
    </row>
    <row r="17" spans="1:7" x14ac:dyDescent="0.25">
      <c r="F17">
        <v>5</v>
      </c>
      <c r="G17">
        <f t="shared" si="3"/>
        <v>1.0685637256800604E-6</v>
      </c>
    </row>
    <row r="18" spans="1:7" x14ac:dyDescent="0.25">
      <c r="A18" t="s">
        <v>44</v>
      </c>
      <c r="B18" s="2"/>
      <c r="F18">
        <v>6</v>
      </c>
      <c r="G18">
        <f t="shared" si="3"/>
        <v>3.0705854186208636E-8</v>
      </c>
    </row>
    <row r="19" spans="1:7" x14ac:dyDescent="0.25">
      <c r="F19">
        <v>7</v>
      </c>
      <c r="G19">
        <f t="shared" si="3"/>
        <v>7.5630182724651814E-10</v>
      </c>
    </row>
    <row r="20" spans="1:7" x14ac:dyDescent="0.25">
      <c r="A20" t="s">
        <v>45</v>
      </c>
      <c r="B20" s="2">
        <v>1000000000</v>
      </c>
      <c r="F20">
        <v>8</v>
      </c>
      <c r="G20">
        <f t="shared" si="3"/>
        <v>1.6299608345830134E-11</v>
      </c>
    </row>
    <row r="21" spans="1:7" x14ac:dyDescent="0.25">
      <c r="A21" t="s">
        <v>46</v>
      </c>
      <c r="B21" s="2">
        <v>-300000000</v>
      </c>
      <c r="F21">
        <v>9</v>
      </c>
      <c r="G21">
        <f t="shared" si="3"/>
        <v>3.1225303344502174E-13</v>
      </c>
    </row>
    <row r="22" spans="1:7" x14ac:dyDescent="0.25">
      <c r="F22">
        <v>10</v>
      </c>
      <c r="G22">
        <f t="shared" si="3"/>
        <v>5.3836729904314095E-15</v>
      </c>
    </row>
    <row r="23" spans="1:7" x14ac:dyDescent="0.25">
      <c r="F23">
        <v>11</v>
      </c>
      <c r="G23">
        <f t="shared" si="3"/>
        <v>8.4383589191714883E-17</v>
      </c>
    </row>
  </sheetData>
  <mergeCells count="3">
    <mergeCell ref="A2:A4"/>
    <mergeCell ref="A5:A6"/>
    <mergeCell ref="A7:A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23"/>
  <sheetViews>
    <sheetView tabSelected="1" workbookViewId="0">
      <selection activeCell="A17" sqref="A17"/>
    </sheetView>
  </sheetViews>
  <sheetFormatPr baseColWidth="10" defaultRowHeight="15" x14ac:dyDescent="0.25"/>
  <cols>
    <col min="1" max="1" width="20" bestFit="1" customWidth="1"/>
    <col min="7" max="7" width="14.85546875" bestFit="1" customWidth="1"/>
    <col min="11" max="11" width="13" bestFit="1" customWidth="1"/>
  </cols>
  <sheetData>
    <row r="1" spans="1:11" ht="15.75" thickBot="1" x14ac:dyDescent="0.3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</row>
    <row r="2" spans="1:11" x14ac:dyDescent="0.25">
      <c r="A2" s="18" t="s">
        <v>7</v>
      </c>
      <c r="B2" s="7" t="s">
        <v>60</v>
      </c>
      <c r="C2" s="7">
        <v>200</v>
      </c>
      <c r="D2" s="7">
        <v>300</v>
      </c>
      <c r="E2" s="7">
        <v>30</v>
      </c>
      <c r="F2" s="7">
        <f>1/D2</f>
        <v>3.3333333333333335E-3</v>
      </c>
      <c r="G2" s="7">
        <f t="shared" ref="G2:G9" si="0">EXP(-F2*$B$15)</f>
        <v>0.79462493345357577</v>
      </c>
      <c r="H2" s="8">
        <f t="shared" ref="H2:H9" si="1">IF(E2&gt;$B$16,0,ROUNDDOWN($B$16/E2,0))</f>
        <v>0</v>
      </c>
    </row>
    <row r="3" spans="1:11" x14ac:dyDescent="0.25">
      <c r="A3" s="20"/>
      <c r="B3" t="s">
        <v>63</v>
      </c>
      <c r="C3">
        <v>140</v>
      </c>
      <c r="D3">
        <v>320</v>
      </c>
      <c r="E3">
        <v>40</v>
      </c>
      <c r="F3">
        <f t="shared" ref="F3:F9" si="2">1/D3</f>
        <v>3.1250000000000002E-3</v>
      </c>
      <c r="G3">
        <f t="shared" si="0"/>
        <v>0.80612437144224092</v>
      </c>
      <c r="H3" s="9">
        <f t="shared" si="1"/>
        <v>0</v>
      </c>
    </row>
    <row r="4" spans="1:11" ht="15.75" thickBot="1" x14ac:dyDescent="0.3">
      <c r="A4" s="19"/>
      <c r="B4" s="10" t="s">
        <v>61</v>
      </c>
      <c r="C4" s="10">
        <v>110</v>
      </c>
      <c r="D4" s="10">
        <v>430</v>
      </c>
      <c r="E4" s="10">
        <v>23</v>
      </c>
      <c r="F4" s="10">
        <f t="shared" si="2"/>
        <v>2.3255813953488372E-3</v>
      </c>
      <c r="G4" s="10">
        <f t="shared" si="0"/>
        <v>0.85181584164760837</v>
      </c>
      <c r="H4" s="11">
        <f t="shared" si="1"/>
        <v>0</v>
      </c>
    </row>
    <row r="5" spans="1:11" x14ac:dyDescent="0.25">
      <c r="A5" s="18" t="s">
        <v>1</v>
      </c>
      <c r="B5" s="7" t="s">
        <v>64</v>
      </c>
      <c r="C5" s="7">
        <v>210</v>
      </c>
      <c r="D5" s="7">
        <v>500</v>
      </c>
      <c r="E5" s="7">
        <v>48</v>
      </c>
      <c r="F5" s="7">
        <f t="shared" si="2"/>
        <v>2E-3</v>
      </c>
      <c r="G5" s="7">
        <f t="shared" si="0"/>
        <v>0.87115876958926886</v>
      </c>
      <c r="H5" s="8">
        <f t="shared" si="1"/>
        <v>0</v>
      </c>
    </row>
    <row r="6" spans="1:11" ht="15.75" thickBot="1" x14ac:dyDescent="0.3">
      <c r="A6" s="19"/>
      <c r="B6" s="10" t="s">
        <v>56</v>
      </c>
      <c r="C6" s="10">
        <v>60</v>
      </c>
      <c r="D6" s="10">
        <v>395</v>
      </c>
      <c r="E6" s="10">
        <v>40</v>
      </c>
      <c r="F6" s="10">
        <f t="shared" si="2"/>
        <v>2.5316455696202532E-3</v>
      </c>
      <c r="G6" s="10">
        <f t="shared" si="0"/>
        <v>0.83979602317962887</v>
      </c>
      <c r="H6" s="11">
        <f t="shared" si="1"/>
        <v>0</v>
      </c>
    </row>
    <row r="7" spans="1:11" x14ac:dyDescent="0.25">
      <c r="A7" s="18" t="s">
        <v>2</v>
      </c>
      <c r="B7" s="7" t="s">
        <v>57</v>
      </c>
      <c r="C7" s="7">
        <v>290</v>
      </c>
      <c r="D7" s="7">
        <v>370</v>
      </c>
      <c r="E7" s="7">
        <v>28</v>
      </c>
      <c r="F7" s="7">
        <f t="shared" si="2"/>
        <v>2.7027027027027029E-3</v>
      </c>
      <c r="G7" s="7">
        <f t="shared" si="0"/>
        <v>0.8299471210149616</v>
      </c>
      <c r="H7" s="8">
        <f t="shared" si="1"/>
        <v>0</v>
      </c>
    </row>
    <row r="8" spans="1:11" ht="15.75" thickBot="1" x14ac:dyDescent="0.3">
      <c r="A8" s="19"/>
      <c r="B8" s="10" t="s">
        <v>62</v>
      </c>
      <c r="C8" s="10">
        <v>290</v>
      </c>
      <c r="D8" s="10">
        <v>483.09199999999998</v>
      </c>
      <c r="E8" s="10">
        <v>25</v>
      </c>
      <c r="F8" s="10">
        <f t="shared" si="2"/>
        <v>2.0699990892004009E-3</v>
      </c>
      <c r="G8" s="10">
        <f t="shared" si="0"/>
        <v>0.86696336510440819</v>
      </c>
      <c r="H8" s="11">
        <f t="shared" si="1"/>
        <v>0</v>
      </c>
    </row>
    <row r="9" spans="1:11" x14ac:dyDescent="0.25">
      <c r="A9" s="12" t="s">
        <v>3</v>
      </c>
      <c r="B9" s="7" t="s">
        <v>65</v>
      </c>
      <c r="C9" s="7">
        <v>110</v>
      </c>
      <c r="D9" s="7">
        <v>410</v>
      </c>
      <c r="E9" s="7">
        <v>18</v>
      </c>
      <c r="F9" s="7">
        <f t="shared" si="2"/>
        <v>2.4390243902439024E-3</v>
      </c>
      <c r="G9" s="7">
        <f t="shared" si="0"/>
        <v>0.84517753032090703</v>
      </c>
      <c r="H9" s="8">
        <f t="shared" si="1"/>
        <v>0</v>
      </c>
    </row>
    <row r="11" spans="1:11" x14ac:dyDescent="0.25">
      <c r="F11" t="s">
        <v>58</v>
      </c>
      <c r="J11" t="s">
        <v>67</v>
      </c>
      <c r="K11" s="2">
        <v>0.80633999999999995</v>
      </c>
    </row>
    <row r="12" spans="1:11" x14ac:dyDescent="0.25">
      <c r="A12" t="s">
        <v>39</v>
      </c>
      <c r="B12" s="2">
        <v>290</v>
      </c>
      <c r="F12">
        <v>0</v>
      </c>
      <c r="G12">
        <f t="shared" ref="G12:G23" si="3">(EXP(-$F$2*$B$15)*($F$2*$B$15)^F12)/FACT(F12)</f>
        <v>0.79462493345357577</v>
      </c>
      <c r="J12" t="s">
        <v>66</v>
      </c>
      <c r="K12" s="13">
        <f>K11*B20+(1-K11)*B21</f>
        <v>551585000</v>
      </c>
    </row>
    <row r="13" spans="1:11" x14ac:dyDescent="0.25">
      <c r="A13" t="s">
        <v>40</v>
      </c>
      <c r="B13" s="2">
        <v>72</v>
      </c>
      <c r="F13">
        <v>1</v>
      </c>
      <c r="G13">
        <f t="shared" si="3"/>
        <v>0.18267239849507491</v>
      </c>
    </row>
    <row r="14" spans="1:11" x14ac:dyDescent="0.25">
      <c r="A14" t="s">
        <v>41</v>
      </c>
      <c r="B14" s="2">
        <v>20000</v>
      </c>
      <c r="F14">
        <v>2</v>
      </c>
      <c r="G14">
        <f t="shared" si="3"/>
        <v>2.0996827413227004E-2</v>
      </c>
    </row>
    <row r="15" spans="1:11" x14ac:dyDescent="0.25">
      <c r="A15" t="s">
        <v>42</v>
      </c>
      <c r="B15">
        <f>B14/B12</f>
        <v>68.965517241379317</v>
      </c>
      <c r="F15">
        <v>3</v>
      </c>
      <c r="G15">
        <f t="shared" si="3"/>
        <v>1.6089522922013032E-3</v>
      </c>
    </row>
    <row r="16" spans="1:11" x14ac:dyDescent="0.25">
      <c r="A16" t="s">
        <v>43</v>
      </c>
      <c r="B16">
        <f>B13-B15</f>
        <v>3.0344827586206833</v>
      </c>
      <c r="F16">
        <v>4</v>
      </c>
      <c r="G16">
        <f t="shared" si="3"/>
        <v>9.2468522540304778E-5</v>
      </c>
    </row>
    <row r="17" spans="1:7" x14ac:dyDescent="0.25">
      <c r="F17">
        <v>5</v>
      </c>
      <c r="G17">
        <f t="shared" si="3"/>
        <v>4.2514263236921754E-6</v>
      </c>
    </row>
    <row r="18" spans="1:7" x14ac:dyDescent="0.25">
      <c r="A18" t="s">
        <v>44</v>
      </c>
      <c r="B18" s="2"/>
      <c r="F18">
        <v>6</v>
      </c>
      <c r="G18">
        <f t="shared" si="3"/>
        <v>1.6288989745947032E-7</v>
      </c>
    </row>
    <row r="19" spans="1:7" x14ac:dyDescent="0.25">
      <c r="F19">
        <v>7</v>
      </c>
      <c r="G19">
        <f t="shared" si="3"/>
        <v>5.3494219198512421E-9</v>
      </c>
    </row>
    <row r="20" spans="1:7" x14ac:dyDescent="0.25">
      <c r="A20" t="s">
        <v>45</v>
      </c>
      <c r="B20" s="2">
        <v>600000000</v>
      </c>
      <c r="F20">
        <v>8</v>
      </c>
      <c r="G20">
        <f t="shared" si="3"/>
        <v>1.5371902068538052E-10</v>
      </c>
    </row>
    <row r="21" spans="1:7" x14ac:dyDescent="0.25">
      <c r="A21" t="s">
        <v>46</v>
      </c>
      <c r="B21" s="2">
        <v>350000000</v>
      </c>
      <c r="F21">
        <v>9</v>
      </c>
      <c r="G21">
        <f t="shared" si="3"/>
        <v>3.926411767187243E-12</v>
      </c>
    </row>
    <row r="22" spans="1:7" x14ac:dyDescent="0.25">
      <c r="F22">
        <v>10</v>
      </c>
      <c r="G22">
        <f t="shared" si="3"/>
        <v>9.0262339475568811E-14</v>
      </c>
    </row>
    <row r="23" spans="1:7" x14ac:dyDescent="0.25">
      <c r="F23">
        <v>11</v>
      </c>
      <c r="G23">
        <f t="shared" si="3"/>
        <v>1.8863602816210832E-15</v>
      </c>
    </row>
  </sheetData>
  <mergeCells count="3">
    <mergeCell ref="A2:A4"/>
    <mergeCell ref="A5:A6"/>
    <mergeCell ref="A7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PERT</vt:lpstr>
      <vt:lpstr>Confiabilidad</vt:lpstr>
      <vt:lpstr>Confiabilidad (2)</vt:lpstr>
      <vt:lpstr>Confiabilidad (3)</vt:lpstr>
      <vt:lpstr>Ej. 1 (2)</vt:lpstr>
      <vt:lpstr>Ej. 2 </vt:lpstr>
      <vt:lpstr>ej1 taller</vt:lpstr>
      <vt:lpstr>ej 3 taller AA</vt:lpstr>
      <vt:lpstr>ej 3 taller AAA</vt:lpstr>
    </vt:vector>
  </TitlesOfParts>
  <Company>Dirección de Ingeniería de Sistemas Navales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Raúl Bastidas</dc:creator>
  <cp:lastModifiedBy>Raúl Bastidas Hernández</cp:lastModifiedBy>
  <dcterms:created xsi:type="dcterms:W3CDTF">2021-03-30T14:48:17Z</dcterms:created>
  <dcterms:modified xsi:type="dcterms:W3CDTF">2024-08-13T01:00:59Z</dcterms:modified>
</cp:coreProperties>
</file>