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Raul\Desktop\"/>
    </mc:Choice>
  </mc:AlternateContent>
  <xr:revisionPtr revIDLastSave="0" documentId="13_ncr:1_{15EED34D-835D-4149-AA69-826E1DD7841F}" xr6:coauthVersionLast="47" xr6:coauthVersionMax="47" xr10:uidLastSave="{00000000-0000-0000-0000-000000000000}"/>
  <bookViews>
    <workbookView xWindow="-120" yWindow="-120" windowWidth="20730" windowHeight="11040" tabRatio="711" firstSheet="7" activeTab="14" xr2:uid="{00000000-000D-0000-FFFF-FFFF00000000}"/>
  </bookViews>
  <sheets>
    <sheet name="AHRROS" sheetId="6" r:id="rId1"/>
    <sheet name="DEPA " sheetId="65" r:id="rId2"/>
    <sheet name="Deudas" sheetId="13" r:id="rId3"/>
    <sheet name="MAR25" sheetId="172" r:id="rId4"/>
    <sheet name="JUL25" sheetId="176" r:id="rId5"/>
    <sheet name="AGO25" sheetId="177" r:id="rId6"/>
    <sheet name="SEP25" sheetId="178" r:id="rId7"/>
    <sheet name="OCT25" sheetId="179" r:id="rId8"/>
    <sheet name="NOV25" sheetId="180" r:id="rId9"/>
    <sheet name="DIC25" sheetId="181" r:id="rId10"/>
    <sheet name="ENE26" sheetId="182" r:id="rId11"/>
    <sheet name="FEB26" sheetId="183" r:id="rId12"/>
    <sheet name="MAR26" sheetId="184" r:id="rId13"/>
    <sheet name="ABR26" sheetId="185" r:id="rId14"/>
    <sheet name="MAY26" sheetId="187" r:id="rId15"/>
    <sheet name="JUN26" sheetId="188" r:id="rId16"/>
    <sheet name="Colegio Agus" sheetId="136" r:id="rId17"/>
    <sheet name="Majors" sheetId="134" r:id="rId18"/>
    <sheet name="Lista chequeo maratón" sheetId="142" r:id="rId19"/>
    <sheet name="viña" sheetId="115" r:id="rId20"/>
    <sheet name="mds" sheetId="144" r:id="rId21"/>
    <sheet name="Vacaciones" sheetId="122" r:id="rId22"/>
    <sheet name="Hoja1" sheetId="186" r:id="rId23"/>
  </sheets>
  <definedNames>
    <definedName name="_xlnm.Print_Area" localSheetId="18">'Lista chequeo maratón'!$A$1:$C$62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13" i="187" l="1"/>
  <c r="C30" i="187"/>
  <c r="C15" i="187"/>
  <c r="C18" i="187"/>
  <c r="C19" i="187"/>
  <c r="C12" i="187"/>
  <c r="G9" i="187"/>
  <c r="C8" i="187"/>
  <c r="G1" i="187"/>
  <c r="C23" i="187"/>
  <c r="M10" i="187"/>
  <c r="C2" i="188"/>
  <c r="B2" i="188"/>
  <c r="F60" i="188"/>
  <c r="E60" i="188"/>
  <c r="G59" i="188"/>
  <c r="F59" i="188"/>
  <c r="E59" i="188"/>
  <c r="G58" i="188"/>
  <c r="F58" i="188"/>
  <c r="E58" i="188"/>
  <c r="F57" i="188"/>
  <c r="E57" i="188"/>
  <c r="F56" i="188"/>
  <c r="E56" i="188"/>
  <c r="P55" i="188"/>
  <c r="P57" i="188" s="1"/>
  <c r="G55" i="188"/>
  <c r="F55" i="188"/>
  <c r="E55" i="188"/>
  <c r="F54" i="188"/>
  <c r="E54" i="188"/>
  <c r="G53" i="188"/>
  <c r="F53" i="188"/>
  <c r="E53" i="188"/>
  <c r="G52" i="188"/>
  <c r="F52" i="188"/>
  <c r="E52" i="188"/>
  <c r="G51" i="188"/>
  <c r="F51" i="188"/>
  <c r="E51" i="188"/>
  <c r="G50" i="188"/>
  <c r="F50" i="188"/>
  <c r="E50" i="188"/>
  <c r="F49" i="188"/>
  <c r="E49" i="188"/>
  <c r="P48" i="188"/>
  <c r="G48" i="188"/>
  <c r="F48" i="188"/>
  <c r="E48" i="188"/>
  <c r="G47" i="188"/>
  <c r="F47" i="188"/>
  <c r="E47" i="188"/>
  <c r="G46" i="188"/>
  <c r="F46" i="188"/>
  <c r="E46" i="188"/>
  <c r="G45" i="188"/>
  <c r="F45" i="188"/>
  <c r="E45" i="188"/>
  <c r="F44" i="188"/>
  <c r="E44" i="188"/>
  <c r="P43" i="188"/>
  <c r="P41" i="188"/>
  <c r="P47" i="188" s="1"/>
  <c r="M41" i="188"/>
  <c r="G68" i="188" s="1"/>
  <c r="J39" i="188"/>
  <c r="B39" i="188"/>
  <c r="J38" i="188"/>
  <c r="J40" i="188" s="1"/>
  <c r="D37" i="188"/>
  <c r="D36" i="188"/>
  <c r="D35" i="188"/>
  <c r="D34" i="188"/>
  <c r="P33" i="188"/>
  <c r="D33" i="188"/>
  <c r="P32" i="188"/>
  <c r="D32" i="188"/>
  <c r="B31" i="188"/>
  <c r="D31" i="188" s="1"/>
  <c r="D30" i="188"/>
  <c r="P29" i="188"/>
  <c r="D29" i="188"/>
  <c r="D28" i="188"/>
  <c r="G27" i="188"/>
  <c r="G25" i="188" s="1"/>
  <c r="D27" i="188"/>
  <c r="P26" i="188"/>
  <c r="G26" i="188"/>
  <c r="D26" i="188"/>
  <c r="D25" i="188"/>
  <c r="D24" i="188"/>
  <c r="D23" i="188"/>
  <c r="D22" i="188"/>
  <c r="D21" i="188"/>
  <c r="D20" i="188"/>
  <c r="D19" i="188"/>
  <c r="P18" i="188"/>
  <c r="P51" i="188" s="1"/>
  <c r="P53" i="188" s="1"/>
  <c r="M18" i="188"/>
  <c r="D18" i="188"/>
  <c r="M17" i="188"/>
  <c r="D17" i="188"/>
  <c r="M16" i="188"/>
  <c r="G16" i="188"/>
  <c r="G57" i="188"/>
  <c r="G15" i="188"/>
  <c r="G56" i="188"/>
  <c r="D14" i="188"/>
  <c r="M13" i="188"/>
  <c r="G2" i="188" s="1"/>
  <c r="G13" i="188"/>
  <c r="G54" i="188"/>
  <c r="G12" i="188"/>
  <c r="D12" i="188"/>
  <c r="P11" i="188"/>
  <c r="G3" i="188" s="1"/>
  <c r="M11" i="188"/>
  <c r="G11" i="188"/>
  <c r="D11" i="188"/>
  <c r="D10" i="188"/>
  <c r="D9" i="188"/>
  <c r="G49" i="188"/>
  <c r="D7" i="188"/>
  <c r="D6" i="188"/>
  <c r="D5" i="188"/>
  <c r="D4" i="188"/>
  <c r="D3" i="188"/>
  <c r="C27" i="187"/>
  <c r="C11" i="187"/>
  <c r="C16" i="187"/>
  <c r="B272" i="134"/>
  <c r="B267" i="134"/>
  <c r="B274" i="134" s="1"/>
  <c r="C3" i="187"/>
  <c r="M11" i="187"/>
  <c r="M18" i="187"/>
  <c r="M17" i="187"/>
  <c r="B7" i="6"/>
  <c r="B5" i="6"/>
  <c r="G13" i="187"/>
  <c r="M16" i="187"/>
  <c r="B290" i="134"/>
  <c r="B263" i="134"/>
  <c r="B268" i="134"/>
  <c r="B270" i="134"/>
  <c r="T299" i="134"/>
  <c r="O299" i="134"/>
  <c r="H299" i="134"/>
  <c r="T298" i="134"/>
  <c r="O298" i="134"/>
  <c r="H298" i="134"/>
  <c r="T297" i="134"/>
  <c r="O297" i="134"/>
  <c r="H297" i="134"/>
  <c r="T296" i="134"/>
  <c r="O296" i="134"/>
  <c r="H296" i="134"/>
  <c r="G296" i="134"/>
  <c r="T295" i="134"/>
  <c r="O295" i="134"/>
  <c r="H295" i="134"/>
  <c r="G295" i="134"/>
  <c r="T294" i="134"/>
  <c r="O294" i="134"/>
  <c r="H294" i="134"/>
  <c r="G294" i="134"/>
  <c r="T293" i="134"/>
  <c r="O293" i="134"/>
  <c r="H293" i="134"/>
  <c r="G293" i="134"/>
  <c r="T292" i="134"/>
  <c r="O292" i="134"/>
  <c r="H292" i="134"/>
  <c r="G292" i="134"/>
  <c r="B292" i="134"/>
  <c r="T291" i="134"/>
  <c r="O291" i="134"/>
  <c r="H291" i="134"/>
  <c r="G291" i="134"/>
  <c r="B291" i="134"/>
  <c r="T290" i="134"/>
  <c r="O290" i="134"/>
  <c r="H290" i="134"/>
  <c r="G290" i="134"/>
  <c r="T289" i="134"/>
  <c r="O289" i="134"/>
  <c r="H289" i="134"/>
  <c r="G289" i="134"/>
  <c r="B289" i="134"/>
  <c r="T288" i="134"/>
  <c r="O288" i="134"/>
  <c r="H288" i="134"/>
  <c r="G288" i="134"/>
  <c r="B288" i="134"/>
  <c r="T287" i="134"/>
  <c r="O287" i="134"/>
  <c r="H287" i="134"/>
  <c r="G287" i="134"/>
  <c r="B287" i="134"/>
  <c r="T286" i="134"/>
  <c r="O286" i="134"/>
  <c r="H286" i="134"/>
  <c r="G286" i="134"/>
  <c r="B286" i="134"/>
  <c r="T285" i="134"/>
  <c r="O285" i="134"/>
  <c r="H285" i="134"/>
  <c r="G285" i="134"/>
  <c r="B285" i="134"/>
  <c r="T284" i="134"/>
  <c r="O284" i="134"/>
  <c r="H284" i="134"/>
  <c r="G284" i="134"/>
  <c r="T283" i="134"/>
  <c r="O283" i="134"/>
  <c r="H283" i="134"/>
  <c r="G283" i="134"/>
  <c r="B283" i="134"/>
  <c r="T282" i="134"/>
  <c r="O282" i="134"/>
  <c r="H282" i="134"/>
  <c r="G282" i="134"/>
  <c r="B282" i="134"/>
  <c r="T281" i="134"/>
  <c r="O281" i="134"/>
  <c r="H281" i="134"/>
  <c r="G281" i="134"/>
  <c r="T280" i="134"/>
  <c r="O280" i="134"/>
  <c r="H280" i="134"/>
  <c r="G280" i="134"/>
  <c r="B280" i="134"/>
  <c r="T279" i="134"/>
  <c r="O279" i="134"/>
  <c r="H279" i="134"/>
  <c r="G279" i="134"/>
  <c r="T278" i="134"/>
  <c r="O278" i="134"/>
  <c r="H278" i="134"/>
  <c r="G278" i="134"/>
  <c r="T277" i="134"/>
  <c r="O277" i="134"/>
  <c r="H277" i="134"/>
  <c r="G277" i="134"/>
  <c r="T276" i="134"/>
  <c r="O276" i="134"/>
  <c r="H276" i="134"/>
  <c r="G276" i="134"/>
  <c r="T275" i="134"/>
  <c r="O275" i="134"/>
  <c r="H275" i="134"/>
  <c r="G275" i="134"/>
  <c r="T274" i="134"/>
  <c r="O274" i="134"/>
  <c r="H274" i="134"/>
  <c r="G274" i="134"/>
  <c r="T273" i="134"/>
  <c r="O273" i="134"/>
  <c r="H273" i="134"/>
  <c r="G273" i="134"/>
  <c r="B273" i="134"/>
  <c r="T272" i="134"/>
  <c r="O272" i="134"/>
  <c r="H272" i="134"/>
  <c r="G272" i="134"/>
  <c r="T271" i="134"/>
  <c r="O271" i="134"/>
  <c r="H271" i="134"/>
  <c r="G271" i="134"/>
  <c r="T270" i="134"/>
  <c r="O270" i="134"/>
  <c r="H270" i="134"/>
  <c r="G270" i="134"/>
  <c r="T269" i="134"/>
  <c r="O269" i="134"/>
  <c r="H269" i="134"/>
  <c r="G269" i="134"/>
  <c r="T268" i="134"/>
  <c r="O268" i="134"/>
  <c r="H268" i="134"/>
  <c r="G268" i="134"/>
  <c r="T267" i="134"/>
  <c r="O267" i="134"/>
  <c r="H267" i="134"/>
  <c r="G267" i="134"/>
  <c r="T266" i="134"/>
  <c r="O266" i="134"/>
  <c r="H266" i="134"/>
  <c r="G266" i="134"/>
  <c r="T265" i="134"/>
  <c r="O265" i="134"/>
  <c r="H265" i="134"/>
  <c r="G265" i="134"/>
  <c r="T264" i="134"/>
  <c r="O264" i="134"/>
  <c r="H264" i="134"/>
  <c r="G264" i="134"/>
  <c r="T263" i="134"/>
  <c r="O263" i="134"/>
  <c r="H263" i="134"/>
  <c r="G263" i="134"/>
  <c r="B284" i="134"/>
  <c r="T262" i="134"/>
  <c r="O262" i="134"/>
  <c r="H262" i="134"/>
  <c r="G262" i="134"/>
  <c r="T261" i="134"/>
  <c r="O261" i="134"/>
  <c r="H261" i="134"/>
  <c r="G261" i="134"/>
  <c r="T260" i="134"/>
  <c r="O260" i="134"/>
  <c r="H260" i="134"/>
  <c r="G260" i="134"/>
  <c r="T259" i="134"/>
  <c r="O259" i="134"/>
  <c r="H259" i="134"/>
  <c r="T258" i="134"/>
  <c r="O258" i="134"/>
  <c r="H258" i="134"/>
  <c r="W257" i="134"/>
  <c r="W258" i="134" s="1"/>
  <c r="W259" i="134" s="1"/>
  <c r="W260" i="134" s="1"/>
  <c r="W261" i="134" s="1"/>
  <c r="W262" i="134" s="1"/>
  <c r="W263" i="134" s="1"/>
  <c r="W264" i="134" s="1"/>
  <c r="W265" i="134" s="1"/>
  <c r="W266" i="134" s="1"/>
  <c r="W267" i="134" s="1"/>
  <c r="W268" i="134" s="1"/>
  <c r="W269" i="134" s="1"/>
  <c r="W270" i="134" s="1"/>
  <c r="W271" i="134" s="1"/>
  <c r="W272" i="134" s="1"/>
  <c r="W273" i="134" s="1"/>
  <c r="W274" i="134" s="1"/>
  <c r="W275" i="134" s="1"/>
  <c r="W276" i="134" s="1"/>
  <c r="W277" i="134" s="1"/>
  <c r="W278" i="134" s="1"/>
  <c r="W279" i="134" s="1"/>
  <c r="W280" i="134" s="1"/>
  <c r="W281" i="134" s="1"/>
  <c r="W282" i="134" s="1"/>
  <c r="W283" i="134" s="1"/>
  <c r="W284" i="134" s="1"/>
  <c r="W285" i="134" s="1"/>
  <c r="W286" i="134" s="1"/>
  <c r="W287" i="134" s="1"/>
  <c r="W288" i="134" s="1"/>
  <c r="W289" i="134" s="1"/>
  <c r="W290" i="134" s="1"/>
  <c r="W291" i="134" s="1"/>
  <c r="W292" i="134" s="1"/>
  <c r="W293" i="134" s="1"/>
  <c r="W294" i="134" s="1"/>
  <c r="W295" i="134" s="1"/>
  <c r="W296" i="134" s="1"/>
  <c r="W297" i="134" s="1"/>
  <c r="W298" i="134" s="1"/>
  <c r="W299" i="134" s="1"/>
  <c r="T257" i="134"/>
  <c r="O257" i="134"/>
  <c r="K257" i="134"/>
  <c r="K258" i="134" s="1"/>
  <c r="K259" i="134" s="1"/>
  <c r="K260" i="134" s="1"/>
  <c r="K261" i="134" s="1"/>
  <c r="K262" i="134" s="1"/>
  <c r="K263" i="134" s="1"/>
  <c r="K264" i="134" s="1"/>
  <c r="K265" i="134" s="1"/>
  <c r="K266" i="134" s="1"/>
  <c r="K267" i="134" s="1"/>
  <c r="K268" i="134" s="1"/>
  <c r="K269" i="134" s="1"/>
  <c r="K270" i="134" s="1"/>
  <c r="K271" i="134" s="1"/>
  <c r="K272" i="134" s="1"/>
  <c r="K273" i="134" s="1"/>
  <c r="K274" i="134" s="1"/>
  <c r="K275" i="134" s="1"/>
  <c r="K276" i="134" s="1"/>
  <c r="K277" i="134" s="1"/>
  <c r="K278" i="134" s="1"/>
  <c r="K279" i="134" s="1"/>
  <c r="K280" i="134" s="1"/>
  <c r="K281" i="134" s="1"/>
  <c r="K282" i="134" s="1"/>
  <c r="K283" i="134" s="1"/>
  <c r="K284" i="134" s="1"/>
  <c r="K285" i="134" s="1"/>
  <c r="K286" i="134" s="1"/>
  <c r="K287" i="134" s="1"/>
  <c r="K288" i="134" s="1"/>
  <c r="K289" i="134" s="1"/>
  <c r="K290" i="134" s="1"/>
  <c r="K291" i="134" s="1"/>
  <c r="K292" i="134" s="1"/>
  <c r="K293" i="134" s="1"/>
  <c r="K294" i="134" s="1"/>
  <c r="K295" i="134" s="1"/>
  <c r="K296" i="134" s="1"/>
  <c r="K297" i="134" s="1"/>
  <c r="K298" i="134" s="1"/>
  <c r="K299" i="134" s="1"/>
  <c r="L301" i="134" s="1"/>
  <c r="H257" i="134"/>
  <c r="F62" i="188" l="1"/>
  <c r="F64" i="188" s="1"/>
  <c r="B40" i="188"/>
  <c r="J26" i="188"/>
  <c r="J27" i="188"/>
  <c r="J29" i="188" s="1"/>
  <c r="G60" i="188"/>
  <c r="D13" i="188"/>
  <c r="D16" i="188"/>
  <c r="C39" i="188"/>
  <c r="C40" i="188" s="1"/>
  <c r="P36" i="188"/>
  <c r="G44" i="188"/>
  <c r="D8" i="188"/>
  <c r="D15" i="188"/>
  <c r="M19" i="188"/>
  <c r="M23" i="188" s="1"/>
  <c r="G7" i="188" s="1"/>
  <c r="G17" i="188" s="1"/>
  <c r="J23" i="188" s="1"/>
  <c r="D37" i="187"/>
  <c r="B276" i="134"/>
  <c r="B294" i="134"/>
  <c r="F20" i="188" l="1"/>
  <c r="H20" i="188" s="1"/>
  <c r="J19" i="188" s="1"/>
  <c r="D41" i="188"/>
  <c r="D39" i="188"/>
  <c r="G62" i="188"/>
  <c r="G64" i="188" s="1"/>
  <c r="G70" i="188" s="1"/>
  <c r="E18" i="186"/>
  <c r="C10" i="186"/>
  <c r="E10" i="186" s="1"/>
  <c r="C9" i="186"/>
  <c r="E14" i="186" l="1"/>
  <c r="B4" i="6"/>
  <c r="G16" i="187"/>
  <c r="G15" i="187"/>
  <c r="G11" i="187"/>
  <c r="G12" i="187"/>
  <c r="G13" i="185"/>
  <c r="D36" i="185"/>
  <c r="B37" i="185"/>
  <c r="C16" i="185"/>
  <c r="C15" i="185"/>
  <c r="C23" i="185"/>
  <c r="C30" i="185"/>
  <c r="B30" i="185"/>
  <c r="C21" i="185"/>
  <c r="G4" i="185"/>
  <c r="C2" i="187" l="1"/>
  <c r="B2" i="187"/>
  <c r="G60" i="187"/>
  <c r="F60" i="187"/>
  <c r="E60" i="187"/>
  <c r="G59" i="187"/>
  <c r="F59" i="187"/>
  <c r="E59" i="187"/>
  <c r="G58" i="187"/>
  <c r="F58" i="187"/>
  <c r="E58" i="187"/>
  <c r="G57" i="187"/>
  <c r="F57" i="187"/>
  <c r="E57" i="187"/>
  <c r="G56" i="187"/>
  <c r="F56" i="187"/>
  <c r="E56" i="187"/>
  <c r="P55" i="187"/>
  <c r="P57" i="187" s="1"/>
  <c r="G55" i="187"/>
  <c r="F55" i="187"/>
  <c r="E55" i="187"/>
  <c r="G54" i="187"/>
  <c r="F54" i="187"/>
  <c r="E54" i="187"/>
  <c r="G53" i="187"/>
  <c r="F53" i="187"/>
  <c r="E53" i="187"/>
  <c r="G52" i="187"/>
  <c r="F52" i="187"/>
  <c r="E52" i="187"/>
  <c r="G51" i="187"/>
  <c r="F51" i="187"/>
  <c r="E51" i="187"/>
  <c r="G50" i="187"/>
  <c r="F50" i="187"/>
  <c r="E50" i="187"/>
  <c r="G49" i="187"/>
  <c r="F49" i="187"/>
  <c r="E49" i="187"/>
  <c r="P48" i="187"/>
  <c r="G48" i="187"/>
  <c r="F48" i="187"/>
  <c r="E48" i="187"/>
  <c r="G47" i="187"/>
  <c r="F47" i="187"/>
  <c r="E47" i="187"/>
  <c r="G46" i="187"/>
  <c r="F46" i="187"/>
  <c r="E46" i="187"/>
  <c r="G45" i="187"/>
  <c r="F45" i="187"/>
  <c r="E45" i="187"/>
  <c r="G44" i="187"/>
  <c r="F44" i="187"/>
  <c r="E44" i="187"/>
  <c r="P43" i="187"/>
  <c r="P41" i="187"/>
  <c r="M41" i="187"/>
  <c r="G68" i="187" s="1"/>
  <c r="J39" i="187"/>
  <c r="C39" i="187"/>
  <c r="C40" i="187" s="1"/>
  <c r="J38" i="187"/>
  <c r="D36" i="187"/>
  <c r="D35" i="187"/>
  <c r="D34" i="187"/>
  <c r="P33" i="187"/>
  <c r="D33" i="187"/>
  <c r="P32" i="187"/>
  <c r="D32" i="187"/>
  <c r="B31" i="187"/>
  <c r="D31" i="187" s="1"/>
  <c r="D30" i="187"/>
  <c r="P29" i="187"/>
  <c r="D29" i="187"/>
  <c r="D28" i="187"/>
  <c r="G27" i="187"/>
  <c r="D27" i="187"/>
  <c r="P26" i="187"/>
  <c r="G26" i="187"/>
  <c r="D26" i="187"/>
  <c r="D25" i="187"/>
  <c r="D24" i="187"/>
  <c r="D23" i="187"/>
  <c r="D22" i="187"/>
  <c r="D21" i="187"/>
  <c r="D20" i="187"/>
  <c r="D19" i="187"/>
  <c r="P18" i="187"/>
  <c r="D18" i="187"/>
  <c r="D17" i="187"/>
  <c r="D16" i="187"/>
  <c r="D15" i="187"/>
  <c r="D14" i="187"/>
  <c r="M13" i="187"/>
  <c r="G2" i="187" s="1"/>
  <c r="D13" i="187"/>
  <c r="D12" i="187"/>
  <c r="P11" i="187"/>
  <c r="G3" i="187" s="1"/>
  <c r="D11" i="187"/>
  <c r="D10" i="187"/>
  <c r="D9" i="187"/>
  <c r="D8" i="187"/>
  <c r="D7" i="187"/>
  <c r="D6" i="187"/>
  <c r="D5" i="187"/>
  <c r="D4" i="187"/>
  <c r="D3" i="187"/>
  <c r="P47" i="187" l="1"/>
  <c r="J40" i="187"/>
  <c r="B39" i="187"/>
  <c r="B40" i="187" s="1"/>
  <c r="F20" i="187" s="1"/>
  <c r="H20" i="187" s="1"/>
  <c r="G25" i="187"/>
  <c r="M19" i="187"/>
  <c r="M23" i="187" s="1"/>
  <c r="G7" i="187" s="1"/>
  <c r="G17" i="187" s="1"/>
  <c r="J23" i="187" s="1"/>
  <c r="F62" i="187"/>
  <c r="F64" i="187" s="1"/>
  <c r="P36" i="187"/>
  <c r="G62" i="187"/>
  <c r="G64" i="187" s="1"/>
  <c r="D41" i="187"/>
  <c r="D39" i="187"/>
  <c r="P51" i="187"/>
  <c r="P53" i="187" s="1"/>
  <c r="G11" i="185"/>
  <c r="C27" i="185"/>
  <c r="G70" i="187" l="1"/>
  <c r="B3" i="6"/>
  <c r="J19" i="187"/>
  <c r="H3" i="115"/>
  <c r="C13" i="185" l="1"/>
  <c r="C11" i="185" l="1"/>
  <c r="C3" i="185" l="1"/>
  <c r="C8" i="185"/>
  <c r="C12" i="185"/>
  <c r="C18" i="185"/>
  <c r="C29" i="185" l="1"/>
  <c r="T1" i="13"/>
  <c r="T3" i="13" s="1"/>
  <c r="T8" i="13" s="1"/>
  <c r="T9" i="13" s="1"/>
  <c r="O5" i="13" s="1"/>
  <c r="M11" i="185"/>
  <c r="C24" i="185"/>
  <c r="C19" i="185" l="1"/>
  <c r="C28" i="185"/>
  <c r="E9" i="186"/>
  <c r="E4" i="186"/>
  <c r="E7" i="186"/>
  <c r="E3" i="186"/>
  <c r="E2" i="186"/>
  <c r="E5" i="186"/>
  <c r="C6" i="186"/>
  <c r="E6" i="186" s="1"/>
  <c r="E13" i="186"/>
  <c r="E8" i="186"/>
  <c r="E11" i="186"/>
  <c r="G12" i="185" l="1"/>
  <c r="G16" i="185"/>
  <c r="G15" i="185"/>
  <c r="E45" i="185"/>
  <c r="F45" i="185"/>
  <c r="G45" i="185"/>
  <c r="E46" i="185"/>
  <c r="F46" i="185"/>
  <c r="G46" i="185"/>
  <c r="E47" i="185"/>
  <c r="F47" i="185"/>
  <c r="G47" i="185"/>
  <c r="E48" i="185"/>
  <c r="F48" i="185"/>
  <c r="G48" i="185"/>
  <c r="E49" i="185"/>
  <c r="F49" i="185"/>
  <c r="G49" i="185"/>
  <c r="E50" i="185"/>
  <c r="F50" i="185"/>
  <c r="G50" i="185"/>
  <c r="E51" i="185"/>
  <c r="F51" i="185"/>
  <c r="G51" i="185"/>
  <c r="E52" i="185"/>
  <c r="F52" i="185"/>
  <c r="G52" i="185"/>
  <c r="E53" i="185"/>
  <c r="F53" i="185"/>
  <c r="G53" i="185"/>
  <c r="E54" i="185"/>
  <c r="F54" i="185"/>
  <c r="G54" i="185"/>
  <c r="E55" i="185"/>
  <c r="F55" i="185"/>
  <c r="G55" i="185"/>
  <c r="E56" i="185"/>
  <c r="F56" i="185"/>
  <c r="G56" i="185"/>
  <c r="E57" i="185"/>
  <c r="F57" i="185"/>
  <c r="G57" i="185"/>
  <c r="E58" i="185"/>
  <c r="F58" i="185"/>
  <c r="G58" i="185"/>
  <c r="E59" i="185"/>
  <c r="F59" i="185"/>
  <c r="G59" i="185"/>
  <c r="E60" i="185"/>
  <c r="F60" i="185"/>
  <c r="G60" i="185"/>
  <c r="F44" i="185"/>
  <c r="G44" i="185"/>
  <c r="E44" i="185"/>
  <c r="M41" i="185"/>
  <c r="G6" i="184"/>
  <c r="M19" i="185" l="1"/>
  <c r="G68" i="185"/>
  <c r="F62" i="185"/>
  <c r="F64" i="185" s="1"/>
  <c r="G62" i="185"/>
  <c r="G64" i="185" s="1"/>
  <c r="C35" i="184"/>
  <c r="C20" i="184"/>
  <c r="C27" i="184"/>
  <c r="C9" i="184"/>
  <c r="C10" i="184"/>
  <c r="C15" i="184"/>
  <c r="G70" i="185" l="1"/>
  <c r="C28" i="184"/>
  <c r="C34" i="184"/>
  <c r="C26" i="184"/>
  <c r="B26" i="184"/>
  <c r="C2" i="185" l="1"/>
  <c r="B2" i="185"/>
  <c r="P55" i="185"/>
  <c r="P57" i="185" s="1"/>
  <c r="P48" i="185"/>
  <c r="P43" i="185"/>
  <c r="P41" i="185"/>
  <c r="J39" i="185"/>
  <c r="J38" i="185"/>
  <c r="D19" i="185"/>
  <c r="D18" i="185"/>
  <c r="D17" i="185"/>
  <c r="P33" i="185"/>
  <c r="D37" i="185"/>
  <c r="P32" i="185"/>
  <c r="D35" i="185"/>
  <c r="D34" i="185"/>
  <c r="D33" i="185"/>
  <c r="P29" i="185"/>
  <c r="D32" i="185"/>
  <c r="D16" i="185"/>
  <c r="G27" i="185"/>
  <c r="B31" i="185"/>
  <c r="D31" i="185" s="1"/>
  <c r="P26" i="185"/>
  <c r="G26" i="185"/>
  <c r="D30" i="185"/>
  <c r="D29" i="185"/>
  <c r="D28" i="185"/>
  <c r="D15" i="185"/>
  <c r="D14" i="185"/>
  <c r="D27" i="185"/>
  <c r="D13" i="185"/>
  <c r="D26" i="185"/>
  <c r="P18" i="185"/>
  <c r="D25" i="185"/>
  <c r="M23" i="185"/>
  <c r="G7" i="185" s="1"/>
  <c r="D24" i="185"/>
  <c r="D23" i="185"/>
  <c r="D11" i="185"/>
  <c r="D10" i="185"/>
  <c r="D9" i="185"/>
  <c r="P11" i="185"/>
  <c r="G3" i="185" s="1"/>
  <c r="M13" i="185"/>
  <c r="G2" i="185" s="1"/>
  <c r="D22" i="185"/>
  <c r="D8" i="185"/>
  <c r="D21" i="185"/>
  <c r="D7" i="185"/>
  <c r="D6" i="185"/>
  <c r="D5" i="185"/>
  <c r="D4" i="185"/>
  <c r="D20" i="185"/>
  <c r="C39" i="185"/>
  <c r="P47" i="185" l="1"/>
  <c r="J40" i="185"/>
  <c r="G17" i="185"/>
  <c r="P36" i="185"/>
  <c r="P51" i="185"/>
  <c r="P53" i="185" s="1"/>
  <c r="G25" i="185"/>
  <c r="C40" i="185"/>
  <c r="B39" i="185"/>
  <c r="B40" i="185" s="1"/>
  <c r="D3" i="185"/>
  <c r="D12" i="185"/>
  <c r="C3" i="184"/>
  <c r="B3" i="184"/>
  <c r="D39" i="185" l="1"/>
  <c r="D41" i="185"/>
  <c r="J23" i="185"/>
  <c r="F20" i="185"/>
  <c r="H20" i="185" s="1"/>
  <c r="J19" i="185" s="1"/>
  <c r="B25" i="184"/>
  <c r="C25" i="184"/>
  <c r="C17" i="184" l="1"/>
  <c r="C14" i="184"/>
  <c r="G12" i="184" l="1"/>
  <c r="M16" i="184" l="1"/>
  <c r="M11" i="184"/>
  <c r="B15" i="184" l="1"/>
  <c r="G60" i="184"/>
  <c r="F60" i="184"/>
  <c r="E60" i="184"/>
  <c r="C23" i="184" l="1"/>
  <c r="E54" i="184" s="1" a="1"/>
  <c r="E54" i="184" s="1"/>
  <c r="M48" i="184"/>
  <c r="C36" i="184" l="1"/>
  <c r="M47" i="184" l="1"/>
  <c r="C21" i="184"/>
  <c r="M59" i="184" l="1"/>
  <c r="G67" i="184" l="1"/>
  <c r="G15" i="184" l="1"/>
  <c r="G16" i="184"/>
  <c r="G10" i="183"/>
  <c r="C15" i="183"/>
  <c r="D36" i="184" l="1"/>
  <c r="C23" i="183"/>
  <c r="C35" i="183"/>
  <c r="G6" i="183"/>
  <c r="E57" i="184" a="1"/>
  <c r="E57" i="184" s="1"/>
  <c r="E56" i="184" a="1"/>
  <c r="E56" i="184" s="1"/>
  <c r="E53" i="184" a="1"/>
  <c r="E53" i="184" s="1"/>
  <c r="E52" i="184" a="1"/>
  <c r="E52" i="184" s="1"/>
  <c r="E49" i="184" a="1"/>
  <c r="E49" i="184" s="1"/>
  <c r="E48" i="184" a="1"/>
  <c r="E48" i="184" s="1"/>
  <c r="E44" i="184" a="1"/>
  <c r="E44" i="184" s="1"/>
  <c r="E43" i="184" a="1"/>
  <c r="E43" i="184" s="1"/>
  <c r="H69" i="183"/>
  <c r="G69" i="183"/>
  <c r="F57" i="183" a="1"/>
  <c r="F57" i="183" s="1"/>
  <c r="F51" i="183" a="1"/>
  <c r="F51" i="183" s="1"/>
  <c r="F44" i="183" a="1"/>
  <c r="F44" i="183" s="1"/>
  <c r="C26" i="183"/>
  <c r="P2" i="183"/>
  <c r="D19" i="184"/>
  <c r="C28" i="183"/>
  <c r="M54" i="183" s="1"/>
  <c r="C27" i="183"/>
  <c r="C2" i="184"/>
  <c r="B2" i="184"/>
  <c r="B45" i="184"/>
  <c r="P43" i="184"/>
  <c r="P41" i="184"/>
  <c r="P55" i="184" s="1"/>
  <c r="J39" i="184"/>
  <c r="J38" i="184"/>
  <c r="D35" i="184"/>
  <c r="D34" i="184"/>
  <c r="P33" i="184"/>
  <c r="D33" i="184"/>
  <c r="P32" i="184"/>
  <c r="D32" i="184"/>
  <c r="D31" i="184"/>
  <c r="D30" i="184"/>
  <c r="P29" i="184"/>
  <c r="P48" i="184" s="1"/>
  <c r="D29" i="184"/>
  <c r="G27" i="184"/>
  <c r="B27" i="184"/>
  <c r="D27" i="184" s="1"/>
  <c r="P26" i="184"/>
  <c r="G26" i="184"/>
  <c r="D26" i="184"/>
  <c r="D25" i="184"/>
  <c r="D24" i="184"/>
  <c r="M23" i="184"/>
  <c r="G7" i="184" s="1"/>
  <c r="D23" i="184"/>
  <c r="D22" i="184"/>
  <c r="D21" i="184"/>
  <c r="D20" i="184"/>
  <c r="P18" i="184"/>
  <c r="D18" i="184"/>
  <c r="D17" i="184"/>
  <c r="D16" i="184"/>
  <c r="B47" i="184"/>
  <c r="D14" i="184"/>
  <c r="D13" i="184"/>
  <c r="D12" i="184"/>
  <c r="P11" i="184"/>
  <c r="G3" i="184" s="1"/>
  <c r="D11" i="184"/>
  <c r="D10" i="184"/>
  <c r="D9" i="184"/>
  <c r="D8" i="184"/>
  <c r="D7" i="184"/>
  <c r="D6" i="184"/>
  <c r="D5" i="184"/>
  <c r="D4" i="184"/>
  <c r="D3" i="184"/>
  <c r="C37" i="184"/>
  <c r="M56" i="183"/>
  <c r="L56" i="183"/>
  <c r="L55" i="183" a="1"/>
  <c r="L55" i="183" s="1"/>
  <c r="L54" i="183"/>
  <c r="L53" i="183" a="1"/>
  <c r="L53" i="183" s="1"/>
  <c r="L52" i="183" a="1"/>
  <c r="L52" i="183" s="1"/>
  <c r="L51" i="183" a="1"/>
  <c r="L51" i="183" s="1"/>
  <c r="L49" i="183" a="1"/>
  <c r="L49" i="183" s="1"/>
  <c r="L48" i="183" a="1"/>
  <c r="L48" i="183" s="1"/>
  <c r="L45" i="183" a="1"/>
  <c r="L45" i="183" s="1"/>
  <c r="L44" i="183" a="1"/>
  <c r="L44" i="183" s="1"/>
  <c r="L40" i="183" a="1"/>
  <c r="L40" i="183" s="1"/>
  <c r="L39" i="183" a="1"/>
  <c r="L39" i="183" s="1"/>
  <c r="L38" i="183" a="1"/>
  <c r="L38" i="183" s="1"/>
  <c r="C32" i="183"/>
  <c r="F56" i="183" s="1" a="1"/>
  <c r="F56" i="183" s="1"/>
  <c r="B26" i="183"/>
  <c r="I5" i="183"/>
  <c r="G4" i="183"/>
  <c r="G25" i="184" l="1"/>
  <c r="C38" i="184"/>
  <c r="P51" i="184"/>
  <c r="P53" i="184" s="1"/>
  <c r="P47" i="184"/>
  <c r="J40" i="184"/>
  <c r="M13" i="184"/>
  <c r="G2" i="184" s="1"/>
  <c r="G17" i="184" s="1"/>
  <c r="J23" i="184" s="1"/>
  <c r="F55" i="183" a="1"/>
  <c r="F55" i="183" s="1"/>
  <c r="M41" i="183"/>
  <c r="P57" i="184"/>
  <c r="M58" i="183"/>
  <c r="M59" i="183" s="1"/>
  <c r="B37" i="184"/>
  <c r="B38" i="184" s="1"/>
  <c r="D28" i="184"/>
  <c r="D15" i="184"/>
  <c r="P36" i="184"/>
  <c r="M61" i="183" l="1"/>
  <c r="D39" i="184"/>
  <c r="F20" i="184"/>
  <c r="H20" i="184" s="1"/>
  <c r="J19" i="184" s="1"/>
  <c r="C3" i="183"/>
  <c r="F43" i="183" s="1" a="1"/>
  <c r="C22" i="183"/>
  <c r="F53" i="183" s="1" a="1"/>
  <c r="F53" i="183" s="1"/>
  <c r="F43" i="183" l="1"/>
  <c r="C10" i="183"/>
  <c r="F48" i="183" s="1" a="1"/>
  <c r="F48" i="183" s="1"/>
  <c r="C25" i="183"/>
  <c r="C20" i="183" l="1"/>
  <c r="F52" i="183" s="1" a="1"/>
  <c r="F52" i="183" s="1"/>
  <c r="M7" i="183"/>
  <c r="C14" i="183" l="1"/>
  <c r="F49" i="183" s="1" a="1"/>
  <c r="M6" i="183"/>
  <c r="C9" i="183"/>
  <c r="C21" i="183"/>
  <c r="I14" i="13"/>
  <c r="K14" i="13" s="1"/>
  <c r="I15" i="13"/>
  <c r="K15" i="13" s="1"/>
  <c r="I16" i="13"/>
  <c r="K16" i="13" s="1"/>
  <c r="I17" i="13"/>
  <c r="K17" i="13" s="1"/>
  <c r="I13" i="13"/>
  <c r="K13" i="13" s="1"/>
  <c r="J8" i="13"/>
  <c r="K8" i="13"/>
  <c r="J5" i="13"/>
  <c r="K5" i="13"/>
  <c r="J6" i="13"/>
  <c r="K6" i="13"/>
  <c r="J7" i="13"/>
  <c r="K7" i="13"/>
  <c r="K4" i="13"/>
  <c r="J4" i="13"/>
  <c r="C40" i="122"/>
  <c r="K19" i="13" l="1"/>
  <c r="O3" i="13" s="1"/>
  <c r="O6" i="13" s="1"/>
  <c r="O14" i="13" s="1"/>
  <c r="F49" i="183"/>
  <c r="H59" i="183"/>
  <c r="H61" i="183" s="1"/>
  <c r="H71" i="183" s="1"/>
  <c r="G59" i="183"/>
  <c r="G61" i="183" s="1"/>
  <c r="K9" i="13"/>
  <c r="J9" i="13"/>
  <c r="G12" i="183"/>
  <c r="C31" i="183"/>
  <c r="D31" i="183" s="1"/>
  <c r="G15" i="183"/>
  <c r="C30" i="183"/>
  <c r="D30" i="183" s="1"/>
  <c r="C19" i="183"/>
  <c r="D19" i="183" s="1"/>
  <c r="G16" i="183"/>
  <c r="C18" i="183"/>
  <c r="D18" i="183" s="1"/>
  <c r="C11" i="183"/>
  <c r="C36" i="183"/>
  <c r="D36" i="183" s="1"/>
  <c r="P43" i="183"/>
  <c r="P41" i="183"/>
  <c r="J39" i="183"/>
  <c r="J38" i="183"/>
  <c r="D35" i="183"/>
  <c r="D34" i="183"/>
  <c r="P33" i="183"/>
  <c r="D33" i="183"/>
  <c r="P32" i="183"/>
  <c r="D32" i="183"/>
  <c r="P29" i="183"/>
  <c r="D29" i="183"/>
  <c r="D28" i="183"/>
  <c r="G27" i="183"/>
  <c r="B27" i="183"/>
  <c r="D27" i="183" s="1"/>
  <c r="P26" i="183"/>
  <c r="G26" i="183"/>
  <c r="D26" i="183"/>
  <c r="D25" i="183"/>
  <c r="D24" i="183"/>
  <c r="M23" i="183"/>
  <c r="G7" i="183" s="1"/>
  <c r="D23" i="183"/>
  <c r="D22" i="183"/>
  <c r="D21" i="183"/>
  <c r="D20" i="183"/>
  <c r="P18" i="183"/>
  <c r="D17" i="183"/>
  <c r="D16" i="183"/>
  <c r="B15" i="183"/>
  <c r="D14" i="183"/>
  <c r="D13" i="183"/>
  <c r="D12" i="183"/>
  <c r="P11" i="183"/>
  <c r="G3" i="183" s="1"/>
  <c r="D10" i="183"/>
  <c r="D9" i="183"/>
  <c r="D8" i="183"/>
  <c r="D7" i="183"/>
  <c r="M13" i="183"/>
  <c r="G2" i="183" s="1"/>
  <c r="D6" i="183"/>
  <c r="D5" i="183"/>
  <c r="D4" i="183"/>
  <c r="D3" i="183"/>
  <c r="G11" i="182"/>
  <c r="G13" i="182"/>
  <c r="D35" i="122"/>
  <c r="G1" i="182"/>
  <c r="C35" i="182"/>
  <c r="D35" i="182" s="1"/>
  <c r="C32" i="182"/>
  <c r="D32" i="182" s="1"/>
  <c r="C28" i="182"/>
  <c r="D28" i="182" s="1"/>
  <c r="C27" i="182"/>
  <c r="C26" i="182"/>
  <c r="D26" i="182" s="1"/>
  <c r="C20" i="182"/>
  <c r="D20" i="182" s="1"/>
  <c r="C15" i="182"/>
  <c r="C10" i="182"/>
  <c r="D10" i="182" s="1"/>
  <c r="C9" i="182"/>
  <c r="D9" i="182" s="1"/>
  <c r="G8" i="182"/>
  <c r="G5" i="182"/>
  <c r="C14" i="182"/>
  <c r="D14" i="182" s="1"/>
  <c r="C3" i="182"/>
  <c r="G6" i="182"/>
  <c r="M6" i="182"/>
  <c r="M13" i="182" s="1"/>
  <c r="G2" i="182" s="1"/>
  <c r="B3" i="182"/>
  <c r="B22" i="182"/>
  <c r="D22" i="182" s="1"/>
  <c r="C21" i="182"/>
  <c r="C25" i="182"/>
  <c r="D25" i="182" s="1"/>
  <c r="G27" i="182"/>
  <c r="D34" i="182"/>
  <c r="C5" i="182"/>
  <c r="D5" i="182" s="1"/>
  <c r="G16" i="182"/>
  <c r="G15" i="182"/>
  <c r="G12" i="182"/>
  <c r="C31" i="182"/>
  <c r="D31" i="182" s="1"/>
  <c r="C2" i="182"/>
  <c r="B2" i="182"/>
  <c r="P2" i="181"/>
  <c r="C21" i="181"/>
  <c r="G5" i="181"/>
  <c r="C35" i="181"/>
  <c r="D35" i="181" s="1"/>
  <c r="C27" i="181"/>
  <c r="C28" i="181"/>
  <c r="D28" i="181" s="1"/>
  <c r="C10" i="181"/>
  <c r="D10" i="181" s="1"/>
  <c r="D36" i="182"/>
  <c r="B15" i="182"/>
  <c r="P43" i="182"/>
  <c r="P41" i="182"/>
  <c r="J39" i="182"/>
  <c r="J38" i="182"/>
  <c r="P33" i="182"/>
  <c r="D33" i="182"/>
  <c r="P32" i="182"/>
  <c r="D30" i="182"/>
  <c r="P29" i="182"/>
  <c r="D29" i="182"/>
  <c r="B27" i="182"/>
  <c r="P26" i="182"/>
  <c r="G26" i="182"/>
  <c r="D24" i="182"/>
  <c r="M23" i="182"/>
  <c r="G7" i="182" s="1"/>
  <c r="D23" i="182"/>
  <c r="B21" i="182"/>
  <c r="D19" i="182"/>
  <c r="P18" i="182"/>
  <c r="D18" i="182"/>
  <c r="D17" i="182"/>
  <c r="D16" i="182"/>
  <c r="D13" i="182"/>
  <c r="D12" i="182"/>
  <c r="P11" i="182"/>
  <c r="G3" i="182" s="1"/>
  <c r="D11" i="182"/>
  <c r="D8" i="182"/>
  <c r="D7" i="182"/>
  <c r="D6" i="182"/>
  <c r="G4" i="182"/>
  <c r="D4" i="182"/>
  <c r="C26" i="181"/>
  <c r="D26" i="181" s="1"/>
  <c r="C32" i="181"/>
  <c r="D32" i="181" s="1"/>
  <c r="C3" i="181"/>
  <c r="C20" i="181"/>
  <c r="D20" i="181" s="1"/>
  <c r="G4" i="181"/>
  <c r="M6" i="181"/>
  <c r="M13" i="181" s="1"/>
  <c r="G2" i="181" s="1"/>
  <c r="C25" i="181"/>
  <c r="D25" i="181" s="1"/>
  <c r="G27" i="181"/>
  <c r="G13" i="181"/>
  <c r="C14" i="181"/>
  <c r="D14" i="181" s="1"/>
  <c r="C34" i="181"/>
  <c r="D34" i="181" s="1"/>
  <c r="C29" i="181"/>
  <c r="D29" i="181" s="1"/>
  <c r="C23" i="181"/>
  <c r="D23" i="181" s="1"/>
  <c r="G8" i="181"/>
  <c r="G12" i="181"/>
  <c r="G26" i="181"/>
  <c r="G16" i="181"/>
  <c r="C18" i="181"/>
  <c r="D18" i="181" s="1"/>
  <c r="G15" i="181"/>
  <c r="P7" i="180"/>
  <c r="C35" i="180"/>
  <c r="C27" i="180"/>
  <c r="C9" i="181"/>
  <c r="D9" i="181" s="1"/>
  <c r="G16" i="180"/>
  <c r="C2" i="181"/>
  <c r="B2" i="181"/>
  <c r="G13" i="180"/>
  <c r="L29" i="122"/>
  <c r="L27" i="122"/>
  <c r="M36" i="122"/>
  <c r="P25" i="122"/>
  <c r="P36" i="122" s="1"/>
  <c r="O25" i="122"/>
  <c r="O36" i="122" s="1"/>
  <c r="N24" i="122"/>
  <c r="N36" i="122" s="1"/>
  <c r="P42" i="181"/>
  <c r="P40" i="181"/>
  <c r="J38" i="181"/>
  <c r="J37" i="181"/>
  <c r="P33" i="181"/>
  <c r="D33" i="181"/>
  <c r="P32" i="181"/>
  <c r="D31" i="181"/>
  <c r="D30" i="181"/>
  <c r="P29" i="181"/>
  <c r="B27" i="181"/>
  <c r="P26" i="181"/>
  <c r="D24" i="181"/>
  <c r="M23" i="181"/>
  <c r="G7" i="181" s="1"/>
  <c r="D22" i="181"/>
  <c r="B21" i="181"/>
  <c r="D19" i="181"/>
  <c r="P18" i="181"/>
  <c r="D17" i="181"/>
  <c r="D16" i="181"/>
  <c r="D15" i="181"/>
  <c r="D13" i="181"/>
  <c r="D12" i="181"/>
  <c r="D11" i="181"/>
  <c r="D8" i="181"/>
  <c r="D7" i="181"/>
  <c r="D6" i="181"/>
  <c r="D5" i="181"/>
  <c r="D4" i="181"/>
  <c r="P11" i="181"/>
  <c r="G3" i="181" s="1"/>
  <c r="G6" i="180"/>
  <c r="C28" i="180"/>
  <c r="C10" i="180"/>
  <c r="C3" i="180"/>
  <c r="C5" i="136"/>
  <c r="C20" i="180"/>
  <c r="P29" i="180"/>
  <c r="P33" i="180"/>
  <c r="P18" i="180"/>
  <c r="P6" i="180"/>
  <c r="G4" i="180"/>
  <c r="C14" i="180"/>
  <c r="P48" i="183" l="1"/>
  <c r="P48" i="182"/>
  <c r="L36" i="122"/>
  <c r="P55" i="182"/>
  <c r="P57" i="182" s="1"/>
  <c r="B36" i="181"/>
  <c r="P55" i="183"/>
  <c r="P57" i="183" s="1"/>
  <c r="P47" i="181"/>
  <c r="D27" i="182"/>
  <c r="P50" i="181"/>
  <c r="P52" i="181" s="1"/>
  <c r="D3" i="182"/>
  <c r="C37" i="183"/>
  <c r="C38" i="183" s="1"/>
  <c r="P46" i="181"/>
  <c r="D11" i="183"/>
  <c r="J40" i="183"/>
  <c r="B37" i="181"/>
  <c r="P54" i="181"/>
  <c r="P56" i="181" s="1"/>
  <c r="P36" i="183"/>
  <c r="B47" i="183"/>
  <c r="B45" i="183"/>
  <c r="D15" i="182"/>
  <c r="B37" i="182"/>
  <c r="D15" i="183"/>
  <c r="D39" i="183" s="1"/>
  <c r="P51" i="183"/>
  <c r="P53" i="183" s="1"/>
  <c r="J39" i="181"/>
  <c r="P47" i="183"/>
  <c r="G25" i="183"/>
  <c r="G17" i="183"/>
  <c r="J23" i="183" s="1"/>
  <c r="B37" i="183"/>
  <c r="B38" i="183" s="1"/>
  <c r="G17" i="182"/>
  <c r="G25" i="182"/>
  <c r="C37" i="182"/>
  <c r="C38" i="182" s="1"/>
  <c r="P47" i="182"/>
  <c r="P36" i="182"/>
  <c r="D21" i="182"/>
  <c r="J40" i="182"/>
  <c r="B38" i="182"/>
  <c r="P51" i="182"/>
  <c r="P53" i="182" s="1"/>
  <c r="D27" i="181"/>
  <c r="G25" i="181"/>
  <c r="C36" i="181"/>
  <c r="C37" i="181" s="1"/>
  <c r="N39" i="122"/>
  <c r="G17" i="181"/>
  <c r="D3" i="181"/>
  <c r="D21" i="181"/>
  <c r="P35" i="181"/>
  <c r="C21" i="180"/>
  <c r="D35" i="180"/>
  <c r="C23" i="180"/>
  <c r="D23" i="180" s="1"/>
  <c r="D19" i="180"/>
  <c r="D10" i="180"/>
  <c r="C9" i="180"/>
  <c r="D9" i="180" s="1"/>
  <c r="C25" i="180"/>
  <c r="D25" i="180" s="1"/>
  <c r="C26" i="180"/>
  <c r="D26" i="180" s="1"/>
  <c r="G27" i="180"/>
  <c r="B3" i="136"/>
  <c r="B4" i="136" s="1"/>
  <c r="C4" i="136" s="1"/>
  <c r="C8" i="136" s="1"/>
  <c r="C9" i="136" s="1"/>
  <c r="K10" i="136"/>
  <c r="G10" i="136"/>
  <c r="P42" i="180"/>
  <c r="P26" i="180"/>
  <c r="P32" i="180"/>
  <c r="P2" i="180"/>
  <c r="P40" i="180"/>
  <c r="C26" i="122"/>
  <c r="B26" i="122"/>
  <c r="D3" i="180"/>
  <c r="P47" i="180"/>
  <c r="M13" i="180"/>
  <c r="G2" i="180" s="1"/>
  <c r="G12" i="180"/>
  <c r="G15" i="180"/>
  <c r="C2" i="180"/>
  <c r="B2" i="180"/>
  <c r="D14" i="180"/>
  <c r="C26" i="179"/>
  <c r="C27" i="179"/>
  <c r="B29" i="179"/>
  <c r="B28" i="179"/>
  <c r="C28" i="179"/>
  <c r="C35" i="179"/>
  <c r="C25" i="179"/>
  <c r="D29" i="180"/>
  <c r="J38" i="180"/>
  <c r="J37" i="180"/>
  <c r="J39" i="180" s="1"/>
  <c r="D34" i="180"/>
  <c r="D33" i="180"/>
  <c r="D32" i="180"/>
  <c r="D31" i="180"/>
  <c r="D30" i="180"/>
  <c r="D28" i="180"/>
  <c r="B27" i="180"/>
  <c r="D27" i="180" s="1"/>
  <c r="G26" i="180"/>
  <c r="D24" i="180"/>
  <c r="M23" i="180"/>
  <c r="G7" i="180" s="1"/>
  <c r="D22" i="180"/>
  <c r="B21" i="180"/>
  <c r="D21" i="180" s="1"/>
  <c r="D18" i="180"/>
  <c r="D17" i="180"/>
  <c r="D16" i="180"/>
  <c r="D15" i="180"/>
  <c r="D13" i="180"/>
  <c r="D12" i="180"/>
  <c r="P11" i="180"/>
  <c r="G3" i="180" s="1"/>
  <c r="D11" i="180"/>
  <c r="D8" i="180"/>
  <c r="D7" i="180"/>
  <c r="D6" i="180"/>
  <c r="D5" i="180"/>
  <c r="D4" i="180"/>
  <c r="C9" i="179"/>
  <c r="C3" i="179"/>
  <c r="G13" i="179"/>
  <c r="B20" i="179"/>
  <c r="C20" i="179"/>
  <c r="G4" i="179"/>
  <c r="C14" i="179"/>
  <c r="C10" i="179"/>
  <c r="G12" i="179"/>
  <c r="C7" i="179"/>
  <c r="C23" i="179"/>
  <c r="G6" i="179"/>
  <c r="C21" i="179"/>
  <c r="D39" i="182" l="1"/>
  <c r="J23" i="182"/>
  <c r="F20" i="183"/>
  <c r="H20" i="183" s="1"/>
  <c r="J19" i="183" s="1"/>
  <c r="B36" i="180"/>
  <c r="B37" i="180" s="1"/>
  <c r="G25" i="180"/>
  <c r="F20" i="182"/>
  <c r="H20" i="182" s="1"/>
  <c r="J19" i="182" s="1"/>
  <c r="D38" i="181"/>
  <c r="J23" i="181"/>
  <c r="F20" i="181"/>
  <c r="H20" i="181" s="1"/>
  <c r="J19" i="181" s="1"/>
  <c r="G7" i="136"/>
  <c r="P46" i="180"/>
  <c r="G8" i="180" s="1"/>
  <c r="G17" i="180" s="1"/>
  <c r="P54" i="180"/>
  <c r="P56" i="180" s="1"/>
  <c r="P50" i="180"/>
  <c r="P52" i="180" s="1"/>
  <c r="C36" i="180"/>
  <c r="C37" i="180" s="1"/>
  <c r="P35" i="180"/>
  <c r="D20" i="180"/>
  <c r="D38" i="180" s="1"/>
  <c r="B27" i="179"/>
  <c r="D27" i="179" s="1"/>
  <c r="D39" i="122"/>
  <c r="D33" i="122"/>
  <c r="G15" i="179"/>
  <c r="G16" i="179"/>
  <c r="B35" i="179"/>
  <c r="D35" i="179" s="1"/>
  <c r="C2" i="179"/>
  <c r="B2" i="179"/>
  <c r="C25" i="178"/>
  <c r="D25" i="178" s="1"/>
  <c r="C27" i="178"/>
  <c r="C35" i="178"/>
  <c r="D35" i="178" s="1"/>
  <c r="C10" i="178"/>
  <c r="D10" i="178" s="1"/>
  <c r="C23" i="178"/>
  <c r="D23" i="178" s="1"/>
  <c r="C9" i="178"/>
  <c r="D9" i="178" s="1"/>
  <c r="C28" i="178"/>
  <c r="D28" i="178" s="1"/>
  <c r="M11" i="178"/>
  <c r="J38" i="179"/>
  <c r="J37" i="179"/>
  <c r="D34" i="179"/>
  <c r="D33" i="179"/>
  <c r="D32" i="179"/>
  <c r="D31" i="179"/>
  <c r="D30" i="179"/>
  <c r="D29" i="179"/>
  <c r="D28" i="179"/>
  <c r="P27" i="179"/>
  <c r="G27" i="179"/>
  <c r="G26" i="179"/>
  <c r="D26" i="179"/>
  <c r="D25" i="179"/>
  <c r="P24" i="179"/>
  <c r="D24" i="179"/>
  <c r="P23" i="179"/>
  <c r="D23" i="179"/>
  <c r="D22" i="179"/>
  <c r="P21" i="179"/>
  <c r="B21" i="179"/>
  <c r="D20" i="179"/>
  <c r="P19" i="179"/>
  <c r="D19" i="179"/>
  <c r="D18" i="179"/>
  <c r="P17" i="179"/>
  <c r="D17" i="179"/>
  <c r="M23" i="179"/>
  <c r="G7" i="179" s="1"/>
  <c r="D16" i="179"/>
  <c r="D15" i="179"/>
  <c r="D14" i="179"/>
  <c r="D13" i="179"/>
  <c r="D12" i="179"/>
  <c r="P11" i="179"/>
  <c r="G3" i="179" s="1"/>
  <c r="D11" i="179"/>
  <c r="D10" i="179"/>
  <c r="D9" i="179"/>
  <c r="D8" i="179"/>
  <c r="D7" i="179"/>
  <c r="D6" i="179"/>
  <c r="D5" i="179"/>
  <c r="D4" i="179"/>
  <c r="G13" i="178"/>
  <c r="D27" i="122"/>
  <c r="D28" i="122"/>
  <c r="D29" i="122"/>
  <c r="D30" i="122"/>
  <c r="D32" i="122"/>
  <c r="D34" i="122"/>
  <c r="D38" i="122"/>
  <c r="D40" i="122"/>
  <c r="D41" i="122"/>
  <c r="D26" i="122"/>
  <c r="C31" i="122"/>
  <c r="C42" i="122" s="1"/>
  <c r="C21" i="178"/>
  <c r="M18" i="178"/>
  <c r="M16" i="178"/>
  <c r="E41" i="122"/>
  <c r="C17" i="178"/>
  <c r="D17" i="178" s="1"/>
  <c r="C20" i="178"/>
  <c r="D20" i="178" s="1"/>
  <c r="M8" i="178"/>
  <c r="C3" i="178"/>
  <c r="D3" i="178" s="1"/>
  <c r="N4" i="122"/>
  <c r="L4" i="122"/>
  <c r="L5" i="122" s="1"/>
  <c r="N2" i="122"/>
  <c r="L2" i="122"/>
  <c r="L3" i="122" s="1"/>
  <c r="C34" i="178"/>
  <c r="C26" i="178"/>
  <c r="D26" i="178" s="1"/>
  <c r="G4" i="178"/>
  <c r="C14" i="178"/>
  <c r="D14" i="178" s="1"/>
  <c r="B14" i="13"/>
  <c r="B6" i="6"/>
  <c r="B8" i="6" s="1"/>
  <c r="B11" i="6" s="1"/>
  <c r="C2" i="178"/>
  <c r="G16" i="178"/>
  <c r="G27" i="178"/>
  <c r="G12" i="178"/>
  <c r="G15" i="178"/>
  <c r="B27" i="178"/>
  <c r="D27" i="178" s="1"/>
  <c r="B21" i="178"/>
  <c r="D21" i="178" s="1"/>
  <c r="B2" i="178"/>
  <c r="G6" i="177"/>
  <c r="J38" i="178"/>
  <c r="J37" i="178"/>
  <c r="D34" i="178"/>
  <c r="D33" i="178"/>
  <c r="D32" i="178"/>
  <c r="D31" i="178"/>
  <c r="D30" i="178"/>
  <c r="D29" i="178"/>
  <c r="P27" i="178"/>
  <c r="G26" i="178"/>
  <c r="P24" i="178"/>
  <c r="D24" i="178"/>
  <c r="P23" i="178"/>
  <c r="D22" i="178"/>
  <c r="P21" i="178"/>
  <c r="P19" i="178"/>
  <c r="D19" i="178"/>
  <c r="D18" i="178"/>
  <c r="P17" i="178"/>
  <c r="D16" i="178"/>
  <c r="D15" i="178"/>
  <c r="D13" i="178"/>
  <c r="D12" i="178"/>
  <c r="P11" i="178"/>
  <c r="G3" i="178" s="1"/>
  <c r="D11" i="178"/>
  <c r="D8" i="178"/>
  <c r="D7" i="178"/>
  <c r="D6" i="178"/>
  <c r="D5" i="178"/>
  <c r="D4" i="178"/>
  <c r="G13" i="177"/>
  <c r="B171" i="134"/>
  <c r="B175" i="134"/>
  <c r="B199" i="134" s="1"/>
  <c r="B177" i="134"/>
  <c r="M22" i="177"/>
  <c r="G8" i="177"/>
  <c r="C28" i="177"/>
  <c r="D28" i="177" s="1"/>
  <c r="C21" i="177"/>
  <c r="C20" i="177"/>
  <c r="D20" i="177" s="1"/>
  <c r="J2" i="177"/>
  <c r="B195" i="134"/>
  <c r="B196" i="134"/>
  <c r="B197" i="134"/>
  <c r="B198" i="134"/>
  <c r="A195" i="134"/>
  <c r="A196" i="134"/>
  <c r="A197" i="134"/>
  <c r="A198" i="134"/>
  <c r="A199" i="134"/>
  <c r="C35" i="177"/>
  <c r="D35" i="177" s="1"/>
  <c r="C3" i="177"/>
  <c r="G12" i="177"/>
  <c r="C27" i="177"/>
  <c r="C14" i="177"/>
  <c r="D14" i="177" s="1"/>
  <c r="G4" i="177"/>
  <c r="C26" i="177"/>
  <c r="C17" i="177"/>
  <c r="D17" i="177" s="1"/>
  <c r="C9" i="177"/>
  <c r="D9" i="177" s="1"/>
  <c r="C25" i="177"/>
  <c r="C23" i="177"/>
  <c r="D23" i="177" s="1"/>
  <c r="C10" i="177"/>
  <c r="D10" i="177" s="1"/>
  <c r="C34" i="177"/>
  <c r="D34" i="177" s="1"/>
  <c r="G15" i="177"/>
  <c r="G16" i="177"/>
  <c r="P11" i="177"/>
  <c r="G3" i="177" s="1"/>
  <c r="B25" i="177"/>
  <c r="B21" i="177"/>
  <c r="B27" i="177"/>
  <c r="C2" i="177"/>
  <c r="B2" i="177"/>
  <c r="J38" i="177"/>
  <c r="J37" i="177"/>
  <c r="D33" i="177"/>
  <c r="D32" i="177"/>
  <c r="D31" i="177"/>
  <c r="D30" i="177"/>
  <c r="D29" i="177"/>
  <c r="P27" i="177"/>
  <c r="G27" i="177"/>
  <c r="G26" i="177"/>
  <c r="D26" i="177"/>
  <c r="P24" i="177"/>
  <c r="D24" i="177"/>
  <c r="P23" i="177"/>
  <c r="G7" i="177"/>
  <c r="D22" i="177"/>
  <c r="P21" i="177"/>
  <c r="P19" i="177"/>
  <c r="D19" i="177"/>
  <c r="D18" i="177"/>
  <c r="P17" i="177"/>
  <c r="D16" i="177"/>
  <c r="D15" i="177"/>
  <c r="D13" i="177"/>
  <c r="M12" i="177"/>
  <c r="G2" i="177" s="1"/>
  <c r="D12" i="177"/>
  <c r="D11" i="177"/>
  <c r="D8" i="177"/>
  <c r="D7" i="177"/>
  <c r="D6" i="177"/>
  <c r="D5" i="177"/>
  <c r="D4" i="177"/>
  <c r="C35" i="176"/>
  <c r="D35" i="176" s="1"/>
  <c r="G6" i="176"/>
  <c r="P6" i="176"/>
  <c r="P11" i="176" s="1"/>
  <c r="G3" i="176" s="1"/>
  <c r="C3" i="176"/>
  <c r="C28" i="176"/>
  <c r="D28" i="176" s="1"/>
  <c r="C10" i="176"/>
  <c r="D10" i="176" s="1"/>
  <c r="C20" i="176"/>
  <c r="D20" i="176" s="1"/>
  <c r="C26" i="176"/>
  <c r="D26" i="176" s="1"/>
  <c r="G4" i="176"/>
  <c r="C9" i="176"/>
  <c r="D9" i="176" s="1"/>
  <c r="G13" i="176"/>
  <c r="C25" i="176"/>
  <c r="D25" i="176" s="1"/>
  <c r="C21" i="176"/>
  <c r="C22" i="176"/>
  <c r="D22" i="176" s="1"/>
  <c r="C27" i="176"/>
  <c r="C14" i="176"/>
  <c r="D14" i="176" s="1"/>
  <c r="B21" i="176"/>
  <c r="D21" i="176" s="1"/>
  <c r="G15" i="176"/>
  <c r="G12" i="176"/>
  <c r="G16" i="176"/>
  <c r="G26" i="176"/>
  <c r="D7" i="176"/>
  <c r="J38" i="176"/>
  <c r="J37" i="176"/>
  <c r="D34" i="176"/>
  <c r="D33" i="176"/>
  <c r="D32" i="176"/>
  <c r="D31" i="176"/>
  <c r="D30" i="176"/>
  <c r="D29" i="176"/>
  <c r="P27" i="176"/>
  <c r="G27" i="176"/>
  <c r="B27" i="176"/>
  <c r="P24" i="176"/>
  <c r="D24" i="176"/>
  <c r="P23" i="176"/>
  <c r="D23" i="176"/>
  <c r="M22" i="176"/>
  <c r="G7" i="176" s="1"/>
  <c r="P21" i="176"/>
  <c r="P19" i="176"/>
  <c r="D19" i="176"/>
  <c r="D18" i="176"/>
  <c r="P17" i="176"/>
  <c r="D17" i="176"/>
  <c r="D16" i="176"/>
  <c r="D15" i="176"/>
  <c r="D13" i="176"/>
  <c r="D12" i="176"/>
  <c r="D11" i="176"/>
  <c r="D8" i="176"/>
  <c r="D6" i="176"/>
  <c r="D5" i="176"/>
  <c r="D4" i="176"/>
  <c r="M12" i="176"/>
  <c r="G2" i="176" s="1"/>
  <c r="B235" i="134"/>
  <c r="O250" i="134"/>
  <c r="H250" i="134"/>
  <c r="O249" i="134"/>
  <c r="H249" i="134"/>
  <c r="O248" i="134"/>
  <c r="H248" i="134"/>
  <c r="O247" i="134"/>
  <c r="H247" i="134"/>
  <c r="O246" i="134"/>
  <c r="H246" i="134"/>
  <c r="O245" i="134"/>
  <c r="H245" i="134"/>
  <c r="O244" i="134"/>
  <c r="H244" i="134"/>
  <c r="B247" i="134"/>
  <c r="A247" i="134"/>
  <c r="O243" i="134"/>
  <c r="H243" i="134"/>
  <c r="B246" i="134"/>
  <c r="O242" i="134"/>
  <c r="H242" i="134"/>
  <c r="B245" i="134"/>
  <c r="O241" i="134"/>
  <c r="H241" i="134"/>
  <c r="B244" i="134"/>
  <c r="O240" i="134"/>
  <c r="H240" i="134"/>
  <c r="O239" i="134"/>
  <c r="H239" i="134"/>
  <c r="B242" i="134"/>
  <c r="O238" i="134"/>
  <c r="H238" i="134"/>
  <c r="B241" i="134"/>
  <c r="O237" i="134"/>
  <c r="H237" i="134"/>
  <c r="B240" i="134"/>
  <c r="O236" i="134"/>
  <c r="H236" i="134"/>
  <c r="B239" i="134"/>
  <c r="O235" i="134"/>
  <c r="H235" i="134"/>
  <c r="B238" i="134"/>
  <c r="O234" i="134"/>
  <c r="H234" i="134"/>
  <c r="B237" i="134"/>
  <c r="O233" i="134"/>
  <c r="H233" i="134"/>
  <c r="B236" i="134"/>
  <c r="O232" i="134"/>
  <c r="H232" i="134"/>
  <c r="O231" i="134"/>
  <c r="H231" i="134"/>
  <c r="B234" i="134"/>
  <c r="O230" i="134"/>
  <c r="H230" i="134"/>
  <c r="O229" i="134"/>
  <c r="H229" i="134"/>
  <c r="O228" i="134"/>
  <c r="H228" i="134"/>
  <c r="O227" i="134"/>
  <c r="H227" i="134"/>
  <c r="O226" i="134"/>
  <c r="H226" i="134"/>
  <c r="O225" i="134"/>
  <c r="H225" i="134"/>
  <c r="B228" i="134"/>
  <c r="O224" i="134"/>
  <c r="H224" i="134"/>
  <c r="B227" i="134"/>
  <c r="O223" i="134"/>
  <c r="H223" i="134"/>
  <c r="O222" i="134"/>
  <c r="H222" i="134"/>
  <c r="O221" i="134"/>
  <c r="H221" i="134"/>
  <c r="O220" i="134"/>
  <c r="H220" i="134"/>
  <c r="O219" i="134"/>
  <c r="H219" i="134"/>
  <c r="B243" i="134"/>
  <c r="O218" i="134"/>
  <c r="H218" i="134"/>
  <c r="O217" i="134"/>
  <c r="H217" i="134"/>
  <c r="O216" i="134"/>
  <c r="H216" i="134"/>
  <c r="O215" i="134"/>
  <c r="H215" i="134"/>
  <c r="O214" i="134"/>
  <c r="H214" i="134"/>
  <c r="O213" i="134"/>
  <c r="H213" i="134"/>
  <c r="O212" i="134"/>
  <c r="H212" i="134"/>
  <c r="F212" i="134"/>
  <c r="G212" i="134" s="1"/>
  <c r="O211" i="134"/>
  <c r="H211" i="134"/>
  <c r="O210" i="134"/>
  <c r="H210" i="134"/>
  <c r="O209" i="134"/>
  <c r="H209" i="134"/>
  <c r="O208" i="134"/>
  <c r="K208" i="134"/>
  <c r="K209" i="134" s="1"/>
  <c r="K210" i="134" s="1"/>
  <c r="K211" i="134" s="1"/>
  <c r="K212" i="134" s="1"/>
  <c r="K213" i="134" s="1"/>
  <c r="K214" i="134" s="1"/>
  <c r="K215" i="134" s="1"/>
  <c r="K216" i="134" s="1"/>
  <c r="K217" i="134" s="1"/>
  <c r="K218" i="134" s="1"/>
  <c r="K219" i="134" s="1"/>
  <c r="K220" i="134" s="1"/>
  <c r="K221" i="134" s="1"/>
  <c r="K222" i="134" s="1"/>
  <c r="K223" i="134" s="1"/>
  <c r="K224" i="134" s="1"/>
  <c r="K225" i="134" s="1"/>
  <c r="K226" i="134" s="1"/>
  <c r="K227" i="134" s="1"/>
  <c r="K228" i="134" s="1"/>
  <c r="K229" i="134" s="1"/>
  <c r="K230" i="134" s="1"/>
  <c r="K231" i="134" s="1"/>
  <c r="K232" i="134" s="1"/>
  <c r="K233" i="134" s="1"/>
  <c r="K234" i="134" s="1"/>
  <c r="K235" i="134" s="1"/>
  <c r="K236" i="134" s="1"/>
  <c r="K237" i="134" s="1"/>
  <c r="K238" i="134" s="1"/>
  <c r="K239" i="134" s="1"/>
  <c r="K240" i="134" s="1"/>
  <c r="K241" i="134" s="1"/>
  <c r="K242" i="134" s="1"/>
  <c r="K243" i="134" s="1"/>
  <c r="K244" i="134" s="1"/>
  <c r="K245" i="134" s="1"/>
  <c r="K246" i="134" s="1"/>
  <c r="K247" i="134" s="1"/>
  <c r="K248" i="134" s="1"/>
  <c r="K249" i="134" s="1"/>
  <c r="K250" i="134" s="1"/>
  <c r="L252" i="134" s="1"/>
  <c r="H208" i="134"/>
  <c r="T4" i="144"/>
  <c r="T5" i="144"/>
  <c r="T6" i="144"/>
  <c r="T7" i="144"/>
  <c r="T8" i="144"/>
  <c r="T9" i="144"/>
  <c r="T10" i="144"/>
  <c r="T11" i="144"/>
  <c r="T12" i="144"/>
  <c r="T13" i="144"/>
  <c r="T14" i="144"/>
  <c r="T15" i="144"/>
  <c r="T16" i="144"/>
  <c r="T17" i="144"/>
  <c r="T18" i="144"/>
  <c r="T19" i="144"/>
  <c r="T20" i="144"/>
  <c r="T21" i="144"/>
  <c r="T22" i="144"/>
  <c r="T23" i="144"/>
  <c r="T24" i="144"/>
  <c r="T3" i="144"/>
  <c r="B138" i="134"/>
  <c r="B139" i="134"/>
  <c r="B140" i="134"/>
  <c r="B141" i="134"/>
  <c r="B142" i="134"/>
  <c r="B143" i="134"/>
  <c r="B144" i="134"/>
  <c r="B145" i="134"/>
  <c r="C35" i="172"/>
  <c r="D35" i="172" s="1"/>
  <c r="C28" i="172"/>
  <c r="D28" i="172" s="1"/>
  <c r="C17" i="172"/>
  <c r="D17" i="172" s="1"/>
  <c r="C9" i="172"/>
  <c r="D9" i="172" s="1"/>
  <c r="G114" i="134"/>
  <c r="G115" i="134"/>
  <c r="G116" i="134"/>
  <c r="G117" i="134"/>
  <c r="G118" i="134"/>
  <c r="G119" i="134"/>
  <c r="G120" i="134"/>
  <c r="G121" i="134"/>
  <c r="G122" i="134"/>
  <c r="G123" i="134"/>
  <c r="G124" i="134"/>
  <c r="G125" i="134"/>
  <c r="G126" i="134"/>
  <c r="G127" i="134"/>
  <c r="G128" i="134"/>
  <c r="G129" i="134"/>
  <c r="G130" i="134"/>
  <c r="G131" i="134"/>
  <c r="G132" i="134"/>
  <c r="G133" i="134"/>
  <c r="G134" i="134"/>
  <c r="G135" i="134"/>
  <c r="G136" i="134"/>
  <c r="G137" i="134"/>
  <c r="G138" i="134"/>
  <c r="G139" i="134"/>
  <c r="G140" i="134"/>
  <c r="G141" i="134"/>
  <c r="G142" i="134"/>
  <c r="G143" i="134"/>
  <c r="G144" i="134"/>
  <c r="G145" i="134"/>
  <c r="G146" i="134"/>
  <c r="G147" i="134"/>
  <c r="G148" i="134"/>
  <c r="G149" i="134"/>
  <c r="G113" i="134"/>
  <c r="C27" i="172"/>
  <c r="D27" i="172" s="1"/>
  <c r="C21" i="172"/>
  <c r="G8" i="172"/>
  <c r="G4" i="172"/>
  <c r="C3" i="172"/>
  <c r="D3" i="172" s="1"/>
  <c r="M3" i="172"/>
  <c r="M12" i="172" s="1"/>
  <c r="G2" i="172" s="1"/>
  <c r="G6" i="172"/>
  <c r="C26" i="172"/>
  <c r="D26" i="172" s="1"/>
  <c r="C20" i="172"/>
  <c r="D20" i="172" s="1"/>
  <c r="C14" i="172"/>
  <c r="D14" i="172" s="1"/>
  <c r="C10" i="172"/>
  <c r="D10" i="172" s="1"/>
  <c r="G12" i="172"/>
  <c r="C25" i="172"/>
  <c r="D25" i="172" s="1"/>
  <c r="G13" i="172"/>
  <c r="T152" i="134"/>
  <c r="T151" i="134"/>
  <c r="T150" i="134"/>
  <c r="T149" i="134"/>
  <c r="T148" i="134"/>
  <c r="T147" i="134"/>
  <c r="T146" i="134"/>
  <c r="T145" i="134"/>
  <c r="T144" i="134"/>
  <c r="T143" i="134"/>
  <c r="T142" i="134"/>
  <c r="T141" i="134"/>
  <c r="T140" i="134"/>
  <c r="T139" i="134"/>
  <c r="T138" i="134"/>
  <c r="T137" i="134"/>
  <c r="T136" i="134"/>
  <c r="T135" i="134"/>
  <c r="T134" i="134"/>
  <c r="T133" i="134"/>
  <c r="T132" i="134"/>
  <c r="T131" i="134"/>
  <c r="T130" i="134"/>
  <c r="T129" i="134"/>
  <c r="T128" i="134"/>
  <c r="T127" i="134"/>
  <c r="T126" i="134"/>
  <c r="T125" i="134"/>
  <c r="T124" i="134"/>
  <c r="T123" i="134"/>
  <c r="T122" i="134"/>
  <c r="T121" i="134"/>
  <c r="T120" i="134"/>
  <c r="T119" i="134"/>
  <c r="T118" i="134"/>
  <c r="T117" i="134"/>
  <c r="T116" i="134"/>
  <c r="T115" i="134"/>
  <c r="T114" i="134"/>
  <c r="T113" i="134"/>
  <c r="T112" i="134"/>
  <c r="T111" i="134"/>
  <c r="W110" i="134"/>
  <c r="W111" i="134" s="1"/>
  <c r="W112" i="134" s="1"/>
  <c r="W113" i="134" s="1"/>
  <c r="W114" i="134" s="1"/>
  <c r="W115" i="134" s="1"/>
  <c r="W116" i="134" s="1"/>
  <c r="W117" i="134" s="1"/>
  <c r="W118" i="134" s="1"/>
  <c r="W119" i="134" s="1"/>
  <c r="W120" i="134" s="1"/>
  <c r="W121" i="134" s="1"/>
  <c r="W122" i="134" s="1"/>
  <c r="W123" i="134" s="1"/>
  <c r="W124" i="134" s="1"/>
  <c r="W125" i="134" s="1"/>
  <c r="W126" i="134" s="1"/>
  <c r="W127" i="134" s="1"/>
  <c r="W128" i="134" s="1"/>
  <c r="W129" i="134" s="1"/>
  <c r="W130" i="134" s="1"/>
  <c r="W131" i="134" s="1"/>
  <c r="W132" i="134" s="1"/>
  <c r="W133" i="134" s="1"/>
  <c r="W134" i="134" s="1"/>
  <c r="W135" i="134" s="1"/>
  <c r="W136" i="134" s="1"/>
  <c r="W137" i="134" s="1"/>
  <c r="W138" i="134" s="1"/>
  <c r="W139" i="134" s="1"/>
  <c r="W140" i="134" s="1"/>
  <c r="W141" i="134" s="1"/>
  <c r="W142" i="134" s="1"/>
  <c r="W143" i="134" s="1"/>
  <c r="W144" i="134" s="1"/>
  <c r="W145" i="134" s="1"/>
  <c r="W146" i="134" s="1"/>
  <c r="W147" i="134" s="1"/>
  <c r="W148" i="134" s="1"/>
  <c r="W149" i="134" s="1"/>
  <c r="W150" i="134" s="1"/>
  <c r="W151" i="134" s="1"/>
  <c r="W152" i="134" s="1"/>
  <c r="T110" i="134"/>
  <c r="G16" i="172"/>
  <c r="J38" i="172"/>
  <c r="J37" i="172"/>
  <c r="D34" i="172"/>
  <c r="D33" i="172"/>
  <c r="D32" i="172"/>
  <c r="D31" i="172"/>
  <c r="D30" i="172"/>
  <c r="D29" i="172"/>
  <c r="P27" i="172"/>
  <c r="G26" i="172"/>
  <c r="P24" i="172"/>
  <c r="D24" i="172"/>
  <c r="P23" i="172"/>
  <c r="D23" i="172"/>
  <c r="D22" i="172"/>
  <c r="P21" i="172"/>
  <c r="B21" i="172"/>
  <c r="P19" i="172"/>
  <c r="D19" i="172"/>
  <c r="M18" i="172"/>
  <c r="D18" i="172"/>
  <c r="P17" i="172"/>
  <c r="M16" i="172"/>
  <c r="D16" i="172"/>
  <c r="G15" i="172"/>
  <c r="D15" i="172"/>
  <c r="D13" i="172"/>
  <c r="D12" i="172"/>
  <c r="D11" i="172"/>
  <c r="D8" i="172"/>
  <c r="D7" i="172"/>
  <c r="D6" i="172"/>
  <c r="D5" i="172"/>
  <c r="D4" i="172"/>
  <c r="P11" i="172"/>
  <c r="G3" i="172" s="1"/>
  <c r="B168" i="134"/>
  <c r="B192" i="134" s="1"/>
  <c r="A194" i="134"/>
  <c r="A193" i="134"/>
  <c r="A192" i="134"/>
  <c r="A191" i="134"/>
  <c r="A190" i="134"/>
  <c r="B194" i="134"/>
  <c r="B191" i="134"/>
  <c r="B169" i="134"/>
  <c r="B193" i="134" s="1"/>
  <c r="B184" i="134"/>
  <c r="B185" i="134"/>
  <c r="B36" i="177"/>
  <c r="B37" i="177" s="1"/>
  <c r="P50" i="176"/>
  <c r="P52" i="176" s="1"/>
  <c r="D3" i="177"/>
  <c r="P35" i="177"/>
  <c r="C36" i="176"/>
  <c r="C37" i="176" s="1"/>
  <c r="P35" i="176"/>
  <c r="D3" i="176"/>
  <c r="G27" i="172"/>
  <c r="G25" i="172" s="1"/>
  <c r="J3" i="136"/>
  <c r="K3" i="136" s="1"/>
  <c r="C3" i="136"/>
  <c r="G8" i="136" s="1"/>
  <c r="G11" i="136" s="1"/>
  <c r="N48" i="115"/>
  <c r="F161" i="134"/>
  <c r="G161" i="134" s="1"/>
  <c r="O199" i="134"/>
  <c r="H199" i="134"/>
  <c r="O198" i="134"/>
  <c r="H198" i="134"/>
  <c r="O197" i="134"/>
  <c r="H197" i="134"/>
  <c r="O196" i="134"/>
  <c r="H196" i="134"/>
  <c r="O195" i="134"/>
  <c r="H195" i="134"/>
  <c r="O194" i="134"/>
  <c r="H194" i="134"/>
  <c r="O193" i="134"/>
  <c r="H193" i="134"/>
  <c r="O192" i="134"/>
  <c r="H192" i="134"/>
  <c r="O191" i="134"/>
  <c r="H191" i="134"/>
  <c r="O190" i="134"/>
  <c r="H190" i="134"/>
  <c r="O189" i="134"/>
  <c r="H189" i="134"/>
  <c r="O188" i="134"/>
  <c r="H188" i="134"/>
  <c r="O187" i="134"/>
  <c r="H187" i="134"/>
  <c r="B190" i="134"/>
  <c r="O186" i="134"/>
  <c r="H186" i="134"/>
  <c r="B189" i="134"/>
  <c r="O185" i="134"/>
  <c r="H185" i="134"/>
  <c r="B188" i="134"/>
  <c r="O184" i="134"/>
  <c r="H184" i="134"/>
  <c r="B187" i="134"/>
  <c r="O183" i="134"/>
  <c r="H183" i="134"/>
  <c r="B186" i="134"/>
  <c r="O182" i="134"/>
  <c r="H182" i="134"/>
  <c r="O181" i="134"/>
  <c r="H181" i="134"/>
  <c r="O180" i="134"/>
  <c r="H180" i="134"/>
  <c r="B183" i="134"/>
  <c r="O179" i="134"/>
  <c r="H179" i="134"/>
  <c r="O178" i="134"/>
  <c r="H178" i="134"/>
  <c r="O177" i="134"/>
  <c r="H177" i="134"/>
  <c r="O176" i="134"/>
  <c r="H176" i="134"/>
  <c r="O175" i="134"/>
  <c r="H175" i="134"/>
  <c r="O174" i="134"/>
  <c r="H174" i="134"/>
  <c r="O173" i="134"/>
  <c r="H173" i="134"/>
  <c r="O172" i="134"/>
  <c r="H172" i="134"/>
  <c r="O171" i="134"/>
  <c r="H171" i="134"/>
  <c r="O170" i="134"/>
  <c r="H170" i="134"/>
  <c r="O169" i="134"/>
  <c r="H169" i="134"/>
  <c r="O168" i="134"/>
  <c r="H168" i="134"/>
  <c r="O167" i="134"/>
  <c r="H167" i="134"/>
  <c r="O166" i="134"/>
  <c r="H166" i="134"/>
  <c r="O165" i="134"/>
  <c r="H165" i="134"/>
  <c r="O164" i="134"/>
  <c r="H164" i="134"/>
  <c r="O163" i="134"/>
  <c r="H163" i="134"/>
  <c r="O162" i="134"/>
  <c r="H162" i="134"/>
  <c r="O161" i="134"/>
  <c r="H161" i="134"/>
  <c r="O160" i="134"/>
  <c r="H160" i="134"/>
  <c r="O159" i="134"/>
  <c r="H159" i="134"/>
  <c r="O158" i="134"/>
  <c r="H158" i="134"/>
  <c r="O157" i="134"/>
  <c r="K157" i="134"/>
  <c r="K158" i="134" s="1"/>
  <c r="K159" i="134" s="1"/>
  <c r="K160" i="134" s="1"/>
  <c r="K161" i="134" s="1"/>
  <c r="K162" i="134" s="1"/>
  <c r="K163" i="134" s="1"/>
  <c r="K164" i="134" s="1"/>
  <c r="K165" i="134" s="1"/>
  <c r="K166" i="134" s="1"/>
  <c r="K167" i="134" s="1"/>
  <c r="K168" i="134" s="1"/>
  <c r="K169" i="134" s="1"/>
  <c r="K170" i="134" s="1"/>
  <c r="K171" i="134" s="1"/>
  <c r="K172" i="134" s="1"/>
  <c r="K173" i="134" s="1"/>
  <c r="K174" i="134" s="1"/>
  <c r="K175" i="134" s="1"/>
  <c r="K176" i="134" s="1"/>
  <c r="K177" i="134" s="1"/>
  <c r="K178" i="134" s="1"/>
  <c r="K179" i="134" s="1"/>
  <c r="K180" i="134" s="1"/>
  <c r="K181" i="134" s="1"/>
  <c r="K182" i="134" s="1"/>
  <c r="K183" i="134" s="1"/>
  <c r="K184" i="134" s="1"/>
  <c r="K185" i="134" s="1"/>
  <c r="K186" i="134" s="1"/>
  <c r="K187" i="134" s="1"/>
  <c r="K188" i="134" s="1"/>
  <c r="K189" i="134" s="1"/>
  <c r="K190" i="134" s="1"/>
  <c r="K191" i="134" s="1"/>
  <c r="K192" i="134" s="1"/>
  <c r="K193" i="134" s="1"/>
  <c r="K194" i="134" s="1"/>
  <c r="K195" i="134" s="1"/>
  <c r="K196" i="134" s="1"/>
  <c r="K197" i="134" s="1"/>
  <c r="K198" i="134" s="1"/>
  <c r="K199" i="134" s="1"/>
  <c r="L201" i="134" s="1"/>
  <c r="H157" i="134"/>
  <c r="J4" i="136"/>
  <c r="K4" i="136" s="1"/>
  <c r="H15" i="115"/>
  <c r="B76" i="134"/>
  <c r="U62" i="134"/>
  <c r="V62" i="134" s="1"/>
  <c r="U63" i="134"/>
  <c r="U64" i="134"/>
  <c r="U65" i="134"/>
  <c r="U66" i="134"/>
  <c r="U67" i="134"/>
  <c r="U68" i="134"/>
  <c r="U69" i="134"/>
  <c r="U70" i="134"/>
  <c r="U71" i="134"/>
  <c r="U72" i="134"/>
  <c r="U73" i="134"/>
  <c r="U74" i="134"/>
  <c r="U75" i="134"/>
  <c r="U76" i="134"/>
  <c r="U77" i="134"/>
  <c r="U78" i="134"/>
  <c r="U79" i="134"/>
  <c r="U80" i="134"/>
  <c r="U81" i="134"/>
  <c r="U82" i="134"/>
  <c r="U83" i="134"/>
  <c r="U84" i="134"/>
  <c r="U85" i="134"/>
  <c r="U86" i="134"/>
  <c r="U87" i="134"/>
  <c r="U88" i="134"/>
  <c r="U89" i="134"/>
  <c r="U90" i="134"/>
  <c r="U91" i="134"/>
  <c r="U92" i="134"/>
  <c r="U93" i="134"/>
  <c r="U94" i="134"/>
  <c r="U95" i="134"/>
  <c r="U96" i="134"/>
  <c r="U97" i="134"/>
  <c r="U98" i="134"/>
  <c r="U99" i="134"/>
  <c r="U100" i="134"/>
  <c r="U101" i="134"/>
  <c r="U102" i="134"/>
  <c r="U103" i="134"/>
  <c r="U61" i="134"/>
  <c r="V61" i="134" s="1"/>
  <c r="M3" i="115"/>
  <c r="B6" i="115"/>
  <c r="B116" i="134"/>
  <c r="B137" i="134" s="1"/>
  <c r="K110" i="134"/>
  <c r="K111" i="134" s="1"/>
  <c r="K112" i="134" s="1"/>
  <c r="K113" i="134" s="1"/>
  <c r="K114" i="134" s="1"/>
  <c r="K115" i="134" s="1"/>
  <c r="K116" i="134" s="1"/>
  <c r="K117" i="134" s="1"/>
  <c r="K118" i="134" s="1"/>
  <c r="K119" i="134" s="1"/>
  <c r="K120" i="134" s="1"/>
  <c r="K121" i="134" s="1"/>
  <c r="K122" i="134" s="1"/>
  <c r="K123" i="134" s="1"/>
  <c r="K124" i="134" s="1"/>
  <c r="K125" i="134" s="1"/>
  <c r="K126" i="134" s="1"/>
  <c r="K127" i="134" s="1"/>
  <c r="K128" i="134" s="1"/>
  <c r="K129" i="134" s="1"/>
  <c r="K130" i="134" s="1"/>
  <c r="K131" i="134" s="1"/>
  <c r="K132" i="134" s="1"/>
  <c r="K133" i="134" s="1"/>
  <c r="K134" i="134" s="1"/>
  <c r="K135" i="134" s="1"/>
  <c r="K136" i="134" s="1"/>
  <c r="K137" i="134" s="1"/>
  <c r="K138" i="134" s="1"/>
  <c r="K139" i="134" s="1"/>
  <c r="K140" i="134" s="1"/>
  <c r="K141" i="134" s="1"/>
  <c r="K142" i="134" s="1"/>
  <c r="K143" i="134" s="1"/>
  <c r="K144" i="134" s="1"/>
  <c r="K145" i="134" s="1"/>
  <c r="K146" i="134" s="1"/>
  <c r="K147" i="134" s="1"/>
  <c r="K148" i="134" s="1"/>
  <c r="K149" i="134" s="1"/>
  <c r="K150" i="134" s="1"/>
  <c r="K151" i="134" s="1"/>
  <c r="K152" i="134" s="1"/>
  <c r="L154" i="134" s="1"/>
  <c r="O152" i="134"/>
  <c r="H152" i="134"/>
  <c r="O151" i="134"/>
  <c r="H151" i="134"/>
  <c r="O150" i="134"/>
  <c r="H150" i="134"/>
  <c r="O149" i="134"/>
  <c r="H149" i="134"/>
  <c r="O148" i="134"/>
  <c r="H148" i="134"/>
  <c r="O147" i="134"/>
  <c r="H147" i="134"/>
  <c r="O146" i="134"/>
  <c r="H146" i="134"/>
  <c r="O145" i="134"/>
  <c r="H145" i="134"/>
  <c r="B133" i="134"/>
  <c r="B135" i="134"/>
  <c r="B136" i="134"/>
  <c r="O144" i="134"/>
  <c r="H144" i="134"/>
  <c r="O143" i="134"/>
  <c r="H143" i="134"/>
  <c r="O142" i="134"/>
  <c r="H142" i="134"/>
  <c r="O141" i="134"/>
  <c r="H141" i="134"/>
  <c r="O140" i="134"/>
  <c r="H140" i="134"/>
  <c r="O139" i="134"/>
  <c r="H139" i="134"/>
  <c r="O138" i="134"/>
  <c r="H138" i="134"/>
  <c r="O137" i="134"/>
  <c r="H137" i="134"/>
  <c r="O136" i="134"/>
  <c r="H136" i="134"/>
  <c r="O135" i="134"/>
  <c r="H135" i="134"/>
  <c r="O134" i="134"/>
  <c r="H134" i="134"/>
  <c r="O133" i="134"/>
  <c r="H133" i="134"/>
  <c r="O132" i="134"/>
  <c r="H132" i="134"/>
  <c r="O131" i="134"/>
  <c r="H131" i="134"/>
  <c r="O130" i="134"/>
  <c r="H130" i="134"/>
  <c r="O129" i="134"/>
  <c r="H129" i="134"/>
  <c r="O128" i="134"/>
  <c r="H128" i="134"/>
  <c r="O127" i="134"/>
  <c r="H127" i="134"/>
  <c r="B127" i="134"/>
  <c r="O126" i="134"/>
  <c r="H126" i="134"/>
  <c r="O125" i="134"/>
  <c r="H125" i="134"/>
  <c r="O124" i="134"/>
  <c r="H124" i="134"/>
  <c r="O123" i="134"/>
  <c r="H123" i="134"/>
  <c r="O122" i="134"/>
  <c r="H122" i="134"/>
  <c r="O121" i="134"/>
  <c r="H121" i="134"/>
  <c r="O120" i="134"/>
  <c r="H120" i="134"/>
  <c r="O119" i="134"/>
  <c r="H119" i="134"/>
  <c r="O118" i="134"/>
  <c r="H118" i="134"/>
  <c r="O117" i="134"/>
  <c r="H117" i="134"/>
  <c r="O116" i="134"/>
  <c r="H116" i="134"/>
  <c r="O115" i="134"/>
  <c r="H115" i="134"/>
  <c r="O114" i="134"/>
  <c r="H114" i="134"/>
  <c r="O113" i="134"/>
  <c r="H113" i="134"/>
  <c r="O112" i="134"/>
  <c r="H112" i="134"/>
  <c r="O111" i="134"/>
  <c r="H111" i="134"/>
  <c r="O110" i="134"/>
  <c r="H110" i="134"/>
  <c r="B29" i="115"/>
  <c r="B7" i="115"/>
  <c r="B8" i="115"/>
  <c r="B9" i="115"/>
  <c r="B10" i="115"/>
  <c r="B11" i="115"/>
  <c r="B12" i="115"/>
  <c r="B13" i="115"/>
  <c r="B14" i="115"/>
  <c r="B15" i="115"/>
  <c r="B16" i="115"/>
  <c r="B78" i="134"/>
  <c r="O103" i="134"/>
  <c r="H103" i="134"/>
  <c r="O102" i="134"/>
  <c r="H102" i="134"/>
  <c r="O101" i="134"/>
  <c r="H101" i="134"/>
  <c r="O100" i="134"/>
  <c r="H100" i="134"/>
  <c r="O99" i="134"/>
  <c r="H99" i="134"/>
  <c r="O98" i="134"/>
  <c r="H98" i="134"/>
  <c r="O97" i="134"/>
  <c r="H97" i="134"/>
  <c r="O96" i="134"/>
  <c r="H96" i="134"/>
  <c r="O95" i="134"/>
  <c r="H95" i="134"/>
  <c r="O94" i="134"/>
  <c r="H94" i="134"/>
  <c r="O93" i="134"/>
  <c r="H93" i="134"/>
  <c r="O92" i="134"/>
  <c r="H92" i="134"/>
  <c r="O91" i="134"/>
  <c r="H91" i="134"/>
  <c r="O90" i="134"/>
  <c r="H90" i="134"/>
  <c r="B92" i="134"/>
  <c r="O89" i="134"/>
  <c r="H89" i="134"/>
  <c r="B91" i="134"/>
  <c r="O88" i="134"/>
  <c r="H88" i="134"/>
  <c r="B90" i="134"/>
  <c r="O87" i="134"/>
  <c r="H87" i="134"/>
  <c r="B89" i="134"/>
  <c r="O86" i="134"/>
  <c r="H86" i="134"/>
  <c r="O85" i="134"/>
  <c r="H85" i="134"/>
  <c r="B87" i="134"/>
  <c r="O84" i="134"/>
  <c r="H84" i="134"/>
  <c r="B86" i="134"/>
  <c r="O83" i="134"/>
  <c r="H83" i="134"/>
  <c r="O82" i="134"/>
  <c r="H82" i="134"/>
  <c r="B84" i="134"/>
  <c r="O81" i="134"/>
  <c r="H81" i="134"/>
  <c r="O80" i="134"/>
  <c r="H80" i="134"/>
  <c r="O79" i="134"/>
  <c r="H79" i="134"/>
  <c r="O78" i="134"/>
  <c r="H78" i="134"/>
  <c r="O77" i="134"/>
  <c r="H77" i="134"/>
  <c r="O76" i="134"/>
  <c r="H76" i="134"/>
  <c r="O75" i="134"/>
  <c r="H75" i="134"/>
  <c r="O74" i="134"/>
  <c r="H74" i="134"/>
  <c r="O73" i="134"/>
  <c r="H73" i="134"/>
  <c r="O72" i="134"/>
  <c r="H72" i="134"/>
  <c r="O71" i="134"/>
  <c r="H71" i="134"/>
  <c r="O70" i="134"/>
  <c r="H70" i="134"/>
  <c r="O69" i="134"/>
  <c r="H69" i="134"/>
  <c r="O68" i="134"/>
  <c r="H68" i="134"/>
  <c r="O67" i="134"/>
  <c r="H67" i="134"/>
  <c r="O66" i="134"/>
  <c r="H66" i="134"/>
  <c r="O65" i="134"/>
  <c r="H65" i="134"/>
  <c r="B65" i="134"/>
  <c r="B88" i="134" s="1"/>
  <c r="O64" i="134"/>
  <c r="H64" i="134"/>
  <c r="O63" i="134"/>
  <c r="H63" i="134"/>
  <c r="O62" i="134"/>
  <c r="H62" i="134"/>
  <c r="O61" i="134"/>
  <c r="K61" i="134"/>
  <c r="K62" i="134" s="1"/>
  <c r="K63" i="134" s="1"/>
  <c r="K64" i="134" s="1"/>
  <c r="K65" i="134" s="1"/>
  <c r="K66" i="134" s="1"/>
  <c r="K67" i="134" s="1"/>
  <c r="K68" i="134" s="1"/>
  <c r="K69" i="134" s="1"/>
  <c r="K70" i="134" s="1"/>
  <c r="K71" i="134" s="1"/>
  <c r="K72" i="134" s="1"/>
  <c r="K73" i="134" s="1"/>
  <c r="K74" i="134" s="1"/>
  <c r="K75" i="134" s="1"/>
  <c r="K76" i="134" s="1"/>
  <c r="K77" i="134" s="1"/>
  <c r="K78" i="134" s="1"/>
  <c r="K79" i="134" s="1"/>
  <c r="K80" i="134" s="1"/>
  <c r="K81" i="134" s="1"/>
  <c r="K82" i="134" s="1"/>
  <c r="K83" i="134" s="1"/>
  <c r="K84" i="134" s="1"/>
  <c r="K85" i="134" s="1"/>
  <c r="K86" i="134" s="1"/>
  <c r="K87" i="134" s="1"/>
  <c r="K88" i="134" s="1"/>
  <c r="K89" i="134" s="1"/>
  <c r="K90" i="134" s="1"/>
  <c r="K91" i="134" s="1"/>
  <c r="K92" i="134" s="1"/>
  <c r="K93" i="134" s="1"/>
  <c r="K94" i="134" s="1"/>
  <c r="K95" i="134" s="1"/>
  <c r="K96" i="134" s="1"/>
  <c r="K97" i="134" s="1"/>
  <c r="K98" i="134" s="1"/>
  <c r="K99" i="134" s="1"/>
  <c r="K100" i="134" s="1"/>
  <c r="K101" i="134" s="1"/>
  <c r="K102" i="134" s="1"/>
  <c r="K103" i="134" s="1"/>
  <c r="L105" i="134" s="1"/>
  <c r="H61" i="134"/>
  <c r="O55" i="134"/>
  <c r="H55" i="134"/>
  <c r="O54" i="134"/>
  <c r="H54" i="134"/>
  <c r="O53" i="134"/>
  <c r="H53" i="134"/>
  <c r="O52" i="134"/>
  <c r="H52" i="134"/>
  <c r="O51" i="134"/>
  <c r="H51" i="134"/>
  <c r="O50" i="134"/>
  <c r="H50" i="134"/>
  <c r="O49" i="134"/>
  <c r="H49" i="134"/>
  <c r="O48" i="134"/>
  <c r="H48" i="134"/>
  <c r="B48" i="134"/>
  <c r="B2" i="134" s="1"/>
  <c r="O47" i="134"/>
  <c r="H47" i="134"/>
  <c r="O46" i="134"/>
  <c r="H46" i="134"/>
  <c r="O45" i="134"/>
  <c r="H45" i="134"/>
  <c r="O44" i="134"/>
  <c r="H44" i="134"/>
  <c r="O43" i="134"/>
  <c r="H43" i="134"/>
  <c r="O42" i="134"/>
  <c r="H42" i="134"/>
  <c r="O41" i="134"/>
  <c r="H41" i="134"/>
  <c r="O40" i="134"/>
  <c r="H40" i="134"/>
  <c r="O39" i="134"/>
  <c r="H39" i="134"/>
  <c r="O38" i="134"/>
  <c r="H38" i="134"/>
  <c r="O37" i="134"/>
  <c r="H37" i="134"/>
  <c r="O36" i="134"/>
  <c r="H36" i="134"/>
  <c r="O35" i="134"/>
  <c r="H35" i="134"/>
  <c r="O34" i="134"/>
  <c r="H34" i="134"/>
  <c r="O33" i="134"/>
  <c r="H33" i="134"/>
  <c r="O32" i="134"/>
  <c r="H32" i="134"/>
  <c r="O31" i="134"/>
  <c r="H31" i="134"/>
  <c r="O30" i="134"/>
  <c r="H30" i="134"/>
  <c r="O29" i="134"/>
  <c r="H29" i="134"/>
  <c r="O28" i="134"/>
  <c r="H28" i="134"/>
  <c r="B28" i="134"/>
  <c r="O27" i="134"/>
  <c r="H27" i="134"/>
  <c r="O26" i="134"/>
  <c r="H26" i="134"/>
  <c r="O25" i="134"/>
  <c r="H25" i="134"/>
  <c r="O24" i="134"/>
  <c r="H24" i="134"/>
  <c r="O23" i="134"/>
  <c r="H23" i="134"/>
  <c r="O22" i="134"/>
  <c r="H22" i="134"/>
  <c r="O21" i="134"/>
  <c r="H21" i="134"/>
  <c r="O20" i="134"/>
  <c r="H20" i="134"/>
  <c r="O19" i="134"/>
  <c r="H19" i="134"/>
  <c r="O18" i="134"/>
  <c r="H18" i="134"/>
  <c r="O17" i="134"/>
  <c r="H17" i="134"/>
  <c r="B17" i="134"/>
  <c r="B27" i="134" s="1"/>
  <c r="O16" i="134"/>
  <c r="H16" i="134"/>
  <c r="O15" i="134"/>
  <c r="H15" i="134"/>
  <c r="O14" i="134"/>
  <c r="H14" i="134"/>
  <c r="O13" i="134"/>
  <c r="K13" i="134"/>
  <c r="K14" i="134" s="1"/>
  <c r="K15" i="134" s="1"/>
  <c r="K16" i="134" s="1"/>
  <c r="K17" i="134" s="1"/>
  <c r="K18" i="134" s="1"/>
  <c r="K19" i="134" s="1"/>
  <c r="K20" i="134" s="1"/>
  <c r="K21" i="134" s="1"/>
  <c r="K22" i="134" s="1"/>
  <c r="K23" i="134" s="1"/>
  <c r="K24" i="134" s="1"/>
  <c r="K25" i="134" s="1"/>
  <c r="K26" i="134" s="1"/>
  <c r="K27" i="134" s="1"/>
  <c r="K28" i="134" s="1"/>
  <c r="K29" i="134" s="1"/>
  <c r="K30" i="134" s="1"/>
  <c r="K31" i="134" s="1"/>
  <c r="K32" i="134" s="1"/>
  <c r="K33" i="134" s="1"/>
  <c r="K34" i="134" s="1"/>
  <c r="K35" i="134" s="1"/>
  <c r="K36" i="134" s="1"/>
  <c r="K37" i="134" s="1"/>
  <c r="K38" i="134" s="1"/>
  <c r="K39" i="134" s="1"/>
  <c r="K40" i="134" s="1"/>
  <c r="K41" i="134" s="1"/>
  <c r="K42" i="134" s="1"/>
  <c r="K43" i="134" s="1"/>
  <c r="K44" i="134" s="1"/>
  <c r="K45" i="134" s="1"/>
  <c r="K46" i="134" s="1"/>
  <c r="K47" i="134" s="1"/>
  <c r="K48" i="134" s="1"/>
  <c r="K49" i="134" s="1"/>
  <c r="K50" i="134" s="1"/>
  <c r="K51" i="134" s="1"/>
  <c r="K52" i="134" s="1"/>
  <c r="K53" i="134" s="1"/>
  <c r="K54" i="134" s="1"/>
  <c r="K55" i="134" s="1"/>
  <c r="L57" i="134" s="1"/>
  <c r="H13" i="134"/>
  <c r="B3" i="115"/>
  <c r="E3" i="115"/>
  <c r="P3" i="115"/>
  <c r="S3" i="115"/>
  <c r="S4" i="115" s="1"/>
  <c r="S5" i="115" s="1"/>
  <c r="S6" i="115" s="1"/>
  <c r="S7" i="115" s="1"/>
  <c r="S8" i="115" s="1"/>
  <c r="S9" i="115" s="1"/>
  <c r="S10" i="115" s="1"/>
  <c r="S11" i="115" s="1"/>
  <c r="S12" i="115" s="1"/>
  <c r="S13" i="115" s="1"/>
  <c r="S14" i="115" s="1"/>
  <c r="S15" i="115" s="1"/>
  <c r="S16" i="115" s="1"/>
  <c r="S17" i="115" s="1"/>
  <c r="S18" i="115" s="1"/>
  <c r="S19" i="115" s="1"/>
  <c r="S20" i="115" s="1"/>
  <c r="S21" i="115" s="1"/>
  <c r="S22" i="115" s="1"/>
  <c r="S23" i="115" s="1"/>
  <c r="S24" i="115" s="1"/>
  <c r="S25" i="115" s="1"/>
  <c r="S26" i="115" s="1"/>
  <c r="S27" i="115" s="1"/>
  <c r="S28" i="115" s="1"/>
  <c r="S29" i="115" s="1"/>
  <c r="S30" i="115" s="1"/>
  <c r="S31" i="115" s="1"/>
  <c r="S32" i="115" s="1"/>
  <c r="S33" i="115" s="1"/>
  <c r="S34" i="115" s="1"/>
  <c r="S35" i="115" s="1"/>
  <c r="S36" i="115" s="1"/>
  <c r="S37" i="115" s="1"/>
  <c r="S38" i="115" s="1"/>
  <c r="S39" i="115" s="1"/>
  <c r="S40" i="115" s="1"/>
  <c r="S41" i="115" s="1"/>
  <c r="S42" i="115" s="1"/>
  <c r="S43" i="115" s="1"/>
  <c r="S44" i="115" s="1"/>
  <c r="S45" i="115" s="1"/>
  <c r="T47" i="115" s="1"/>
  <c r="W3" i="115"/>
  <c r="AC3" i="115"/>
  <c r="AC4" i="115" s="1"/>
  <c r="AC5" i="115" s="1"/>
  <c r="AC6" i="115" s="1"/>
  <c r="AC7" i="115" s="1"/>
  <c r="AC8" i="115" s="1"/>
  <c r="AC9" i="115" s="1"/>
  <c r="AC10" i="115" s="1"/>
  <c r="AC11" i="115" s="1"/>
  <c r="AC12" i="115" s="1"/>
  <c r="AC13" i="115" s="1"/>
  <c r="AC14" i="115" s="1"/>
  <c r="AC15" i="115" s="1"/>
  <c r="AD18" i="115" s="1"/>
  <c r="AG3" i="115"/>
  <c r="B4" i="115"/>
  <c r="E4" i="115"/>
  <c r="H4" i="115"/>
  <c r="P4" i="115"/>
  <c r="W4" i="115"/>
  <c r="AG4" i="115"/>
  <c r="B5" i="115"/>
  <c r="E5" i="115"/>
  <c r="H5" i="115"/>
  <c r="P5" i="115"/>
  <c r="W5" i="115"/>
  <c r="AG5" i="115"/>
  <c r="E6" i="115"/>
  <c r="H6" i="115"/>
  <c r="P6" i="115"/>
  <c r="W6" i="115"/>
  <c r="AG6" i="115"/>
  <c r="E7" i="115"/>
  <c r="H7" i="115"/>
  <c r="P7" i="115"/>
  <c r="W7" i="115"/>
  <c r="AG7" i="115"/>
  <c r="E8" i="115"/>
  <c r="H8" i="115"/>
  <c r="P8" i="115"/>
  <c r="W8" i="115"/>
  <c r="AG8" i="115"/>
  <c r="E9" i="115"/>
  <c r="H9" i="115"/>
  <c r="P9" i="115"/>
  <c r="W9" i="115"/>
  <c r="AG9" i="115"/>
  <c r="E10" i="115"/>
  <c r="H10" i="115"/>
  <c r="P10" i="115"/>
  <c r="W10" i="115"/>
  <c r="AG10" i="115"/>
  <c r="E11" i="115"/>
  <c r="H11" i="115"/>
  <c r="P11" i="115"/>
  <c r="W11" i="115"/>
  <c r="AG11" i="115"/>
  <c r="E12" i="115"/>
  <c r="H12" i="115"/>
  <c r="P12" i="115"/>
  <c r="W12" i="115"/>
  <c r="AG12" i="115"/>
  <c r="E13" i="115"/>
  <c r="H13" i="115"/>
  <c r="P13" i="115"/>
  <c r="W13" i="115"/>
  <c r="AG13" i="115"/>
  <c r="E14" i="115"/>
  <c r="H14" i="115"/>
  <c r="P14" i="115"/>
  <c r="W14" i="115"/>
  <c r="AG14" i="115"/>
  <c r="E15" i="115"/>
  <c r="P15" i="115"/>
  <c r="W15" i="115"/>
  <c r="AG15" i="115"/>
  <c r="E16" i="115"/>
  <c r="H16" i="115"/>
  <c r="P16" i="115"/>
  <c r="W16" i="115"/>
  <c r="P17" i="115"/>
  <c r="W17" i="115"/>
  <c r="P18" i="115"/>
  <c r="W18" i="115"/>
  <c r="P19" i="115"/>
  <c r="W19" i="115"/>
  <c r="P20" i="115"/>
  <c r="W20" i="115"/>
  <c r="P21" i="115"/>
  <c r="W21" i="115"/>
  <c r="P22" i="115"/>
  <c r="W22" i="115"/>
  <c r="P23" i="115"/>
  <c r="W23" i="115"/>
  <c r="P24" i="115"/>
  <c r="W24" i="115"/>
  <c r="P25" i="115"/>
  <c r="W25" i="115"/>
  <c r="P26" i="115"/>
  <c r="W26" i="115"/>
  <c r="P27" i="115"/>
  <c r="W27" i="115"/>
  <c r="P28" i="115"/>
  <c r="W28" i="115"/>
  <c r="P29" i="115"/>
  <c r="W29" i="115"/>
  <c r="P30" i="115"/>
  <c r="W30" i="115"/>
  <c r="P31" i="115"/>
  <c r="W31" i="115"/>
  <c r="P32" i="115"/>
  <c r="W32" i="115"/>
  <c r="P33" i="115"/>
  <c r="W33" i="115"/>
  <c r="P34" i="115"/>
  <c r="W34" i="115"/>
  <c r="P35" i="115"/>
  <c r="W35" i="115"/>
  <c r="P36" i="115"/>
  <c r="W36" i="115"/>
  <c r="P37" i="115"/>
  <c r="W37" i="115"/>
  <c r="P38" i="115"/>
  <c r="W38" i="115"/>
  <c r="P39" i="115"/>
  <c r="W39" i="115"/>
  <c r="P40" i="115"/>
  <c r="W40" i="115"/>
  <c r="P41" i="115"/>
  <c r="W41" i="115"/>
  <c r="P42" i="115"/>
  <c r="W42" i="115"/>
  <c r="P43" i="115"/>
  <c r="W43" i="115"/>
  <c r="P44" i="115"/>
  <c r="W44" i="115"/>
  <c r="P45" i="115"/>
  <c r="W45" i="115"/>
  <c r="M24" i="144"/>
  <c r="M23" i="144"/>
  <c r="M22" i="144"/>
  <c r="M21" i="144"/>
  <c r="M20" i="144"/>
  <c r="M19" i="144"/>
  <c r="M18" i="144"/>
  <c r="M17" i="144"/>
  <c r="M16" i="144"/>
  <c r="M15" i="144"/>
  <c r="M14" i="144"/>
  <c r="M13" i="144"/>
  <c r="M12" i="144"/>
  <c r="M11" i="144"/>
  <c r="M10" i="144"/>
  <c r="M9" i="144"/>
  <c r="M8" i="144"/>
  <c r="M7" i="144"/>
  <c r="M6" i="144"/>
  <c r="M5" i="144"/>
  <c r="M4" i="144"/>
  <c r="P3" i="144"/>
  <c r="P4" i="144" s="1"/>
  <c r="P5" i="144" s="1"/>
  <c r="P6" i="144" s="1"/>
  <c r="P7" i="144" s="1"/>
  <c r="P8" i="144" s="1"/>
  <c r="P9" i="144" s="1"/>
  <c r="P10" i="144" s="1"/>
  <c r="P11" i="144" s="1"/>
  <c r="P12" i="144" s="1"/>
  <c r="P13" i="144" s="1"/>
  <c r="P14" i="144" s="1"/>
  <c r="P15" i="144" s="1"/>
  <c r="P16" i="144" s="1"/>
  <c r="P17" i="144" s="1"/>
  <c r="P18" i="144" s="1"/>
  <c r="P19" i="144" s="1"/>
  <c r="P20" i="144" s="1"/>
  <c r="P21" i="144" s="1"/>
  <c r="P22" i="144" s="1"/>
  <c r="P23" i="144" s="1"/>
  <c r="P24" i="144" s="1"/>
  <c r="Q26" i="144" s="1"/>
  <c r="M3" i="144"/>
  <c r="H45" i="144"/>
  <c r="A45" i="144"/>
  <c r="H44" i="144"/>
  <c r="A44" i="144"/>
  <c r="H43" i="144"/>
  <c r="A43" i="144"/>
  <c r="H42" i="144"/>
  <c r="A42" i="144"/>
  <c r="H41" i="144"/>
  <c r="A41" i="144"/>
  <c r="H40" i="144"/>
  <c r="A40" i="144"/>
  <c r="H39" i="144"/>
  <c r="A39" i="144"/>
  <c r="H38" i="144"/>
  <c r="A38" i="144"/>
  <c r="H37" i="144"/>
  <c r="A37" i="144"/>
  <c r="H36" i="144"/>
  <c r="A36" i="144"/>
  <c r="H35" i="144"/>
  <c r="A35" i="144"/>
  <c r="H34" i="144"/>
  <c r="A34" i="144"/>
  <c r="H33" i="144"/>
  <c r="A33" i="144"/>
  <c r="H32" i="144"/>
  <c r="A32" i="144"/>
  <c r="H31" i="144"/>
  <c r="A31" i="144"/>
  <c r="H30" i="144"/>
  <c r="A30" i="144"/>
  <c r="H29" i="144"/>
  <c r="A29" i="144"/>
  <c r="H28" i="144"/>
  <c r="A28" i="144"/>
  <c r="H27" i="144"/>
  <c r="A27" i="144"/>
  <c r="H26" i="144"/>
  <c r="A26" i="144"/>
  <c r="H25" i="144"/>
  <c r="A25" i="144"/>
  <c r="H24" i="144"/>
  <c r="A24" i="144"/>
  <c r="H23" i="144"/>
  <c r="A23" i="144"/>
  <c r="H22" i="144"/>
  <c r="A22" i="144"/>
  <c r="H21" i="144"/>
  <c r="A21" i="144"/>
  <c r="H20" i="144"/>
  <c r="A20" i="144"/>
  <c r="H19" i="144"/>
  <c r="A19" i="144"/>
  <c r="H18" i="144"/>
  <c r="A18" i="144"/>
  <c r="H17" i="144"/>
  <c r="A17" i="144"/>
  <c r="H16" i="144"/>
  <c r="A16" i="144"/>
  <c r="H15" i="144"/>
  <c r="A15" i="144"/>
  <c r="H14" i="144"/>
  <c r="A14" i="144"/>
  <c r="H13" i="144"/>
  <c r="A13" i="144"/>
  <c r="H12" i="144"/>
  <c r="A12" i="144"/>
  <c r="H11" i="144"/>
  <c r="A11" i="144"/>
  <c r="H10" i="144"/>
  <c r="A10" i="144"/>
  <c r="H9" i="144"/>
  <c r="A9" i="144"/>
  <c r="H8" i="144"/>
  <c r="A8" i="144"/>
  <c r="H7" i="144"/>
  <c r="A7" i="144"/>
  <c r="H6" i="144"/>
  <c r="A6" i="144"/>
  <c r="H5" i="144"/>
  <c r="A5" i="144"/>
  <c r="H4" i="144"/>
  <c r="A4" i="144"/>
  <c r="H3" i="144"/>
  <c r="D3" i="144"/>
  <c r="D4" i="144" s="1"/>
  <c r="D5" i="144" s="1"/>
  <c r="D6" i="144" s="1"/>
  <c r="D7" i="144" s="1"/>
  <c r="D8" i="144" s="1"/>
  <c r="D9" i="144" s="1"/>
  <c r="D10" i="144" s="1"/>
  <c r="D11" i="144" s="1"/>
  <c r="D12" i="144" s="1"/>
  <c r="D13" i="144" s="1"/>
  <c r="D14" i="144" s="1"/>
  <c r="D15" i="144" s="1"/>
  <c r="D16" i="144" s="1"/>
  <c r="D17" i="144" s="1"/>
  <c r="D18" i="144" s="1"/>
  <c r="D19" i="144" s="1"/>
  <c r="D20" i="144" s="1"/>
  <c r="D21" i="144" s="1"/>
  <c r="D22" i="144" s="1"/>
  <c r="D23" i="144" s="1"/>
  <c r="A3" i="144"/>
  <c r="C9" i="122"/>
  <c r="C11" i="122"/>
  <c r="C8" i="122"/>
  <c r="B14" i="122"/>
  <c r="C14" i="122"/>
  <c r="C17" i="122"/>
  <c r="N12" i="65"/>
  <c r="O12" i="65" s="1"/>
  <c r="E17" i="122"/>
  <c r="B17" i="122" s="1"/>
  <c r="N11" i="65"/>
  <c r="O11" i="65" s="1"/>
  <c r="M14" i="65"/>
  <c r="H2" i="65" s="1"/>
  <c r="H8" i="65" s="1"/>
  <c r="N3" i="65"/>
  <c r="O3" i="65" s="1"/>
  <c r="N4" i="65"/>
  <c r="O4" i="65" s="1"/>
  <c r="N6" i="65"/>
  <c r="O6" i="65" s="1"/>
  <c r="N8" i="65"/>
  <c r="O8" i="65" s="1"/>
  <c r="N9" i="65"/>
  <c r="O9" i="65" s="1"/>
  <c r="N10" i="65"/>
  <c r="O10" i="65" s="1"/>
  <c r="O5" i="65"/>
  <c r="O7" i="65"/>
  <c r="O13" i="65"/>
  <c r="O2" i="65"/>
  <c r="B28" i="65"/>
  <c r="B11" i="65"/>
  <c r="C11" i="65" s="1"/>
  <c r="C12" i="65"/>
  <c r="D12" i="65" s="1"/>
  <c r="B15" i="65"/>
  <c r="C8" i="65"/>
  <c r="C9" i="65" s="1"/>
  <c r="D10" i="65"/>
  <c r="B6" i="65"/>
  <c r="B6" i="13"/>
  <c r="B15" i="13" s="1"/>
  <c r="L6" i="6"/>
  <c r="M6" i="6" s="1"/>
  <c r="B36" i="176" l="1"/>
  <c r="B37" i="176" s="1"/>
  <c r="D27" i="177"/>
  <c r="C36" i="177"/>
  <c r="C37" i="177" s="1"/>
  <c r="D21" i="172"/>
  <c r="M4" i="115"/>
  <c r="M5" i="115" s="1"/>
  <c r="M6" i="115" s="1"/>
  <c r="M7" i="115" s="1"/>
  <c r="M8" i="115" s="1"/>
  <c r="M9" i="115" s="1"/>
  <c r="M10" i="115" s="1"/>
  <c r="M11" i="115" s="1"/>
  <c r="M12" i="115" s="1"/>
  <c r="M13" i="115" s="1"/>
  <c r="M14" i="115" s="1"/>
  <c r="M15" i="115" s="1"/>
  <c r="M16" i="115" s="1"/>
  <c r="M17" i="115" s="1"/>
  <c r="M18" i="115" s="1"/>
  <c r="M19" i="115" s="1"/>
  <c r="M20" i="115" s="1"/>
  <c r="M21" i="115" s="1"/>
  <c r="M22" i="115" s="1"/>
  <c r="M23" i="115" s="1"/>
  <c r="M24" i="115" s="1"/>
  <c r="M25" i="115" s="1"/>
  <c r="M26" i="115" s="1"/>
  <c r="M27" i="115" s="1"/>
  <c r="M28" i="115" s="1"/>
  <c r="M29" i="115" s="1"/>
  <c r="M30" i="115" s="1"/>
  <c r="M31" i="115" s="1"/>
  <c r="M32" i="115" s="1"/>
  <c r="M33" i="115" s="1"/>
  <c r="M34" i="115" s="1"/>
  <c r="M35" i="115" s="1"/>
  <c r="M36" i="115" s="1"/>
  <c r="M37" i="115" s="1"/>
  <c r="M38" i="115" s="1"/>
  <c r="M39" i="115" s="1"/>
  <c r="M40" i="115" s="1"/>
  <c r="M41" i="115" s="1"/>
  <c r="M42" i="115" s="1"/>
  <c r="M43" i="115" s="1"/>
  <c r="M44" i="115" s="1"/>
  <c r="M45" i="115" s="1"/>
  <c r="N47" i="115" s="1"/>
  <c r="P35" i="172"/>
  <c r="M12" i="178"/>
  <c r="G2" i="178" s="1"/>
  <c r="D21" i="177"/>
  <c r="J39" i="172"/>
  <c r="M22" i="178"/>
  <c r="G7" i="178" s="1"/>
  <c r="D24" i="144"/>
  <c r="D25" i="144" s="1"/>
  <c r="D26" i="144" s="1"/>
  <c r="D27" i="144" s="1"/>
  <c r="D28" i="144" s="1"/>
  <c r="D29" i="144" s="1"/>
  <c r="D30" i="144" s="1"/>
  <c r="D31" i="144" s="1"/>
  <c r="D32" i="144" s="1"/>
  <c r="D33" i="144" s="1"/>
  <c r="D34" i="144" s="1"/>
  <c r="D35" i="144" s="1"/>
  <c r="D36" i="144" s="1"/>
  <c r="D37" i="144" s="1"/>
  <c r="D38" i="144" s="1"/>
  <c r="D39" i="144" s="1"/>
  <c r="D40" i="144" s="1"/>
  <c r="D41" i="144" s="1"/>
  <c r="D42" i="144" s="1"/>
  <c r="D43" i="144" s="1"/>
  <c r="D44" i="144" s="1"/>
  <c r="D45" i="144" s="1"/>
  <c r="E47" i="144" s="1"/>
  <c r="E23" i="144"/>
  <c r="J39" i="176"/>
  <c r="D27" i="176"/>
  <c r="F20" i="176" s="1"/>
  <c r="H20" i="176" s="1"/>
  <c r="G25" i="177"/>
  <c r="C13" i="65"/>
  <c r="P54" i="177"/>
  <c r="P56" i="177" s="1"/>
  <c r="P54" i="172"/>
  <c r="P56" i="172" s="1"/>
  <c r="G17" i="176"/>
  <c r="J23" i="176" s="1"/>
  <c r="M22" i="172"/>
  <c r="G7" i="172" s="1"/>
  <c r="G25" i="178"/>
  <c r="J39" i="178"/>
  <c r="B9" i="65"/>
  <c r="B10" i="65" s="1"/>
  <c r="D9" i="65"/>
  <c r="B16" i="65"/>
  <c r="B17" i="65" s="1"/>
  <c r="B36" i="172"/>
  <c r="B37" i="172" s="1"/>
  <c r="F20" i="172" s="1"/>
  <c r="H20" i="172" s="1"/>
  <c r="G17" i="177"/>
  <c r="J23" i="177" s="1"/>
  <c r="P50" i="172"/>
  <c r="P52" i="172" s="1"/>
  <c r="D8" i="65"/>
  <c r="D25" i="177"/>
  <c r="F20" i="177" s="1"/>
  <c r="H20" i="177" s="1"/>
  <c r="B36" i="178"/>
  <c r="B37" i="178" s="1"/>
  <c r="P54" i="179"/>
  <c r="P56" i="179" s="1"/>
  <c r="P54" i="176"/>
  <c r="P56" i="176" s="1"/>
  <c r="J39" i="177"/>
  <c r="P35" i="178"/>
  <c r="G13" i="136"/>
  <c r="B13" i="65"/>
  <c r="D13" i="65"/>
  <c r="D38" i="177"/>
  <c r="D38" i="172"/>
  <c r="G17" i="172"/>
  <c r="J23" i="172" s="1"/>
  <c r="P50" i="177"/>
  <c r="P52" i="177" s="1"/>
  <c r="D15" i="65"/>
  <c r="P50" i="178"/>
  <c r="P52" i="178" s="1"/>
  <c r="P54" i="178"/>
  <c r="P56" i="178" s="1"/>
  <c r="D11" i="65"/>
  <c r="G25" i="176"/>
  <c r="C36" i="172"/>
  <c r="C37" i="172" s="1"/>
  <c r="B230" i="134"/>
  <c r="N14" i="65"/>
  <c r="H3" i="65" s="1"/>
  <c r="H5" i="65" s="1"/>
  <c r="B36" i="179"/>
  <c r="B37" i="179" s="1"/>
  <c r="K7" i="136"/>
  <c r="D31" i="122"/>
  <c r="B42" i="122"/>
  <c r="D42" i="122" s="1"/>
  <c r="G9" i="136"/>
  <c r="J23" i="180"/>
  <c r="F20" i="180"/>
  <c r="H20" i="180" s="1"/>
  <c r="J19" i="180" s="1"/>
  <c r="B30" i="134"/>
  <c r="B126" i="134"/>
  <c r="B129" i="134" s="1"/>
  <c r="B249" i="134"/>
  <c r="B147" i="134"/>
  <c r="B4" i="134" s="1"/>
  <c r="B77" i="134"/>
  <c r="B80" i="134" s="1"/>
  <c r="B79" i="134" s="1"/>
  <c r="B202" i="134"/>
  <c r="B5" i="134" s="1"/>
  <c r="B98" i="134"/>
  <c r="B3" i="134" s="1"/>
  <c r="B176" i="134"/>
  <c r="B179" i="134" s="1"/>
  <c r="M13" i="179"/>
  <c r="G2" i="179" s="1"/>
  <c r="G17" i="179" s="1"/>
  <c r="P50" i="179"/>
  <c r="P52" i="179" s="1"/>
  <c r="J39" i="179"/>
  <c r="C36" i="179"/>
  <c r="C37" i="179" s="1"/>
  <c r="D3" i="179"/>
  <c r="G25" i="179"/>
  <c r="D21" i="179"/>
  <c r="P35" i="179"/>
  <c r="O5" i="122"/>
  <c r="B18" i="122"/>
  <c r="C18" i="122"/>
  <c r="C36" i="178"/>
  <c r="C37" i="178" s="1"/>
  <c r="D38" i="178"/>
  <c r="F20" i="178"/>
  <c r="H20" i="178" s="1"/>
  <c r="G17" i="178" l="1"/>
  <c r="J23" i="178" s="1"/>
  <c r="J27" i="187"/>
  <c r="J29" i="187" s="1"/>
  <c r="J26" i="187"/>
  <c r="J19" i="177"/>
  <c r="J19" i="176"/>
  <c r="D38" i="176"/>
  <c r="J27" i="185"/>
  <c r="J29" i="185" s="1"/>
  <c r="J26" i="185"/>
  <c r="B9" i="134"/>
  <c r="J26" i="172"/>
  <c r="J27" i="184"/>
  <c r="J29" i="184" s="1"/>
  <c r="J26" i="184"/>
  <c r="H10" i="65"/>
  <c r="I17" i="65"/>
  <c r="M19" i="65"/>
  <c r="B203" i="134"/>
  <c r="J19" i="172"/>
  <c r="J26" i="183"/>
  <c r="J27" i="183"/>
  <c r="J29" i="183" s="1"/>
  <c r="K12" i="136"/>
  <c r="J26" i="182"/>
  <c r="J27" i="182"/>
  <c r="J29" i="182" s="1"/>
  <c r="J27" i="180"/>
  <c r="J29" i="180" s="1"/>
  <c r="J27" i="181"/>
  <c r="J29" i="181" s="1"/>
  <c r="J26" i="181"/>
  <c r="B44" i="122"/>
  <c r="J26" i="177"/>
  <c r="J27" i="172"/>
  <c r="J29" i="172" s="1"/>
  <c r="J26" i="176"/>
  <c r="J27" i="178"/>
  <c r="J29" i="178" s="1"/>
  <c r="J26" i="180"/>
  <c r="J26" i="179"/>
  <c r="J27" i="176"/>
  <c r="J29" i="176" s="1"/>
  <c r="J26" i="178"/>
  <c r="J27" i="177"/>
  <c r="J29" i="177" s="1"/>
  <c r="D38" i="179"/>
  <c r="J23" i="179"/>
  <c r="J27" i="179"/>
  <c r="J29" i="179" s="1"/>
  <c r="F20" i="179"/>
  <c r="H20" i="179" s="1"/>
  <c r="J19" i="179" s="1"/>
  <c r="J8" i="179" s="1"/>
  <c r="B20" i="122"/>
  <c r="J19" i="178"/>
  <c r="F61" i="184" l="1"/>
  <c r="F63" i="184" s="1"/>
  <c r="G61" i="184"/>
  <c r="G63" i="184" s="1"/>
  <c r="G69" i="184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<sst xmlns="http://schemas.openxmlformats.org/spreadsheetml/2006/main" count="3673" uniqueCount="809">
  <si>
    <t>Supermercado</t>
  </si>
  <si>
    <t>Total gastos</t>
  </si>
  <si>
    <t>Remanente</t>
  </si>
  <si>
    <t>Bencina</t>
  </si>
  <si>
    <t>Presupuesto</t>
  </si>
  <si>
    <t>Gastado</t>
  </si>
  <si>
    <t>Queda</t>
  </si>
  <si>
    <t>cta cte.</t>
  </si>
  <si>
    <t>liquido</t>
  </si>
  <si>
    <t>total</t>
  </si>
  <si>
    <t>cta cte internet</t>
  </si>
  <si>
    <t>Agustina</t>
  </si>
  <si>
    <t>Real</t>
  </si>
  <si>
    <t>Ideal</t>
  </si>
  <si>
    <t>LUGAR</t>
  </si>
  <si>
    <t>TOTAL</t>
  </si>
  <si>
    <t>Efectivo</t>
  </si>
  <si>
    <t>CANTIDAD INICIAL</t>
  </si>
  <si>
    <t>Feria</t>
  </si>
  <si>
    <t>extras</t>
  </si>
  <si>
    <t>deuda univ</t>
  </si>
  <si>
    <t>deuda total</t>
  </si>
  <si>
    <t>acciones cruzados</t>
  </si>
  <si>
    <t>cant. Acc.</t>
  </si>
  <si>
    <t xml:space="preserve">Lucia </t>
  </si>
  <si>
    <t>viajes Y paseos</t>
  </si>
  <si>
    <t>lo q sobra a ahorro</t>
  </si>
  <si>
    <t>lavado auto</t>
  </si>
  <si>
    <t>precio compra</t>
  </si>
  <si>
    <t>Diferencia</t>
  </si>
  <si>
    <t>invertido</t>
  </si>
  <si>
    <t>para usar</t>
  </si>
  <si>
    <t>VALOR TOTAL</t>
  </si>
  <si>
    <t>RESERVA</t>
  </si>
  <si>
    <t>CREDITO HIPOTECARIO</t>
  </si>
  <si>
    <t>TOTAL PIE (20%)</t>
  </si>
  <si>
    <t xml:space="preserve">precio accion </t>
  </si>
  <si>
    <t>VALOR UF al pago PIE</t>
  </si>
  <si>
    <t>PIE (20% INMOBILIARIA)</t>
  </si>
  <si>
    <t>EN UF</t>
  </si>
  <si>
    <t>en %</t>
  </si>
  <si>
    <t>en $</t>
  </si>
  <si>
    <t>TAG</t>
  </si>
  <si>
    <t>GIO</t>
  </si>
  <si>
    <t>lo que sobre a fm estudio</t>
  </si>
  <si>
    <t>PIE EXTRA PAGADO 1</t>
  </si>
  <si>
    <t>VALOR UF al pago PIE EXTRA1</t>
  </si>
  <si>
    <t>Costo UF</t>
  </si>
  <si>
    <t>Cantidad a pedir</t>
  </si>
  <si>
    <t>Pie pagado</t>
  </si>
  <si>
    <t>VALOR UF al día (18/9/19)</t>
  </si>
  <si>
    <t>PIE EXTRA PAGADO 2</t>
  </si>
  <si>
    <t>VALOR UF al pago PIE EXTRA2</t>
  </si>
  <si>
    <t>GASTOS OPERACIONALES</t>
  </si>
  <si>
    <t>TASA INTERÉS ANUAL REAL</t>
  </si>
  <si>
    <t>OK</t>
  </si>
  <si>
    <t xml:space="preserve">FONDOS DE ADMINISTRACIÓN </t>
  </si>
  <si>
    <t>HONORARIOS NOTARIA</t>
  </si>
  <si>
    <t>IMPUESTO NOTARIA</t>
  </si>
  <si>
    <t>n CUOTAS</t>
  </si>
  <si>
    <t>VP CREDITO (CRED. +GASTO OP)</t>
  </si>
  <si>
    <t>TOTAL IMPO+OP+GASTO COM.</t>
  </si>
  <si>
    <t>DIVIDENDO</t>
  </si>
  <si>
    <t xml:space="preserve">raul </t>
  </si>
  <si>
    <t>Credito LU</t>
  </si>
  <si>
    <t>Total</t>
  </si>
  <si>
    <t>Pagado</t>
  </si>
  <si>
    <t>Por Pagar</t>
  </si>
  <si>
    <t>Cuota</t>
  </si>
  <si>
    <t>Valor</t>
  </si>
  <si>
    <t>Fecha Venc.</t>
  </si>
  <si>
    <t>Cant. Cuotas</t>
  </si>
  <si>
    <t>prox mes</t>
  </si>
  <si>
    <t>mama</t>
  </si>
  <si>
    <t xml:space="preserve">Cuotas </t>
  </si>
  <si>
    <t>ahorro (contribuciones)</t>
  </si>
  <si>
    <t>ok</t>
  </si>
  <si>
    <t>regalos</t>
  </si>
  <si>
    <t>purificador mama</t>
  </si>
  <si>
    <t>AHORRO CONTRIBUCIONES</t>
  </si>
  <si>
    <t>luz</t>
  </si>
  <si>
    <t>agua</t>
  </si>
  <si>
    <t>tag</t>
  </si>
  <si>
    <t>Cuentas Mamá</t>
  </si>
  <si>
    <t>min/km</t>
  </si>
  <si>
    <t>tag 2</t>
  </si>
  <si>
    <t>GG.CC + agua caliente</t>
  </si>
  <si>
    <t>3k</t>
  </si>
  <si>
    <t>21k</t>
  </si>
  <si>
    <t>ahorro colegio agus</t>
  </si>
  <si>
    <t>en cta cte</t>
  </si>
  <si>
    <t>en cuenta lu</t>
  </si>
  <si>
    <t>TOTAL USADO</t>
  </si>
  <si>
    <t>SALDO REGALOS</t>
  </si>
  <si>
    <t>SALDO GIFTCARD</t>
  </si>
  <si>
    <t>METODO COMPRADO</t>
  </si>
  <si>
    <t>meses por pagar</t>
  </si>
  <si>
    <t xml:space="preserve">en cta ahorro </t>
  </si>
  <si>
    <t>Colegio Agus (ahorro)</t>
  </si>
  <si>
    <t>para usar giftcard</t>
  </si>
  <si>
    <t>Pasaporte</t>
  </si>
  <si>
    <t>Pasajes +  tasa</t>
  </si>
  <si>
    <t>Seguro medico</t>
  </si>
  <si>
    <t>Hotel</t>
  </si>
  <si>
    <t>Auto</t>
  </si>
  <si>
    <t>falta</t>
  </si>
  <si>
    <t>cuotas</t>
  </si>
  <si>
    <t>monto cuota</t>
  </si>
  <si>
    <t>Visa waiber</t>
  </si>
  <si>
    <t>Presupuestado</t>
  </si>
  <si>
    <t>Valor dólar</t>
  </si>
  <si>
    <t>compras</t>
  </si>
  <si>
    <t>Entradas Disney</t>
  </si>
  <si>
    <t>Entradas Universal</t>
  </si>
  <si>
    <t>Visitas</t>
  </si>
  <si>
    <t>en dolares</t>
  </si>
  <si>
    <t>avis</t>
  </si>
  <si>
    <t>alamo</t>
  </si>
  <si>
    <t>seaworld o lego</t>
  </si>
  <si>
    <t>42k</t>
  </si>
  <si>
    <t>10k</t>
  </si>
  <si>
    <t>ahorro (colegio agus)</t>
  </si>
  <si>
    <t>Uniforme y utiles agus</t>
  </si>
  <si>
    <t>ritmo KM</t>
  </si>
  <si>
    <t>T° Acumulado</t>
  </si>
  <si>
    <t>ritmo medio</t>
  </si>
  <si>
    <t xml:space="preserve">ahorro feren agus </t>
  </si>
  <si>
    <t>FONDO MUTUO colegio agus (cta 00)</t>
  </si>
  <si>
    <t xml:space="preserve">luz </t>
  </si>
  <si>
    <t>Ahorro mantención auto</t>
  </si>
  <si>
    <t>Prox mes</t>
  </si>
  <si>
    <t>Deudor</t>
  </si>
  <si>
    <t>Monto</t>
  </si>
  <si>
    <t>ahorro (ferIen agus)</t>
  </si>
  <si>
    <t>cupo boston</t>
  </si>
  <si>
    <t>Pasajes</t>
  </si>
  <si>
    <t>Tasa embarque</t>
  </si>
  <si>
    <t>Por gastar</t>
  </si>
  <si>
    <t>Reservado</t>
  </si>
  <si>
    <t>Por Gastar</t>
  </si>
  <si>
    <t>LAS SALINAS</t>
  </si>
  <si>
    <t>COPEC SALINAS</t>
  </si>
  <si>
    <t>PUENTE CAPUCHINO</t>
  </si>
  <si>
    <t>NUDO BARON</t>
  </si>
  <si>
    <t>VUELTA MOLO</t>
  </si>
  <si>
    <t>STELLA MARIS</t>
  </si>
  <si>
    <t>HIGUERRILLAS</t>
  </si>
  <si>
    <t>META</t>
  </si>
  <si>
    <t>matricula</t>
  </si>
  <si>
    <t>cgpa</t>
  </si>
  <si>
    <t>colegiatura</t>
  </si>
  <si>
    <t>lu</t>
  </si>
  <si>
    <t>raul</t>
  </si>
  <si>
    <t>Carrera</t>
  </si>
  <si>
    <t>Comida (13 días)</t>
  </si>
  <si>
    <t>Maraton Viña</t>
  </si>
  <si>
    <t>Ahorro mantencion auto</t>
  </si>
  <si>
    <t>Agus</t>
  </si>
  <si>
    <t>ahorro (vacas o depa)</t>
  </si>
  <si>
    <t>Furgon Agus</t>
  </si>
  <si>
    <t>ojo con el fee</t>
  </si>
  <si>
    <t>frenillos agus</t>
  </si>
  <si>
    <t>carga metro - movilizacion</t>
  </si>
  <si>
    <t>Ascenso</t>
  </si>
  <si>
    <t>Descenso</t>
  </si>
  <si>
    <t>Altimetria</t>
  </si>
  <si>
    <t>AGUA</t>
  </si>
  <si>
    <t>GEL</t>
  </si>
  <si>
    <t>MILLA</t>
  </si>
  <si>
    <t>GEL CON</t>
  </si>
  <si>
    <t>GEL SIN</t>
  </si>
  <si>
    <t xml:space="preserve">AGUA </t>
  </si>
  <si>
    <t>MARATON BOSTON</t>
  </si>
  <si>
    <t>MILLA 3 - 5,4K</t>
  </si>
  <si>
    <t>MILLA 6 - 9,5k</t>
  </si>
  <si>
    <t>MILLA 9 - 14,4K</t>
  </si>
  <si>
    <t>MILLA 24 - 38,8K</t>
  </si>
  <si>
    <t>MILLA 11 -17,9K</t>
  </si>
  <si>
    <t>MILLA 13 - 21,1K</t>
  </si>
  <si>
    <t>MILLA 15  - 24K</t>
  </si>
  <si>
    <t>MILLA 17 - 27,5K</t>
  </si>
  <si>
    <t>MILLA 19 - 30,6K</t>
  </si>
  <si>
    <t>MILLA 21 - 33,8K</t>
  </si>
  <si>
    <t>MILLA 22 - 35,5K</t>
  </si>
  <si>
    <t>GATORADE</t>
  </si>
  <si>
    <t>mourten</t>
  </si>
  <si>
    <t>HORA Y LUGAR</t>
  </si>
  <si>
    <t>RUTA Y TIEMPO</t>
  </si>
  <si>
    <t>VASELINA</t>
  </si>
  <si>
    <t>CALCETINES</t>
  </si>
  <si>
    <t>BOXER</t>
  </si>
  <si>
    <t>ZAPATILLAS (X2)</t>
  </si>
  <si>
    <t>VISERA</t>
  </si>
  <si>
    <t>ANTEOJOS</t>
  </si>
  <si>
    <t>MUÑEQUERA</t>
  </si>
  <si>
    <t>MANGAS</t>
  </si>
  <si>
    <t>GUANTES</t>
  </si>
  <si>
    <t>ROPA CAMBIO</t>
  </si>
  <si>
    <t>PARCHE CURITA</t>
  </si>
  <si>
    <t>GELES</t>
  </si>
  <si>
    <t>DEPILAR</t>
  </si>
  <si>
    <t>ISOTONICO</t>
  </si>
  <si>
    <t>BOTELLA AGUA VACIA</t>
  </si>
  <si>
    <t>PAPEL HIGIENICO</t>
  </si>
  <si>
    <t>GEL A MOCHILA</t>
  </si>
  <si>
    <t>RETIRO KIT</t>
  </si>
  <si>
    <t>RODILLO</t>
  </si>
  <si>
    <t>RELOJ+CARGADOR</t>
  </si>
  <si>
    <t>CARGAR RELOJ</t>
  </si>
  <si>
    <t>CARGAR TELEFONO</t>
  </si>
  <si>
    <t>TABLA TIEMPOS</t>
  </si>
  <si>
    <t xml:space="preserve">LEUKOLAST O PARCHES </t>
  </si>
  <si>
    <t>ROPA LLUVIA</t>
  </si>
  <si>
    <t>cortaviento</t>
  </si>
  <si>
    <t>compra cash</t>
  </si>
  <si>
    <t>GASTOS REALES</t>
  </si>
  <si>
    <t>200 USD EN EFECTIVO</t>
  </si>
  <si>
    <t>preventa fotos</t>
  </si>
  <si>
    <t>compra TC (visita, compra , comida)</t>
  </si>
  <si>
    <t>Visitas - comida -compras (TC)</t>
  </si>
  <si>
    <t>Visitas - comida -compras (CASH)</t>
  </si>
  <si>
    <t>Ahorro Major</t>
  </si>
  <si>
    <t>Efectivo Lu</t>
  </si>
  <si>
    <t>MARATON SANTIAGO</t>
  </si>
  <si>
    <t>21K MARATON SANTIAGO</t>
  </si>
  <si>
    <t>4,5k</t>
  </si>
  <si>
    <t>9,3K</t>
  </si>
  <si>
    <t>14,3 K</t>
  </si>
  <si>
    <t>17,8 K</t>
  </si>
  <si>
    <t>GEL VO2 CON</t>
  </si>
  <si>
    <t>GEL MOURTEN SIN</t>
  </si>
  <si>
    <t>AGUA??</t>
  </si>
  <si>
    <t>km</t>
  </si>
  <si>
    <t>tiempo</t>
  </si>
  <si>
    <t>MARATON VIÑA</t>
  </si>
  <si>
    <t>RELOJ FLOR</t>
  </si>
  <si>
    <t>ACANAV</t>
  </si>
  <si>
    <t>8NORTE</t>
  </si>
  <si>
    <t>USM</t>
  </si>
  <si>
    <t>valor UF</t>
  </si>
  <si>
    <t>Teléfono</t>
  </si>
  <si>
    <t>RAUL</t>
  </si>
  <si>
    <t>deudores</t>
  </si>
  <si>
    <t>Netflix gio (01 año- ultimo agosto)</t>
  </si>
  <si>
    <t>normal 150000</t>
  </si>
  <si>
    <t>CLUB</t>
  </si>
  <si>
    <t>1° REÑACA</t>
  </si>
  <si>
    <t>PETROBRAS</t>
  </si>
  <si>
    <t>KM</t>
  </si>
  <si>
    <t>8/10 NORTE</t>
  </si>
  <si>
    <t>ISOTON</t>
  </si>
  <si>
    <t>CAP DUCAL</t>
  </si>
  <si>
    <t>LU COPEC</t>
  </si>
  <si>
    <t>PORTALES VUELTA</t>
  </si>
  <si>
    <t>PORTALES IDA</t>
  </si>
  <si>
    <t>LU CLUB</t>
  </si>
  <si>
    <t>REÑACA 1°</t>
  </si>
  <si>
    <t>LU DGPA</t>
  </si>
  <si>
    <t>super</t>
  </si>
  <si>
    <t>total giftcard</t>
  </si>
  <si>
    <t>LUCIA</t>
  </si>
  <si>
    <t>AGUS</t>
  </si>
  <si>
    <t>PAPA</t>
  </si>
  <si>
    <t>MAMA</t>
  </si>
  <si>
    <t xml:space="preserve">NINON </t>
  </si>
  <si>
    <t>FIORELLA</t>
  </si>
  <si>
    <t>SUPER</t>
  </si>
  <si>
    <t>LUCHITO</t>
  </si>
  <si>
    <t>MAX</t>
  </si>
  <si>
    <t>DOMI</t>
  </si>
  <si>
    <t>CARITO</t>
  </si>
  <si>
    <t>CRIS</t>
  </si>
  <si>
    <t>REGALO</t>
  </si>
  <si>
    <t>TRINI</t>
  </si>
  <si>
    <t>lu cumple</t>
  </si>
  <si>
    <t>cumple mama</t>
  </si>
  <si>
    <t>cumple cris</t>
  </si>
  <si>
    <t>cumple fiorella</t>
  </si>
  <si>
    <t>FLO</t>
  </si>
  <si>
    <t>GASTADO CON GIFTCARD</t>
  </si>
  <si>
    <t>CHICAGO</t>
  </si>
  <si>
    <t>MARATON CHICAGO</t>
  </si>
  <si>
    <t>Pasajes x2</t>
  </si>
  <si>
    <t>Tasa embarque x2</t>
  </si>
  <si>
    <t>cupo chicago</t>
  </si>
  <si>
    <t>Compras con TC previas</t>
  </si>
  <si>
    <t>XXX USD EN EFECTIVO</t>
  </si>
  <si>
    <t>GGCC</t>
  </si>
  <si>
    <t>nutri-kine</t>
  </si>
  <si>
    <t>entrenamiento</t>
  </si>
  <si>
    <t>almuerzo</t>
  </si>
  <si>
    <t>cuota curso agus</t>
  </si>
  <si>
    <t>normal 30000</t>
  </si>
  <si>
    <t>contribuciones 1 de 2</t>
  </si>
  <si>
    <t>lucia</t>
  </si>
  <si>
    <t xml:space="preserve">tag </t>
  </si>
  <si>
    <t>normal 8000</t>
  </si>
  <si>
    <t>contribuciones 2 de 2</t>
  </si>
  <si>
    <t>z1</t>
  </si>
  <si>
    <t>z2</t>
  </si>
  <si>
    <t>z3</t>
  </si>
  <si>
    <t>z4</t>
  </si>
  <si>
    <t>z5b</t>
  </si>
  <si>
    <t>vuelta 400</t>
  </si>
  <si>
    <t>ANID</t>
  </si>
  <si>
    <t>VUELTA</t>
  </si>
  <si>
    <t>43 SEG</t>
  </si>
  <si>
    <t>42 SE</t>
  </si>
  <si>
    <t>41 SEG</t>
  </si>
  <si>
    <t>40 SEG</t>
  </si>
  <si>
    <t xml:space="preserve">regalos </t>
  </si>
  <si>
    <t>cumple agus</t>
  </si>
  <si>
    <t>sep-nov</t>
  </si>
  <si>
    <t>2620 mensual (32000 anual)</t>
  </si>
  <si>
    <t>andres aranguiz</t>
  </si>
  <si>
    <t>U Lu</t>
  </si>
  <si>
    <t xml:space="preserve">seguro </t>
  </si>
  <si>
    <t>lu (U)</t>
  </si>
  <si>
    <t>londres</t>
  </si>
  <si>
    <t>prespuesto</t>
  </si>
  <si>
    <t>gastado??</t>
  </si>
  <si>
    <t>cupo londres + hotel (2 de 2)</t>
  </si>
  <si>
    <t xml:space="preserve">cupo londres + hotel (1 de 2) </t>
  </si>
  <si>
    <t>bus aeropuerto</t>
  </si>
  <si>
    <t>RITMO MI/MIN</t>
  </si>
  <si>
    <t>citypass</t>
  </si>
  <si>
    <t>six flags</t>
  </si>
  <si>
    <t>rev tecniva</t>
  </si>
  <si>
    <t>normal 22000 en julio-agosto 2026</t>
  </si>
  <si>
    <t>por pagar TC</t>
  </si>
  <si>
    <t>% hotel y pasajes</t>
  </si>
  <si>
    <t xml:space="preserve">Ahorro major - casa </t>
  </si>
  <si>
    <t>nov</t>
  </si>
  <si>
    <t>puzzle</t>
  </si>
  <si>
    <t>ZAPATILLA</t>
  </si>
  <si>
    <t>EFECTIVO (DEV. FIESTA)</t>
  </si>
  <si>
    <t>EN AHORRO</t>
  </si>
  <si>
    <t>Valor UF</t>
  </si>
  <si>
    <t>Reajuste</t>
  </si>
  <si>
    <t>proyeccion 2025</t>
  </si>
  <si>
    <t>total 2025</t>
  </si>
  <si>
    <t>EN CTA CTE</t>
  </si>
  <si>
    <t>por sacar FFMM</t>
  </si>
  <si>
    <t>FALTA/remanente</t>
  </si>
  <si>
    <t>120 mil/mes</t>
  </si>
  <si>
    <t>REMANENTE</t>
  </si>
  <si>
    <t>BERLIN</t>
  </si>
  <si>
    <t xml:space="preserve">cupo BERLIN + hotel (1 de 2) </t>
  </si>
  <si>
    <t>cupo BERLIN + hotel (2 de 2)</t>
  </si>
  <si>
    <t>CON TC??</t>
  </si>
  <si>
    <t>entrenamiento raul y agus</t>
  </si>
  <si>
    <t>poleron north face</t>
  </si>
  <si>
    <t>cocina</t>
  </si>
  <si>
    <t>giftcard</t>
  </si>
  <si>
    <t>falda agus</t>
  </si>
  <si>
    <t>juego nintendo</t>
  </si>
  <si>
    <t>sandalia</t>
  </si>
  <si>
    <t>gorro</t>
  </si>
  <si>
    <t>vestido</t>
  </si>
  <si>
    <t>normal 120000</t>
  </si>
  <si>
    <t>VACACIONES (ene) /per circ (marzo)</t>
  </si>
  <si>
    <t>ETA</t>
  </si>
  <si>
    <t>noche extra</t>
  </si>
  <si>
    <t>Pasajes x3</t>
  </si>
  <si>
    <t>Tasa embarque x3</t>
  </si>
  <si>
    <t>Hotel parte 1 (3p)</t>
  </si>
  <si>
    <t>Hotel parte 2 (2p) con desayuno</t>
  </si>
  <si>
    <t>5k AGUS Y LU</t>
  </si>
  <si>
    <t>debe ser 28000</t>
  </si>
  <si>
    <t>Impuesto Hotel (alla)</t>
  </si>
  <si>
    <t>valor euro</t>
  </si>
  <si>
    <t>Viaje en tren</t>
  </si>
  <si>
    <t>MARATON LONDRES</t>
  </si>
  <si>
    <t>En euros</t>
  </si>
  <si>
    <t>Normal 10000</t>
  </si>
  <si>
    <t>feb-nov</t>
  </si>
  <si>
    <t>vit C</t>
  </si>
  <si>
    <t>tag ruta maipo</t>
  </si>
  <si>
    <t>30mil semestral 01 OK</t>
  </si>
  <si>
    <t>2 de 2</t>
  </si>
  <si>
    <t>62 DE 300</t>
  </si>
  <si>
    <t>cont 2 papa</t>
  </si>
  <si>
    <t>deber ser</t>
  </si>
  <si>
    <t>vitamina c</t>
  </si>
  <si>
    <t>Dev. Impuesto (zapatiila)</t>
  </si>
  <si>
    <t>BLOQUEADOR SOLAR</t>
  </si>
  <si>
    <t>SHORT-POLERA</t>
  </si>
  <si>
    <t>ADAPTADOR ENCHUFE</t>
  </si>
  <si>
    <t>CARGADORES</t>
  </si>
  <si>
    <t>DESODORANTE</t>
  </si>
  <si>
    <t>CEPILLO DIENTES</t>
  </si>
  <si>
    <t>ANTIINFLAMATORIO</t>
  </si>
  <si>
    <t>PERFUME</t>
  </si>
  <si>
    <t>GUANTES EXTRA</t>
  </si>
  <si>
    <t>SHOT MAGNESIO</t>
  </si>
  <si>
    <t>CITRATO MAGNESIO</t>
  </si>
  <si>
    <t>CAFEINA</t>
  </si>
  <si>
    <t>SHOT CAFEINA</t>
  </si>
  <si>
    <t>PASTILLA ELECTROLITOS</t>
  </si>
  <si>
    <t>VITAMINA C</t>
  </si>
  <si>
    <t>FIERRO</t>
  </si>
  <si>
    <t>BETAALANINA</t>
  </si>
  <si>
    <t>BANDANAS (X2)</t>
  </si>
  <si>
    <t>PASAPORTE</t>
  </si>
  <si>
    <t>AUDIFONOS</t>
  </si>
  <si>
    <t>CASH</t>
  </si>
  <si>
    <t>PASE METRO O APP</t>
  </si>
  <si>
    <t>PLAN DATOS CEL</t>
  </si>
  <si>
    <t>SCOTCH</t>
  </si>
  <si>
    <t>TORPEDO CARRERA</t>
  </si>
  <si>
    <t>CONFORT</t>
  </si>
  <si>
    <t xml:space="preserve">NINTENDO </t>
  </si>
  <si>
    <t>FALTA CUOTA 2 $30000</t>
  </si>
  <si>
    <t>ahorro viaje estudio agus</t>
  </si>
  <si>
    <t>2/4 ok (82500 c/u)</t>
  </si>
  <si>
    <t xml:space="preserve">2/4 ok </t>
  </si>
  <si>
    <t>ahorro (viaje agus)</t>
  </si>
  <si>
    <t>TOKYO</t>
  </si>
  <si>
    <t>Pasajes x1</t>
  </si>
  <si>
    <t>CON TC</t>
  </si>
  <si>
    <t>HOTEL</t>
  </si>
  <si>
    <t>CUPO TOKYO (140 MIL YENES DE MIN 100MIL)</t>
  </si>
  <si>
    <t>132 MIL MILLAS - 119 MIL MILLAS</t>
  </si>
  <si>
    <t>valor YEN</t>
  </si>
  <si>
    <t>LATAM 1.621.000</t>
  </si>
  <si>
    <t>PRESUPUESTO</t>
  </si>
  <si>
    <t xml:space="preserve">entrenamiento raul </t>
  </si>
  <si>
    <t>Entrenamiento</t>
  </si>
  <si>
    <t>Carito telefono</t>
  </si>
  <si>
    <t>uber lu (vra)</t>
  </si>
  <si>
    <t>rev tecniva o uniforme y utiles</t>
  </si>
  <si>
    <t>suplementos</t>
  </si>
  <si>
    <t>66 DE 300</t>
  </si>
  <si>
    <t>NORMAL 52000</t>
  </si>
  <si>
    <t>normas 25000</t>
  </si>
  <si>
    <t>CEL papa</t>
  </si>
  <si>
    <t>regalos (dia del niño + coni)</t>
  </si>
  <si>
    <t>ago-nov</t>
  </si>
  <si>
    <t>(21500 cada ida)</t>
  </si>
  <si>
    <t>geles raul</t>
  </si>
  <si>
    <t>faltan los isotonic</t>
  </si>
  <si>
    <t>uber 2 lu</t>
  </si>
  <si>
    <t>beta raul</t>
  </si>
  <si>
    <t>uber 3</t>
  </si>
  <si>
    <t>huevos 14900</t>
  </si>
  <si>
    <t>regalos (AGU + OTRO)</t>
  </si>
  <si>
    <t>67 DE 300</t>
  </si>
  <si>
    <t>uber 4</t>
  </si>
  <si>
    <t>NORMAL 85</t>
  </si>
  <si>
    <t>viajes Y paseos (CUMPLE AGUS)</t>
  </si>
  <si>
    <t>(34500 cada ida)</t>
  </si>
  <si>
    <t>normal 25000</t>
  </si>
  <si>
    <t>Raul poleron</t>
  </si>
  <si>
    <t>Ticket metro</t>
  </si>
  <si>
    <t>50 mil diario</t>
  </si>
  <si>
    <t>sueldo</t>
  </si>
  <si>
    <t>Maurten ROY</t>
  </si>
  <si>
    <t>EFECTIVO (120 EUROS)</t>
  </si>
  <si>
    <t>visitas y comidas</t>
  </si>
  <si>
    <t>68 DE 300</t>
  </si>
  <si>
    <t xml:space="preserve">viajes Y paseos </t>
  </si>
  <si>
    <t>oct-nov</t>
  </si>
  <si>
    <t xml:space="preserve">Colegio Agus (ahorro) </t>
  </si>
  <si>
    <t>cuota curso agus (polera run wolf)</t>
  </si>
  <si>
    <t>Fondos mutuos MAJORS (CTA. 02)</t>
  </si>
  <si>
    <t>AL 2025 (3% INFLACION)</t>
  </si>
  <si>
    <t>INFLACION</t>
  </si>
  <si>
    <t>PERIODOS</t>
  </si>
  <si>
    <t>papa</t>
  </si>
  <si>
    <t>millas</t>
  </si>
  <si>
    <t>ORLANDO</t>
  </si>
  <si>
    <t>LOS ANGELES</t>
  </si>
  <si>
    <t>TC</t>
  </si>
  <si>
    <t>Comida (12 días)</t>
  </si>
  <si>
    <t>entredas six flags o bush garden</t>
  </si>
  <si>
    <t>pasajes sin francisco o auto</t>
  </si>
  <si>
    <t>---</t>
  </si>
  <si>
    <t>gio</t>
  </si>
  <si>
    <t>papa MDS</t>
  </si>
  <si>
    <t>disponible</t>
  </si>
  <si>
    <t>-</t>
  </si>
  <si>
    <t>69 DE 300</t>
  </si>
  <si>
    <t>TAG 3</t>
  </si>
  <si>
    <t>sueldo oct</t>
  </si>
  <si>
    <t>Hotel sfco</t>
  </si>
  <si>
    <t>Hotel LA</t>
  </si>
  <si>
    <t>city pass LA (UNIVERSAL)</t>
  </si>
  <si>
    <t>TAG 4</t>
  </si>
  <si>
    <t xml:space="preserve">super 1 </t>
  </si>
  <si>
    <t>4/4 ok (89468 c/u)</t>
  </si>
  <si>
    <t>Parte (cuota 1)</t>
  </si>
  <si>
    <t>1 de 2</t>
  </si>
  <si>
    <t>normal 60</t>
  </si>
  <si>
    <t>MAJOR</t>
  </si>
  <si>
    <t>GASTO</t>
  </si>
  <si>
    <t>BOSTON</t>
  </si>
  <si>
    <t>LONDRES</t>
  </si>
  <si>
    <t>NEW YORK</t>
  </si>
  <si>
    <t xml:space="preserve">cuota curso agus </t>
  </si>
  <si>
    <t>70 DE 300</t>
  </si>
  <si>
    <t>OK 2025</t>
  </si>
  <si>
    <t>Parte</t>
  </si>
  <si>
    <t>huevos</t>
  </si>
  <si>
    <t>JUMBO 2</t>
  </si>
  <si>
    <t>sueldo prox mes</t>
  </si>
  <si>
    <t>debe ser 30000</t>
  </si>
  <si>
    <t>proyeccion 2026</t>
  </si>
  <si>
    <t>perfume raul</t>
  </si>
  <si>
    <t>en giftcard</t>
  </si>
  <si>
    <t>MARTIN</t>
  </si>
  <si>
    <t>Total efectivo</t>
  </si>
  <si>
    <t>EFECTIVO</t>
  </si>
  <si>
    <t>unicornio</t>
  </si>
  <si>
    <t>GIFTCARD</t>
  </si>
  <si>
    <t>regalo fio</t>
  </si>
  <si>
    <t>mascota + pistola burbujas</t>
  </si>
  <si>
    <t>jumbo 1 norte 1 dic</t>
  </si>
  <si>
    <t>carrito + musical</t>
  </si>
  <si>
    <t>PUZZLE SAN FRANCISCO</t>
  </si>
  <si>
    <t>Juego nintendo</t>
  </si>
  <si>
    <t>BLUEY</t>
  </si>
  <si>
    <t>SANTI</t>
  </si>
  <si>
    <t>ZAPATILLAS LACOSTE</t>
  </si>
  <si>
    <t>CUMPLE PAPA</t>
  </si>
  <si>
    <t>SUETER TOMMY</t>
  </si>
  <si>
    <t>POLERON LACOSTE</t>
  </si>
  <si>
    <t>llega 29nov paris</t>
  </si>
  <si>
    <t>total 2026</t>
  </si>
  <si>
    <t>aporte lu</t>
  </si>
  <si>
    <t>viña 21k</t>
  </si>
  <si>
    <t>LLEGADA</t>
  </si>
  <si>
    <t>SET LANCOME</t>
  </si>
  <si>
    <t>SET PARRILLERO</t>
  </si>
  <si>
    <t>Regalo mama dic</t>
  </si>
  <si>
    <t>CUMPLE CHRIS</t>
  </si>
  <si>
    <t>POLAR</t>
  </si>
  <si>
    <t>POLERA ROJA</t>
  </si>
  <si>
    <t>CUMPLE CHRIS DIC</t>
  </si>
  <si>
    <t>mama 2</t>
  </si>
  <si>
    <t>calendario</t>
  </si>
  <si>
    <t>emotions</t>
  </si>
  <si>
    <t>…..</t>
  </si>
  <si>
    <t>…...</t>
  </si>
  <si>
    <t>imp</t>
  </si>
  <si>
    <t>ofi</t>
  </si>
  <si>
    <t>llegada 12 dic</t>
  </si>
  <si>
    <t>descuento 5%</t>
  </si>
  <si>
    <t>colegiatura con 5% dcto</t>
  </si>
  <si>
    <t>dic-nov</t>
  </si>
  <si>
    <t>cta</t>
  </si>
  <si>
    <t>dentista agus</t>
  </si>
  <si>
    <t>leches</t>
  </si>
  <si>
    <t>POR SEPARADO</t>
  </si>
  <si>
    <t>GO CITY</t>
  </si>
  <si>
    <t>CITY PASS</t>
  </si>
  <si>
    <t>CITY PASS (WARNER)</t>
  </si>
  <si>
    <t>CITY PASS (UNIVERSAL</t>
  </si>
  <si>
    <t>BREA</t>
  </si>
  <si>
    <t>GRIFFITH</t>
  </si>
  <si>
    <t>BUS</t>
  </si>
  <si>
    <t xml:space="preserve">MUSEO </t>
  </si>
  <si>
    <t>ZOO</t>
  </si>
  <si>
    <t>UNIVERSAL /WARNER</t>
  </si>
  <si>
    <t>WARNER / UNIVERSAL</t>
  </si>
  <si>
    <t>GRATIS</t>
  </si>
  <si>
    <t>MADAME TUSSAUDS</t>
  </si>
  <si>
    <t>SANTA MONICA BIKE</t>
  </si>
  <si>
    <t>SIGN HOLLYWOOD</t>
  </si>
  <si>
    <t>Mov. Agus + metro</t>
  </si>
  <si>
    <t>Vacas o extras navidad</t>
  </si>
  <si>
    <t>71 DE 300</t>
  </si>
  <si>
    <t>city pass San FCO (C3)</t>
  </si>
  <si>
    <t>cumple agus (sep) / rev tecnica (AGO)</t>
  </si>
  <si>
    <t>Utiles agus (uniforme) 1 de 2</t>
  </si>
  <si>
    <t>ene-nov</t>
  </si>
  <si>
    <t>normal 40000</t>
  </si>
  <si>
    <t>normal 250000</t>
  </si>
  <si>
    <t>normal 15000</t>
  </si>
  <si>
    <t>carga metro - movilizacion-lucia</t>
  </si>
  <si>
    <t>AHORRO</t>
  </si>
  <si>
    <t>sueldo porx mes</t>
  </si>
  <si>
    <t>Utiles agus (uniforme) 2 de 2</t>
  </si>
  <si>
    <t>debe ser 32000</t>
  </si>
  <si>
    <t>0/4 ok (89468 c/u)</t>
  </si>
  <si>
    <t>o permiso circ marzo</t>
  </si>
  <si>
    <t>Sueldo prox mes</t>
  </si>
  <si>
    <t>En dolares</t>
  </si>
  <si>
    <t>Por pagar compras</t>
  </si>
  <si>
    <t>Por pagar viaje (420,99 usd)</t>
  </si>
  <si>
    <t>Mov. Agus + metro RAUL</t>
  </si>
  <si>
    <t>73 DE 300</t>
  </si>
  <si>
    <t>Feria/huevos/frutos secos</t>
  </si>
  <si>
    <t>o permiso circ marzo 266199 /REINTEGRO SII</t>
  </si>
  <si>
    <t>i</t>
  </si>
  <si>
    <t>valor actual</t>
  </si>
  <si>
    <t>año</t>
  </si>
  <si>
    <t>Año actual</t>
  </si>
  <si>
    <t>Deuda</t>
  </si>
  <si>
    <t>Tipo</t>
  </si>
  <si>
    <t>univ mama lu</t>
  </si>
  <si>
    <t>arancel</t>
  </si>
  <si>
    <t>aranceñ</t>
  </si>
  <si>
    <t>Toatl</t>
  </si>
  <si>
    <t>unap</t>
  </si>
  <si>
    <t>GASTOS PARA AGREGAR</t>
  </si>
  <si>
    <t>Colegiatura agus mensual 12 meses</t>
  </si>
  <si>
    <t>VTR</t>
  </si>
  <si>
    <t>Alimentos</t>
  </si>
  <si>
    <t>Ahorros</t>
  </si>
  <si>
    <t>Deuda universidad 1</t>
  </si>
  <si>
    <t>arencel universidad</t>
  </si>
  <si>
    <t>Magister</t>
  </si>
  <si>
    <t>Gastos mensuales casa</t>
  </si>
  <si>
    <t>dividendo</t>
  </si>
  <si>
    <t>Gasto mensual</t>
  </si>
  <si>
    <t>Gasto anual</t>
  </si>
  <si>
    <t>gastos anuales (2 años)</t>
  </si>
  <si>
    <t>Majors</t>
  </si>
  <si>
    <t>A depositar</t>
  </si>
  <si>
    <t>Cobro de arriendo</t>
  </si>
  <si>
    <t>depa</t>
  </si>
  <si>
    <t xml:space="preserve">auto </t>
  </si>
  <si>
    <t>a medias (vender)</t>
  </si>
  <si>
    <t>300 mil mensual</t>
  </si>
  <si>
    <t>gastos compartidos 50/50</t>
  </si>
  <si>
    <t>lucia tiene mayor ingreso (ojo)</t>
  </si>
  <si>
    <t>(pago en diciembre mitad y mitad</t>
  </si>
  <si>
    <t xml:space="preserve">resto de los gastos como utiles, uniformes, intercambios, todo con boleta mitad y mitad </t>
  </si>
  <si>
    <t>Usando UF</t>
  </si>
  <si>
    <t>AÑO</t>
  </si>
  <si>
    <t>UF</t>
  </si>
  <si>
    <t>Valor actual UF</t>
  </si>
  <si>
    <t>Total deuda</t>
  </si>
  <si>
    <t>Propietario Raul</t>
  </si>
  <si>
    <t>Juez y custodia (gastos abogado) y lo quito en cuanto pueda, se resta valor de arriendo a pension - Nest (nos movemos) - Me quedo</t>
  </si>
  <si>
    <t>Dgo PM a Jueves AM quedarse aca (lucia ausente) - FDS con mama, dia de semana salgo temprano y no viajo</t>
  </si>
  <si>
    <t>NORMAL 55000</t>
  </si>
  <si>
    <t>Para prox mes (frenillos)</t>
  </si>
  <si>
    <t>permiso circ</t>
  </si>
  <si>
    <t>nutri</t>
  </si>
  <si>
    <t>Utiles agus (uniforme) 2 de 2 (super extra)</t>
  </si>
  <si>
    <t>cuaderno lu</t>
  </si>
  <si>
    <t>Oficina lu</t>
  </si>
  <si>
    <t>Cuentas SOLO lucia</t>
  </si>
  <si>
    <t>CUENTAS COMPARTIDAS</t>
  </si>
  <si>
    <t>SUBTOTAL COMUN</t>
  </si>
  <si>
    <t>Efectivo MAJOR</t>
  </si>
  <si>
    <t>normal 500000</t>
  </si>
  <si>
    <t>a media (2)</t>
  </si>
  <si>
    <t>SUBTOTAL (1)</t>
  </si>
  <si>
    <t>Total a transferir (1) + (2)</t>
  </si>
  <si>
    <t>Item</t>
  </si>
  <si>
    <t>gastado</t>
  </si>
  <si>
    <t>A media (1)</t>
  </si>
  <si>
    <t>SUBTOTAL (2)</t>
  </si>
  <si>
    <t>(1)+(2)</t>
  </si>
  <si>
    <t xml:space="preserve">subtotal </t>
  </si>
  <si>
    <t>ELIMINAR</t>
  </si>
  <si>
    <t>Dolce gusto devolucion</t>
  </si>
  <si>
    <t>Vacas o extras navidad o ahorro</t>
  </si>
  <si>
    <t>74 DE 300</t>
  </si>
  <si>
    <t>Efectivo Lu (era mio)</t>
  </si>
  <si>
    <t>abr-nov</t>
  </si>
  <si>
    <t>NORMAL 90</t>
  </si>
  <si>
    <t>anual 60mil (ok9</t>
  </si>
  <si>
    <t>Deudas</t>
  </si>
  <si>
    <t>Dividido 2</t>
  </si>
  <si>
    <t>Total a depositar</t>
  </si>
  <si>
    <t>stgo 25/03</t>
  </si>
  <si>
    <t>deudas varias</t>
  </si>
  <si>
    <t>conce</t>
  </si>
  <si>
    <t>efectivo</t>
  </si>
  <si>
    <t>27 marzo U</t>
  </si>
  <si>
    <t>Casa (cyber)</t>
  </si>
  <si>
    <t>viajes Y paseos (curico)</t>
  </si>
  <si>
    <t>angelica</t>
  </si>
  <si>
    <t>carga metro - movilizacion-agus</t>
  </si>
  <si>
    <t>U tarde (9 abril - vivendum)</t>
  </si>
  <si>
    <t>kiosko usm 9 abril</t>
  </si>
  <si>
    <t>Cine agus</t>
  </si>
  <si>
    <t>Netflix gio (01 año- ultimo agosto) - aniversario</t>
  </si>
  <si>
    <t xml:space="preserve">contribuciones 1/2 </t>
  </si>
  <si>
    <t>contribuciones 2/2</t>
  </si>
  <si>
    <t>2/4 ok (90516 c/u)</t>
  </si>
  <si>
    <t>Mov.- metro RAUL</t>
  </si>
  <si>
    <t>Deuda lucía</t>
  </si>
  <si>
    <t>AHORROS RAUL</t>
  </si>
  <si>
    <t>raul MDS</t>
  </si>
  <si>
    <t>anual 60mil (ok)</t>
  </si>
  <si>
    <t>Credito LU - REGALO LU DIA MAMA</t>
  </si>
  <si>
    <t xml:space="preserve">Netflix gio (01 año- ultimo agosto) </t>
  </si>
  <si>
    <t>normal 180mil</t>
  </si>
  <si>
    <t>jacqueline</t>
  </si>
  <si>
    <t>perm circ (marzo)/ cumple agus (sep) / rev tecnica (AGO)</t>
  </si>
  <si>
    <t>Deudas lucia</t>
  </si>
  <si>
    <t>lucia mes abril</t>
  </si>
  <si>
    <t>DEUDA LU</t>
  </si>
  <si>
    <t>75 DE 300</t>
  </si>
  <si>
    <t>NITRATO</t>
  </si>
  <si>
    <t>CREMA</t>
  </si>
  <si>
    <t>PIJAMA</t>
  </si>
  <si>
    <t>MASCARILLA</t>
  </si>
  <si>
    <t>BALANZA</t>
  </si>
  <si>
    <t>HAWAIANA</t>
  </si>
  <si>
    <t>a favor</t>
  </si>
  <si>
    <t>imich</t>
  </si>
  <si>
    <t>noches</t>
  </si>
  <si>
    <t>unitario</t>
  </si>
  <si>
    <t>chile</t>
  </si>
  <si>
    <t>car int</t>
  </si>
  <si>
    <t>amaison</t>
  </si>
  <si>
    <t>argentina</t>
  </si>
  <si>
    <t xml:space="preserve">Lift </t>
  </si>
  <si>
    <t>Mexico</t>
  </si>
  <si>
    <t>edenia universo viajes</t>
  </si>
  <si>
    <t>destiny</t>
  </si>
  <si>
    <t>colombia</t>
  </si>
  <si>
    <t>mexico</t>
  </si>
  <si>
    <t>(2 corredores)</t>
  </si>
  <si>
    <t>(1 cor + 1 acomp)</t>
  </si>
  <si>
    <t>usd (P/P)</t>
  </si>
  <si>
    <t>maratones y viajes</t>
  </si>
  <si>
    <t>1 corr</t>
  </si>
  <si>
    <t>acompñamte paga mil dolares</t>
  </si>
  <si>
    <t>i run the globe</t>
  </si>
  <si>
    <t>canada</t>
  </si>
  <si>
    <t>single</t>
  </si>
  <si>
    <t>ROY SOTHERS</t>
  </si>
  <si>
    <t>metro lucia (stgo)</t>
  </si>
  <si>
    <t>kiosko usm 24 abr (amex)</t>
  </si>
  <si>
    <t>saville row</t>
  </si>
  <si>
    <t>usm kiosk 28 abr</t>
  </si>
  <si>
    <t>usm kiosk 29 abr</t>
  </si>
  <si>
    <t>regalos (MAMA)</t>
  </si>
  <si>
    <t>Zara Visa days</t>
  </si>
  <si>
    <t>tag 3</t>
  </si>
  <si>
    <t>extras (pedidos-salidas- etc)</t>
  </si>
  <si>
    <t>fondo mutuo CASA (cta 01)</t>
  </si>
  <si>
    <t>ahorro (major)</t>
  </si>
  <si>
    <t xml:space="preserve">viajes - paseos - salidas  </t>
  </si>
  <si>
    <t>regalos (PAPÁ)</t>
  </si>
  <si>
    <t xml:space="preserve">Credito LU </t>
  </si>
  <si>
    <t>raul cyber</t>
  </si>
  <si>
    <t>lider</t>
  </si>
  <si>
    <t>tag 4</t>
  </si>
  <si>
    <t>ahorro extra</t>
  </si>
  <si>
    <t>76 DE 300</t>
  </si>
  <si>
    <t>jun</t>
  </si>
  <si>
    <t>jun-nov</t>
  </si>
  <si>
    <t>REINETA CROCANTE</t>
  </si>
  <si>
    <t>SALMON CON ENSALADA SURTIDA</t>
  </si>
  <si>
    <t>LU</t>
  </si>
  <si>
    <t>AGU</t>
  </si>
  <si>
    <t xml:space="preserve">GIO </t>
  </si>
  <si>
    <t>NINON</t>
  </si>
  <si>
    <t>JANETT</t>
  </si>
  <si>
    <t>SALMON GRATINADO</t>
  </si>
  <si>
    <t>CONSUELO</t>
  </si>
  <si>
    <t>FILETE MONGOLIANO</t>
  </si>
  <si>
    <t>PAOLA</t>
  </si>
  <si>
    <t>FELGUERA</t>
  </si>
  <si>
    <t>SALMON A LO MERO MACHO</t>
  </si>
  <si>
    <t>PICOTEO</t>
  </si>
  <si>
    <t>PARA PICAR</t>
  </si>
  <si>
    <t>ENTRADA</t>
  </si>
  <si>
    <t>PLATOS DE FONDO</t>
  </si>
  <si>
    <t>2 TABLAS TRILOGIA CLUB</t>
  </si>
  <si>
    <t>3 PORCIONES EMPANADAS QUESO COCKTAIL</t>
  </si>
  <si>
    <t>11 CEVICHE MIXTO</t>
  </si>
  <si>
    <t>MILANESA CON ARROZ</t>
  </si>
  <si>
    <t>FILETE RUSTICO</t>
  </si>
  <si>
    <t>FILETE QUINOA</t>
  </si>
  <si>
    <t>POSTRES Y BEBESTIBLES EN EL MOMENTO</t>
  </si>
  <si>
    <t>SALMON CON ARROZ</t>
  </si>
  <si>
    <t>LOMO PASTELERA (SALSA ARANDANO APARTE)</t>
  </si>
  <si>
    <t>fernando pineda</t>
  </si>
  <si>
    <t>esp</t>
  </si>
  <si>
    <t>out</t>
  </si>
  <si>
    <t>born 2 run</t>
  </si>
  <si>
    <t>italia</t>
  </si>
  <si>
    <t>be next</t>
  </si>
  <si>
    <t>nz</t>
  </si>
  <si>
    <t>dream travel canada</t>
  </si>
  <si>
    <t>Nueva York</t>
  </si>
  <si>
    <t>MARATON NUEA YORK</t>
  </si>
  <si>
    <t xml:space="preserve">Pasajes </t>
  </si>
  <si>
    <t xml:space="preserve">Tasa embarque </t>
  </si>
  <si>
    <t>VISA WAIBER</t>
  </si>
  <si>
    <t>Devolución NELSON x hotel</t>
  </si>
  <si>
    <t xml:space="preserve">cupo  + hotel (1 de 2) </t>
  </si>
  <si>
    <t>Citypass</t>
  </si>
  <si>
    <t>PARKA Y ZAPATOS PAPA</t>
  </si>
  <si>
    <t>Nelson Estatua</t>
  </si>
  <si>
    <t>Estatua</t>
  </si>
  <si>
    <t>Nelson Hotel</t>
  </si>
  <si>
    <t>Calcetas Lucía</t>
  </si>
  <si>
    <t>Eventos</t>
  </si>
  <si>
    <t>asics golden run</t>
  </si>
  <si>
    <t>chaqueta (saldo a favor)</t>
  </si>
  <si>
    <t>gio (dia papa)</t>
  </si>
  <si>
    <t>almuerzo dia papa</t>
  </si>
  <si>
    <t>carrera reforest papa</t>
  </si>
  <si>
    <t xml:space="preserve">Varios Ocio (viajes - paseos - salidas)  </t>
  </si>
  <si>
    <t>AHORRO SUELDO PROFE</t>
  </si>
  <si>
    <t>Casa - ARREGLOS</t>
  </si>
  <si>
    <t>77 DE 300</t>
  </si>
  <si>
    <t>raul Carreras o mes anterior</t>
  </si>
  <si>
    <t>normal 185mil</t>
  </si>
  <si>
    <t>Varios extras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</si>
</sst>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42" formatCode="_ &quot;$&quot;* #,##0_ ;_ &quot;$&quot;* \-#,##0_ ;_ &quot;$&quot;* &quot;-&quot;_ ;_ @_ "/>
    <numFmt numFmtId="41" formatCode="_ * #,##0_ ;_ * \-#,##0_ ;_ * &quot;-&quot;_ ;_ @_ "/>
    <numFmt numFmtId="164" formatCode="_(&quot;$&quot;* #,##0.00_);_(&quot;$&quot;* \(#,##0.00\);_(&quot;$&quot;* &quot;-&quot;??_);_(@_)"/>
    <numFmt numFmtId="165" formatCode="&quot;$&quot;\ #,##0"/>
    <numFmt numFmtId="166" formatCode="&quot;$&quot;\ #,##0.00"/>
    <numFmt numFmtId="167" formatCode="&quot;$&quot;#,##0"/>
    <numFmt numFmtId="168" formatCode="[$-F400]h:mm:ss\ AM/PM"/>
    <numFmt numFmtId="169" formatCode="_(&quot;$&quot;* #,##0_);_(&quot;$&quot;* \(#,##0\);_(&quot;$&quot;* &quot;-&quot;??_);_(@_)"/>
    <numFmt numFmtId="170" formatCode="0.0"/>
    <numFmt numFmtId="171" formatCode="_ &quot;$&quot;* #,##0.000_ ;_ &quot;$&quot;* \-#,##0.000_ ;_ &quot;$&quot;* &quot;-&quot;_ ;_ @_ "/>
    <numFmt numFmtId="172" formatCode="#,##0_ ;[Red]\-#,##0\ "/>
    <numFmt numFmtId="173" formatCode="_ * #,##0.0_ ;_ * \-#,##0.0_ ;_ * &quot;-&quot;_ ;_ @_ "/>
    <numFmt numFmtId="174" formatCode="_ * #,##0.0_ ;_ * \-#,##0.0_ ;_ * &quot;-&quot;?_ ;_ @_ "/>
    <numFmt numFmtId="175" formatCode="_ &quot;$&quot;* #,##0.0_ ;_ &quot;$&quot;* \-#,##0.0_ ;_ &quot;$&quot;* &quot;-&quot;_ ;_ @_ "/>
    <numFmt numFmtId="176" formatCode="_ &quot;$&quot;* #,##0.000_ ;_ &quot;$&quot;* \-#,##0.000_ ;_ &quot;$&quot;* &quot;-&quot;???_ ;_ @_ 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20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92D05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14999847407452621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</borders>
  <cellStyleXfs count="5">
    <xf numFmtId="0" fontId="0" fillId="0" borderId="0"/>
    <xf numFmtId="164" fontId="5" fillId="0" borderId="0" applyFont="0" applyFill="0" applyBorder="0" applyAlignment="0" applyProtection="0"/>
    <xf numFmtId="42" fontId="5" fillId="0" borderId="0" applyFont="0" applyFill="0" applyBorder="0" applyAlignment="0" applyProtection="0"/>
    <xf numFmtId="41" fontId="5" fillId="0" borderId="0" applyFont="0" applyFill="0" applyBorder="0" applyAlignment="0" applyProtection="0"/>
    <xf numFmtId="9" fontId="5" fillId="0" borderId="0" applyFont="0" applyFill="0" applyBorder="0" applyAlignment="0" applyProtection="0"/>
  </cellStyleXfs>
  <cellXfs count="213">
    <xf numFmtId="0" fontId="0" fillId="0" borderId="0" xfId="0"/>
    <xf numFmtId="0" fontId="0" fillId="0" borderId="1" xfId="0" applyBorder="1"/>
    <xf numFmtId="0" fontId="1" fillId="2" borderId="1" xfId="0" applyFont="1" applyFill="1" applyBorder="1"/>
    <xf numFmtId="0" fontId="2" fillId="0" borderId="1" xfId="0" applyFont="1" applyBorder="1"/>
    <xf numFmtId="0" fontId="1" fillId="3" borderId="0" xfId="0" applyFont="1" applyFill="1"/>
    <xf numFmtId="0" fontId="0" fillId="3" borderId="0" xfId="0" applyFill="1"/>
    <xf numFmtId="0" fontId="3" fillId="0" borderId="1" xfId="0" applyFont="1" applyBorder="1"/>
    <xf numFmtId="0" fontId="3" fillId="3" borderId="1" xfId="0" applyFont="1" applyFill="1" applyBorder="1"/>
    <xf numFmtId="0" fontId="0" fillId="3" borderId="1" xfId="0" applyFill="1" applyBorder="1"/>
    <xf numFmtId="0" fontId="2" fillId="3" borderId="1" xfId="0" applyFont="1" applyFill="1" applyBorder="1"/>
    <xf numFmtId="0" fontId="1" fillId="0" borderId="0" xfId="0" applyFont="1"/>
    <xf numFmtId="3" fontId="1" fillId="3" borderId="0" xfId="0" applyNumberFormat="1" applyFont="1" applyFill="1"/>
    <xf numFmtId="3" fontId="0" fillId="0" borderId="0" xfId="0" applyNumberFormat="1"/>
    <xf numFmtId="165" fontId="0" fillId="0" borderId="0" xfId="0" applyNumberFormat="1"/>
    <xf numFmtId="165" fontId="0" fillId="2" borderId="0" xfId="0" applyNumberFormat="1" applyFill="1"/>
    <xf numFmtId="166" fontId="0" fillId="0" borderId="1" xfId="0" applyNumberFormat="1" applyBorder="1"/>
    <xf numFmtId="165" fontId="1" fillId="3" borderId="0" xfId="0" applyNumberFormat="1" applyFont="1" applyFill="1"/>
    <xf numFmtId="3" fontId="0" fillId="4" borderId="4" xfId="0" applyNumberFormat="1" applyFill="1" applyBorder="1"/>
    <xf numFmtId="165" fontId="0" fillId="3" borderId="1" xfId="0" applyNumberFormat="1" applyFill="1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166" fontId="0" fillId="0" borderId="9" xfId="0" applyNumberFormat="1" applyBorder="1"/>
    <xf numFmtId="166" fontId="0" fillId="0" borderId="11" xfId="0" applyNumberFormat="1" applyBorder="1"/>
    <xf numFmtId="16" fontId="0" fillId="3" borderId="0" xfId="0" applyNumberFormat="1" applyFill="1"/>
    <xf numFmtId="166" fontId="0" fillId="0" borderId="0" xfId="0" applyNumberFormat="1"/>
    <xf numFmtId="166" fontId="0" fillId="2" borderId="14" xfId="0" applyNumberFormat="1" applyFill="1" applyBorder="1"/>
    <xf numFmtId="166" fontId="1" fillId="2" borderId="13" xfId="0" applyNumberFormat="1" applyFont="1" applyFill="1" applyBorder="1"/>
    <xf numFmtId="166" fontId="0" fillId="0" borderId="5" xfId="0" applyNumberFormat="1" applyBorder="1"/>
    <xf numFmtId="166" fontId="0" fillId="0" borderId="7" xfId="0" applyNumberFormat="1" applyBorder="1"/>
    <xf numFmtId="166" fontId="0" fillId="0" borderId="8" xfId="0" applyNumberFormat="1" applyBorder="1"/>
    <xf numFmtId="166" fontId="0" fillId="0" borderId="10" xfId="0" applyNumberFormat="1" applyBorder="1"/>
    <xf numFmtId="166" fontId="1" fillId="0" borderId="5" xfId="0" applyNumberFormat="1" applyFont="1" applyBorder="1"/>
    <xf numFmtId="166" fontId="1" fillId="0" borderId="7" xfId="0" applyNumberFormat="1" applyFont="1" applyBorder="1"/>
    <xf numFmtId="166" fontId="1" fillId="0" borderId="10" xfId="0" applyNumberFormat="1" applyFont="1" applyBorder="1"/>
    <xf numFmtId="166" fontId="1" fillId="0" borderId="11" xfId="0" applyNumberFormat="1" applyFont="1" applyBorder="1"/>
    <xf numFmtId="10" fontId="0" fillId="0" borderId="0" xfId="0" applyNumberFormat="1"/>
    <xf numFmtId="4" fontId="0" fillId="2" borderId="0" xfId="0" applyNumberFormat="1" applyFill="1"/>
    <xf numFmtId="4" fontId="0" fillId="0" borderId="0" xfId="0" applyNumberFormat="1"/>
    <xf numFmtId="4" fontId="1" fillId="0" borderId="0" xfId="0" applyNumberFormat="1" applyFont="1"/>
    <xf numFmtId="0" fontId="1" fillId="0" borderId="0" xfId="0" applyFont="1" applyAlignment="1">
      <alignment horizontal="center" vertical="center"/>
    </xf>
    <xf numFmtId="166" fontId="1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3" fillId="0" borderId="0" xfId="0" applyFont="1"/>
    <xf numFmtId="166" fontId="0" fillId="0" borderId="16" xfId="0" applyNumberFormat="1" applyBorder="1"/>
    <xf numFmtId="166" fontId="0" fillId="0" borderId="17" xfId="0" applyNumberFormat="1" applyBorder="1"/>
    <xf numFmtId="0" fontId="0" fillId="0" borderId="19" xfId="0" applyBorder="1"/>
    <xf numFmtId="166" fontId="1" fillId="0" borderId="8" xfId="0" applyNumberFormat="1" applyFont="1" applyBorder="1"/>
    <xf numFmtId="166" fontId="1" fillId="0" borderId="9" xfId="0" applyNumberFormat="1" applyFont="1" applyBorder="1"/>
    <xf numFmtId="165" fontId="0" fillId="0" borderId="1" xfId="0" applyNumberFormat="1" applyBorder="1"/>
    <xf numFmtId="165" fontId="3" fillId="3" borderId="1" xfId="0" applyNumberFormat="1" applyFont="1" applyFill="1" applyBorder="1"/>
    <xf numFmtId="165" fontId="1" fillId="2" borderId="1" xfId="0" applyNumberFormat="1" applyFont="1" applyFill="1" applyBorder="1"/>
    <xf numFmtId="165" fontId="0" fillId="5" borderId="1" xfId="0" applyNumberFormat="1" applyFill="1" applyBorder="1"/>
    <xf numFmtId="165" fontId="0" fillId="0" borderId="9" xfId="0" applyNumberFormat="1" applyBorder="1"/>
    <xf numFmtId="167" fontId="0" fillId="0" borderId="9" xfId="0" applyNumberFormat="1" applyBorder="1"/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15" xfId="0" applyBorder="1"/>
    <xf numFmtId="0" fontId="0" fillId="0" borderId="23" xfId="0" applyBorder="1"/>
    <xf numFmtId="0" fontId="1" fillId="0" borderId="1" xfId="0" applyFont="1" applyBorder="1"/>
    <xf numFmtId="0" fontId="1" fillId="3" borderId="1" xfId="0" applyFont="1" applyFill="1" applyBorder="1"/>
    <xf numFmtId="0" fontId="2" fillId="0" borderId="0" xfId="0" applyFont="1"/>
    <xf numFmtId="0" fontId="4" fillId="3" borderId="0" xfId="0" applyFont="1" applyFill="1"/>
    <xf numFmtId="0" fontId="0" fillId="0" borderId="0" xfId="1" applyNumberFormat="1" applyFont="1"/>
    <xf numFmtId="16" fontId="0" fillId="0" borderId="0" xfId="1" applyNumberFormat="1" applyFont="1"/>
    <xf numFmtId="0" fontId="6" fillId="3" borderId="0" xfId="0" applyFont="1" applyFill="1"/>
    <xf numFmtId="0" fontId="0" fillId="6" borderId="0" xfId="0" applyFill="1"/>
    <xf numFmtId="168" fontId="0" fillId="0" borderId="0" xfId="0" applyNumberFormat="1"/>
    <xf numFmtId="0" fontId="0" fillId="2" borderId="0" xfId="0" applyFill="1"/>
    <xf numFmtId="0" fontId="1" fillId="3" borderId="25" xfId="0" applyFont="1" applyFill="1" applyBorder="1"/>
    <xf numFmtId="3" fontId="1" fillId="3" borderId="26" xfId="0" applyNumberFormat="1" applyFont="1" applyFill="1" applyBorder="1"/>
    <xf numFmtId="168" fontId="0" fillId="2" borderId="0" xfId="0" applyNumberFormat="1" applyFill="1"/>
    <xf numFmtId="169" fontId="0" fillId="0" borderId="0" xfId="1" applyNumberFormat="1" applyFont="1"/>
    <xf numFmtId="169" fontId="0" fillId="0" borderId="1" xfId="1" applyNumberFormat="1" applyFont="1" applyBorder="1"/>
    <xf numFmtId="169" fontId="1" fillId="0" borderId="1" xfId="1" applyNumberFormat="1" applyFont="1" applyBorder="1"/>
    <xf numFmtId="169" fontId="1" fillId="0" borderId="0" xfId="1" applyNumberFormat="1" applyFont="1"/>
    <xf numFmtId="169" fontId="0" fillId="0" borderId="0" xfId="0" applyNumberFormat="1"/>
    <xf numFmtId="169" fontId="0" fillId="0" borderId="20" xfId="1" applyNumberFormat="1" applyFont="1" applyBorder="1"/>
    <xf numFmtId="0" fontId="0" fillId="0" borderId="16" xfId="0" applyBorder="1"/>
    <xf numFmtId="169" fontId="0" fillId="0" borderId="22" xfId="1" applyNumberFormat="1" applyFont="1" applyBorder="1"/>
    <xf numFmtId="169" fontId="0" fillId="0" borderId="23" xfId="1" applyNumberFormat="1" applyFont="1" applyBorder="1"/>
    <xf numFmtId="0" fontId="7" fillId="0" borderId="27" xfId="0" applyFont="1" applyBorder="1"/>
    <xf numFmtId="0" fontId="2" fillId="0" borderId="19" xfId="0" applyFont="1" applyBorder="1"/>
    <xf numFmtId="169" fontId="0" fillId="5" borderId="1" xfId="1" applyNumberFormat="1" applyFont="1" applyFill="1" applyBorder="1"/>
    <xf numFmtId="169" fontId="0" fillId="3" borderId="1" xfId="1" applyNumberFormat="1" applyFont="1" applyFill="1" applyBorder="1"/>
    <xf numFmtId="42" fontId="0" fillId="0" borderId="0" xfId="2" applyFont="1"/>
    <xf numFmtId="42" fontId="0" fillId="0" borderId="0" xfId="0" applyNumberFormat="1"/>
    <xf numFmtId="42" fontId="0" fillId="3" borderId="1" xfId="2" applyFont="1" applyFill="1" applyBorder="1"/>
    <xf numFmtId="42" fontId="1" fillId="2" borderId="1" xfId="2" applyFont="1" applyFill="1" applyBorder="1"/>
    <xf numFmtId="0" fontId="1" fillId="5" borderId="0" xfId="0" applyFont="1" applyFill="1"/>
    <xf numFmtId="42" fontId="0" fillId="2" borderId="0" xfId="0" applyNumberFormat="1" applyFill="1"/>
    <xf numFmtId="0" fontId="0" fillId="5" borderId="0" xfId="0" applyFill="1"/>
    <xf numFmtId="168" fontId="0" fillId="0" borderId="26" xfId="0" applyNumberFormat="1" applyBorder="1"/>
    <xf numFmtId="169" fontId="0" fillId="0" borderId="0" xfId="1" applyNumberFormat="1" applyFont="1" applyBorder="1"/>
    <xf numFmtId="0" fontId="4" fillId="0" borderId="1" xfId="0" applyFont="1" applyBorder="1"/>
    <xf numFmtId="169" fontId="1" fillId="3" borderId="0" xfId="1" applyNumberFormat="1" applyFont="1" applyFill="1" applyBorder="1" applyAlignment="1">
      <alignment horizontal="left"/>
    </xf>
    <xf numFmtId="41" fontId="2" fillId="0" borderId="0" xfId="3" applyFont="1"/>
    <xf numFmtId="0" fontId="0" fillId="3" borderId="25" xfId="0" applyFill="1" applyBorder="1"/>
    <xf numFmtId="168" fontId="0" fillId="0" borderId="23" xfId="0" applyNumberFormat="1" applyBorder="1"/>
    <xf numFmtId="168" fontId="0" fillId="3" borderId="0" xfId="0" applyNumberFormat="1" applyFill="1"/>
    <xf numFmtId="170" fontId="0" fillId="0" borderId="0" xfId="0" applyNumberFormat="1" applyAlignment="1">
      <alignment vertical="center"/>
    </xf>
    <xf numFmtId="0" fontId="0" fillId="4" borderId="0" xfId="0" applyFill="1"/>
    <xf numFmtId="0" fontId="0" fillId="0" borderId="28" xfId="0" applyBorder="1"/>
    <xf numFmtId="42" fontId="0" fillId="0" borderId="22" xfId="2" applyFont="1" applyBorder="1"/>
    <xf numFmtId="42" fontId="2" fillId="0" borderId="22" xfId="2" applyFont="1" applyBorder="1"/>
    <xf numFmtId="0" fontId="1" fillId="0" borderId="21" xfId="0" applyFont="1" applyBorder="1"/>
    <xf numFmtId="0" fontId="1" fillId="0" borderId="15" xfId="0" applyFont="1" applyBorder="1"/>
    <xf numFmtId="42" fontId="1" fillId="0" borderId="23" xfId="0" applyNumberFormat="1" applyFont="1" applyBorder="1"/>
    <xf numFmtId="0" fontId="0" fillId="0" borderId="29" xfId="0" applyBorder="1"/>
    <xf numFmtId="42" fontId="0" fillId="0" borderId="0" xfId="2" applyFont="1" applyBorder="1"/>
    <xf numFmtId="42" fontId="2" fillId="0" borderId="0" xfId="2" applyFont="1" applyBorder="1"/>
    <xf numFmtId="42" fontId="1" fillId="0" borderId="0" xfId="2" applyFont="1" applyBorder="1"/>
    <xf numFmtId="0" fontId="1" fillId="2" borderId="15" xfId="0" applyFont="1" applyFill="1" applyBorder="1"/>
    <xf numFmtId="42" fontId="1" fillId="2" borderId="30" xfId="2" applyFont="1" applyFill="1" applyBorder="1"/>
    <xf numFmtId="0" fontId="1" fillId="0" borderId="28" xfId="0" applyFont="1" applyBorder="1"/>
    <xf numFmtId="0" fontId="1" fillId="0" borderId="20" xfId="0" applyFont="1" applyBorder="1"/>
    <xf numFmtId="0" fontId="1" fillId="5" borderId="21" xfId="0" applyFont="1" applyFill="1" applyBorder="1"/>
    <xf numFmtId="42" fontId="1" fillId="5" borderId="22" xfId="2" applyFont="1" applyFill="1" applyBorder="1"/>
    <xf numFmtId="41" fontId="6" fillId="3" borderId="0" xfId="3" applyFont="1" applyFill="1"/>
    <xf numFmtId="41" fontId="4" fillId="3" borderId="0" xfId="3" applyFont="1" applyFill="1"/>
    <xf numFmtId="0" fontId="1" fillId="0" borderId="0" xfId="0" applyFont="1" applyAlignment="1">
      <alignment horizontal="center"/>
    </xf>
    <xf numFmtId="0" fontId="0" fillId="0" borderId="0" xfId="0" applyAlignment="1">
      <alignment horizontal="center" vertical="center"/>
    </xf>
    <xf numFmtId="168" fontId="0" fillId="5" borderId="0" xfId="0" applyNumberFormat="1" applyFill="1"/>
    <xf numFmtId="21" fontId="0" fillId="5" borderId="0" xfId="0" applyNumberFormat="1" applyFill="1"/>
    <xf numFmtId="0" fontId="0" fillId="0" borderId="25" xfId="0" applyBorder="1"/>
    <xf numFmtId="21" fontId="0" fillId="0" borderId="26" xfId="0" applyNumberFormat="1" applyBorder="1"/>
    <xf numFmtId="168" fontId="0" fillId="0" borderId="12" xfId="0" applyNumberFormat="1" applyBorder="1"/>
    <xf numFmtId="168" fontId="0" fillId="0" borderId="18" xfId="0" applyNumberFormat="1" applyBorder="1"/>
    <xf numFmtId="168" fontId="0" fillId="2" borderId="26" xfId="0" applyNumberFormat="1" applyFill="1" applyBorder="1"/>
    <xf numFmtId="0" fontId="0" fillId="0" borderId="0" xfId="0" applyAlignment="1">
      <alignment vertical="center"/>
    </xf>
    <xf numFmtId="169" fontId="4" fillId="0" borderId="0" xfId="1" applyNumberFormat="1" applyFont="1"/>
    <xf numFmtId="41" fontId="0" fillId="3" borderId="0" xfId="3" applyFont="1" applyFill="1" applyBorder="1"/>
    <xf numFmtId="168" fontId="0" fillId="7" borderId="0" xfId="0" applyNumberFormat="1" applyFill="1"/>
    <xf numFmtId="0" fontId="0" fillId="8" borderId="25" xfId="0" applyFill="1" applyBorder="1"/>
    <xf numFmtId="0" fontId="0" fillId="8" borderId="0" xfId="0" applyFill="1"/>
    <xf numFmtId="42" fontId="0" fillId="0" borderId="1" xfId="2" applyFont="1" applyBorder="1"/>
    <xf numFmtId="42" fontId="1" fillId="5" borderId="0" xfId="2" applyFont="1" applyFill="1"/>
    <xf numFmtId="0" fontId="2" fillId="0" borderId="8" xfId="0" applyFont="1" applyBorder="1"/>
    <xf numFmtId="169" fontId="0" fillId="0" borderId="9" xfId="1" applyNumberFormat="1" applyFont="1" applyBorder="1"/>
    <xf numFmtId="0" fontId="0" fillId="0" borderId="22" xfId="0" applyBorder="1" applyAlignment="1">
      <alignment vertical="center"/>
    </xf>
    <xf numFmtId="0" fontId="0" fillId="0" borderId="22" xfId="0" applyBorder="1" applyAlignment="1">
      <alignment vertical="top"/>
    </xf>
    <xf numFmtId="0" fontId="8" fillId="0" borderId="0" xfId="0" applyFont="1"/>
    <xf numFmtId="16" fontId="1" fillId="3" borderId="0" xfId="0" applyNumberFormat="1" applyFont="1" applyFill="1"/>
    <xf numFmtId="165" fontId="1" fillId="0" borderId="0" xfId="0" applyNumberFormat="1" applyFont="1" applyAlignment="1">
      <alignment horizontal="center"/>
    </xf>
    <xf numFmtId="171" fontId="0" fillId="0" borderId="0" xfId="2" applyNumberFormat="1" applyFont="1" applyAlignment="1">
      <alignment horizontal="center"/>
    </xf>
    <xf numFmtId="0" fontId="1" fillId="0" borderId="31" xfId="0" applyFont="1" applyBorder="1"/>
    <xf numFmtId="169" fontId="1" fillId="0" borderId="32" xfId="1" applyNumberFormat="1" applyFont="1" applyBorder="1"/>
    <xf numFmtId="0" fontId="1" fillId="5" borderId="1" xfId="0" applyFont="1" applyFill="1" applyBorder="1"/>
    <xf numFmtId="42" fontId="1" fillId="5" borderId="1" xfId="2" applyFont="1" applyFill="1" applyBorder="1"/>
    <xf numFmtId="168" fontId="0" fillId="6" borderId="0" xfId="0" applyNumberFormat="1" applyFill="1"/>
    <xf numFmtId="0" fontId="0" fillId="3" borderId="19" xfId="0" applyFill="1" applyBorder="1"/>
    <xf numFmtId="20" fontId="0" fillId="0" borderId="0" xfId="0" applyNumberFormat="1"/>
    <xf numFmtId="21" fontId="0" fillId="0" borderId="0" xfId="0" applyNumberFormat="1"/>
    <xf numFmtId="46" fontId="0" fillId="0" borderId="0" xfId="0" applyNumberFormat="1"/>
    <xf numFmtId="42" fontId="4" fillId="3" borderId="0" xfId="2" applyFont="1" applyFill="1"/>
    <xf numFmtId="42" fontId="4" fillId="0" borderId="1" xfId="2" applyFont="1" applyBorder="1"/>
    <xf numFmtId="9" fontId="1" fillId="0" borderId="20" xfId="4" applyFont="1" applyBorder="1"/>
    <xf numFmtId="170" fontId="0" fillId="0" borderId="0" xfId="0" applyNumberFormat="1"/>
    <xf numFmtId="41" fontId="0" fillId="0" borderId="0" xfId="3" applyFont="1"/>
    <xf numFmtId="9" fontId="0" fillId="2" borderId="0" xfId="0" applyNumberFormat="1" applyFill="1"/>
    <xf numFmtId="42" fontId="0" fillId="0" borderId="0" xfId="2" applyFont="1" applyBorder="1" applyAlignment="1">
      <alignment vertical="center"/>
    </xf>
    <xf numFmtId="42" fontId="0" fillId="0" borderId="22" xfId="2" applyFont="1" applyBorder="1" applyAlignment="1">
      <alignment vertical="center"/>
    </xf>
    <xf numFmtId="42" fontId="0" fillId="0" borderId="0" xfId="2" applyFont="1" applyAlignment="1">
      <alignment horizontal="center"/>
    </xf>
    <xf numFmtId="0" fontId="10" fillId="5" borderId="0" xfId="0" applyFont="1" applyFill="1"/>
    <xf numFmtId="41" fontId="0" fillId="0" borderId="0" xfId="3" applyFont="1" applyAlignment="1">
      <alignment horizontal="center"/>
    </xf>
    <xf numFmtId="42" fontId="0" fillId="2" borderId="0" xfId="2" applyFont="1" applyFill="1" applyBorder="1" applyAlignment="1">
      <alignment vertical="center"/>
    </xf>
    <xf numFmtId="42" fontId="0" fillId="3" borderId="0" xfId="2" applyFont="1" applyFill="1"/>
    <xf numFmtId="42" fontId="0" fillId="3" borderId="33" xfId="2" applyFont="1" applyFill="1" applyBorder="1"/>
    <xf numFmtId="41" fontId="0" fillId="0" borderId="0" xfId="0" applyNumberFormat="1"/>
    <xf numFmtId="0" fontId="4" fillId="0" borderId="19" xfId="0" applyFont="1" applyBorder="1"/>
    <xf numFmtId="42" fontId="0" fillId="3" borderId="19" xfId="2" applyFont="1" applyFill="1" applyBorder="1"/>
    <xf numFmtId="9" fontId="0" fillId="0" borderId="0" xfId="4" applyFont="1"/>
    <xf numFmtId="165" fontId="0" fillId="6" borderId="0" xfId="0" applyNumberFormat="1" applyFill="1"/>
    <xf numFmtId="0" fontId="7" fillId="5" borderId="0" xfId="0" applyFont="1" applyFill="1"/>
    <xf numFmtId="42" fontId="0" fillId="0" borderId="0" xfId="2" quotePrefix="1" applyFont="1"/>
    <xf numFmtId="165" fontId="0" fillId="0" borderId="0" xfId="3" applyNumberFormat="1" applyFont="1" applyAlignment="1">
      <alignment horizontal="center"/>
    </xf>
    <xf numFmtId="172" fontId="0" fillId="0" borderId="0" xfId="0" applyNumberFormat="1"/>
    <xf numFmtId="173" fontId="0" fillId="0" borderId="0" xfId="3" applyNumberFormat="1" applyFont="1"/>
    <xf numFmtId="174" fontId="0" fillId="5" borderId="0" xfId="0" applyNumberFormat="1" applyFill="1"/>
    <xf numFmtId="42" fontId="1" fillId="2" borderId="1" xfId="0" applyNumberFormat="1" applyFont="1" applyFill="1" applyBorder="1"/>
    <xf numFmtId="0" fontId="3" fillId="0" borderId="19" xfId="0" applyFont="1" applyBorder="1"/>
    <xf numFmtId="42" fontId="0" fillId="3" borderId="1" xfId="0" applyNumberFormat="1" applyFill="1" applyBorder="1"/>
    <xf numFmtId="9" fontId="0" fillId="0" borderId="0" xfId="0" applyNumberFormat="1"/>
    <xf numFmtId="42" fontId="0" fillId="5" borderId="0" xfId="2" applyFont="1" applyFill="1"/>
    <xf numFmtId="42" fontId="0" fillId="6" borderId="0" xfId="2" applyFont="1" applyFill="1"/>
    <xf numFmtId="42" fontId="1" fillId="0" borderId="0" xfId="2" applyFont="1"/>
    <xf numFmtId="42" fontId="0" fillId="3" borderId="0" xfId="2" applyFont="1" applyFill="1" applyBorder="1"/>
    <xf numFmtId="0" fontId="7" fillId="0" borderId="0" xfId="0" applyFont="1"/>
    <xf numFmtId="42" fontId="1" fillId="0" borderId="1" xfId="2" applyFont="1" applyFill="1" applyBorder="1"/>
    <xf numFmtId="0" fontId="0" fillId="0" borderId="1" xfId="0" applyBorder="1" applyAlignment="1">
      <alignment horizontal="center"/>
    </xf>
    <xf numFmtId="42" fontId="1" fillId="5" borderId="1" xfId="0" applyNumberFormat="1" applyFont="1" applyFill="1" applyBorder="1"/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172" fontId="2" fillId="0" borderId="0" xfId="0" applyNumberFormat="1" applyFont="1"/>
    <xf numFmtId="175" fontId="0" fillId="0" borderId="0" xfId="2" applyNumberFormat="1" applyFont="1" applyAlignment="1">
      <alignment horizontal="center"/>
    </xf>
    <xf numFmtId="167" fontId="0" fillId="0" borderId="0" xfId="0" applyNumberFormat="1"/>
    <xf numFmtId="0" fontId="0" fillId="9" borderId="1" xfId="0" applyFill="1" applyBorder="1"/>
    <xf numFmtId="176" fontId="1" fillId="0" borderId="0" xfId="0" applyNumberFormat="1" applyFont="1"/>
    <xf numFmtId="172" fontId="0" fillId="0" borderId="1" xfId="2" applyNumberFormat="1" applyFont="1" applyBorder="1"/>
    <xf numFmtId="0" fontId="1" fillId="3" borderId="24" xfId="0" applyFont="1" applyFill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1" fillId="3" borderId="2" xfId="0" applyFont="1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42" fontId="0" fillId="0" borderId="0" xfId="2" applyFont="1" applyBorder="1" applyAlignment="1">
      <alignment horizontal="center" vertical="center"/>
    </xf>
    <xf numFmtId="0" fontId="0" fillId="0" borderId="22" xfId="0" applyBorder="1" applyAlignment="1">
      <alignment horizontal="left" vertical="center"/>
    </xf>
    <xf numFmtId="42" fontId="0" fillId="0" borderId="22" xfId="2" applyFont="1" applyBorder="1" applyAlignment="1">
      <alignment horizontal="center" vertical="center"/>
    </xf>
    <xf numFmtId="42" fontId="0" fillId="0" borderId="0" xfId="2" applyFont="1" applyAlignment="1">
      <alignment horizontal="center" vertical="center"/>
    </xf>
    <xf numFmtId="0" fontId="0" fillId="2" borderId="0" xfId="0" applyFill="1" applyAlignment="1">
      <alignment horizontal="center"/>
    </xf>
    <xf numFmtId="42" fontId="0" fillId="0" borderId="0" xfId="0" applyNumberFormat="1" applyAlignment="1">
      <alignment horizontal="center" vertical="center"/>
    </xf>
  </cellXfs>
  <cellStyles count="5">
    <cellStyle name="Millares [0]" xfId="3" builtinId="6"/>
    <cellStyle name="Moneda" xfId="1" builtinId="4"/>
    <cellStyle name="Moneda [0]" xfId="2" builtinId="7"/>
    <cellStyle name="Normal" xfId="0" builtinId="0"/>
    <cellStyle name="Porcentaje" xfId="4" builtinId="5"/>
  </cellStyles>
  <dxfs count="26">
    <dxf>
      <fill>
        <patternFill>
          <bgColor rgb="FF92D050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</font>
    </dxf>
    <dxf>
      <font>
        <b/>
        <i val="0"/>
        <color rgb="FFFF0000"/>
      </font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2:M13"/>
  <sheetViews>
    <sheetView workbookViewId="0">
      <selection activeCell="B10" sqref="B10"/>
    </sheetView>
  </sheetViews>
  <sheetFormatPr baseColWidth="10" defaultRowHeight="15" x14ac:dyDescent="0.25"/>
  <cols>
    <col min="1" max="1" width="35.5703125" customWidth="1"/>
    <col min="2" max="2" width="17.28515625" customWidth="1"/>
    <col min="3" max="3" width="13.140625" bestFit="1" customWidth="1"/>
    <col min="4" max="4" width="6" bestFit="1" customWidth="1"/>
    <col min="5" max="5" width="13" bestFit="1" customWidth="1"/>
    <col min="6" max="6" width="4.85546875" bestFit="1" customWidth="1"/>
    <col min="7" max="7" width="12.5703125" bestFit="1" customWidth="1"/>
    <col min="9" max="9" width="13.42578125" customWidth="1"/>
    <col min="10" max="10" width="11.85546875" bestFit="1" customWidth="1"/>
    <col min="11" max="11" width="14.140625" bestFit="1" customWidth="1"/>
    <col min="12" max="12" width="12.5703125" customWidth="1"/>
    <col min="13" max="13" width="13.85546875" bestFit="1" customWidth="1"/>
  </cols>
  <sheetData>
    <row r="2" spans="1:13" x14ac:dyDescent="0.25">
      <c r="A2" s="2" t="s">
        <v>14</v>
      </c>
      <c r="B2" s="2" t="s">
        <v>17</v>
      </c>
      <c r="C2" s="10"/>
      <c r="E2" s="4"/>
      <c r="F2" s="4"/>
      <c r="G2" s="4"/>
      <c r="H2" s="4"/>
    </row>
    <row r="3" spans="1:13" x14ac:dyDescent="0.25">
      <c r="A3" s="1" t="s">
        <v>685</v>
      </c>
      <c r="B3" s="50">
        <f>'MAY26'!G64</f>
        <v>646463.5</v>
      </c>
      <c r="E3" s="4"/>
      <c r="F3" s="4"/>
      <c r="G3" s="4"/>
      <c r="H3" s="4"/>
    </row>
    <row r="4" spans="1:13" ht="15.75" thickBot="1" x14ac:dyDescent="0.3">
      <c r="A4" t="s">
        <v>646</v>
      </c>
      <c r="B4" s="13">
        <f>-1*'MAY26'!G13</f>
        <v>842744</v>
      </c>
      <c r="E4" s="5"/>
      <c r="F4" s="5"/>
      <c r="G4" s="5"/>
      <c r="H4" s="5" t="s">
        <v>44</v>
      </c>
    </row>
    <row r="5" spans="1:13" x14ac:dyDescent="0.25">
      <c r="A5" s="7" t="s">
        <v>464</v>
      </c>
      <c r="B5" s="51">
        <f>4907433</f>
        <v>4907433</v>
      </c>
      <c r="C5" s="13"/>
      <c r="E5" s="5"/>
      <c r="F5" s="5"/>
      <c r="G5" s="5"/>
      <c r="H5" s="5"/>
      <c r="I5" s="19"/>
      <c r="J5" s="20"/>
      <c r="K5" s="20"/>
      <c r="L5" s="20" t="s">
        <v>30</v>
      </c>
      <c r="M5" s="21" t="s">
        <v>29</v>
      </c>
    </row>
    <row r="6" spans="1:13" x14ac:dyDescent="0.25">
      <c r="A6" s="1" t="s">
        <v>22</v>
      </c>
      <c r="B6" s="50">
        <f>D6*F6</f>
        <v>1111800</v>
      </c>
      <c r="C6" t="s">
        <v>23</v>
      </c>
      <c r="D6">
        <v>21800</v>
      </c>
      <c r="E6" s="4" t="s">
        <v>36</v>
      </c>
      <c r="F6" s="168">
        <v>51</v>
      </c>
      <c r="G6" s="5"/>
      <c r="H6" s="5"/>
      <c r="I6" s="22" t="s">
        <v>28</v>
      </c>
      <c r="J6" s="1">
        <v>205</v>
      </c>
      <c r="K6" s="1"/>
      <c r="L6" s="54">
        <f>J6*D6</f>
        <v>4469000</v>
      </c>
      <c r="M6" s="55">
        <f>B6-L6</f>
        <v>-3357200</v>
      </c>
    </row>
    <row r="7" spans="1:13" x14ac:dyDescent="0.25">
      <c r="A7" s="1" t="s">
        <v>737</v>
      </c>
      <c r="B7" s="53">
        <f>44301096</f>
        <v>44301096</v>
      </c>
      <c r="E7" s="4"/>
      <c r="F7" s="168"/>
      <c r="G7" s="5"/>
      <c r="H7" s="5"/>
      <c r="L7" s="13"/>
      <c r="M7" s="197"/>
    </row>
    <row r="8" spans="1:13" x14ac:dyDescent="0.25">
      <c r="A8" s="2" t="s">
        <v>686</v>
      </c>
      <c r="B8" s="52">
        <f>SUM(B3:B7)</f>
        <v>51809536.5</v>
      </c>
      <c r="E8" s="4"/>
      <c r="F8" s="168"/>
      <c r="G8" s="5"/>
      <c r="H8" s="5"/>
      <c r="L8" s="13"/>
      <c r="M8" s="197"/>
    </row>
    <row r="9" spans="1:13" x14ac:dyDescent="0.25">
      <c r="A9" s="1" t="s">
        <v>127</v>
      </c>
      <c r="B9" s="50">
        <v>5636408</v>
      </c>
      <c r="E9" s="5"/>
      <c r="F9" s="5"/>
      <c r="G9" s="5"/>
      <c r="H9" s="5"/>
    </row>
    <row r="10" spans="1:13" x14ac:dyDescent="0.25">
      <c r="A10" s="1"/>
      <c r="B10" s="50"/>
      <c r="E10" s="5"/>
      <c r="F10" s="5"/>
      <c r="G10" s="5"/>
      <c r="H10" s="5"/>
    </row>
    <row r="11" spans="1:13" x14ac:dyDescent="0.25">
      <c r="A11" s="2" t="s">
        <v>15</v>
      </c>
      <c r="B11" s="52">
        <f>B8+SUM(B9:B10)</f>
        <v>57445944.5</v>
      </c>
      <c r="E11" s="5"/>
      <c r="F11" s="5"/>
      <c r="G11" s="5"/>
      <c r="H11" s="5"/>
    </row>
    <row r="12" spans="1:13" x14ac:dyDescent="0.25">
      <c r="E12" s="5"/>
      <c r="F12" s="5"/>
      <c r="G12" s="5"/>
      <c r="H12" s="5"/>
    </row>
    <row r="13" spans="1:13" x14ac:dyDescent="0.25">
      <c r="E13" s="5"/>
      <c r="F13" s="5"/>
      <c r="G13" s="5"/>
      <c r="H13" s="5"/>
    </row>
  </sheetData>
  <phoneticPr fontId="9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3"/>
  <dimension ref="A1:AG49"/>
  <sheetViews>
    <sheetView workbookViewId="0">
      <selection activeCell="F1" sqref="F1"/>
    </sheetView>
  </sheetViews>
  <sheetFormatPr baseColWidth="10" defaultRowHeight="15" x14ac:dyDescent="0.25"/>
  <cols>
    <col min="1" max="1" width="29.42578125" customWidth="1"/>
    <col min="2" max="2" width="18.42578125" customWidth="1"/>
    <col min="3" max="3" width="10.5703125" customWidth="1"/>
    <col min="4" max="4" width="9.85546875" customWidth="1"/>
    <col min="7" max="7" width="12.85546875" bestFit="1" customWidth="1"/>
    <col min="8" max="8" width="13.140625" bestFit="1" customWidth="1"/>
    <col min="13" max="14" width="13.140625" bestFit="1" customWidth="1"/>
    <col min="15" max="15" width="12.28515625" bestFit="1" customWidth="1"/>
    <col min="17" max="17" width="11.5703125" bestFit="1" customWidth="1"/>
  </cols>
  <sheetData>
    <row r="1" spans="1:33" ht="15.75" thickBot="1" x14ac:dyDescent="0.3">
      <c r="B1" s="41" t="s">
        <v>41</v>
      </c>
      <c r="C1" s="41" t="s">
        <v>39</v>
      </c>
      <c r="D1" s="42" t="s">
        <v>40</v>
      </c>
      <c r="G1" t="s">
        <v>78</v>
      </c>
      <c r="K1" t="s">
        <v>68</v>
      </c>
      <c r="L1" t="s">
        <v>70</v>
      </c>
      <c r="M1" t="s">
        <v>69</v>
      </c>
      <c r="N1" t="s">
        <v>66</v>
      </c>
      <c r="O1" t="s">
        <v>67</v>
      </c>
    </row>
    <row r="2" spans="1:33" ht="15.75" thickBot="1" x14ac:dyDescent="0.3">
      <c r="A2" s="28" t="s">
        <v>50</v>
      </c>
      <c r="B2" s="27">
        <v>28162.42</v>
      </c>
      <c r="C2" s="38"/>
      <c r="D2" s="26"/>
      <c r="E2" s="26"/>
      <c r="F2" s="26"/>
      <c r="G2" s="26" t="s">
        <v>65</v>
      </c>
      <c r="H2" s="26">
        <f>M14</f>
        <v>332292</v>
      </c>
      <c r="I2" s="26"/>
      <c r="J2" s="26"/>
      <c r="K2" s="65">
        <v>1</v>
      </c>
      <c r="L2" s="66">
        <v>44286</v>
      </c>
      <c r="M2" s="26">
        <v>27691</v>
      </c>
      <c r="N2" s="26">
        <v>27691</v>
      </c>
      <c r="O2" s="26">
        <f>M2-N2</f>
        <v>0</v>
      </c>
      <c r="P2" s="26"/>
      <c r="Q2" s="26"/>
      <c r="R2" s="26"/>
      <c r="S2" s="26"/>
      <c r="T2" s="26"/>
      <c r="U2" s="26"/>
      <c r="V2" s="26"/>
      <c r="W2" s="26"/>
      <c r="X2" s="26"/>
      <c r="Y2" s="26"/>
      <c r="Z2" s="26"/>
      <c r="AA2" s="26"/>
      <c r="AB2" s="26"/>
      <c r="AC2" s="26"/>
      <c r="AD2" s="26"/>
      <c r="AE2" s="26"/>
      <c r="AF2" s="26"/>
      <c r="AG2" s="26"/>
    </row>
    <row r="3" spans="1:33" x14ac:dyDescent="0.25">
      <c r="A3" s="26" t="s">
        <v>37</v>
      </c>
      <c r="B3" s="26">
        <v>26669.22</v>
      </c>
      <c r="C3" s="39"/>
      <c r="E3" s="26"/>
      <c r="F3" s="26"/>
      <c r="G3" s="26" t="s">
        <v>66</v>
      </c>
      <c r="H3" s="26">
        <f>N14</f>
        <v>304601</v>
      </c>
      <c r="I3" s="26"/>
      <c r="J3" s="26"/>
      <c r="K3" s="65">
        <v>2</v>
      </c>
      <c r="L3" s="66">
        <v>44316</v>
      </c>
      <c r="M3" s="26">
        <v>27691</v>
      </c>
      <c r="N3" s="26">
        <f>1351+26340</f>
        <v>27691</v>
      </c>
      <c r="O3" s="26">
        <f t="shared" ref="O3:O13" si="0">M3-N3</f>
        <v>0</v>
      </c>
      <c r="P3" s="26"/>
      <c r="Q3" s="26"/>
      <c r="R3" s="26"/>
      <c r="S3" s="26"/>
      <c r="T3" s="26"/>
      <c r="U3" s="26"/>
      <c r="V3" s="26"/>
      <c r="W3" s="26"/>
      <c r="X3" s="26"/>
      <c r="Y3" s="26"/>
      <c r="Z3" s="26"/>
      <c r="AA3" s="26"/>
      <c r="AB3" s="26"/>
      <c r="AC3" s="26"/>
      <c r="AD3" s="26"/>
      <c r="AE3" s="26"/>
      <c r="AF3" s="26"/>
      <c r="AG3" s="26"/>
    </row>
    <row r="4" spans="1:33" x14ac:dyDescent="0.25">
      <c r="A4" s="26" t="s">
        <v>46</v>
      </c>
      <c r="B4" s="26">
        <v>27953.42</v>
      </c>
      <c r="C4" s="39"/>
      <c r="E4" s="26"/>
      <c r="F4" s="26"/>
      <c r="G4" s="26"/>
      <c r="H4" s="26"/>
      <c r="I4" s="26"/>
      <c r="J4" s="26"/>
      <c r="K4" s="65">
        <v>3</v>
      </c>
      <c r="L4" s="66">
        <v>44347</v>
      </c>
      <c r="M4" s="26">
        <v>27691</v>
      </c>
      <c r="N4" s="26">
        <f>1660+26031</f>
        <v>27691</v>
      </c>
      <c r="O4" s="26">
        <f t="shared" si="0"/>
        <v>0</v>
      </c>
      <c r="P4" s="26"/>
      <c r="Q4" s="26"/>
      <c r="R4" s="26"/>
      <c r="S4" s="26"/>
      <c r="T4" s="26"/>
      <c r="U4" s="26"/>
      <c r="V4" s="26"/>
      <c r="W4" s="26"/>
      <c r="X4" s="26"/>
      <c r="Y4" s="26"/>
      <c r="Z4" s="26"/>
      <c r="AA4" s="26"/>
      <c r="AB4" s="26"/>
      <c r="AC4" s="26"/>
      <c r="AD4" s="26"/>
      <c r="AE4" s="26"/>
      <c r="AF4" s="26"/>
      <c r="AG4" s="26"/>
    </row>
    <row r="5" spans="1:33" ht="15.75" thickBot="1" x14ac:dyDescent="0.3">
      <c r="A5" s="26" t="s">
        <v>52</v>
      </c>
      <c r="B5" s="26">
        <v>28162.42</v>
      </c>
      <c r="C5" s="39"/>
      <c r="D5" s="37"/>
      <c r="E5" s="26"/>
      <c r="F5" s="26"/>
      <c r="G5" s="26" t="s">
        <v>67</v>
      </c>
      <c r="H5" s="26">
        <f>H2-H3</f>
        <v>27691</v>
      </c>
      <c r="I5" s="26"/>
      <c r="J5" s="26"/>
      <c r="K5" s="65">
        <v>4</v>
      </c>
      <c r="L5" s="66">
        <v>44377</v>
      </c>
      <c r="M5" s="26">
        <v>27691</v>
      </c>
      <c r="N5" s="26">
        <v>27691</v>
      </c>
      <c r="O5" s="26">
        <f t="shared" si="0"/>
        <v>0</v>
      </c>
      <c r="P5" s="26"/>
      <c r="Q5" s="26"/>
      <c r="R5" s="26"/>
      <c r="S5" s="26"/>
      <c r="T5" s="26"/>
      <c r="U5" s="26"/>
      <c r="V5" s="26"/>
      <c r="W5" s="26"/>
      <c r="X5" s="26"/>
      <c r="Y5" s="26"/>
      <c r="Z5" s="26"/>
      <c r="AA5" s="26"/>
      <c r="AB5" s="26"/>
      <c r="AC5" s="26"/>
      <c r="AD5" s="26"/>
      <c r="AE5" s="26"/>
      <c r="AF5" s="26"/>
      <c r="AG5" s="26"/>
    </row>
    <row r="6" spans="1:33" x14ac:dyDescent="0.25">
      <c r="A6" s="33" t="s">
        <v>32</v>
      </c>
      <c r="B6" s="34">
        <f>C6*B2</f>
        <v>135007261.9896</v>
      </c>
      <c r="C6" s="40">
        <v>4793.88</v>
      </c>
      <c r="D6" s="37">
        <v>1</v>
      </c>
      <c r="E6" s="26"/>
      <c r="F6" s="26"/>
      <c r="G6" s="26"/>
      <c r="H6" s="26"/>
      <c r="I6" s="26"/>
      <c r="J6" s="26"/>
      <c r="K6" s="65">
        <v>5</v>
      </c>
      <c r="L6" s="66">
        <v>44408</v>
      </c>
      <c r="M6" s="26">
        <v>27691</v>
      </c>
      <c r="N6" s="26">
        <f>485+27206</f>
        <v>27691</v>
      </c>
      <c r="O6" s="26">
        <f t="shared" si="0"/>
        <v>0</v>
      </c>
      <c r="P6" s="26"/>
      <c r="Q6" s="26"/>
      <c r="R6" s="26"/>
      <c r="S6" s="26"/>
      <c r="T6" s="26"/>
      <c r="U6" s="26"/>
      <c r="V6" s="26"/>
      <c r="W6" s="26"/>
      <c r="X6" s="26"/>
      <c r="Y6" s="26"/>
      <c r="Z6" s="26"/>
      <c r="AA6" s="26"/>
      <c r="AB6" s="26"/>
      <c r="AC6" s="26"/>
      <c r="AD6" s="26"/>
      <c r="AE6" s="26"/>
      <c r="AF6" s="26"/>
      <c r="AG6" s="26"/>
    </row>
    <row r="7" spans="1:33" ht="15.75" thickBot="1" x14ac:dyDescent="0.3">
      <c r="A7" s="32"/>
      <c r="B7" s="24"/>
      <c r="C7" s="39"/>
      <c r="D7" s="37"/>
      <c r="E7" s="26"/>
      <c r="F7" s="26"/>
      <c r="G7" s="26" t="s">
        <v>71</v>
      </c>
      <c r="H7">
        <v>12</v>
      </c>
      <c r="I7" s="26"/>
      <c r="J7" s="26"/>
      <c r="K7" s="65">
        <v>6</v>
      </c>
      <c r="L7" s="66">
        <v>44439</v>
      </c>
      <c r="M7" s="26">
        <v>27691</v>
      </c>
      <c r="N7" s="26">
        <v>27691</v>
      </c>
      <c r="O7" s="26">
        <f t="shared" si="0"/>
        <v>0</v>
      </c>
      <c r="P7" s="26"/>
      <c r="Q7" s="26"/>
      <c r="R7" s="26"/>
      <c r="S7" s="26"/>
      <c r="T7" s="26"/>
      <c r="U7" s="26"/>
      <c r="V7" s="26"/>
      <c r="W7" s="26"/>
      <c r="X7" s="26"/>
      <c r="Y7" s="26"/>
      <c r="Z7" s="26"/>
      <c r="AA7" s="26"/>
      <c r="AB7" s="26"/>
      <c r="AC7" s="26"/>
      <c r="AD7" s="26"/>
      <c r="AE7" s="26"/>
      <c r="AF7" s="26"/>
      <c r="AG7" s="26"/>
    </row>
    <row r="8" spans="1:33" x14ac:dyDescent="0.25">
      <c r="A8" s="29" t="s">
        <v>33</v>
      </c>
      <c r="B8" s="30">
        <v>500000</v>
      </c>
      <c r="C8" s="39">
        <f>B8/B3</f>
        <v>18.748204859384714</v>
      </c>
      <c r="D8" s="37">
        <f>C8/C6</f>
        <v>3.9108623618832163E-3</v>
      </c>
      <c r="E8" s="26"/>
      <c r="F8" s="26"/>
      <c r="G8" s="26" t="s">
        <v>74</v>
      </c>
      <c r="H8" s="26">
        <f>H2/H7</f>
        <v>27691</v>
      </c>
      <c r="I8" s="26"/>
      <c r="J8" s="26"/>
      <c r="K8" s="65">
        <v>7</v>
      </c>
      <c r="L8" s="66">
        <v>44469</v>
      </c>
      <c r="M8" s="26">
        <v>27691</v>
      </c>
      <c r="N8" s="26">
        <f>1209+26482</f>
        <v>27691</v>
      </c>
      <c r="O8" s="26">
        <f t="shared" si="0"/>
        <v>0</v>
      </c>
      <c r="P8" s="26"/>
      <c r="Q8" s="26"/>
      <c r="R8" s="26"/>
      <c r="S8" s="26"/>
      <c r="T8" s="26"/>
      <c r="U8" s="26"/>
      <c r="V8" s="26"/>
      <c r="W8" s="26"/>
      <c r="X8" s="26"/>
      <c r="Y8" s="26"/>
      <c r="Z8" s="26"/>
      <c r="AA8" s="26"/>
      <c r="AB8" s="26"/>
      <c r="AC8" s="26"/>
      <c r="AD8" s="26"/>
      <c r="AE8" s="26"/>
      <c r="AF8" s="26"/>
      <c r="AG8" s="26"/>
    </row>
    <row r="9" spans="1:33" x14ac:dyDescent="0.25">
      <c r="A9" s="31" t="s">
        <v>38</v>
      </c>
      <c r="B9" s="23">
        <f>C9*B3</f>
        <v>25069914.751600001</v>
      </c>
      <c r="C9" s="39">
        <f>C10-C8</f>
        <v>940.03179514061526</v>
      </c>
      <c r="D9" s="37">
        <f>C9/C6</f>
        <v>0.19608997203530654</v>
      </c>
      <c r="E9" s="26"/>
      <c r="F9" s="26"/>
      <c r="G9" s="26"/>
      <c r="H9" s="26"/>
      <c r="I9" s="26"/>
      <c r="J9" s="26"/>
      <c r="K9" s="65">
        <v>8</v>
      </c>
      <c r="L9" s="66">
        <v>44500</v>
      </c>
      <c r="M9" s="26">
        <v>27691</v>
      </c>
      <c r="N9" s="26">
        <f>7914+19777</f>
        <v>27691</v>
      </c>
      <c r="O9" s="26">
        <f t="shared" si="0"/>
        <v>0</v>
      </c>
      <c r="P9" s="26"/>
      <c r="Q9" s="26"/>
      <c r="R9" s="26"/>
      <c r="S9" s="26"/>
      <c r="T9" s="26"/>
      <c r="U9" s="26"/>
      <c r="V9" s="26"/>
      <c r="W9" s="26"/>
      <c r="X9" s="26"/>
      <c r="Y9" s="26"/>
      <c r="Z9" s="26"/>
      <c r="AA9" s="26"/>
      <c r="AB9" s="26"/>
      <c r="AC9" s="26"/>
      <c r="AD9" s="26"/>
      <c r="AE9" s="26"/>
      <c r="AF9" s="26"/>
      <c r="AG9" s="26"/>
    </row>
    <row r="10" spans="1:33" ht="15.75" thickBot="1" x14ac:dyDescent="0.3">
      <c r="A10" s="48" t="s">
        <v>35</v>
      </c>
      <c r="B10" s="49">
        <f>SUM(B8:B9)</f>
        <v>25569914.751600001</v>
      </c>
      <c r="C10" s="39">
        <v>958.78</v>
      </c>
      <c r="D10" s="37">
        <f>C10/C6</f>
        <v>0.20000083439718974</v>
      </c>
      <c r="E10" s="26"/>
      <c r="F10" s="26"/>
      <c r="G10" s="26"/>
      <c r="H10" s="26">
        <f>56239-H5</f>
        <v>28548</v>
      </c>
      <c r="I10" s="26"/>
      <c r="J10" s="26"/>
      <c r="K10" s="65">
        <v>9</v>
      </c>
      <c r="L10" s="66">
        <v>44530</v>
      </c>
      <c r="M10" s="26">
        <v>27691</v>
      </c>
      <c r="N10" s="26">
        <f>8223+19468</f>
        <v>27691</v>
      </c>
      <c r="O10" s="26">
        <f t="shared" si="0"/>
        <v>0</v>
      </c>
      <c r="P10" s="26"/>
      <c r="Q10" s="26"/>
      <c r="R10" s="26"/>
      <c r="S10" s="26"/>
      <c r="T10" s="26"/>
      <c r="U10" s="26"/>
      <c r="V10" s="26"/>
      <c r="W10" s="26"/>
      <c r="X10" s="26"/>
      <c r="Y10" s="26"/>
      <c r="Z10" s="26"/>
      <c r="AA10" s="26"/>
      <c r="AB10" s="26"/>
      <c r="AC10" s="26"/>
      <c r="AD10" s="26"/>
      <c r="AE10" s="26"/>
      <c r="AF10" s="26"/>
      <c r="AG10" s="26"/>
    </row>
    <row r="11" spans="1:33" x14ac:dyDescent="0.25">
      <c r="A11" s="29" t="s">
        <v>51</v>
      </c>
      <c r="B11" s="30">
        <f>3000000</f>
        <v>3000000</v>
      </c>
      <c r="C11" s="39">
        <f>B11/B5</f>
        <v>106.52493642236712</v>
      </c>
      <c r="D11" s="37">
        <f>C11/C6</f>
        <v>2.222102689728719E-2</v>
      </c>
      <c r="E11" s="26"/>
      <c r="F11" s="26"/>
      <c r="G11" s="26"/>
      <c r="H11" s="26"/>
      <c r="I11" s="26"/>
      <c r="J11" s="26"/>
      <c r="K11" s="65">
        <v>10</v>
      </c>
      <c r="L11" s="66">
        <v>44561</v>
      </c>
      <c r="M11" s="26">
        <v>27691</v>
      </c>
      <c r="N11" s="26">
        <f>8509+19182</f>
        <v>27691</v>
      </c>
      <c r="O11" s="26">
        <f t="shared" si="0"/>
        <v>0</v>
      </c>
      <c r="P11" s="26"/>
      <c r="Q11" s="26"/>
      <c r="R11" s="26"/>
      <c r="S11" s="26"/>
      <c r="T11" s="26"/>
      <c r="U11" s="26"/>
      <c r="V11" s="26"/>
      <c r="W11" s="26"/>
      <c r="X11" s="26"/>
      <c r="Y11" s="26"/>
      <c r="Z11" s="26"/>
      <c r="AA11" s="26"/>
      <c r="AB11" s="26"/>
      <c r="AC11" s="26"/>
      <c r="AD11" s="26"/>
      <c r="AE11" s="26"/>
      <c r="AF11" s="26"/>
      <c r="AG11" s="26"/>
    </row>
    <row r="12" spans="1:33" x14ac:dyDescent="0.25">
      <c r="A12" s="45" t="s">
        <v>45</v>
      </c>
      <c r="B12" s="46">
        <v>13486000</v>
      </c>
      <c r="C12" s="39">
        <f>B12/B4</f>
        <v>482.44543959200701</v>
      </c>
      <c r="D12" s="37">
        <f>C12/C6</f>
        <v>0.10063777975085046</v>
      </c>
      <c r="E12" s="26"/>
      <c r="F12" s="26"/>
      <c r="G12" s="26"/>
      <c r="H12" s="26"/>
      <c r="I12" s="26"/>
      <c r="J12" s="26"/>
      <c r="K12" s="65">
        <v>11</v>
      </c>
      <c r="L12" s="66">
        <v>44592</v>
      </c>
      <c r="M12" s="26">
        <v>27691</v>
      </c>
      <c r="N12" s="26">
        <f>8818+18873</f>
        <v>27691</v>
      </c>
      <c r="O12" s="26">
        <f t="shared" si="0"/>
        <v>0</v>
      </c>
      <c r="P12" s="26"/>
      <c r="Q12" s="26"/>
      <c r="R12" s="26"/>
      <c r="S12" s="26"/>
      <c r="T12" s="26"/>
      <c r="U12" s="26"/>
      <c r="V12" s="26"/>
      <c r="W12" s="26"/>
      <c r="X12" s="26"/>
      <c r="Y12" s="26"/>
      <c r="Z12" s="26"/>
      <c r="AA12" s="26"/>
      <c r="AB12" s="26"/>
      <c r="AC12" s="26"/>
      <c r="AD12" s="26"/>
      <c r="AE12" s="26"/>
      <c r="AF12" s="26"/>
      <c r="AG12" s="26"/>
    </row>
    <row r="13" spans="1:33" ht="15.75" thickBot="1" x14ac:dyDescent="0.3">
      <c r="A13" s="35" t="s">
        <v>34</v>
      </c>
      <c r="B13" s="36">
        <f>C13*B2</f>
        <v>91418865.845125273</v>
      </c>
      <c r="C13" s="40">
        <f>C6-C10-C11-C12</f>
        <v>3246.129623985626</v>
      </c>
      <c r="D13" s="37">
        <f>C13/C6</f>
        <v>0.67714035895467262</v>
      </c>
      <c r="E13" s="26"/>
      <c r="F13" s="26"/>
      <c r="G13" s="26"/>
      <c r="H13" s="26"/>
      <c r="I13" s="26"/>
      <c r="J13" s="26"/>
      <c r="K13" s="65">
        <v>12</v>
      </c>
      <c r="L13" s="66">
        <v>44620</v>
      </c>
      <c r="M13" s="26">
        <v>27691</v>
      </c>
      <c r="N13" s="26"/>
      <c r="O13" s="26">
        <f t="shared" si="0"/>
        <v>27691</v>
      </c>
      <c r="P13" s="26"/>
      <c r="Q13" s="26"/>
      <c r="R13" s="26"/>
      <c r="S13" s="26"/>
      <c r="T13" s="26"/>
      <c r="U13" s="26"/>
      <c r="V13" s="26"/>
      <c r="W13" s="26"/>
      <c r="X13" s="26"/>
      <c r="Y13" s="26"/>
      <c r="Z13" s="26"/>
      <c r="AA13" s="26"/>
      <c r="AB13" s="26"/>
      <c r="AC13" s="26"/>
      <c r="AD13" s="26"/>
      <c r="AE13" s="26"/>
      <c r="AF13" s="26"/>
      <c r="AG13" s="26"/>
    </row>
    <row r="14" spans="1:33" x14ac:dyDescent="0.25">
      <c r="A14" s="26"/>
      <c r="B14" s="26"/>
      <c r="C14" s="39"/>
      <c r="D14" s="37"/>
      <c r="E14" s="26"/>
      <c r="F14" s="26"/>
      <c r="G14" s="26"/>
      <c r="H14" s="26"/>
      <c r="I14" s="26"/>
      <c r="J14" s="26"/>
      <c r="K14" s="26" t="s">
        <v>65</v>
      </c>
      <c r="L14" s="26"/>
      <c r="M14" s="26">
        <f>SUM(M2:M13)</f>
        <v>332292</v>
      </c>
      <c r="N14" s="26">
        <f>SUM(N2:N13)</f>
        <v>304601</v>
      </c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  <c r="AA14" s="26"/>
      <c r="AB14" s="26"/>
      <c r="AC14" s="26"/>
      <c r="AD14" s="26"/>
      <c r="AE14" s="26"/>
      <c r="AF14" s="26"/>
      <c r="AG14" s="26"/>
    </row>
    <row r="15" spans="1:33" x14ac:dyDescent="0.25">
      <c r="A15" s="15" t="s">
        <v>47</v>
      </c>
      <c r="B15" s="15">
        <f>C6</f>
        <v>4793.88</v>
      </c>
      <c r="C15" s="26"/>
      <c r="D15" s="26">
        <f>SUM(C10:C12)</f>
        <v>1547.7503760143741</v>
      </c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  <c r="AA15" s="26"/>
      <c r="AB15" s="26"/>
      <c r="AC15" s="26"/>
      <c r="AD15" s="26"/>
      <c r="AE15" s="26"/>
      <c r="AF15" s="26"/>
      <c r="AG15" s="26"/>
    </row>
    <row r="16" spans="1:33" x14ac:dyDescent="0.25">
      <c r="A16" s="26" t="s">
        <v>49</v>
      </c>
      <c r="B16" s="26">
        <f>C12+C10+C11</f>
        <v>1547.7503760143741</v>
      </c>
      <c r="C16" s="26"/>
      <c r="D16" s="26"/>
      <c r="E16" s="26"/>
      <c r="F16" s="26"/>
      <c r="G16" s="26"/>
      <c r="H16" s="26"/>
      <c r="I16" s="26"/>
      <c r="J16" s="26"/>
      <c r="K16" s="26"/>
      <c r="L16" s="26"/>
      <c r="M16" s="26"/>
      <c r="N16" s="26"/>
      <c r="O16" s="26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  <c r="AA16" s="26"/>
      <c r="AB16" s="26"/>
      <c r="AC16" s="26"/>
      <c r="AD16" s="26"/>
      <c r="AE16" s="26"/>
      <c r="AF16" s="26"/>
      <c r="AG16" s="26"/>
    </row>
    <row r="17" spans="1:33" x14ac:dyDescent="0.25">
      <c r="A17" s="26" t="s">
        <v>48</v>
      </c>
      <c r="B17" s="26">
        <f>B15-B16</f>
        <v>3246.129623985626</v>
      </c>
      <c r="C17" s="26"/>
      <c r="D17" s="26"/>
      <c r="E17" s="26"/>
      <c r="F17" s="26"/>
      <c r="G17" s="26"/>
      <c r="H17" s="26"/>
      <c r="I17" s="26">
        <f>113201-H5</f>
        <v>85510</v>
      </c>
      <c r="J17" s="26"/>
      <c r="K17" s="26"/>
      <c r="L17" s="26"/>
      <c r="M17" s="26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  <c r="AA17" s="26"/>
      <c r="AB17" s="26"/>
      <c r="AC17" s="26"/>
      <c r="AD17" s="26"/>
      <c r="AE17" s="26"/>
      <c r="AF17" s="26"/>
      <c r="AG17" s="26"/>
    </row>
    <row r="18" spans="1:33" x14ac:dyDescent="0.25">
      <c r="A18" s="26"/>
      <c r="B18" s="26"/>
      <c r="C18" s="26"/>
      <c r="D18" s="26"/>
      <c r="E18" s="26"/>
      <c r="F18" s="26"/>
      <c r="G18" s="26"/>
      <c r="H18" s="26"/>
      <c r="I18" s="26"/>
      <c r="J18" s="26"/>
      <c r="K18" s="26"/>
      <c r="L18" s="26"/>
      <c r="M18" s="26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  <c r="AA18" s="26"/>
      <c r="AB18" s="26"/>
      <c r="AC18" s="26"/>
      <c r="AD18" s="26"/>
      <c r="AE18" s="26"/>
      <c r="AF18" s="26"/>
      <c r="AG18" s="26"/>
    </row>
    <row r="19" spans="1:33" x14ac:dyDescent="0.25">
      <c r="A19" s="26" t="s">
        <v>54</v>
      </c>
      <c r="B19" s="26">
        <v>2.68</v>
      </c>
      <c r="C19" s="26"/>
      <c r="D19" s="26"/>
      <c r="E19" s="26"/>
      <c r="F19" s="26"/>
      <c r="G19" s="26"/>
      <c r="H19" s="26"/>
      <c r="I19" s="26"/>
      <c r="J19" s="26"/>
      <c r="K19" s="26"/>
      <c r="L19" s="26"/>
      <c r="M19" s="26">
        <f>85216-H5</f>
        <v>57525</v>
      </c>
      <c r="N19" s="26"/>
      <c r="O19" s="26"/>
      <c r="P19" s="26"/>
      <c r="Q19" s="26"/>
      <c r="R19" s="26"/>
      <c r="S19" s="26"/>
      <c r="T19" s="26"/>
      <c r="U19" s="26"/>
      <c r="V19" s="26"/>
      <c r="W19" s="26"/>
      <c r="X19" s="26"/>
      <c r="Y19" s="26"/>
      <c r="Z19" s="26"/>
      <c r="AA19" s="26"/>
      <c r="AB19" s="26"/>
      <c r="AC19" s="26"/>
      <c r="AD19" s="26"/>
      <c r="AE19" s="26"/>
      <c r="AF19" s="26"/>
      <c r="AG19" s="26"/>
    </row>
    <row r="20" spans="1:33" x14ac:dyDescent="0.25">
      <c r="A20" s="26" t="s">
        <v>59</v>
      </c>
      <c r="B20" s="26">
        <v>300</v>
      </c>
      <c r="C20" s="26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6"/>
      <c r="T20" s="26"/>
      <c r="U20" s="26"/>
      <c r="V20" s="26"/>
      <c r="W20" s="26"/>
      <c r="X20" s="26"/>
      <c r="Y20" s="26"/>
      <c r="Z20" s="26"/>
      <c r="AA20" s="26"/>
      <c r="AB20" s="26"/>
      <c r="AC20" s="26"/>
      <c r="AD20" s="26"/>
      <c r="AE20" s="26"/>
      <c r="AF20" s="26"/>
      <c r="AG20" s="26"/>
    </row>
    <row r="21" spans="1:33" x14ac:dyDescent="0.25">
      <c r="A21" s="26" t="s">
        <v>60</v>
      </c>
      <c r="B21" s="26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6"/>
      <c r="T21" s="26"/>
      <c r="U21" s="26"/>
      <c r="V21" s="26"/>
      <c r="W21" s="26"/>
      <c r="X21" s="26"/>
      <c r="Y21" s="26"/>
      <c r="Z21" s="26"/>
      <c r="AA21" s="26"/>
      <c r="AB21" s="26"/>
      <c r="AC21" s="26"/>
      <c r="AD21" s="26"/>
      <c r="AE21" s="26"/>
      <c r="AF21" s="26"/>
      <c r="AG21" s="26"/>
    </row>
    <row r="22" spans="1:33" x14ac:dyDescent="0.25">
      <c r="A22" s="26"/>
      <c r="B22" s="26"/>
      <c r="C22" s="26"/>
      <c r="D22" s="26"/>
      <c r="E22" s="26"/>
      <c r="F22" s="26"/>
      <c r="G22" s="26"/>
      <c r="H22" s="26"/>
      <c r="I22" s="26"/>
      <c r="J22" s="26"/>
      <c r="K22" s="26"/>
      <c r="L22" s="26"/>
      <c r="M22" s="26"/>
      <c r="N22" s="26"/>
      <c r="O22" s="26"/>
      <c r="P22" s="26"/>
      <c r="Q22" s="26"/>
      <c r="R22" s="26"/>
      <c r="S22" s="26"/>
      <c r="T22" s="26"/>
      <c r="U22" s="26"/>
      <c r="V22" s="26"/>
      <c r="W22" s="26"/>
      <c r="X22" s="26"/>
      <c r="Y22" s="26"/>
      <c r="Z22" s="26"/>
      <c r="AA22" s="26"/>
      <c r="AB22" s="26"/>
      <c r="AC22" s="26"/>
      <c r="AD22" s="26"/>
      <c r="AE22" s="26"/>
      <c r="AF22" s="26"/>
      <c r="AG22" s="26"/>
    </row>
    <row r="23" spans="1:33" x14ac:dyDescent="0.25">
      <c r="A23" s="26" t="s">
        <v>53</v>
      </c>
      <c r="B23" s="26">
        <v>784000</v>
      </c>
      <c r="C23" s="26" t="s">
        <v>55</v>
      </c>
      <c r="D23" s="26"/>
      <c r="E23" s="26"/>
      <c r="F23" s="26"/>
      <c r="G23" s="26"/>
      <c r="H23" s="26"/>
      <c r="I23" s="26"/>
      <c r="J23" s="26"/>
      <c r="K23" s="26"/>
      <c r="L23" s="26"/>
      <c r="M23" s="26"/>
      <c r="N23" s="26"/>
      <c r="O23" s="26"/>
      <c r="P23" s="26"/>
      <c r="Q23" s="26"/>
      <c r="R23" s="26"/>
      <c r="S23" s="26"/>
      <c r="T23" s="26"/>
      <c r="U23" s="26"/>
      <c r="V23" s="26"/>
      <c r="W23" s="26"/>
      <c r="X23" s="26"/>
      <c r="Y23" s="26"/>
      <c r="Z23" s="26"/>
      <c r="AA23" s="26"/>
      <c r="AB23" s="26"/>
      <c r="AC23" s="26"/>
      <c r="AD23" s="26"/>
      <c r="AE23" s="26"/>
      <c r="AF23" s="26"/>
      <c r="AG23" s="26"/>
    </row>
    <row r="24" spans="1:33" x14ac:dyDescent="0.25">
      <c r="A24" s="26" t="s">
        <v>56</v>
      </c>
      <c r="B24" s="26">
        <v>141691</v>
      </c>
      <c r="C24" s="26" t="s">
        <v>55</v>
      </c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  <c r="P24" s="26"/>
      <c r="Q24" s="26"/>
      <c r="R24" s="26"/>
      <c r="S24" s="26"/>
      <c r="T24" s="26"/>
      <c r="U24" s="26"/>
      <c r="V24" s="26"/>
      <c r="W24" s="26"/>
      <c r="X24" s="26"/>
      <c r="Y24" s="26"/>
      <c r="Z24" s="26"/>
      <c r="AA24" s="26"/>
      <c r="AB24" s="26"/>
      <c r="AC24" s="26"/>
      <c r="AD24" s="26"/>
      <c r="AE24" s="26"/>
      <c r="AF24" s="26"/>
      <c r="AG24" s="26"/>
    </row>
    <row r="25" spans="1:33" x14ac:dyDescent="0.25">
      <c r="A25" s="26" t="s">
        <v>57</v>
      </c>
      <c r="B25" s="26">
        <v>113500</v>
      </c>
      <c r="C25" s="26" t="s">
        <v>55</v>
      </c>
      <c r="D25" s="26"/>
      <c r="E25" s="26"/>
      <c r="F25" s="26"/>
      <c r="G25" s="26"/>
      <c r="H25" s="26"/>
      <c r="I25" s="26"/>
      <c r="J25" s="26"/>
      <c r="K25" s="26"/>
      <c r="L25" s="26"/>
      <c r="M25" s="26"/>
      <c r="N25" s="26"/>
      <c r="O25" s="26"/>
      <c r="P25" s="26"/>
      <c r="Q25" s="26"/>
      <c r="R25" s="26"/>
      <c r="S25" s="26"/>
      <c r="T25" s="26"/>
      <c r="U25" s="26"/>
      <c r="V25" s="26"/>
      <c r="W25" s="26"/>
      <c r="X25" s="26"/>
      <c r="Y25" s="26"/>
      <c r="Z25" s="26"/>
      <c r="AA25" s="26"/>
      <c r="AB25" s="26"/>
      <c r="AC25" s="26"/>
      <c r="AD25" s="26"/>
      <c r="AE25" s="26"/>
      <c r="AF25" s="26"/>
      <c r="AG25" s="26"/>
    </row>
    <row r="26" spans="1:33" x14ac:dyDescent="0.25">
      <c r="A26" s="26" t="s">
        <v>58</v>
      </c>
      <c r="B26" s="26">
        <v>184017</v>
      </c>
      <c r="C26" s="26" t="s">
        <v>55</v>
      </c>
      <c r="D26" s="26"/>
      <c r="E26" s="26"/>
      <c r="F26" s="26"/>
      <c r="G26" s="26"/>
      <c r="H26" s="26"/>
      <c r="I26" s="26"/>
      <c r="J26" s="26"/>
      <c r="K26" s="26"/>
      <c r="L26" s="26"/>
      <c r="M26" s="26"/>
      <c r="N26" s="26"/>
      <c r="O26" s="26"/>
      <c r="P26" s="26"/>
      <c r="Q26" s="26"/>
      <c r="R26" s="26"/>
      <c r="S26" s="26"/>
      <c r="T26" s="26"/>
      <c r="U26" s="26"/>
      <c r="V26" s="26"/>
      <c r="W26" s="26"/>
      <c r="X26" s="26"/>
      <c r="Y26" s="26"/>
      <c r="Z26" s="26"/>
      <c r="AA26" s="26"/>
      <c r="AB26" s="26"/>
      <c r="AC26" s="26"/>
      <c r="AD26" s="26"/>
      <c r="AE26" s="26"/>
      <c r="AF26" s="26"/>
      <c r="AG26" s="26"/>
    </row>
    <row r="27" spans="1:33" x14ac:dyDescent="0.25">
      <c r="A27" s="26"/>
      <c r="B27" s="26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  <c r="P27" s="26"/>
      <c r="Q27" s="26"/>
      <c r="R27" s="26"/>
      <c r="S27" s="26"/>
      <c r="T27" s="26"/>
      <c r="U27" s="26"/>
      <c r="V27" s="26"/>
      <c r="W27" s="26"/>
      <c r="X27" s="26"/>
      <c r="Y27" s="26"/>
      <c r="Z27" s="26"/>
      <c r="AA27" s="26"/>
      <c r="AB27" s="26"/>
      <c r="AC27" s="26"/>
      <c r="AD27" s="26"/>
      <c r="AE27" s="26"/>
      <c r="AF27" s="26"/>
      <c r="AG27" s="26"/>
    </row>
    <row r="28" spans="1:33" x14ac:dyDescent="0.25">
      <c r="A28" s="26" t="s">
        <v>61</v>
      </c>
      <c r="B28" s="26">
        <f>SUM(B23:B27)</f>
        <v>1223208</v>
      </c>
      <c r="C28" s="26"/>
      <c r="D28" s="26"/>
      <c r="E28" s="26"/>
      <c r="F28" s="26"/>
      <c r="G28" s="26"/>
      <c r="H28" s="26"/>
      <c r="I28" s="26"/>
      <c r="J28" s="26"/>
      <c r="K28" s="26"/>
      <c r="L28" s="26"/>
      <c r="M28" s="26"/>
      <c r="N28" s="26"/>
      <c r="O28" s="26"/>
      <c r="P28" s="26"/>
      <c r="Q28" s="26"/>
      <c r="R28" s="26"/>
      <c r="S28" s="26"/>
      <c r="T28" s="26"/>
      <c r="U28" s="26"/>
      <c r="V28" s="26"/>
      <c r="W28" s="26"/>
      <c r="X28" s="26"/>
      <c r="Y28" s="26"/>
      <c r="Z28" s="26"/>
      <c r="AA28" s="26"/>
      <c r="AB28" s="26"/>
      <c r="AC28" s="26"/>
      <c r="AD28" s="26"/>
      <c r="AE28" s="26"/>
      <c r="AF28" s="26"/>
      <c r="AG28" s="26"/>
    </row>
    <row r="29" spans="1:33" x14ac:dyDescent="0.25">
      <c r="A29" s="26"/>
      <c r="B29" s="26"/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  <c r="U29" s="26"/>
      <c r="V29" s="26"/>
      <c r="W29" s="26"/>
      <c r="X29" s="26"/>
      <c r="Y29" s="26"/>
      <c r="Z29" s="26"/>
      <c r="AA29" s="26"/>
      <c r="AB29" s="26"/>
      <c r="AC29" s="26"/>
      <c r="AD29" s="26"/>
      <c r="AE29" s="26"/>
      <c r="AF29" s="26"/>
      <c r="AG29" s="26"/>
    </row>
    <row r="30" spans="1:33" x14ac:dyDescent="0.25">
      <c r="A30" s="26"/>
      <c r="B30" s="26"/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  <c r="U30" s="26"/>
      <c r="V30" s="26"/>
      <c r="W30" s="26"/>
      <c r="X30" s="26"/>
      <c r="Y30" s="26"/>
      <c r="Z30" s="26"/>
      <c r="AA30" s="26"/>
      <c r="AB30" s="26"/>
      <c r="AC30" s="26"/>
      <c r="AD30" s="26"/>
      <c r="AE30" s="26"/>
      <c r="AF30" s="26"/>
      <c r="AG30" s="26"/>
    </row>
    <row r="31" spans="1:33" x14ac:dyDescent="0.25">
      <c r="A31" s="26"/>
      <c r="B31" s="26"/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  <c r="U31" s="26"/>
      <c r="V31" s="26"/>
      <c r="W31" s="26"/>
      <c r="X31" s="26"/>
      <c r="Y31" s="26"/>
      <c r="Z31" s="26"/>
      <c r="AA31" s="26"/>
      <c r="AB31" s="26"/>
      <c r="AC31" s="26"/>
      <c r="AD31" s="26"/>
      <c r="AE31" s="26"/>
      <c r="AF31" s="26"/>
      <c r="AG31" s="26"/>
    </row>
    <row r="32" spans="1:33" x14ac:dyDescent="0.25">
      <c r="A32" s="26"/>
      <c r="B32" s="26"/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  <c r="U32" s="26"/>
      <c r="V32" s="26"/>
      <c r="W32" s="26"/>
      <c r="X32" s="26"/>
      <c r="Y32" s="26"/>
      <c r="Z32" s="26"/>
      <c r="AA32" s="26"/>
      <c r="AB32" s="26"/>
      <c r="AC32" s="26"/>
      <c r="AD32" s="26"/>
      <c r="AE32" s="26"/>
      <c r="AF32" s="26"/>
      <c r="AG32" s="26"/>
    </row>
    <row r="33" spans="1:33" x14ac:dyDescent="0.25">
      <c r="A33" s="26"/>
      <c r="B33" s="26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  <c r="U33" s="26"/>
      <c r="V33" s="26"/>
      <c r="W33" s="26"/>
      <c r="X33" s="26"/>
      <c r="Y33" s="26"/>
      <c r="Z33" s="26"/>
      <c r="AA33" s="26"/>
      <c r="AB33" s="26"/>
      <c r="AC33" s="26"/>
      <c r="AD33" s="26"/>
      <c r="AE33" s="26"/>
      <c r="AF33" s="26"/>
      <c r="AG33" s="26"/>
    </row>
    <row r="34" spans="1:33" x14ac:dyDescent="0.25">
      <c r="A34" s="26"/>
      <c r="B34" s="26"/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  <c r="U34" s="26"/>
      <c r="V34" s="26"/>
      <c r="W34" s="26"/>
      <c r="X34" s="26"/>
      <c r="Y34" s="26"/>
      <c r="Z34" s="26"/>
      <c r="AA34" s="26"/>
      <c r="AB34" s="26"/>
      <c r="AC34" s="26"/>
      <c r="AD34" s="26"/>
      <c r="AE34" s="26"/>
      <c r="AF34" s="26"/>
      <c r="AG34" s="26"/>
    </row>
    <row r="35" spans="1:33" x14ac:dyDescent="0.25">
      <c r="A35" s="26"/>
      <c r="B35" s="26"/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  <c r="U35" s="26"/>
      <c r="V35" s="26"/>
      <c r="W35" s="26"/>
      <c r="X35" s="26"/>
      <c r="Y35" s="26"/>
      <c r="Z35" s="26"/>
      <c r="AA35" s="26"/>
      <c r="AB35" s="26"/>
      <c r="AC35" s="26"/>
      <c r="AD35" s="26"/>
      <c r="AE35" s="26"/>
      <c r="AF35" s="26"/>
      <c r="AG35" s="26"/>
    </row>
    <row r="36" spans="1:33" x14ac:dyDescent="0.25">
      <c r="A36" s="26"/>
      <c r="B36" s="26"/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  <c r="U36" s="26"/>
      <c r="V36" s="26"/>
      <c r="W36" s="26"/>
      <c r="X36" s="26"/>
      <c r="Y36" s="26"/>
      <c r="Z36" s="26"/>
      <c r="AA36" s="26"/>
      <c r="AB36" s="26"/>
      <c r="AC36" s="26"/>
      <c r="AD36" s="26"/>
      <c r="AE36" s="26"/>
      <c r="AF36" s="26"/>
      <c r="AG36" s="26"/>
    </row>
    <row r="37" spans="1:33" x14ac:dyDescent="0.25">
      <c r="A37" s="26"/>
      <c r="B37" s="26"/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  <c r="U37" s="26"/>
      <c r="V37" s="26"/>
      <c r="W37" s="26"/>
      <c r="X37" s="26"/>
      <c r="Y37" s="26"/>
      <c r="Z37" s="26"/>
      <c r="AA37" s="26"/>
      <c r="AB37" s="26"/>
      <c r="AC37" s="26"/>
      <c r="AD37" s="26"/>
      <c r="AE37" s="26"/>
      <c r="AF37" s="26"/>
      <c r="AG37" s="26"/>
    </row>
    <row r="38" spans="1:33" x14ac:dyDescent="0.25">
      <c r="A38" s="26"/>
      <c r="B38" s="26"/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  <c r="U38" s="26"/>
      <c r="V38" s="26"/>
      <c r="W38" s="26"/>
      <c r="X38" s="26"/>
      <c r="Y38" s="26"/>
      <c r="Z38" s="26"/>
      <c r="AA38" s="26"/>
      <c r="AB38" s="26"/>
      <c r="AC38" s="26"/>
      <c r="AD38" s="26"/>
      <c r="AE38" s="26"/>
      <c r="AF38" s="26"/>
      <c r="AG38" s="26"/>
    </row>
    <row r="39" spans="1:33" x14ac:dyDescent="0.25">
      <c r="A39" s="26"/>
      <c r="B39" s="26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  <c r="P39" s="26"/>
      <c r="Q39" s="26"/>
      <c r="R39" s="26"/>
      <c r="S39" s="26"/>
      <c r="T39" s="26"/>
      <c r="U39" s="26"/>
      <c r="V39" s="26"/>
      <c r="W39" s="26"/>
      <c r="X39" s="26"/>
      <c r="Y39" s="26"/>
      <c r="Z39" s="26"/>
      <c r="AA39" s="26"/>
      <c r="AB39" s="26"/>
      <c r="AC39" s="26"/>
      <c r="AD39" s="26"/>
      <c r="AE39" s="26"/>
      <c r="AF39" s="26"/>
      <c r="AG39" s="26"/>
    </row>
    <row r="40" spans="1:33" x14ac:dyDescent="0.25">
      <c r="A40" s="26"/>
      <c r="B40" s="26"/>
      <c r="C40" s="26"/>
      <c r="D40" s="26"/>
      <c r="E40" s="26"/>
      <c r="F40" s="26"/>
      <c r="G40" s="26"/>
      <c r="H40" s="26"/>
      <c r="I40" s="26"/>
      <c r="J40" s="26"/>
      <c r="K40" s="26"/>
      <c r="L40" s="26"/>
      <c r="M40" s="26"/>
      <c r="N40" s="26"/>
      <c r="O40" s="26"/>
      <c r="P40" s="26"/>
      <c r="Q40" s="26"/>
      <c r="R40" s="26"/>
      <c r="S40" s="26"/>
      <c r="T40" s="26"/>
      <c r="U40" s="26"/>
      <c r="V40" s="26"/>
      <c r="W40" s="26"/>
      <c r="X40" s="26"/>
      <c r="Y40" s="26"/>
      <c r="Z40" s="26"/>
      <c r="AA40" s="26"/>
      <c r="AB40" s="26"/>
      <c r="AC40" s="26"/>
      <c r="AD40" s="26"/>
      <c r="AE40" s="26"/>
      <c r="AF40" s="26"/>
      <c r="AG40" s="26"/>
    </row>
    <row r="41" spans="1:33" x14ac:dyDescent="0.25">
      <c r="A41" s="26"/>
      <c r="B41" s="26"/>
      <c r="C41" s="26"/>
      <c r="D41" s="26"/>
      <c r="E41" s="26"/>
      <c r="F41" s="26"/>
      <c r="G41" s="26"/>
      <c r="H41" s="26"/>
      <c r="I41" s="26"/>
      <c r="J41" s="26"/>
      <c r="K41" s="26"/>
      <c r="L41" s="26"/>
      <c r="M41" s="26"/>
      <c r="N41" s="26"/>
      <c r="O41" s="26"/>
      <c r="P41" s="26"/>
      <c r="Q41" s="26"/>
      <c r="R41" s="26"/>
      <c r="S41" s="26"/>
      <c r="T41" s="26"/>
      <c r="U41" s="26"/>
      <c r="V41" s="26"/>
      <c r="W41" s="26"/>
      <c r="X41" s="26"/>
      <c r="Y41" s="26"/>
      <c r="Z41" s="26"/>
      <c r="AA41" s="26"/>
      <c r="AB41" s="26"/>
      <c r="AC41" s="26"/>
      <c r="AD41" s="26"/>
      <c r="AE41" s="26"/>
      <c r="AF41" s="26"/>
      <c r="AG41" s="26"/>
    </row>
    <row r="42" spans="1:33" x14ac:dyDescent="0.25">
      <c r="A42" s="26"/>
      <c r="B42" s="26"/>
      <c r="C42" s="26"/>
      <c r="D42" s="26"/>
      <c r="E42" s="26"/>
      <c r="F42" s="26"/>
      <c r="G42" s="26"/>
      <c r="H42" s="26"/>
      <c r="I42" s="26"/>
      <c r="J42" s="26"/>
      <c r="K42" s="26"/>
      <c r="L42" s="26"/>
      <c r="M42" s="26"/>
      <c r="N42" s="26"/>
      <c r="O42" s="26"/>
      <c r="P42" s="26"/>
      <c r="Q42" s="26"/>
      <c r="R42" s="26"/>
      <c r="S42" s="26"/>
      <c r="T42" s="26"/>
      <c r="U42" s="26"/>
      <c r="V42" s="26"/>
      <c r="W42" s="26"/>
      <c r="X42" s="26"/>
      <c r="Y42" s="26"/>
      <c r="Z42" s="26"/>
      <c r="AA42" s="26"/>
      <c r="AB42" s="26"/>
      <c r="AC42" s="26"/>
      <c r="AD42" s="26"/>
      <c r="AE42" s="26"/>
      <c r="AF42" s="26"/>
      <c r="AG42" s="26"/>
    </row>
    <row r="43" spans="1:33" x14ac:dyDescent="0.25">
      <c r="A43" s="26"/>
      <c r="B43" s="26"/>
      <c r="C43" s="26"/>
      <c r="D43" s="26"/>
      <c r="E43" s="26"/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  <c r="R43" s="26"/>
      <c r="S43" s="26"/>
      <c r="T43" s="26"/>
      <c r="U43" s="26"/>
      <c r="V43" s="26"/>
      <c r="W43" s="26"/>
      <c r="X43" s="26"/>
      <c r="Y43" s="26"/>
      <c r="Z43" s="26"/>
      <c r="AA43" s="26"/>
      <c r="AB43" s="26"/>
      <c r="AC43" s="26"/>
      <c r="AD43" s="26"/>
      <c r="AE43" s="26"/>
      <c r="AF43" s="26"/>
      <c r="AG43" s="26"/>
    </row>
    <row r="44" spans="1:33" x14ac:dyDescent="0.25">
      <c r="A44" s="26"/>
      <c r="B44" s="26"/>
      <c r="C44" s="26"/>
      <c r="D44" s="26"/>
      <c r="E44" s="26"/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  <c r="R44" s="26"/>
      <c r="S44" s="26"/>
      <c r="T44" s="26"/>
      <c r="U44" s="26"/>
      <c r="V44" s="26"/>
      <c r="W44" s="26"/>
      <c r="X44" s="26"/>
      <c r="Y44" s="26"/>
      <c r="Z44" s="26"/>
      <c r="AA44" s="26"/>
      <c r="AB44" s="26"/>
      <c r="AC44" s="26"/>
      <c r="AD44" s="26"/>
      <c r="AE44" s="26"/>
      <c r="AF44" s="26"/>
      <c r="AG44" s="26"/>
    </row>
    <row r="45" spans="1:33" x14ac:dyDescent="0.25">
      <c r="A45" s="26"/>
      <c r="B45" s="26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  <c r="R45" s="26"/>
      <c r="S45" s="26"/>
      <c r="T45" s="26"/>
      <c r="U45" s="26"/>
      <c r="V45" s="26"/>
      <c r="W45" s="26"/>
      <c r="X45" s="26"/>
      <c r="Y45" s="26"/>
      <c r="Z45" s="26"/>
      <c r="AA45" s="26"/>
      <c r="AB45" s="26"/>
      <c r="AC45" s="26"/>
      <c r="AD45" s="26"/>
      <c r="AE45" s="26"/>
      <c r="AF45" s="26"/>
      <c r="AG45" s="26"/>
    </row>
    <row r="46" spans="1:33" x14ac:dyDescent="0.25">
      <c r="A46" s="26"/>
      <c r="B46" s="26"/>
      <c r="C46" s="26"/>
      <c r="D46" s="26"/>
      <c r="E46" s="26"/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  <c r="R46" s="26"/>
      <c r="S46" s="26"/>
      <c r="T46" s="26"/>
      <c r="U46" s="26"/>
      <c r="V46" s="26"/>
      <c r="W46" s="26"/>
      <c r="X46" s="26"/>
      <c r="Y46" s="26"/>
      <c r="Z46" s="26"/>
      <c r="AA46" s="26"/>
      <c r="AB46" s="26"/>
      <c r="AC46" s="26"/>
      <c r="AD46" s="26"/>
      <c r="AE46" s="26"/>
      <c r="AF46" s="26"/>
      <c r="AG46" s="26"/>
    </row>
    <row r="47" spans="1:33" x14ac:dyDescent="0.25">
      <c r="A47" s="26"/>
      <c r="B47" s="26"/>
      <c r="C47" s="26"/>
      <c r="D47" s="26"/>
      <c r="E47" s="26"/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  <c r="R47" s="26"/>
      <c r="S47" s="26"/>
      <c r="T47" s="26"/>
      <c r="U47" s="26"/>
      <c r="V47" s="26"/>
      <c r="W47" s="26"/>
      <c r="X47" s="26"/>
      <c r="Y47" s="26"/>
      <c r="Z47" s="26"/>
      <c r="AA47" s="26"/>
      <c r="AB47" s="26"/>
      <c r="AC47" s="26"/>
      <c r="AD47" s="26"/>
      <c r="AE47" s="26"/>
      <c r="AF47" s="26"/>
      <c r="AG47" s="26"/>
    </row>
    <row r="48" spans="1:33" x14ac:dyDescent="0.25">
      <c r="A48" s="26"/>
      <c r="B48" s="26"/>
      <c r="C48" s="26"/>
      <c r="D48" s="26"/>
    </row>
    <row r="49" spans="1:4" x14ac:dyDescent="0.25">
      <c r="A49" s="26"/>
      <c r="B49" s="26"/>
      <c r="C49" s="26"/>
      <c r="D49" s="26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2"/>
  <dimension ref="A1:T26"/>
  <sheetViews>
    <sheetView topLeftCell="J1" zoomScale="120" zoomScaleNormal="120" workbookViewId="0">
      <selection activeCell="P3" sqref="P3"/>
    </sheetView>
  </sheetViews>
  <sheetFormatPr baseColWidth="10" defaultRowHeight="15" x14ac:dyDescent="0.25"/>
  <cols>
    <col min="1" max="1" width="22.42578125" bestFit="1" customWidth="1"/>
    <col min="2" max="2" width="13.140625" bestFit="1" customWidth="1"/>
    <col min="7" max="7" width="13" bestFit="1" customWidth="1"/>
    <col min="11" max="11" width="13" bestFit="1" customWidth="1"/>
    <col min="14" max="14" width="24.42578125" bestFit="1" customWidth="1"/>
    <col min="15" max="15" width="16.28515625" customWidth="1"/>
    <col min="16" max="16" width="13" bestFit="1" customWidth="1"/>
    <col min="19" max="19" width="14.140625" bestFit="1" customWidth="1"/>
    <col min="20" max="20" width="13" bestFit="1" customWidth="1"/>
  </cols>
  <sheetData>
    <row r="1" spans="1:20" x14ac:dyDescent="0.25">
      <c r="H1" t="s">
        <v>596</v>
      </c>
      <c r="I1">
        <v>2026</v>
      </c>
      <c r="N1" t="s">
        <v>608</v>
      </c>
      <c r="O1" s="87">
        <v>85000000</v>
      </c>
      <c r="R1" t="s">
        <v>612</v>
      </c>
      <c r="T1" s="185">
        <f>2500000</f>
        <v>2500000</v>
      </c>
    </row>
    <row r="2" spans="1:20" x14ac:dyDescent="0.25">
      <c r="I2" t="s">
        <v>593</v>
      </c>
      <c r="J2" s="184">
        <v>0.03</v>
      </c>
      <c r="K2" s="184">
        <v>0.05</v>
      </c>
      <c r="N2" t="s">
        <v>609</v>
      </c>
      <c r="O2" s="87"/>
      <c r="S2" t="s">
        <v>613</v>
      </c>
      <c r="T2" s="186">
        <v>600000</v>
      </c>
    </row>
    <row r="3" spans="1:20" x14ac:dyDescent="0.25">
      <c r="A3" s="13" t="s">
        <v>20</v>
      </c>
      <c r="B3" s="13">
        <v>5077000</v>
      </c>
      <c r="C3" s="13"/>
      <c r="D3" s="13"/>
      <c r="E3" s="13"/>
      <c r="F3" s="13"/>
      <c r="G3" t="s">
        <v>598</v>
      </c>
      <c r="H3" t="s">
        <v>597</v>
      </c>
      <c r="I3" t="s">
        <v>595</v>
      </c>
      <c r="J3" t="s">
        <v>594</v>
      </c>
      <c r="K3" s="184"/>
      <c r="N3" t="s">
        <v>610</v>
      </c>
      <c r="O3" s="87">
        <f>K19</f>
        <v>30372380.11891634</v>
      </c>
      <c r="T3" s="138">
        <f>T1-T2</f>
        <v>1900000</v>
      </c>
    </row>
    <row r="4" spans="1:20" x14ac:dyDescent="0.25">
      <c r="A4" s="13"/>
      <c r="B4" s="13"/>
      <c r="C4" s="13"/>
      <c r="D4" s="13"/>
      <c r="E4" s="13"/>
      <c r="F4" s="13"/>
      <c r="G4" t="s">
        <v>599</v>
      </c>
      <c r="H4">
        <v>5077000</v>
      </c>
      <c r="I4">
        <v>2014</v>
      </c>
      <c r="J4">
        <f>$H4*POWER((1+J$2),$I$1-$I4)</f>
        <v>7238588.022518049</v>
      </c>
      <c r="K4">
        <f>$H4*POWER((1+K$2),$I$1-$I4)</f>
        <v>9117562.5672143493</v>
      </c>
      <c r="N4" t="s">
        <v>611</v>
      </c>
      <c r="O4" s="87">
        <v>2500000</v>
      </c>
      <c r="T4" s="185"/>
    </row>
    <row r="5" spans="1:20" x14ac:dyDescent="0.25">
      <c r="A5" s="13"/>
      <c r="B5" s="13"/>
      <c r="C5" s="13"/>
      <c r="D5" s="13"/>
      <c r="E5" s="13"/>
      <c r="F5" s="13"/>
      <c r="G5" t="s">
        <v>600</v>
      </c>
      <c r="H5">
        <v>4000000</v>
      </c>
      <c r="I5">
        <v>2015</v>
      </c>
      <c r="J5">
        <f t="shared" ref="J5:K8" si="0">$H5*POWER((1+J$2),$I$1-$I5)</f>
        <v>5536935.4828977818</v>
      </c>
      <c r="K5">
        <f t="shared" si="0"/>
        <v>6841357.4324652553</v>
      </c>
      <c r="N5" t="s">
        <v>616</v>
      </c>
      <c r="O5" s="87">
        <f>2*T9</f>
        <v>22800000</v>
      </c>
      <c r="T5" s="185"/>
    </row>
    <row r="6" spans="1:20" x14ac:dyDescent="0.25">
      <c r="A6" s="13" t="s">
        <v>21</v>
      </c>
      <c r="B6" s="13">
        <f>SUM(B3:B4)</f>
        <v>5077000</v>
      </c>
      <c r="C6" s="13"/>
      <c r="D6" s="13"/>
      <c r="E6" s="13"/>
      <c r="F6" s="13"/>
      <c r="G6" t="s">
        <v>601</v>
      </c>
      <c r="H6">
        <v>4000000</v>
      </c>
      <c r="I6">
        <v>2016</v>
      </c>
      <c r="J6">
        <f t="shared" si="0"/>
        <v>5375665.5173764871</v>
      </c>
      <c r="K6">
        <f t="shared" si="0"/>
        <v>6515578.5071097659</v>
      </c>
      <c r="N6" t="s">
        <v>2</v>
      </c>
      <c r="O6" s="87">
        <f>O1-SUM(O2:O5)</f>
        <v>29327619.88108366</v>
      </c>
      <c r="T6" s="185"/>
    </row>
    <row r="7" spans="1:20" x14ac:dyDescent="0.25">
      <c r="A7" s="13"/>
      <c r="B7" s="13"/>
      <c r="C7" s="13"/>
      <c r="D7" s="13"/>
      <c r="E7" s="13"/>
      <c r="F7" s="13"/>
      <c r="G7" t="s">
        <v>600</v>
      </c>
      <c r="H7">
        <v>4000000</v>
      </c>
      <c r="I7">
        <v>2017</v>
      </c>
      <c r="J7">
        <f t="shared" si="0"/>
        <v>5219092.7353169778</v>
      </c>
      <c r="K7">
        <f t="shared" si="0"/>
        <v>6205312.8639140632</v>
      </c>
      <c r="T7" s="87"/>
    </row>
    <row r="8" spans="1:20" x14ac:dyDescent="0.25">
      <c r="A8" s="13"/>
      <c r="B8" s="13"/>
      <c r="C8" s="13"/>
      <c r="D8" s="13"/>
      <c r="E8" s="13"/>
      <c r="F8" s="13"/>
      <c r="G8" t="s">
        <v>603</v>
      </c>
      <c r="I8">
        <v>2014</v>
      </c>
      <c r="J8">
        <f t="shared" si="0"/>
        <v>0</v>
      </c>
      <c r="K8">
        <f t="shared" si="0"/>
        <v>0</v>
      </c>
      <c r="N8" t="s">
        <v>617</v>
      </c>
      <c r="S8" s="10" t="s">
        <v>614</v>
      </c>
      <c r="T8" s="187">
        <f>(T3+T4+T5+T6)/2</f>
        <v>950000</v>
      </c>
    </row>
    <row r="9" spans="1:20" x14ac:dyDescent="0.25">
      <c r="A9" s="13"/>
      <c r="B9" s="13"/>
      <c r="C9" s="13"/>
      <c r="D9" s="13"/>
      <c r="E9" s="13"/>
      <c r="F9" s="13"/>
      <c r="I9" t="s">
        <v>602</v>
      </c>
      <c r="J9">
        <f>SUM(J4:J8)</f>
        <v>23370281.758109294</v>
      </c>
      <c r="K9">
        <f>SUM(K4:K8)</f>
        <v>28679811.370703436</v>
      </c>
      <c r="N9" t="s">
        <v>495</v>
      </c>
      <c r="O9" s="88">
        <v>1750861</v>
      </c>
      <c r="S9" s="10" t="s">
        <v>615</v>
      </c>
      <c r="T9" s="187">
        <f>T8*12</f>
        <v>11400000</v>
      </c>
    </row>
    <row r="10" spans="1:20" x14ac:dyDescent="0.25">
      <c r="A10" s="14"/>
      <c r="B10" s="14"/>
      <c r="C10" s="13"/>
      <c r="D10" s="13"/>
      <c r="E10" s="13"/>
      <c r="F10" s="13"/>
      <c r="N10" t="s">
        <v>280</v>
      </c>
      <c r="O10" s="88">
        <v>1593881</v>
      </c>
    </row>
    <row r="11" spans="1:20" x14ac:dyDescent="0.25">
      <c r="A11" s="14"/>
      <c r="B11" s="14"/>
      <c r="C11" s="13"/>
      <c r="D11" s="13"/>
      <c r="E11" s="13"/>
      <c r="F11" s="13"/>
      <c r="N11" t="s">
        <v>496</v>
      </c>
      <c r="O11" s="88">
        <v>4014046</v>
      </c>
    </row>
    <row r="12" spans="1:20" x14ac:dyDescent="0.25">
      <c r="A12" s="14"/>
      <c r="B12" s="14"/>
      <c r="C12" s="13"/>
      <c r="D12" s="13"/>
      <c r="E12" t="s">
        <v>628</v>
      </c>
      <c r="G12" t="s">
        <v>629</v>
      </c>
      <c r="H12" t="s">
        <v>337</v>
      </c>
      <c r="I12" t="s">
        <v>630</v>
      </c>
      <c r="J12" t="s">
        <v>631</v>
      </c>
      <c r="K12" t="s">
        <v>65</v>
      </c>
      <c r="N12" t="s">
        <v>346</v>
      </c>
      <c r="O12" s="88">
        <v>2484715.4333333331</v>
      </c>
    </row>
    <row r="13" spans="1:20" x14ac:dyDescent="0.25">
      <c r="A13" s="13" t="s">
        <v>466</v>
      </c>
      <c r="B13" s="173">
        <v>0.03</v>
      </c>
      <c r="C13" s="13"/>
      <c r="D13" s="13"/>
      <c r="E13" t="s">
        <v>599</v>
      </c>
      <c r="F13">
        <v>5077000</v>
      </c>
      <c r="G13">
        <v>2014</v>
      </c>
      <c r="H13">
        <v>23700</v>
      </c>
      <c r="I13">
        <f>F13/H13</f>
        <v>214.21940928270041</v>
      </c>
      <c r="J13">
        <v>39784</v>
      </c>
      <c r="K13" s="87">
        <f>I13*J13</f>
        <v>8522504.9789029527</v>
      </c>
    </row>
    <row r="14" spans="1:20" x14ac:dyDescent="0.25">
      <c r="A14" s="13" t="s">
        <v>467</v>
      </c>
      <c r="B14" s="160">
        <f>2025-2012</f>
        <v>13</v>
      </c>
      <c r="C14" s="13"/>
      <c r="D14" s="13"/>
      <c r="E14" t="s">
        <v>600</v>
      </c>
      <c r="F14">
        <v>4000000</v>
      </c>
      <c r="G14">
        <v>2015</v>
      </c>
      <c r="H14">
        <v>24910</v>
      </c>
      <c r="I14">
        <f t="shared" ref="I14:I17" si="1">F14/H14</f>
        <v>160.57808109193095</v>
      </c>
      <c r="J14">
        <v>39784</v>
      </c>
      <c r="K14" s="87">
        <f t="shared" ref="K14:K17" si="2">I14*J14</f>
        <v>6388438.378161381</v>
      </c>
      <c r="N14" t="s">
        <v>618</v>
      </c>
      <c r="O14" s="88">
        <f>O6+SUM(O9:O12)</f>
        <v>39171123.31441699</v>
      </c>
      <c r="P14" s="87"/>
    </row>
    <row r="15" spans="1:20" x14ac:dyDescent="0.25">
      <c r="A15" s="174" t="s">
        <v>465</v>
      </c>
      <c r="B15" s="174">
        <f>B6*POWER(1+B13,B14)</f>
        <v>7455745.66319359</v>
      </c>
      <c r="C15" s="13"/>
      <c r="D15" s="13"/>
      <c r="E15" t="s">
        <v>601</v>
      </c>
      <c r="F15">
        <v>4000000</v>
      </c>
      <c r="G15">
        <v>2016</v>
      </c>
      <c r="H15">
        <v>25919</v>
      </c>
      <c r="I15">
        <f t="shared" si="1"/>
        <v>154.32694162583434</v>
      </c>
      <c r="J15">
        <v>39784</v>
      </c>
      <c r="K15" s="87">
        <f t="shared" si="2"/>
        <v>6139743.0456421934</v>
      </c>
    </row>
    <row r="16" spans="1:20" x14ac:dyDescent="0.25">
      <c r="A16" s="13"/>
      <c r="B16" s="13"/>
      <c r="C16" s="13"/>
      <c r="D16" s="13"/>
      <c r="E16" t="s">
        <v>600</v>
      </c>
      <c r="F16">
        <v>4000000</v>
      </c>
      <c r="G16">
        <v>2017</v>
      </c>
      <c r="H16">
        <v>26681</v>
      </c>
      <c r="I16">
        <f t="shared" si="1"/>
        <v>149.91941831265694</v>
      </c>
      <c r="J16">
        <v>39784</v>
      </c>
      <c r="K16" s="87">
        <f t="shared" si="2"/>
        <v>5964394.1381507441</v>
      </c>
      <c r="N16" t="s">
        <v>619</v>
      </c>
      <c r="O16" t="s">
        <v>623</v>
      </c>
    </row>
    <row r="17" spans="1:16" x14ac:dyDescent="0.25">
      <c r="A17" s="13"/>
      <c r="B17" s="13"/>
      <c r="C17" s="13"/>
      <c r="D17" s="13"/>
      <c r="E17" t="s">
        <v>603</v>
      </c>
      <c r="F17">
        <v>2000000</v>
      </c>
      <c r="G17">
        <v>2014</v>
      </c>
      <c r="H17">
        <v>23700</v>
      </c>
      <c r="I17">
        <f t="shared" si="1"/>
        <v>84.388185654008439</v>
      </c>
      <c r="J17">
        <v>39784</v>
      </c>
      <c r="K17" s="87">
        <f t="shared" si="2"/>
        <v>3357299.5780590717</v>
      </c>
    </row>
    <row r="18" spans="1:16" x14ac:dyDescent="0.25">
      <c r="A18" s="13"/>
      <c r="B18" s="13"/>
      <c r="C18" s="13"/>
      <c r="D18" s="13"/>
      <c r="K18" s="87"/>
      <c r="N18" t="s">
        <v>620</v>
      </c>
      <c r="O18" t="s">
        <v>633</v>
      </c>
      <c r="P18" t="s">
        <v>634</v>
      </c>
    </row>
    <row r="19" spans="1:16" x14ac:dyDescent="0.25">
      <c r="A19" s="13"/>
      <c r="B19" s="13"/>
      <c r="C19" s="13"/>
      <c r="D19" s="13"/>
      <c r="E19" s="13"/>
      <c r="F19" s="13"/>
      <c r="J19" t="s">
        <v>632</v>
      </c>
      <c r="K19" s="87">
        <f>SUM(K13:K17)</f>
        <v>30372380.11891634</v>
      </c>
      <c r="N19" t="s">
        <v>621</v>
      </c>
      <c r="O19" t="s">
        <v>622</v>
      </c>
    </row>
    <row r="20" spans="1:16" x14ac:dyDescent="0.25">
      <c r="A20" s="13"/>
      <c r="B20" s="13"/>
      <c r="C20" s="13"/>
      <c r="D20" s="13"/>
      <c r="E20" s="13"/>
      <c r="F20" s="13"/>
    </row>
    <row r="21" spans="1:16" x14ac:dyDescent="0.25">
      <c r="A21" s="13"/>
      <c r="B21" s="13"/>
      <c r="C21" s="13"/>
      <c r="D21" s="13"/>
      <c r="E21" s="13"/>
      <c r="F21" s="13"/>
      <c r="N21" t="s">
        <v>157</v>
      </c>
      <c r="O21" t="s">
        <v>635</v>
      </c>
    </row>
    <row r="22" spans="1:16" x14ac:dyDescent="0.25">
      <c r="A22" s="13"/>
      <c r="B22" s="13"/>
      <c r="C22" s="13"/>
      <c r="D22" s="13"/>
      <c r="E22" s="13"/>
      <c r="F22" s="13"/>
    </row>
    <row r="23" spans="1:16" x14ac:dyDescent="0.25">
      <c r="A23" s="13"/>
      <c r="B23" s="13"/>
      <c r="C23" s="13"/>
      <c r="D23" s="13"/>
      <c r="E23" s="13"/>
      <c r="F23" s="13"/>
      <c r="N23" t="s">
        <v>624</v>
      </c>
      <c r="O23" t="s">
        <v>625</v>
      </c>
    </row>
    <row r="24" spans="1:16" x14ac:dyDescent="0.25">
      <c r="A24" s="13"/>
      <c r="B24" s="13"/>
      <c r="C24" s="13"/>
      <c r="D24" s="13"/>
      <c r="E24" s="13"/>
      <c r="F24" s="13"/>
      <c r="N24" t="s">
        <v>150</v>
      </c>
      <c r="O24" t="s">
        <v>626</v>
      </c>
    </row>
    <row r="25" spans="1:16" x14ac:dyDescent="0.25">
      <c r="A25" s="13"/>
      <c r="B25" s="13"/>
      <c r="O25" t="s">
        <v>627</v>
      </c>
    </row>
    <row r="26" spans="1:16" x14ac:dyDescent="0.25">
      <c r="A26" s="13"/>
      <c r="B26" s="13"/>
    </row>
  </sheetData>
  <pageMargins left="0.7" right="0.7" top="0.75" bottom="0.75" header="0.3" footer="0.3"/>
  <pageSetup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11"/>
  <dimension ref="A1:S56"/>
  <sheetViews>
    <sheetView zoomScale="80" zoomScaleNormal="80" workbookViewId="0">
      <selection activeCell="K5" sqref="K5"/>
    </sheetView>
  </sheetViews>
  <sheetFormatPr baseColWidth="10" defaultColWidth="23.28515625" defaultRowHeight="15" x14ac:dyDescent="0.25"/>
  <cols>
    <col min="1" max="1" width="32" bestFit="1" customWidth="1"/>
    <col min="2" max="2" width="17.5703125" bestFit="1" customWidth="1"/>
    <col min="3" max="3" width="16.5703125" bestFit="1" customWidth="1"/>
    <col min="4" max="4" width="11.7109375" customWidth="1"/>
    <col min="5" max="5" width="14.140625" bestFit="1" customWidth="1"/>
    <col min="6" max="6" width="26.42578125" customWidth="1"/>
    <col min="7" max="7" width="14" bestFit="1" customWidth="1"/>
    <col min="8" max="8" width="20.85546875" customWidth="1"/>
    <col min="9" max="9" width="21.85546875" customWidth="1"/>
    <col min="10" max="10" width="13" bestFit="1" customWidth="1"/>
    <col min="11" max="11" width="8.140625" bestFit="1" customWidth="1"/>
    <col min="12" max="12" width="24.140625" customWidth="1"/>
    <col min="13" max="13" width="14.42578125" bestFit="1" customWidth="1"/>
    <col min="14" max="14" width="4.28515625" customWidth="1"/>
    <col min="15" max="15" width="43.42578125" customWidth="1"/>
    <col min="16" max="16" width="17.7109375" customWidth="1"/>
    <col min="17" max="17" width="24.28515625" customWidth="1"/>
  </cols>
  <sheetData>
    <row r="1" spans="1:18" x14ac:dyDescent="0.25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3465871</v>
      </c>
      <c r="H1" s="11"/>
      <c r="I1" s="10"/>
      <c r="L1" t="s">
        <v>83</v>
      </c>
      <c r="O1" s="10" t="s">
        <v>72</v>
      </c>
    </row>
    <row r="2" spans="1:18" x14ac:dyDescent="0.25">
      <c r="A2" s="2"/>
      <c r="B2" s="90">
        <v>2680855</v>
      </c>
      <c r="C2" s="90">
        <v>2680855</v>
      </c>
      <c r="D2" s="2"/>
      <c r="E2" s="4"/>
      <c r="F2" s="63" t="s">
        <v>73</v>
      </c>
      <c r="G2">
        <f>M12</f>
        <v>153760</v>
      </c>
      <c r="I2" s="132"/>
      <c r="L2" s="8" t="s">
        <v>81</v>
      </c>
      <c r="M2" s="89">
        <v>12450</v>
      </c>
      <c r="O2" s="10"/>
    </row>
    <row r="3" spans="1:18" x14ac:dyDescent="0.25">
      <c r="A3" s="1" t="s">
        <v>0</v>
      </c>
      <c r="B3" s="6">
        <v>195000</v>
      </c>
      <c r="C3" s="3">
        <f>72886+1565+22209+28864-4194+23972+30360+19338</f>
        <v>195000</v>
      </c>
      <c r="D3" s="1">
        <f>B3-C3</f>
        <v>0</v>
      </c>
      <c r="E3" s="97">
        <v>190000</v>
      </c>
      <c r="F3" s="63" t="s">
        <v>130</v>
      </c>
      <c r="G3">
        <f>P11</f>
        <v>6159</v>
      </c>
      <c r="I3" s="74"/>
      <c r="L3" s="8" t="s">
        <v>295</v>
      </c>
      <c r="M3" s="89">
        <f>6927</f>
        <v>6927</v>
      </c>
      <c r="O3" s="10"/>
    </row>
    <row r="4" spans="1:18" x14ac:dyDescent="0.25">
      <c r="A4" s="1" t="s">
        <v>62</v>
      </c>
      <c r="B4" s="6">
        <v>632697</v>
      </c>
      <c r="C4" s="3">
        <v>632697</v>
      </c>
      <c r="D4" s="1">
        <f t="shared" ref="D4:D35" si="0">B4-C4</f>
        <v>0</v>
      </c>
      <c r="E4" s="4" t="s">
        <v>380</v>
      </c>
      <c r="F4" t="s">
        <v>304</v>
      </c>
      <c r="G4" s="121">
        <f>-425380+40000+8307+30000+15000+44327+7515+35000</f>
        <v>-245231</v>
      </c>
      <c r="I4" s="78"/>
      <c r="L4" s="8" t="s">
        <v>80</v>
      </c>
      <c r="M4" s="89" t="s">
        <v>76</v>
      </c>
      <c r="O4" s="10" t="s">
        <v>383</v>
      </c>
      <c r="P4">
        <v>6159</v>
      </c>
    </row>
    <row r="5" spans="1:18" x14ac:dyDescent="0.25">
      <c r="A5" s="1" t="s">
        <v>128</v>
      </c>
      <c r="B5" s="6">
        <v>30400</v>
      </c>
      <c r="C5" s="3">
        <v>30400</v>
      </c>
      <c r="D5" s="1">
        <f t="shared" si="0"/>
        <v>0</v>
      </c>
      <c r="E5" s="4"/>
      <c r="F5" t="s">
        <v>72</v>
      </c>
      <c r="G5">
        <v>-2654575</v>
      </c>
      <c r="I5" s="78"/>
      <c r="L5" s="1" t="s">
        <v>287</v>
      </c>
      <c r="M5" s="89" t="s">
        <v>76</v>
      </c>
      <c r="O5" s="10"/>
    </row>
    <row r="6" spans="1:18" x14ac:dyDescent="0.25">
      <c r="A6" s="1" t="s">
        <v>81</v>
      </c>
      <c r="B6" s="6">
        <v>9510</v>
      </c>
      <c r="C6" s="3">
        <v>9510</v>
      </c>
      <c r="D6" s="1">
        <f t="shared" si="0"/>
        <v>0</v>
      </c>
      <c r="E6" s="4"/>
      <c r="F6" s="4" t="s">
        <v>221</v>
      </c>
      <c r="G6" s="4">
        <f>-50295-10000+12428</f>
        <v>-47867</v>
      </c>
      <c r="J6" s="145"/>
      <c r="L6" s="8" t="s">
        <v>289</v>
      </c>
      <c r="M6" s="89" t="s">
        <v>76</v>
      </c>
      <c r="O6" s="10"/>
    </row>
    <row r="7" spans="1:18" x14ac:dyDescent="0.25">
      <c r="A7" s="1" t="s">
        <v>86</v>
      </c>
      <c r="B7" s="7">
        <v>184463</v>
      </c>
      <c r="C7" s="3">
        <v>184463</v>
      </c>
      <c r="D7" s="1">
        <f t="shared" si="0"/>
        <v>0</v>
      </c>
      <c r="E7" s="4"/>
      <c r="F7" s="63" t="s">
        <v>242</v>
      </c>
      <c r="G7" s="98">
        <f>M22</f>
        <v>126076</v>
      </c>
      <c r="J7" s="164"/>
      <c r="L7" s="1" t="s">
        <v>377</v>
      </c>
      <c r="M7" s="137" t="s">
        <v>76</v>
      </c>
      <c r="O7" s="10"/>
    </row>
    <row r="8" spans="1:18" x14ac:dyDescent="0.25">
      <c r="A8" s="62" t="s">
        <v>316</v>
      </c>
      <c r="B8" s="7">
        <v>76870</v>
      </c>
      <c r="C8" s="9">
        <v>76870</v>
      </c>
      <c r="D8" s="1">
        <f t="shared" si="0"/>
        <v>0</v>
      </c>
      <c r="E8" s="4"/>
      <c r="F8" t="s">
        <v>384</v>
      </c>
      <c r="G8">
        <f>127994</f>
        <v>127994</v>
      </c>
      <c r="I8" s="13" t="s">
        <v>381</v>
      </c>
      <c r="J8" s="166">
        <v>134383</v>
      </c>
      <c r="L8" s="47" t="s">
        <v>376</v>
      </c>
      <c r="M8" s="87" t="s">
        <v>76</v>
      </c>
      <c r="O8" s="10"/>
    </row>
    <row r="9" spans="1:18" x14ac:dyDescent="0.25">
      <c r="A9" s="1" t="s">
        <v>77</v>
      </c>
      <c r="B9" s="6">
        <v>25000</v>
      </c>
      <c r="C9" s="3">
        <f>6290+14540+4170</f>
        <v>25000</v>
      </c>
      <c r="D9" s="1">
        <f t="shared" si="0"/>
        <v>0</v>
      </c>
      <c r="E9" s="144"/>
      <c r="F9" s="4" t="s">
        <v>16</v>
      </c>
      <c r="G9" s="4">
        <v>24000</v>
      </c>
      <c r="J9" s="146"/>
      <c r="L9" s="1" t="s">
        <v>293</v>
      </c>
      <c r="M9" s="137">
        <v>134383</v>
      </c>
      <c r="O9" s="10"/>
    </row>
    <row r="10" spans="1:18" x14ac:dyDescent="0.25">
      <c r="A10" s="1" t="s">
        <v>11</v>
      </c>
      <c r="B10" s="7">
        <v>80000</v>
      </c>
      <c r="C10" s="3">
        <f>62913+16191+896</f>
        <v>80000</v>
      </c>
      <c r="D10" s="1">
        <f t="shared" si="0"/>
        <v>0</v>
      </c>
      <c r="E10" s="5"/>
      <c r="F10" s="67" t="s">
        <v>222</v>
      </c>
      <c r="G10" s="120">
        <v>0</v>
      </c>
      <c r="I10" s="78"/>
      <c r="J10" s="10"/>
      <c r="L10" s="47"/>
      <c r="O10" s="10"/>
    </row>
    <row r="11" spans="1:18" x14ac:dyDescent="0.25">
      <c r="A11" s="1" t="s">
        <v>98</v>
      </c>
      <c r="B11" s="7">
        <v>120000</v>
      </c>
      <c r="C11" s="3">
        <v>120000</v>
      </c>
      <c r="D11" s="1">
        <f t="shared" si="0"/>
        <v>0</v>
      </c>
      <c r="E11" s="25" t="s">
        <v>359</v>
      </c>
      <c r="F11" s="64"/>
      <c r="G11" s="44"/>
      <c r="H11" s="4"/>
      <c r="O11" s="10" t="s">
        <v>65</v>
      </c>
      <c r="P11">
        <f>SUM(P2:P10)</f>
        <v>6159</v>
      </c>
    </row>
    <row r="12" spans="1:18" x14ac:dyDescent="0.25">
      <c r="A12" s="1" t="s">
        <v>291</v>
      </c>
      <c r="B12" s="7">
        <v>30000</v>
      </c>
      <c r="C12" s="3">
        <v>30000</v>
      </c>
      <c r="D12" s="1">
        <f t="shared" si="0"/>
        <v>0</v>
      </c>
      <c r="E12" t="s">
        <v>378</v>
      </c>
      <c r="F12" s="67" t="s">
        <v>75</v>
      </c>
      <c r="G12" s="13">
        <f>3536-27500-27500-27500-27500-28000-28000-28000+176332</f>
        <v>-14132</v>
      </c>
      <c r="H12" s="4" t="s">
        <v>415</v>
      </c>
      <c r="I12" t="s">
        <v>382</v>
      </c>
      <c r="J12">
        <v>176332</v>
      </c>
      <c r="L12" s="149" t="s">
        <v>65</v>
      </c>
      <c r="M12" s="150">
        <f>SUM(M2:M10)</f>
        <v>153760</v>
      </c>
    </row>
    <row r="13" spans="1:18" ht="15.75" thickBot="1" x14ac:dyDescent="0.3">
      <c r="A13" s="1" t="s">
        <v>240</v>
      </c>
      <c r="B13" s="6">
        <v>15988</v>
      </c>
      <c r="C13" s="3">
        <v>15988</v>
      </c>
      <c r="D13" s="1">
        <f t="shared" si="0"/>
        <v>0</v>
      </c>
      <c r="E13" s="133"/>
      <c r="F13" s="4" t="s">
        <v>158</v>
      </c>
      <c r="G13" s="13">
        <f>-3919255+67200+3000000</f>
        <v>-852055</v>
      </c>
      <c r="H13" s="4"/>
      <c r="O13" s="61" t="s">
        <v>259</v>
      </c>
      <c r="P13" s="76">
        <v>470400</v>
      </c>
      <c r="Q13" t="s">
        <v>95</v>
      </c>
      <c r="R13" t="s">
        <v>272</v>
      </c>
    </row>
    <row r="14" spans="1:18" x14ac:dyDescent="0.25">
      <c r="A14" s="1" t="s">
        <v>18</v>
      </c>
      <c r="B14" s="6">
        <v>25000</v>
      </c>
      <c r="C14" s="3">
        <f>4779+8142+1000+11079</f>
        <v>25000</v>
      </c>
      <c r="D14" s="1">
        <f t="shared" si="0"/>
        <v>0</v>
      </c>
      <c r="E14" s="5"/>
      <c r="F14" s="4" t="s">
        <v>121</v>
      </c>
      <c r="G14" s="13">
        <v>0</v>
      </c>
      <c r="H14" s="10"/>
      <c r="J14" s="13"/>
      <c r="L14" s="61" t="s">
        <v>131</v>
      </c>
      <c r="M14" s="76" t="s">
        <v>132</v>
      </c>
      <c r="O14" s="1" t="s">
        <v>241</v>
      </c>
      <c r="P14" s="75" t="s">
        <v>76</v>
      </c>
      <c r="Q14" s="56" t="s">
        <v>335</v>
      </c>
      <c r="R14" t="s">
        <v>334</v>
      </c>
    </row>
    <row r="15" spans="1:18" x14ac:dyDescent="0.25">
      <c r="A15" s="8" t="s">
        <v>159</v>
      </c>
      <c r="B15" s="7">
        <v>100000</v>
      </c>
      <c r="C15" s="9">
        <v>100000</v>
      </c>
      <c r="D15" s="1">
        <f t="shared" si="0"/>
        <v>0</v>
      </c>
      <c r="E15" s="5"/>
      <c r="F15" s="4" t="s">
        <v>133</v>
      </c>
      <c r="G15" s="88">
        <f>0</f>
        <v>0</v>
      </c>
      <c r="H15" s="4"/>
      <c r="L15" s="64"/>
      <c r="M15" s="156"/>
      <c r="O15" s="1" t="s">
        <v>260</v>
      </c>
      <c r="P15" s="75"/>
      <c r="Q15" s="58"/>
    </row>
    <row r="16" spans="1:18" ht="15.75" thickBot="1" x14ac:dyDescent="0.3">
      <c r="A16" s="1" t="s">
        <v>64</v>
      </c>
      <c r="B16" s="6">
        <v>99383</v>
      </c>
      <c r="C16" s="3">
        <v>99383</v>
      </c>
      <c r="D16" s="1">
        <f t="shared" si="0"/>
        <v>0</v>
      </c>
      <c r="E16" s="5"/>
      <c r="F16" s="4" t="s">
        <v>129</v>
      </c>
      <c r="G16" s="87">
        <f>-30000-30000-30000</f>
        <v>-90000</v>
      </c>
      <c r="H16" s="4"/>
      <c r="J16" s="13"/>
      <c r="L16" s="8" t="s">
        <v>317</v>
      </c>
      <c r="M16" s="89">
        <f>(33105+690)*2/3</f>
        <v>22530</v>
      </c>
      <c r="O16" s="1" t="s">
        <v>261</v>
      </c>
      <c r="P16" s="75"/>
      <c r="Q16" s="58"/>
      <c r="R16" t="s">
        <v>333</v>
      </c>
    </row>
    <row r="17" spans="1:19" ht="15.75" thickBot="1" x14ac:dyDescent="0.3">
      <c r="A17" s="8" t="s">
        <v>161</v>
      </c>
      <c r="B17" s="7">
        <v>25000</v>
      </c>
      <c r="C17" s="9">
        <f>4279+5490+15231</f>
        <v>25000</v>
      </c>
      <c r="D17" s="1">
        <f t="shared" si="0"/>
        <v>0</v>
      </c>
      <c r="E17" s="5"/>
      <c r="F17" s="71" t="s">
        <v>12</v>
      </c>
      <c r="G17" s="72">
        <f>SUM(G1:G16)</f>
        <v>0</v>
      </c>
      <c r="H17" s="16"/>
      <c r="L17" s="96" t="s">
        <v>314</v>
      </c>
      <c r="M17" s="156">
        <v>26390</v>
      </c>
      <c r="O17" s="1" t="s">
        <v>262</v>
      </c>
      <c r="P17" s="75">
        <f>44990</f>
        <v>44990</v>
      </c>
      <c r="Q17" s="58" t="s">
        <v>353</v>
      </c>
      <c r="R17" t="s">
        <v>351</v>
      </c>
    </row>
    <row r="18" spans="1:19" x14ac:dyDescent="0.25">
      <c r="A18" s="6" t="s">
        <v>156</v>
      </c>
      <c r="B18" s="1">
        <v>30000</v>
      </c>
      <c r="C18" s="3">
        <v>30000</v>
      </c>
      <c r="D18" s="1">
        <f>B18-C18</f>
        <v>0</v>
      </c>
      <c r="E18" s="5" t="s">
        <v>292</v>
      </c>
      <c r="F18" s="201" t="s">
        <v>13</v>
      </c>
      <c r="G18" s="202"/>
      <c r="H18" s="203"/>
      <c r="J18" s="13"/>
      <c r="L18" s="96" t="s">
        <v>315</v>
      </c>
      <c r="M18" s="156">
        <f>43856+33300</f>
        <v>77156</v>
      </c>
      <c r="O18" s="1" t="s">
        <v>263</v>
      </c>
      <c r="P18" s="75">
        <v>31990</v>
      </c>
      <c r="Q18" s="58" t="s">
        <v>353</v>
      </c>
      <c r="R18" t="s">
        <v>356</v>
      </c>
    </row>
    <row r="19" spans="1:19" x14ac:dyDescent="0.25">
      <c r="A19" s="6" t="s">
        <v>331</v>
      </c>
      <c r="B19" s="6">
        <v>100000</v>
      </c>
      <c r="C19" s="3">
        <v>100000</v>
      </c>
      <c r="D19" s="1">
        <f t="shared" si="0"/>
        <v>0</v>
      </c>
      <c r="E19" s="5" t="s">
        <v>244</v>
      </c>
      <c r="F19" s="8" t="s">
        <v>7</v>
      </c>
      <c r="G19" s="8" t="s">
        <v>8</v>
      </c>
      <c r="H19" s="8" t="s">
        <v>9</v>
      </c>
      <c r="J19" s="13">
        <f>H20-G17</f>
        <v>0</v>
      </c>
      <c r="L19" s="96"/>
      <c r="M19" s="157"/>
      <c r="O19" s="1" t="s">
        <v>43</v>
      </c>
      <c r="P19" s="75">
        <f>44990</f>
        <v>44990</v>
      </c>
      <c r="Q19" s="58" t="s">
        <v>353</v>
      </c>
      <c r="R19" t="s">
        <v>351</v>
      </c>
    </row>
    <row r="20" spans="1:19" x14ac:dyDescent="0.25">
      <c r="A20" s="1" t="s">
        <v>42</v>
      </c>
      <c r="B20" s="6">
        <v>40000</v>
      </c>
      <c r="C20" s="3">
        <f>2493+704+36803</f>
        <v>40000</v>
      </c>
      <c r="D20" s="1">
        <f t="shared" si="0"/>
        <v>0</v>
      </c>
      <c r="E20" s="5"/>
      <c r="F20" s="8">
        <f>SUM(D3:D35)+B37</f>
        <v>0</v>
      </c>
      <c r="G20" s="8">
        <v>0</v>
      </c>
      <c r="H20" s="18">
        <f>F20+G20</f>
        <v>0</v>
      </c>
      <c r="L20" s="96"/>
      <c r="M20" s="157"/>
      <c r="O20" s="1" t="s">
        <v>264</v>
      </c>
      <c r="P20" s="75">
        <v>24990</v>
      </c>
      <c r="Q20" s="58" t="s">
        <v>353</v>
      </c>
      <c r="R20" t="s">
        <v>358</v>
      </c>
    </row>
    <row r="21" spans="1:19" x14ac:dyDescent="0.25">
      <c r="A21" s="3" t="s">
        <v>288</v>
      </c>
      <c r="B21" s="6">
        <f>50000</f>
        <v>50000</v>
      </c>
      <c r="C21" s="3">
        <f>15000+35000</f>
        <v>50000</v>
      </c>
      <c r="D21" s="1">
        <f t="shared" si="0"/>
        <v>0</v>
      </c>
      <c r="E21" s="5"/>
      <c r="F21" s="5"/>
      <c r="G21" s="5"/>
      <c r="H21" s="5"/>
      <c r="O21" s="1" t="s">
        <v>265</v>
      </c>
      <c r="P21" s="75">
        <f>34990/2</f>
        <v>17495</v>
      </c>
      <c r="Q21" s="58" t="s">
        <v>353</v>
      </c>
      <c r="R21" t="s">
        <v>352</v>
      </c>
    </row>
    <row r="22" spans="1:19" ht="15.75" thickBot="1" x14ac:dyDescent="0.3">
      <c r="A22" s="61" t="s">
        <v>122</v>
      </c>
      <c r="B22" s="6">
        <v>0</v>
      </c>
      <c r="C22" s="3"/>
      <c r="D22" s="1">
        <f t="shared" si="0"/>
        <v>0</v>
      </c>
      <c r="E22" s="5"/>
      <c r="F22" s="5"/>
      <c r="G22" s="5"/>
      <c r="H22" s="5"/>
      <c r="J22" s="12"/>
      <c r="L22" s="147" t="s">
        <v>65</v>
      </c>
      <c r="M22" s="148">
        <f>SUM(M15:M20)</f>
        <v>126076</v>
      </c>
      <c r="O22" s="1" t="s">
        <v>266</v>
      </c>
      <c r="P22" s="75">
        <v>31990</v>
      </c>
      <c r="Q22" s="58" t="s">
        <v>353</v>
      </c>
      <c r="R22" t="s">
        <v>356</v>
      </c>
      <c r="S22" s="78"/>
    </row>
    <row r="23" spans="1:19" x14ac:dyDescent="0.25">
      <c r="A23" s="1" t="s">
        <v>25</v>
      </c>
      <c r="B23" s="7">
        <v>80000</v>
      </c>
      <c r="C23" s="3">
        <v>80000</v>
      </c>
      <c r="D23" s="1">
        <f t="shared" si="0"/>
        <v>0</v>
      </c>
      <c r="E23" s="5"/>
      <c r="F23" s="44"/>
      <c r="G23" s="43"/>
      <c r="H23" s="5"/>
      <c r="I23" t="s">
        <v>31</v>
      </c>
      <c r="J23" s="13">
        <f>G17-D4-D5-D6-D7-D12-D29-D8-D11-D13-D17-D20-D22-D24-D28-D30-D14-D21-D19-D16-D18</f>
        <v>0</v>
      </c>
      <c r="M23" s="95"/>
      <c r="N23" s="10"/>
      <c r="O23" s="1" t="s">
        <v>267</v>
      </c>
      <c r="P23" s="75">
        <f>44990</f>
        <v>44990</v>
      </c>
      <c r="Q23" s="58" t="s">
        <v>353</v>
      </c>
      <c r="R23" t="s">
        <v>351</v>
      </c>
    </row>
    <row r="24" spans="1:19" x14ac:dyDescent="0.25">
      <c r="A24" s="1" t="s">
        <v>350</v>
      </c>
      <c r="B24" s="7">
        <v>35000</v>
      </c>
      <c r="C24" s="3">
        <v>35000</v>
      </c>
      <c r="D24" s="1">
        <f t="shared" si="0"/>
        <v>0</v>
      </c>
      <c r="E24" s="5"/>
      <c r="F24" s="5"/>
      <c r="G24" s="5"/>
      <c r="H24" s="5"/>
      <c r="O24" s="1" t="s">
        <v>270</v>
      </c>
      <c r="P24" s="75">
        <f>95970/3</f>
        <v>31990</v>
      </c>
      <c r="Q24" s="58" t="s">
        <v>353</v>
      </c>
      <c r="R24" t="s">
        <v>356</v>
      </c>
    </row>
    <row r="25" spans="1:19" x14ac:dyDescent="0.25">
      <c r="A25" s="1" t="s">
        <v>24</v>
      </c>
      <c r="B25" s="7">
        <v>80000</v>
      </c>
      <c r="C25" s="3">
        <f>53980-5517+10340+21197</f>
        <v>80000</v>
      </c>
      <c r="D25" s="1">
        <f t="shared" si="0"/>
        <v>0</v>
      </c>
      <c r="E25" s="5"/>
      <c r="F25" s="62" t="s">
        <v>89</v>
      </c>
      <c r="G25" s="85">
        <f>SUM(G26:G28)</f>
        <v>5636408</v>
      </c>
      <c r="H25" s="61"/>
      <c r="L25" s="8"/>
      <c r="M25" s="89"/>
      <c r="O25" s="1" t="s">
        <v>271</v>
      </c>
      <c r="P25" s="75">
        <v>7990</v>
      </c>
      <c r="Q25" s="58" t="s">
        <v>353</v>
      </c>
      <c r="R25" t="s">
        <v>357</v>
      </c>
    </row>
    <row r="26" spans="1:19" x14ac:dyDescent="0.25">
      <c r="A26" s="1" t="s">
        <v>63</v>
      </c>
      <c r="B26" s="7">
        <v>80000</v>
      </c>
      <c r="C26" s="3">
        <f>25567+2000+9772+700+28767+2000+11194</f>
        <v>80000</v>
      </c>
      <c r="D26" s="1">
        <f t="shared" si="0"/>
        <v>0</v>
      </c>
      <c r="E26" s="5"/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O26" s="1" t="s">
        <v>268</v>
      </c>
      <c r="P26" s="75">
        <v>24190</v>
      </c>
      <c r="Q26" s="58" t="s">
        <v>353</v>
      </c>
      <c r="R26" s="44" t="s">
        <v>355</v>
      </c>
    </row>
    <row r="27" spans="1:19" x14ac:dyDescent="0.25">
      <c r="A27" s="1" t="s">
        <v>27</v>
      </c>
      <c r="B27" s="7">
        <v>8000</v>
      </c>
      <c r="C27" s="3">
        <f>4000+4000</f>
        <v>8000</v>
      </c>
      <c r="D27" s="1">
        <f t="shared" si="0"/>
        <v>0</v>
      </c>
      <c r="E27" s="5">
        <v>8400</v>
      </c>
      <c r="F27" s="8" t="s">
        <v>97</v>
      </c>
      <c r="G27" s="89">
        <f>AHRROS!B9</f>
        <v>5636408</v>
      </c>
      <c r="H27" s="8"/>
      <c r="I27" t="s">
        <v>105</v>
      </c>
      <c r="J27" s="74">
        <f>'Colegio Agus'!K7-G25</f>
        <v>602221.37200000044</v>
      </c>
      <c r="L27" s="8"/>
      <c r="M27" s="89"/>
      <c r="O27" s="1" t="s">
        <v>269</v>
      </c>
      <c r="P27" s="75">
        <f>34990/2</f>
        <v>17495</v>
      </c>
      <c r="Q27" s="58" t="s">
        <v>353</v>
      </c>
      <c r="R27" t="s">
        <v>352</v>
      </c>
    </row>
    <row r="28" spans="1:19" x14ac:dyDescent="0.25">
      <c r="A28" s="1" t="s">
        <v>3</v>
      </c>
      <c r="B28" s="6">
        <v>140000</v>
      </c>
      <c r="C28" s="3">
        <f>48038+1962+45000+22150+9700+13150</f>
        <v>140000</v>
      </c>
      <c r="D28" s="1">
        <f t="shared" si="0"/>
        <v>0</v>
      </c>
      <c r="E28" s="5">
        <v>140000</v>
      </c>
      <c r="F28" s="8" t="s">
        <v>91</v>
      </c>
      <c r="G28" s="89">
        <v>0</v>
      </c>
      <c r="H28" s="8"/>
      <c r="I28" t="s">
        <v>106</v>
      </c>
      <c r="J28">
        <v>10</v>
      </c>
      <c r="K28" t="s">
        <v>375</v>
      </c>
      <c r="L28" s="8"/>
      <c r="M28" s="89"/>
      <c r="O28" s="1" t="s">
        <v>273</v>
      </c>
      <c r="P28" s="75"/>
      <c r="Q28" s="58"/>
    </row>
    <row r="29" spans="1:19" x14ac:dyDescent="0.25">
      <c r="A29" s="6" t="s">
        <v>360</v>
      </c>
      <c r="B29" s="6">
        <v>158619</v>
      </c>
      <c r="C29" s="3">
        <v>158619</v>
      </c>
      <c r="D29" s="1">
        <f t="shared" si="0"/>
        <v>0</v>
      </c>
      <c r="E29" s="5" t="s">
        <v>379</v>
      </c>
      <c r="F29" s="5"/>
      <c r="G29" s="5"/>
      <c r="H29" s="5"/>
      <c r="I29" t="s">
        <v>107</v>
      </c>
      <c r="J29" s="74">
        <f>J27/J28</f>
        <v>60222.137200000041</v>
      </c>
      <c r="L29" s="1"/>
      <c r="M29" s="89"/>
      <c r="O29" s="1" t="s">
        <v>274</v>
      </c>
      <c r="P29" s="75"/>
      <c r="Q29" s="58"/>
    </row>
    <row r="30" spans="1:19" x14ac:dyDescent="0.25">
      <c r="A30" s="61" t="s">
        <v>126</v>
      </c>
      <c r="B30" s="6">
        <v>11700</v>
      </c>
      <c r="C30" s="3">
        <v>11700</v>
      </c>
      <c r="D30" s="1">
        <f t="shared" si="0"/>
        <v>0</v>
      </c>
      <c r="E30" s="5" t="s">
        <v>296</v>
      </c>
      <c r="F30" s="5"/>
      <c r="G30" s="5"/>
      <c r="H30" s="5"/>
      <c r="L30" s="8"/>
      <c r="M30" s="89"/>
      <c r="O30" s="1" t="s">
        <v>354</v>
      </c>
      <c r="P30" s="75">
        <v>21990</v>
      </c>
      <c r="Q30" s="58" t="s">
        <v>353</v>
      </c>
    </row>
    <row r="31" spans="1:19" x14ac:dyDescent="0.25">
      <c r="A31" s="1" t="s">
        <v>79</v>
      </c>
      <c r="B31" s="6">
        <v>28000</v>
      </c>
      <c r="C31" s="3">
        <v>28000</v>
      </c>
      <c r="D31" s="1">
        <f t="shared" si="0"/>
        <v>0</v>
      </c>
      <c r="E31" t="s">
        <v>368</v>
      </c>
      <c r="F31" s="5"/>
      <c r="G31" s="5"/>
      <c r="H31" s="5"/>
      <c r="L31" s="1"/>
      <c r="M31" s="137"/>
      <c r="O31" s="1" t="s">
        <v>276</v>
      </c>
      <c r="P31" s="75"/>
      <c r="Q31" s="58"/>
    </row>
    <row r="32" spans="1:19" x14ac:dyDescent="0.25">
      <c r="A32" s="1" t="s">
        <v>327</v>
      </c>
      <c r="B32" s="6"/>
      <c r="C32" s="3"/>
      <c r="D32" s="1">
        <f t="shared" si="0"/>
        <v>0</v>
      </c>
      <c r="E32" t="s">
        <v>328</v>
      </c>
      <c r="F32" s="5"/>
      <c r="G32" s="5"/>
      <c r="H32" s="5"/>
      <c r="L32" s="1"/>
      <c r="M32" s="137"/>
      <c r="O32" s="1" t="s">
        <v>278</v>
      </c>
      <c r="P32" s="75"/>
      <c r="Q32" s="58"/>
    </row>
    <row r="33" spans="1:17" x14ac:dyDescent="0.25">
      <c r="A33" s="96" t="s">
        <v>243</v>
      </c>
      <c r="B33" s="6">
        <v>0</v>
      </c>
      <c r="C33" s="3"/>
      <c r="D33" s="1">
        <f t="shared" si="0"/>
        <v>0</v>
      </c>
      <c r="E33" s="5" t="s">
        <v>313</v>
      </c>
      <c r="F33" s="5"/>
      <c r="G33" s="5"/>
      <c r="H33" s="5"/>
      <c r="O33" s="1" t="s">
        <v>277</v>
      </c>
      <c r="P33" s="75"/>
      <c r="Q33" s="58"/>
    </row>
    <row r="34" spans="1:17" ht="15.75" thickBot="1" x14ac:dyDescent="0.3">
      <c r="A34" s="1" t="s">
        <v>162</v>
      </c>
      <c r="B34" s="6">
        <v>0</v>
      </c>
      <c r="C34" s="3"/>
      <c r="D34" s="1">
        <f t="shared" si="0"/>
        <v>0</v>
      </c>
      <c r="E34" s="5" t="s">
        <v>374</v>
      </c>
      <c r="F34" s="5"/>
      <c r="G34" s="5"/>
      <c r="H34" s="5"/>
      <c r="O34" s="47" t="s">
        <v>275</v>
      </c>
    </row>
    <row r="35" spans="1:17" ht="15.75" thickBot="1" x14ac:dyDescent="0.3">
      <c r="A35" s="1" t="s">
        <v>19</v>
      </c>
      <c r="B35" s="1">
        <v>190225</v>
      </c>
      <c r="C35" s="9">
        <f>19300+20058+2970+4490+17985+1800+16970+5500+16500+990+39990+7990+34294-21580-7990+30733+225</f>
        <v>190225</v>
      </c>
      <c r="D35" s="1">
        <f t="shared" si="0"/>
        <v>0</v>
      </c>
      <c r="E35" s="5"/>
      <c r="F35" s="5"/>
      <c r="G35" s="17"/>
      <c r="H35" s="5" t="s">
        <v>26</v>
      </c>
      <c r="L35" s="91"/>
      <c r="M35" s="138"/>
      <c r="O35" s="1" t="s">
        <v>65</v>
      </c>
      <c r="P35" s="75">
        <f>SUM(P14:P33)</f>
        <v>345090</v>
      </c>
    </row>
    <row r="36" spans="1:17" x14ac:dyDescent="0.25">
      <c r="A36" s="2" t="s">
        <v>1</v>
      </c>
      <c r="B36" s="2">
        <f>SUM(B3:B35)</f>
        <v>2680855</v>
      </c>
      <c r="C36" s="2">
        <f>SUM(C3:C35)</f>
        <v>2680855</v>
      </c>
      <c r="D36" s="2"/>
      <c r="E36" s="5"/>
      <c r="F36" s="5"/>
      <c r="G36" s="5"/>
      <c r="H36" s="5"/>
      <c r="O36" s="84"/>
      <c r="P36" s="74"/>
    </row>
    <row r="37" spans="1:17" ht="15.75" thickBot="1" x14ac:dyDescent="0.3">
      <c r="A37" s="2" t="s">
        <v>2</v>
      </c>
      <c r="B37" s="2">
        <f>B2-B36</f>
        <v>0</v>
      </c>
      <c r="C37" s="2">
        <f>C2-C36</f>
        <v>0</v>
      </c>
      <c r="D37" s="2"/>
      <c r="E37" s="5"/>
      <c r="F37" s="5"/>
      <c r="G37" s="5"/>
      <c r="H37" s="5"/>
      <c r="J37">
        <f>2752586</f>
        <v>2752586</v>
      </c>
      <c r="O37" s="47"/>
      <c r="P37" s="74"/>
    </row>
    <row r="38" spans="1:17" x14ac:dyDescent="0.25">
      <c r="D38">
        <f>SUM(D3:D35)</f>
        <v>0</v>
      </c>
      <c r="E38" s="5"/>
      <c r="F38" s="5"/>
      <c r="G38" s="5"/>
      <c r="H38" s="5"/>
      <c r="J38">
        <f>574857</f>
        <v>574857</v>
      </c>
      <c r="O38" s="83" t="s">
        <v>279</v>
      </c>
      <c r="P38" s="79"/>
    </row>
    <row r="39" spans="1:17" x14ac:dyDescent="0.25">
      <c r="E39" s="5"/>
      <c r="F39" s="5"/>
      <c r="G39" s="5"/>
      <c r="H39" s="5"/>
      <c r="J39">
        <f>J37-J38</f>
        <v>2177729</v>
      </c>
      <c r="O39" s="80"/>
      <c r="P39" s="81"/>
    </row>
    <row r="40" spans="1:17" x14ac:dyDescent="0.25">
      <c r="E40" s="5"/>
      <c r="O40" s="80"/>
      <c r="P40" s="81"/>
    </row>
    <row r="41" spans="1:17" x14ac:dyDescent="0.25">
      <c r="E41" s="5"/>
      <c r="O41" s="80"/>
      <c r="P41" s="81"/>
    </row>
    <row r="42" spans="1:17" x14ac:dyDescent="0.25">
      <c r="O42" s="80"/>
      <c r="P42" s="81"/>
    </row>
    <row r="43" spans="1:17" x14ac:dyDescent="0.25">
      <c r="O43" s="80"/>
      <c r="P43" s="81"/>
    </row>
    <row r="44" spans="1:17" x14ac:dyDescent="0.25">
      <c r="O44" s="80"/>
      <c r="P44" s="81"/>
    </row>
    <row r="45" spans="1:17" x14ac:dyDescent="0.25">
      <c r="O45" s="80"/>
      <c r="P45" s="81"/>
    </row>
    <row r="46" spans="1:17" x14ac:dyDescent="0.25">
      <c r="O46" s="139"/>
      <c r="P46" s="140"/>
    </row>
    <row r="47" spans="1:17" x14ac:dyDescent="0.25">
      <c r="O47" s="57"/>
      <c r="P47" s="81"/>
    </row>
    <row r="48" spans="1:17" ht="15.75" thickBot="1" x14ac:dyDescent="0.3">
      <c r="O48" s="59"/>
      <c r="P48" s="82"/>
    </row>
    <row r="49" spans="15:16" x14ac:dyDescent="0.25">
      <c r="P49" s="74"/>
    </row>
    <row r="50" spans="15:16" x14ac:dyDescent="0.25">
      <c r="O50" s="10" t="s">
        <v>92</v>
      </c>
      <c r="P50" s="77">
        <f>SUM(P14:P33)</f>
        <v>345090</v>
      </c>
    </row>
    <row r="51" spans="15:16" x14ac:dyDescent="0.25">
      <c r="O51" s="10"/>
      <c r="P51" s="77"/>
    </row>
    <row r="52" spans="15:16" x14ac:dyDescent="0.25">
      <c r="O52" s="10" t="s">
        <v>93</v>
      </c>
      <c r="P52" s="77">
        <f>P13-P50</f>
        <v>125310</v>
      </c>
    </row>
    <row r="53" spans="15:16" x14ac:dyDescent="0.25">
      <c r="O53" s="10"/>
      <c r="P53" s="77"/>
    </row>
    <row r="54" spans="15:16" x14ac:dyDescent="0.25">
      <c r="O54" s="10" t="s">
        <v>94</v>
      </c>
      <c r="P54" s="77">
        <f>P13-SUMIF(Q14:Q33,"GIFTCARD",P14:P33)-SUM(P39:P48)</f>
        <v>125310</v>
      </c>
    </row>
    <row r="56" spans="15:16" x14ac:dyDescent="0.25">
      <c r="O56" t="s">
        <v>99</v>
      </c>
      <c r="P56" s="78">
        <f>P54-G6</f>
        <v>173177</v>
      </c>
    </row>
  </sheetData>
  <mergeCells count="1">
    <mergeCell ref="F18:H18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15"/>
  <dimension ref="A1:S56"/>
  <sheetViews>
    <sheetView zoomScale="80" zoomScaleNormal="80" workbookViewId="0">
      <selection activeCell="G7" sqref="G7"/>
    </sheetView>
  </sheetViews>
  <sheetFormatPr baseColWidth="10" defaultColWidth="23.28515625" defaultRowHeight="15" x14ac:dyDescent="0.25"/>
  <cols>
    <col min="1" max="1" width="31.28515625" customWidth="1"/>
    <col min="2" max="2" width="17.5703125" bestFit="1" customWidth="1"/>
    <col min="3" max="3" width="16.5703125" bestFit="1" customWidth="1"/>
    <col min="4" max="4" width="11.7109375" customWidth="1"/>
    <col min="5" max="5" width="23" customWidth="1"/>
    <col min="6" max="6" width="26.42578125" customWidth="1"/>
    <col min="7" max="7" width="14" bestFit="1" customWidth="1"/>
    <col min="8" max="8" width="20.85546875" customWidth="1"/>
    <col min="9" max="9" width="21.85546875" customWidth="1"/>
    <col min="10" max="10" width="13" bestFit="1" customWidth="1"/>
    <col min="11" max="11" width="8.140625" bestFit="1" customWidth="1"/>
    <col min="12" max="12" width="24.140625" customWidth="1"/>
    <col min="13" max="13" width="14.42578125" bestFit="1" customWidth="1"/>
    <col min="14" max="14" width="4.28515625" customWidth="1"/>
    <col min="15" max="15" width="43.42578125" customWidth="1"/>
    <col min="16" max="16" width="17.7109375" customWidth="1"/>
    <col min="17" max="17" width="24.28515625" customWidth="1"/>
  </cols>
  <sheetData>
    <row r="1" spans="1:18" x14ac:dyDescent="0.25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486282</v>
      </c>
      <c r="H1" s="11"/>
      <c r="I1" s="10"/>
      <c r="L1" s="5" t="s">
        <v>83</v>
      </c>
      <c r="M1" s="5"/>
      <c r="O1" s="10" t="s">
        <v>72</v>
      </c>
    </row>
    <row r="2" spans="1:18" x14ac:dyDescent="0.25">
      <c r="A2" s="2"/>
      <c r="B2" s="90">
        <v>2648345</v>
      </c>
      <c r="C2" s="90">
        <v>2648345</v>
      </c>
      <c r="D2" s="2"/>
      <c r="E2" s="4"/>
      <c r="F2" s="63" t="s">
        <v>73</v>
      </c>
      <c r="G2">
        <f>M12</f>
        <v>36042</v>
      </c>
      <c r="I2" s="132"/>
      <c r="L2" s="8" t="s">
        <v>81</v>
      </c>
      <c r="M2" s="89">
        <v>9840</v>
      </c>
      <c r="O2" s="10" t="s">
        <v>294</v>
      </c>
      <c r="P2">
        <v>150000</v>
      </c>
    </row>
    <row r="3" spans="1:18" x14ac:dyDescent="0.25">
      <c r="A3" s="1" t="s">
        <v>0</v>
      </c>
      <c r="B3" s="6">
        <v>200000</v>
      </c>
      <c r="C3" s="3">
        <f>52182+30445+4894+20620+2185+16777+2000+23400+7101+30396+1066+8934</f>
        <v>200000</v>
      </c>
      <c r="D3" s="1">
        <f>B3-C3</f>
        <v>0</v>
      </c>
      <c r="E3" s="97">
        <v>190000</v>
      </c>
      <c r="F3" s="63" t="s">
        <v>130</v>
      </c>
      <c r="G3">
        <f>P11</f>
        <v>321429</v>
      </c>
      <c r="I3" s="74"/>
      <c r="L3" s="8" t="s">
        <v>82</v>
      </c>
      <c r="M3" s="89">
        <v>8663</v>
      </c>
      <c r="O3" s="10" t="s">
        <v>439</v>
      </c>
      <c r="P3">
        <v>44700</v>
      </c>
      <c r="Q3" t="s">
        <v>440</v>
      </c>
    </row>
    <row r="4" spans="1:18" x14ac:dyDescent="0.25">
      <c r="A4" s="1" t="s">
        <v>62</v>
      </c>
      <c r="B4" s="6">
        <v>639119</v>
      </c>
      <c r="C4" s="3">
        <v>639119</v>
      </c>
      <c r="D4" s="1">
        <f t="shared" ref="D4:D35" si="0">B4-C4</f>
        <v>0</v>
      </c>
      <c r="E4" s="4" t="s">
        <v>432</v>
      </c>
      <c r="F4" t="s">
        <v>304</v>
      </c>
      <c r="G4" s="121">
        <f>30000+25000-206000+21500</f>
        <v>-129500</v>
      </c>
      <c r="H4" s="170" t="s">
        <v>438</v>
      </c>
      <c r="I4" s="78"/>
      <c r="L4" s="8" t="s">
        <v>128</v>
      </c>
      <c r="M4" s="89" t="s">
        <v>55</v>
      </c>
      <c r="O4" s="10" t="s">
        <v>442</v>
      </c>
      <c r="P4">
        <v>16239</v>
      </c>
    </row>
    <row r="5" spans="1:18" x14ac:dyDescent="0.25">
      <c r="A5" s="1" t="s">
        <v>128</v>
      </c>
      <c r="B5" s="6">
        <v>30100</v>
      </c>
      <c r="C5" s="3">
        <v>30100</v>
      </c>
      <c r="D5" s="1">
        <f t="shared" si="0"/>
        <v>0</v>
      </c>
      <c r="E5" s="4"/>
      <c r="I5" s="78"/>
      <c r="L5" s="8" t="s">
        <v>287</v>
      </c>
      <c r="M5" s="89" t="s">
        <v>55</v>
      </c>
      <c r="O5" s="10" t="s">
        <v>444</v>
      </c>
      <c r="P5">
        <v>14900</v>
      </c>
    </row>
    <row r="6" spans="1:18" x14ac:dyDescent="0.25">
      <c r="A6" s="1" t="s">
        <v>81</v>
      </c>
      <c r="B6" s="6">
        <v>6110</v>
      </c>
      <c r="C6" s="3">
        <v>6110</v>
      </c>
      <c r="D6" s="1">
        <f t="shared" si="0"/>
        <v>0</v>
      </c>
      <c r="E6" s="4"/>
      <c r="F6" s="4" t="s">
        <v>221</v>
      </c>
      <c r="G6" s="4">
        <f>-155000-9000-5000-58557-120000+71995</f>
        <v>-275562</v>
      </c>
      <c r="J6" s="145"/>
      <c r="L6" s="152" t="s">
        <v>427</v>
      </c>
      <c r="M6" s="168" t="s">
        <v>55</v>
      </c>
      <c r="O6" s="10" t="s">
        <v>258</v>
      </c>
      <c r="P6">
        <f>45230-8934</f>
        <v>36296</v>
      </c>
    </row>
    <row r="7" spans="1:18" x14ac:dyDescent="0.25">
      <c r="A7" s="1" t="s">
        <v>86</v>
      </c>
      <c r="B7" s="7">
        <v>196307</v>
      </c>
      <c r="C7" s="3">
        <v>196307</v>
      </c>
      <c r="D7" s="1">
        <f t="shared" si="0"/>
        <v>0</v>
      </c>
      <c r="E7" s="4"/>
      <c r="F7" s="63" t="s">
        <v>242</v>
      </c>
      <c r="G7" s="98">
        <f>M22</f>
        <v>141544</v>
      </c>
      <c r="J7" s="164"/>
      <c r="L7" s="8" t="s">
        <v>82</v>
      </c>
      <c r="M7" s="89">
        <v>17539</v>
      </c>
      <c r="O7" s="10" t="s">
        <v>261</v>
      </c>
      <c r="P7">
        <v>59294</v>
      </c>
    </row>
    <row r="8" spans="1:18" x14ac:dyDescent="0.25">
      <c r="A8" s="62" t="s">
        <v>316</v>
      </c>
      <c r="B8" s="7">
        <v>77433</v>
      </c>
      <c r="C8" s="9">
        <v>77433</v>
      </c>
      <c r="D8" s="1">
        <f t="shared" si="0"/>
        <v>0</v>
      </c>
      <c r="E8" s="4"/>
      <c r="I8" s="13"/>
      <c r="J8" s="166"/>
      <c r="L8" s="152" t="s">
        <v>435</v>
      </c>
      <c r="M8" s="169" t="s">
        <v>76</v>
      </c>
      <c r="O8" s="10"/>
    </row>
    <row r="9" spans="1:18" x14ac:dyDescent="0.25">
      <c r="A9" s="1" t="s">
        <v>436</v>
      </c>
      <c r="B9" s="6">
        <v>30000</v>
      </c>
      <c r="C9" s="3">
        <f>20000+10000</f>
        <v>30000</v>
      </c>
      <c r="D9" s="1">
        <f t="shared" si="0"/>
        <v>0</v>
      </c>
      <c r="E9" s="144"/>
      <c r="F9" s="4" t="s">
        <v>16</v>
      </c>
      <c r="G9" s="4">
        <v>130000</v>
      </c>
      <c r="J9" s="146"/>
      <c r="L9" s="8" t="s">
        <v>290</v>
      </c>
      <c r="M9" s="89" t="s">
        <v>76</v>
      </c>
      <c r="O9" s="10"/>
    </row>
    <row r="10" spans="1:18" x14ac:dyDescent="0.25">
      <c r="A10" s="1" t="s">
        <v>11</v>
      </c>
      <c r="B10" s="7">
        <v>80000</v>
      </c>
      <c r="C10" s="3">
        <f>1840+1167+4000+12993+5000+23295+1705+13000+10000+7000</f>
        <v>80000</v>
      </c>
      <c r="D10" s="1">
        <f t="shared" si="0"/>
        <v>0</v>
      </c>
      <c r="E10" s="5"/>
      <c r="F10" s="67" t="s">
        <v>222</v>
      </c>
      <c r="G10" s="120"/>
      <c r="I10" s="78"/>
      <c r="J10" s="10"/>
      <c r="L10" s="152"/>
      <c r="M10" s="169"/>
      <c r="O10" s="10"/>
    </row>
    <row r="11" spans="1:18" x14ac:dyDescent="0.25">
      <c r="A11" s="1" t="s">
        <v>98</v>
      </c>
      <c r="B11" s="7">
        <v>110000</v>
      </c>
      <c r="C11" s="3">
        <v>110000</v>
      </c>
      <c r="D11" s="1">
        <f t="shared" si="0"/>
        <v>0</v>
      </c>
      <c r="E11" s="25" t="s">
        <v>359</v>
      </c>
      <c r="F11" s="64"/>
      <c r="G11" s="44"/>
      <c r="H11" s="4"/>
      <c r="L11" s="152"/>
      <c r="M11" s="169"/>
      <c r="O11" s="10" t="s">
        <v>65</v>
      </c>
      <c r="P11">
        <f>SUM(P2:P10)</f>
        <v>321429</v>
      </c>
    </row>
    <row r="12" spans="1:18" x14ac:dyDescent="0.25">
      <c r="A12" s="1" t="s">
        <v>291</v>
      </c>
      <c r="B12" s="7">
        <v>0</v>
      </c>
      <c r="C12" s="3"/>
      <c r="D12" s="1">
        <f t="shared" si="0"/>
        <v>0</v>
      </c>
      <c r="E12" t="s">
        <v>412</v>
      </c>
      <c r="F12" s="67" t="s">
        <v>75</v>
      </c>
      <c r="G12" s="13">
        <f>-42132-28000-28000-28000</f>
        <v>-126132</v>
      </c>
      <c r="H12" s="4" t="s">
        <v>414</v>
      </c>
      <c r="I12" t="s">
        <v>382</v>
      </c>
      <c r="J12">
        <v>176332</v>
      </c>
      <c r="L12" s="149" t="s">
        <v>65</v>
      </c>
      <c r="M12" s="150">
        <f>SUM(M2:M11)</f>
        <v>36042</v>
      </c>
    </row>
    <row r="13" spans="1:18" ht="15.75" thickBot="1" x14ac:dyDescent="0.3">
      <c r="A13" s="1" t="s">
        <v>240</v>
      </c>
      <c r="B13" s="6">
        <v>15988</v>
      </c>
      <c r="C13" s="3">
        <v>15988</v>
      </c>
      <c r="D13" s="1">
        <f t="shared" si="0"/>
        <v>0</v>
      </c>
      <c r="E13" s="133"/>
      <c r="F13" s="4" t="s">
        <v>158</v>
      </c>
      <c r="G13" s="13">
        <f>-472349-2802266+2800000+151912</f>
        <v>-322703</v>
      </c>
      <c r="H13" s="4"/>
      <c r="O13" s="61" t="s">
        <v>259</v>
      </c>
      <c r="P13" s="76">
        <v>470400</v>
      </c>
      <c r="Q13" t="s">
        <v>95</v>
      </c>
      <c r="R13" t="s">
        <v>272</v>
      </c>
    </row>
    <row r="14" spans="1:18" x14ac:dyDescent="0.25">
      <c r="A14" s="1" t="s">
        <v>18</v>
      </c>
      <c r="B14" s="6">
        <v>26433</v>
      </c>
      <c r="C14" s="3">
        <f>3990+10872+11571</f>
        <v>26433</v>
      </c>
      <c r="D14" s="1">
        <f t="shared" si="0"/>
        <v>0</v>
      </c>
      <c r="E14" s="5" t="s">
        <v>434</v>
      </c>
      <c r="F14" s="4" t="s">
        <v>121</v>
      </c>
      <c r="G14" s="13">
        <v>0</v>
      </c>
      <c r="H14" s="10"/>
      <c r="J14" s="13"/>
      <c r="L14" s="61" t="s">
        <v>131</v>
      </c>
      <c r="M14" s="76" t="s">
        <v>132</v>
      </c>
      <c r="O14" s="1" t="s">
        <v>241</v>
      </c>
      <c r="P14" s="75" t="s">
        <v>76</v>
      </c>
      <c r="Q14" s="56" t="s">
        <v>335</v>
      </c>
      <c r="R14" t="s">
        <v>334</v>
      </c>
    </row>
    <row r="15" spans="1:18" x14ac:dyDescent="0.25">
      <c r="A15" s="8" t="s">
        <v>159</v>
      </c>
      <c r="B15" s="7">
        <v>100000</v>
      </c>
      <c r="C15" s="9">
        <v>100000</v>
      </c>
      <c r="D15" s="1">
        <f t="shared" si="0"/>
        <v>0</v>
      </c>
      <c r="E15" s="5"/>
      <c r="F15" s="4" t="s">
        <v>416</v>
      </c>
      <c r="G15" s="88">
        <f>-8000-8000-8000-8000</f>
        <v>-32000</v>
      </c>
      <c r="H15" s="4"/>
      <c r="L15" s="64" t="s">
        <v>428</v>
      </c>
      <c r="M15" s="156">
        <v>110000</v>
      </c>
      <c r="O15" s="1" t="s">
        <v>260</v>
      </c>
      <c r="P15" s="75"/>
      <c r="Q15" s="58"/>
    </row>
    <row r="16" spans="1:18" ht="15.75" thickBot="1" x14ac:dyDescent="0.3">
      <c r="A16" s="1" t="s">
        <v>64</v>
      </c>
      <c r="B16" s="6">
        <v>100408</v>
      </c>
      <c r="C16" s="3">
        <v>100408</v>
      </c>
      <c r="D16" s="1">
        <f t="shared" si="0"/>
        <v>0</v>
      </c>
      <c r="E16" s="5"/>
      <c r="F16" s="4" t="s">
        <v>129</v>
      </c>
      <c r="G16" s="87">
        <f>-30000-30000-30000-30000-30000-30000-30000</f>
        <v>-210000</v>
      </c>
      <c r="H16" s="4"/>
      <c r="J16" s="13"/>
      <c r="L16" s="8" t="s">
        <v>429</v>
      </c>
      <c r="M16" s="89">
        <v>10381</v>
      </c>
      <c r="O16" s="1" t="s">
        <v>261</v>
      </c>
      <c r="P16" s="75"/>
      <c r="Q16" s="58"/>
      <c r="R16" t="s">
        <v>333</v>
      </c>
    </row>
    <row r="17" spans="1:19" ht="15.75" thickBot="1" x14ac:dyDescent="0.3">
      <c r="A17" s="8" t="s">
        <v>161</v>
      </c>
      <c r="B17" s="7">
        <v>25000</v>
      </c>
      <c r="C17" s="9">
        <v>25000</v>
      </c>
      <c r="D17" s="1">
        <f t="shared" si="0"/>
        <v>0</v>
      </c>
      <c r="E17" s="5"/>
      <c r="F17" s="71" t="s">
        <v>12</v>
      </c>
      <c r="G17" s="72">
        <f>SUM(G1:G16)</f>
        <v>19400</v>
      </c>
      <c r="H17" s="16"/>
      <c r="J17" s="13"/>
      <c r="L17" s="96" t="s">
        <v>441</v>
      </c>
      <c r="M17" s="156">
        <v>10624</v>
      </c>
      <c r="O17" s="1" t="s">
        <v>262</v>
      </c>
      <c r="P17" s="75">
        <f>44990</f>
        <v>44990</v>
      </c>
      <c r="Q17" s="58" t="s">
        <v>353</v>
      </c>
      <c r="R17" t="s">
        <v>351</v>
      </c>
    </row>
    <row r="18" spans="1:19" x14ac:dyDescent="0.25">
      <c r="A18" s="6" t="s">
        <v>156</v>
      </c>
      <c r="B18" s="1">
        <v>30000</v>
      </c>
      <c r="C18" s="3">
        <v>30000</v>
      </c>
      <c r="D18" s="1">
        <f>B18-C18</f>
        <v>0</v>
      </c>
      <c r="E18" s="5" t="s">
        <v>292</v>
      </c>
      <c r="F18" s="201" t="s">
        <v>13</v>
      </c>
      <c r="G18" s="202"/>
      <c r="H18" s="203"/>
      <c r="J18" s="13"/>
      <c r="L18" s="96" t="s">
        <v>443</v>
      </c>
      <c r="M18" s="156">
        <v>10539</v>
      </c>
      <c r="O18" s="1" t="s">
        <v>263</v>
      </c>
      <c r="P18" s="75">
        <v>31990</v>
      </c>
      <c r="Q18" s="58" t="s">
        <v>353</v>
      </c>
      <c r="R18" t="s">
        <v>356</v>
      </c>
    </row>
    <row r="19" spans="1:19" x14ac:dyDescent="0.25">
      <c r="A19" s="6" t="s">
        <v>331</v>
      </c>
      <c r="B19" s="6">
        <v>120000</v>
      </c>
      <c r="C19" s="3">
        <v>120000</v>
      </c>
      <c r="D19" s="1">
        <f t="shared" si="0"/>
        <v>0</v>
      </c>
      <c r="E19" s="5" t="s">
        <v>244</v>
      </c>
      <c r="F19" s="8" t="s">
        <v>7</v>
      </c>
      <c r="G19" s="8" t="s">
        <v>8</v>
      </c>
      <c r="H19" s="8" t="s">
        <v>9</v>
      </c>
      <c r="J19" s="13">
        <f>H20-G17</f>
        <v>0</v>
      </c>
      <c r="L19" s="96"/>
      <c r="M19" s="157"/>
      <c r="O19" s="1" t="s">
        <v>43</v>
      </c>
      <c r="P19" s="75">
        <f>44990</f>
        <v>44990</v>
      </c>
      <c r="Q19" s="58" t="s">
        <v>353</v>
      </c>
      <c r="R19" t="s">
        <v>351</v>
      </c>
    </row>
    <row r="20" spans="1:19" x14ac:dyDescent="0.25">
      <c r="A20" s="1" t="s">
        <v>42</v>
      </c>
      <c r="B20" s="6">
        <v>55000</v>
      </c>
      <c r="C20" s="3">
        <f>1244+20866+7717+4563+8697+11913</f>
        <v>55000</v>
      </c>
      <c r="D20" s="1">
        <f t="shared" si="0"/>
        <v>0</v>
      </c>
      <c r="E20" s="5"/>
      <c r="F20" s="8">
        <f>SUM(D3:D35)+B37</f>
        <v>19400</v>
      </c>
      <c r="G20" s="8">
        <v>0</v>
      </c>
      <c r="H20" s="18">
        <f>F20+G20</f>
        <v>19400</v>
      </c>
      <c r="L20" s="96"/>
      <c r="M20" s="157"/>
      <c r="O20" s="1" t="s">
        <v>264</v>
      </c>
      <c r="P20" s="75">
        <v>24990</v>
      </c>
      <c r="Q20" s="58" t="s">
        <v>353</v>
      </c>
      <c r="R20" t="s">
        <v>358</v>
      </c>
    </row>
    <row r="21" spans="1:19" x14ac:dyDescent="0.25">
      <c r="A21" s="3" t="s">
        <v>288</v>
      </c>
      <c r="B21" s="6">
        <f>15000+37000</f>
        <v>52000</v>
      </c>
      <c r="C21" s="3">
        <f>37000</f>
        <v>37000</v>
      </c>
      <c r="D21" s="1">
        <f t="shared" si="0"/>
        <v>15000</v>
      </c>
      <c r="E21" s="5" t="s">
        <v>433</v>
      </c>
      <c r="F21" s="5"/>
      <c r="G21" s="5"/>
      <c r="H21" s="5"/>
      <c r="O21" s="1" t="s">
        <v>265</v>
      </c>
      <c r="P21" s="75">
        <f>34990/2</f>
        <v>17495</v>
      </c>
      <c r="Q21" s="58" t="s">
        <v>353</v>
      </c>
      <c r="R21" t="s">
        <v>352</v>
      </c>
    </row>
    <row r="22" spans="1:19" ht="15.75" thickBot="1" x14ac:dyDescent="0.3">
      <c r="A22" s="61" t="s">
        <v>431</v>
      </c>
      <c r="B22" s="6">
        <v>35000</v>
      </c>
      <c r="C22" s="3">
        <f>4221+25018+5761</f>
        <v>35000</v>
      </c>
      <c r="D22" s="1">
        <f t="shared" si="0"/>
        <v>0</v>
      </c>
      <c r="E22" s="5"/>
      <c r="F22" s="5"/>
      <c r="G22" s="5"/>
      <c r="H22" s="5"/>
      <c r="J22" s="12"/>
      <c r="L22" s="147" t="s">
        <v>65</v>
      </c>
      <c r="M22" s="148">
        <f>SUM(M15:M20)</f>
        <v>141544</v>
      </c>
      <c r="O22" s="1" t="s">
        <v>266</v>
      </c>
      <c r="P22" s="75">
        <v>31990</v>
      </c>
      <c r="Q22" s="58" t="s">
        <v>353</v>
      </c>
      <c r="R22" t="s">
        <v>356</v>
      </c>
      <c r="S22" s="78"/>
    </row>
    <row r="23" spans="1:19" x14ac:dyDescent="0.25">
      <c r="A23" s="1" t="s">
        <v>25</v>
      </c>
      <c r="B23" s="7">
        <v>85000</v>
      </c>
      <c r="C23" s="3">
        <v>85000</v>
      </c>
      <c r="D23" s="1">
        <f t="shared" si="0"/>
        <v>0</v>
      </c>
      <c r="E23" s="5"/>
      <c r="F23" s="44"/>
      <c r="G23" s="43"/>
      <c r="H23" s="5"/>
      <c r="I23" t="s">
        <v>31</v>
      </c>
      <c r="J23" s="13">
        <f>G17-D4-D5-D6-D7-D12-D29-D8-D11-D13-D17-D20-D22-D24-D28-D30-D14-D21-D19-D16-D18</f>
        <v>4400</v>
      </c>
      <c r="M23" s="95"/>
      <c r="N23" s="10"/>
      <c r="O23" s="1" t="s">
        <v>267</v>
      </c>
      <c r="P23" s="75">
        <f>44990</f>
        <v>44990</v>
      </c>
      <c r="Q23" s="58" t="s">
        <v>353</v>
      </c>
      <c r="R23" t="s">
        <v>351</v>
      </c>
    </row>
    <row r="24" spans="1:19" x14ac:dyDescent="0.25">
      <c r="A24" s="1" t="s">
        <v>426</v>
      </c>
      <c r="B24" s="7">
        <v>35000</v>
      </c>
      <c r="C24" s="3">
        <v>35000</v>
      </c>
      <c r="D24" s="1">
        <f t="shared" si="0"/>
        <v>0</v>
      </c>
      <c r="E24" s="5"/>
      <c r="F24" s="5"/>
      <c r="G24" s="5"/>
      <c r="H24" s="5"/>
      <c r="O24" s="1" t="s">
        <v>270</v>
      </c>
      <c r="P24" s="75">
        <f>95970/3</f>
        <v>31990</v>
      </c>
      <c r="Q24" s="58" t="s">
        <v>353</v>
      </c>
      <c r="R24" t="s">
        <v>356</v>
      </c>
    </row>
    <row r="25" spans="1:19" x14ac:dyDescent="0.25">
      <c r="A25" s="1" t="s">
        <v>24</v>
      </c>
      <c r="B25" s="7">
        <v>100000</v>
      </c>
      <c r="C25" s="3">
        <f>8939+55970+4000+2983+28108</f>
        <v>100000</v>
      </c>
      <c r="D25" s="1">
        <f t="shared" si="0"/>
        <v>0</v>
      </c>
      <c r="E25" s="5">
        <v>80000</v>
      </c>
      <c r="F25" s="62" t="s">
        <v>89</v>
      </c>
      <c r="G25" s="85">
        <f>SUM(G26:G28)</f>
        <v>5636408</v>
      </c>
      <c r="H25" s="61"/>
      <c r="L25" s="8"/>
      <c r="M25" s="89"/>
      <c r="O25" s="1" t="s">
        <v>271</v>
      </c>
      <c r="P25" s="75">
        <v>7990</v>
      </c>
      <c r="Q25" s="58" t="s">
        <v>353</v>
      </c>
      <c r="R25" t="s">
        <v>357</v>
      </c>
    </row>
    <row r="26" spans="1:19" x14ac:dyDescent="0.25">
      <c r="A26" s="1" t="s">
        <v>63</v>
      </c>
      <c r="B26" s="7">
        <v>85000</v>
      </c>
      <c r="C26" s="3">
        <f>1000+49800+5689+800+7711+10586+7031+2383</f>
        <v>85000</v>
      </c>
      <c r="D26" s="1">
        <f t="shared" si="0"/>
        <v>0</v>
      </c>
      <c r="E26" s="5">
        <v>80000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O26" s="1" t="s">
        <v>268</v>
      </c>
      <c r="P26" s="75">
        <v>24190</v>
      </c>
      <c r="Q26" s="58" t="s">
        <v>353</v>
      </c>
      <c r="R26" s="44" t="s">
        <v>355</v>
      </c>
    </row>
    <row r="27" spans="1:19" x14ac:dyDescent="0.25">
      <c r="A27" s="1" t="s">
        <v>27</v>
      </c>
      <c r="B27" s="7">
        <f>8800</f>
        <v>8800</v>
      </c>
      <c r="C27" s="3">
        <f>4400</f>
        <v>4400</v>
      </c>
      <c r="D27" s="1">
        <f t="shared" si="0"/>
        <v>4400</v>
      </c>
      <c r="E27" s="5">
        <v>8400</v>
      </c>
      <c r="F27" s="8" t="s">
        <v>97</v>
      </c>
      <c r="G27" s="89">
        <f>AHRROS!B9</f>
        <v>5636408</v>
      </c>
      <c r="H27" s="8"/>
      <c r="I27" t="s">
        <v>105</v>
      </c>
      <c r="J27" s="74">
        <f>'Colegio Agus'!K7-G25</f>
        <v>602221.37200000044</v>
      </c>
      <c r="L27" s="8"/>
      <c r="M27" s="89"/>
      <c r="O27" s="1" t="s">
        <v>269</v>
      </c>
      <c r="P27" s="75">
        <f>34990/2</f>
        <v>17495</v>
      </c>
      <c r="Q27" s="58" t="s">
        <v>353</v>
      </c>
      <c r="R27" t="s">
        <v>352</v>
      </c>
    </row>
    <row r="28" spans="1:19" x14ac:dyDescent="0.25">
      <c r="A28" s="1" t="s">
        <v>3</v>
      </c>
      <c r="B28" s="6">
        <v>150000</v>
      </c>
      <c r="C28" s="3">
        <f>25000+36825+23175+51055+13945</f>
        <v>150000</v>
      </c>
      <c r="D28" s="1">
        <f t="shared" si="0"/>
        <v>0</v>
      </c>
      <c r="E28" s="5">
        <v>140000</v>
      </c>
      <c r="F28" s="8" t="s">
        <v>91</v>
      </c>
      <c r="G28" s="89">
        <v>0</v>
      </c>
      <c r="H28" s="8"/>
      <c r="I28" t="s">
        <v>106</v>
      </c>
      <c r="J28">
        <v>4</v>
      </c>
      <c r="K28" t="s">
        <v>437</v>
      </c>
      <c r="L28" s="8"/>
      <c r="M28" s="89"/>
      <c r="O28" s="1" t="s">
        <v>273</v>
      </c>
      <c r="P28" s="75"/>
      <c r="Q28" s="58"/>
    </row>
    <row r="29" spans="1:19" x14ac:dyDescent="0.25">
      <c r="A29" s="6"/>
      <c r="B29" s="6"/>
      <c r="C29" s="3"/>
      <c r="D29" s="1">
        <f t="shared" si="0"/>
        <v>0</v>
      </c>
      <c r="E29" s="5" t="s">
        <v>379</v>
      </c>
      <c r="F29" s="5"/>
      <c r="G29" s="5"/>
      <c r="H29" s="5"/>
      <c r="I29" t="s">
        <v>107</v>
      </c>
      <c r="J29" s="74">
        <f>J27/J28</f>
        <v>150555.34300000011</v>
      </c>
      <c r="L29" s="1"/>
      <c r="M29" s="89"/>
      <c r="O29" s="1" t="s">
        <v>274</v>
      </c>
      <c r="P29" s="75"/>
      <c r="Q29" s="58"/>
    </row>
    <row r="30" spans="1:19" x14ac:dyDescent="0.25">
      <c r="A30" s="61" t="s">
        <v>413</v>
      </c>
      <c r="B30" s="6">
        <v>8000</v>
      </c>
      <c r="C30" s="3">
        <v>8000</v>
      </c>
      <c r="D30" s="1">
        <f t="shared" si="0"/>
        <v>0</v>
      </c>
      <c r="E30" s="5" t="s">
        <v>296</v>
      </c>
      <c r="F30" s="5"/>
      <c r="G30" s="5"/>
      <c r="H30" s="5"/>
      <c r="L30" s="8"/>
      <c r="M30" s="89"/>
      <c r="O30" s="1" t="s">
        <v>354</v>
      </c>
      <c r="P30" s="75">
        <v>21990</v>
      </c>
      <c r="Q30" s="58" t="s">
        <v>353</v>
      </c>
    </row>
    <row r="31" spans="1:19" x14ac:dyDescent="0.25">
      <c r="A31" s="1" t="s">
        <v>79</v>
      </c>
      <c r="B31" s="6">
        <v>28000</v>
      </c>
      <c r="C31" s="3">
        <v>28000</v>
      </c>
      <c r="D31" s="1">
        <f t="shared" si="0"/>
        <v>0</v>
      </c>
      <c r="E31" t="s">
        <v>368</v>
      </c>
      <c r="F31" s="5"/>
      <c r="G31" s="5"/>
      <c r="H31" s="5"/>
      <c r="L31" s="1"/>
      <c r="M31" s="137"/>
      <c r="O31" s="1" t="s">
        <v>276</v>
      </c>
      <c r="P31" s="75"/>
      <c r="Q31" s="58"/>
    </row>
    <row r="32" spans="1:19" x14ac:dyDescent="0.25">
      <c r="A32" s="1" t="s">
        <v>430</v>
      </c>
      <c r="B32" s="6"/>
      <c r="C32" s="3"/>
      <c r="D32" s="1">
        <f t="shared" si="0"/>
        <v>0</v>
      </c>
      <c r="E32" t="s">
        <v>328</v>
      </c>
      <c r="F32" s="5"/>
      <c r="G32" s="5"/>
      <c r="H32" s="5"/>
      <c r="L32" s="1"/>
      <c r="M32" s="137"/>
      <c r="O32" s="1" t="s">
        <v>278</v>
      </c>
      <c r="P32" s="75"/>
      <c r="Q32" s="58"/>
    </row>
    <row r="33" spans="1:17" x14ac:dyDescent="0.25">
      <c r="A33" s="96" t="s">
        <v>243</v>
      </c>
      <c r="B33" s="6">
        <v>0</v>
      </c>
      <c r="C33" s="3"/>
      <c r="D33" s="1">
        <f t="shared" si="0"/>
        <v>0</v>
      </c>
      <c r="E33" s="5" t="s">
        <v>313</v>
      </c>
      <c r="F33" s="5"/>
      <c r="G33" s="5"/>
      <c r="H33" s="5"/>
      <c r="O33" s="1" t="s">
        <v>277</v>
      </c>
      <c r="P33" s="75"/>
      <c r="Q33" s="58"/>
    </row>
    <row r="34" spans="1:17" ht="15.75" thickBot="1" x14ac:dyDescent="0.3">
      <c r="A34" s="1" t="s">
        <v>162</v>
      </c>
      <c r="B34" s="6">
        <v>13000</v>
      </c>
      <c r="C34" s="3">
        <v>13000</v>
      </c>
      <c r="D34" s="1">
        <f t="shared" si="0"/>
        <v>0</v>
      </c>
      <c r="E34" s="5" t="s">
        <v>374</v>
      </c>
      <c r="F34" s="5"/>
      <c r="G34" s="5"/>
      <c r="H34" s="5"/>
      <c r="O34" s="47" t="s">
        <v>275</v>
      </c>
    </row>
    <row r="35" spans="1:17" ht="15.75" thickBot="1" x14ac:dyDescent="0.3">
      <c r="A35" s="1" t="s">
        <v>19</v>
      </c>
      <c r="B35" s="1">
        <v>206647</v>
      </c>
      <c r="C35" s="9">
        <f>4960+4990+3370+4270+12-24+46420+5900+2630+14959+17513+8200+7500+2150+39724+100+3000+336+3500+35490+1647</f>
        <v>206647</v>
      </c>
      <c r="D35" s="1">
        <f t="shared" si="0"/>
        <v>0</v>
      </c>
      <c r="E35" s="5"/>
      <c r="F35" s="5"/>
      <c r="G35" s="17"/>
      <c r="H35" s="5" t="s">
        <v>26</v>
      </c>
      <c r="L35" s="91"/>
      <c r="M35" s="138"/>
      <c r="O35" s="1" t="s">
        <v>65</v>
      </c>
      <c r="P35" s="75">
        <f>SUM(P14:P33)</f>
        <v>345090</v>
      </c>
    </row>
    <row r="36" spans="1:17" x14ac:dyDescent="0.25">
      <c r="A36" s="2" t="s">
        <v>1</v>
      </c>
      <c r="B36" s="2">
        <f>SUM(B3:B35)</f>
        <v>2648345</v>
      </c>
      <c r="C36" s="2">
        <f>SUM(C3:C35)</f>
        <v>2628945</v>
      </c>
      <c r="D36" s="2"/>
      <c r="E36" s="5"/>
      <c r="F36" s="5"/>
      <c r="G36" s="5"/>
      <c r="H36" s="5"/>
      <c r="O36" s="84"/>
      <c r="P36" s="74"/>
    </row>
    <row r="37" spans="1:17" ht="15.75" thickBot="1" x14ac:dyDescent="0.3">
      <c r="A37" s="2" t="s">
        <v>2</v>
      </c>
      <c r="B37" s="2">
        <f>B2-B36</f>
        <v>0</v>
      </c>
      <c r="C37" s="2">
        <f>C2-C36</f>
        <v>19400</v>
      </c>
      <c r="D37" s="2"/>
      <c r="E37" s="5"/>
      <c r="F37" s="5"/>
      <c r="G37" s="5"/>
      <c r="H37" s="5"/>
      <c r="J37">
        <f>2752586</f>
        <v>2752586</v>
      </c>
      <c r="O37" s="47"/>
      <c r="P37" s="74"/>
    </row>
    <row r="38" spans="1:17" x14ac:dyDescent="0.25">
      <c r="D38">
        <f>SUM(D3:D35)</f>
        <v>19400</v>
      </c>
      <c r="E38" s="5"/>
      <c r="F38" s="5"/>
      <c r="G38" s="5"/>
      <c r="H38" s="5"/>
      <c r="J38">
        <f>574857</f>
        <v>574857</v>
      </c>
      <c r="O38" s="83" t="s">
        <v>279</v>
      </c>
      <c r="P38" s="79"/>
    </row>
    <row r="39" spans="1:17" x14ac:dyDescent="0.25">
      <c r="E39" s="5"/>
      <c r="F39" s="5"/>
      <c r="G39" s="5"/>
      <c r="H39" s="5"/>
      <c r="J39">
        <f>J37-J38</f>
        <v>2177729</v>
      </c>
      <c r="O39" s="80"/>
      <c r="P39" s="81"/>
    </row>
    <row r="40" spans="1:17" x14ac:dyDescent="0.25">
      <c r="E40" s="5"/>
      <c r="O40" s="80"/>
      <c r="P40" s="81"/>
    </row>
    <row r="41" spans="1:17" x14ac:dyDescent="0.25">
      <c r="E41" s="5"/>
      <c r="O41" s="80"/>
      <c r="P41" s="81"/>
    </row>
    <row r="42" spans="1:17" x14ac:dyDescent="0.25">
      <c r="O42" s="80"/>
      <c r="P42" s="81"/>
    </row>
    <row r="43" spans="1:17" x14ac:dyDescent="0.25">
      <c r="O43" s="80"/>
      <c r="P43" s="81"/>
    </row>
    <row r="44" spans="1:17" x14ac:dyDescent="0.25">
      <c r="O44" s="80"/>
      <c r="P44" s="81"/>
    </row>
    <row r="45" spans="1:17" x14ac:dyDescent="0.25">
      <c r="O45" s="80"/>
      <c r="P45" s="81"/>
    </row>
    <row r="46" spans="1:17" x14ac:dyDescent="0.25">
      <c r="O46" s="139"/>
      <c r="P46" s="140"/>
    </row>
    <row r="47" spans="1:17" x14ac:dyDescent="0.25">
      <c r="O47" s="57"/>
      <c r="P47" s="81"/>
    </row>
    <row r="48" spans="1:17" ht="15.75" thickBot="1" x14ac:dyDescent="0.3">
      <c r="O48" s="59"/>
      <c r="P48" s="82"/>
    </row>
    <row r="49" spans="15:16" x14ac:dyDescent="0.25">
      <c r="P49" s="74"/>
    </row>
    <row r="50" spans="15:16" x14ac:dyDescent="0.25">
      <c r="O50" s="10" t="s">
        <v>92</v>
      </c>
      <c r="P50" s="77">
        <f>SUM(P14:P33)</f>
        <v>345090</v>
      </c>
    </row>
    <row r="51" spans="15:16" x14ac:dyDescent="0.25">
      <c r="O51" s="10"/>
      <c r="P51" s="77"/>
    </row>
    <row r="52" spans="15:16" x14ac:dyDescent="0.25">
      <c r="O52" s="10" t="s">
        <v>93</v>
      </c>
      <c r="P52" s="77">
        <f>P13-P50</f>
        <v>125310</v>
      </c>
    </row>
    <row r="53" spans="15:16" x14ac:dyDescent="0.25">
      <c r="O53" s="10"/>
      <c r="P53" s="77"/>
    </row>
    <row r="54" spans="15:16" x14ac:dyDescent="0.25">
      <c r="O54" s="10" t="s">
        <v>94</v>
      </c>
      <c r="P54" s="77">
        <f>P13-SUMIF(Q14:Q33,"GIFTCARD",P14:P33)-SUM(P39:P48)</f>
        <v>125310</v>
      </c>
    </row>
    <row r="56" spans="15:16" x14ac:dyDescent="0.25">
      <c r="O56" t="s">
        <v>99</v>
      </c>
      <c r="P56" s="78">
        <f>P54-G6</f>
        <v>400872</v>
      </c>
    </row>
  </sheetData>
  <mergeCells count="1">
    <mergeCell ref="F18:H18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6"/>
  <dimension ref="A1:S56"/>
  <sheetViews>
    <sheetView zoomScale="80" zoomScaleNormal="80" workbookViewId="0">
      <selection activeCell="G6" sqref="G6"/>
    </sheetView>
  </sheetViews>
  <sheetFormatPr baseColWidth="10" defaultColWidth="23.28515625" defaultRowHeight="15" x14ac:dyDescent="0.25"/>
  <cols>
    <col min="1" max="1" width="31.28515625" customWidth="1"/>
    <col min="2" max="2" width="17.5703125" bestFit="1" customWidth="1"/>
    <col min="3" max="3" width="16.5703125" bestFit="1" customWidth="1"/>
    <col min="4" max="4" width="11.7109375" customWidth="1"/>
    <col min="5" max="5" width="23" customWidth="1"/>
    <col min="6" max="6" width="26.42578125" customWidth="1"/>
    <col min="7" max="7" width="14" bestFit="1" customWidth="1"/>
    <col min="8" max="8" width="20.85546875" customWidth="1"/>
    <col min="9" max="9" width="21.85546875" customWidth="1"/>
    <col min="10" max="10" width="13" bestFit="1" customWidth="1"/>
    <col min="11" max="11" width="8.140625" bestFit="1" customWidth="1"/>
    <col min="12" max="12" width="24.140625" customWidth="1"/>
    <col min="13" max="13" width="14.42578125" bestFit="1" customWidth="1"/>
    <col min="14" max="14" width="4.28515625" customWidth="1"/>
    <col min="15" max="15" width="43.42578125" customWidth="1"/>
    <col min="16" max="16" width="17.7109375" customWidth="1"/>
    <col min="17" max="17" width="24.28515625" customWidth="1"/>
  </cols>
  <sheetData>
    <row r="1" spans="1:18" x14ac:dyDescent="0.25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4312985</v>
      </c>
      <c r="H1" s="11"/>
      <c r="I1" s="10"/>
      <c r="L1" s="5" t="s">
        <v>83</v>
      </c>
      <c r="M1" s="5"/>
      <c r="O1" s="10" t="s">
        <v>72</v>
      </c>
    </row>
    <row r="2" spans="1:18" x14ac:dyDescent="0.25">
      <c r="A2" s="2"/>
      <c r="B2" s="90">
        <f>2632038+15000+4400</f>
        <v>2651438</v>
      </c>
      <c r="C2" s="90">
        <f>2632038+15000+4400</f>
        <v>2651438</v>
      </c>
      <c r="D2" s="2"/>
      <c r="E2" s="4"/>
      <c r="F2" s="63" t="s">
        <v>73</v>
      </c>
      <c r="G2">
        <f>M12</f>
        <v>156695</v>
      </c>
      <c r="I2" s="132"/>
      <c r="J2">
        <f>63473+188</f>
        <v>63661</v>
      </c>
      <c r="L2" s="8" t="s">
        <v>81</v>
      </c>
      <c r="M2" s="89">
        <v>12080</v>
      </c>
      <c r="O2" s="10" t="s">
        <v>452</v>
      </c>
      <c r="P2">
        <v>12996</v>
      </c>
    </row>
    <row r="3" spans="1:18" x14ac:dyDescent="0.25">
      <c r="A3" s="1" t="s">
        <v>0</v>
      </c>
      <c r="B3" s="6">
        <v>200000</v>
      </c>
      <c r="C3" s="3">
        <f>36296+6390+2197+55117+30857+5990+31030+29670+2453</f>
        <v>200000</v>
      </c>
      <c r="D3" s="1">
        <f>B3-C3</f>
        <v>0</v>
      </c>
      <c r="E3" s="97">
        <v>190000</v>
      </c>
      <c r="F3" s="63" t="s">
        <v>130</v>
      </c>
      <c r="G3">
        <f>P11</f>
        <v>12996</v>
      </c>
      <c r="I3" s="74"/>
      <c r="L3" s="8" t="s">
        <v>82</v>
      </c>
      <c r="M3" s="89" t="s">
        <v>76</v>
      </c>
      <c r="O3" s="10"/>
    </row>
    <row r="4" spans="1:18" x14ac:dyDescent="0.25">
      <c r="A4" s="1" t="s">
        <v>62</v>
      </c>
      <c r="B4" s="6">
        <v>639490</v>
      </c>
      <c r="C4" s="3">
        <v>639490</v>
      </c>
      <c r="D4" s="1">
        <f t="shared" ref="D4:D35" si="0">B4-C4</f>
        <v>0</v>
      </c>
      <c r="E4" s="4" t="s">
        <v>446</v>
      </c>
      <c r="F4" t="s">
        <v>304</v>
      </c>
      <c r="G4" s="121">
        <f>-207000-34500+34500</f>
        <v>-207000</v>
      </c>
      <c r="H4" s="170" t="s">
        <v>450</v>
      </c>
      <c r="I4" s="78"/>
      <c r="L4" s="8" t="s">
        <v>128</v>
      </c>
      <c r="M4" s="89" t="s">
        <v>76</v>
      </c>
      <c r="O4" s="10"/>
    </row>
    <row r="5" spans="1:18" x14ac:dyDescent="0.25">
      <c r="A5" s="1" t="s">
        <v>128</v>
      </c>
      <c r="B5" s="6">
        <v>32900</v>
      </c>
      <c r="C5" s="3">
        <v>32900</v>
      </c>
      <c r="D5" s="1">
        <f t="shared" si="0"/>
        <v>0</v>
      </c>
      <c r="E5" s="4"/>
      <c r="F5" t="s">
        <v>455</v>
      </c>
      <c r="G5">
        <v>-2749085</v>
      </c>
      <c r="I5" s="78"/>
      <c r="L5" s="8" t="s">
        <v>287</v>
      </c>
      <c r="M5" s="89" t="s">
        <v>76</v>
      </c>
      <c r="O5" s="10"/>
    </row>
    <row r="6" spans="1:18" x14ac:dyDescent="0.25">
      <c r="A6" s="1" t="s">
        <v>81</v>
      </c>
      <c r="B6" s="6">
        <v>9490</v>
      </c>
      <c r="C6" s="3">
        <v>9490</v>
      </c>
      <c r="D6" s="1">
        <f t="shared" si="0"/>
        <v>0</v>
      </c>
      <c r="E6" s="4"/>
      <c r="F6" s="4" t="s">
        <v>221</v>
      </c>
      <c r="G6" s="4">
        <f>-155000-9000-5000-58557-120000+71995-103000-132000-180000+34500</f>
        <v>-656062</v>
      </c>
      <c r="J6" s="145"/>
      <c r="L6" s="8" t="s">
        <v>427</v>
      </c>
      <c r="M6" s="89" t="s">
        <v>76</v>
      </c>
      <c r="O6" s="10"/>
    </row>
    <row r="7" spans="1:18" x14ac:dyDescent="0.25">
      <c r="A7" s="1" t="s">
        <v>86</v>
      </c>
      <c r="B7" s="7">
        <v>225133</v>
      </c>
      <c r="C7" s="3">
        <v>225133</v>
      </c>
      <c r="D7" s="1">
        <f t="shared" si="0"/>
        <v>0</v>
      </c>
      <c r="E7" s="4"/>
      <c r="F7" s="63" t="s">
        <v>242</v>
      </c>
      <c r="G7" s="98">
        <f>M22</f>
        <v>207227</v>
      </c>
      <c r="J7" s="164"/>
      <c r="L7" s="8" t="s">
        <v>82</v>
      </c>
      <c r="M7" s="89">
        <v>8423</v>
      </c>
      <c r="O7" s="10"/>
    </row>
    <row r="8" spans="1:18" x14ac:dyDescent="0.25">
      <c r="A8" s="62" t="s">
        <v>316</v>
      </c>
      <c r="B8" s="7">
        <v>77836</v>
      </c>
      <c r="C8" s="9">
        <v>77836</v>
      </c>
      <c r="D8" s="1">
        <f t="shared" si="0"/>
        <v>0</v>
      </c>
      <c r="E8" s="4"/>
      <c r="F8" t="s">
        <v>373</v>
      </c>
      <c r="G8">
        <f>85*1100</f>
        <v>93500</v>
      </c>
      <c r="I8" s="13"/>
      <c r="J8" s="166"/>
      <c r="L8" s="8" t="s">
        <v>293</v>
      </c>
      <c r="M8" s="89">
        <v>136192</v>
      </c>
      <c r="O8" s="10"/>
    </row>
    <row r="9" spans="1:18" x14ac:dyDescent="0.25">
      <c r="A9" s="1" t="s">
        <v>445</v>
      </c>
      <c r="B9" s="6">
        <v>30000</v>
      </c>
      <c r="C9" s="3">
        <f>30000</f>
        <v>30000</v>
      </c>
      <c r="D9" s="1">
        <f t="shared" si="0"/>
        <v>0</v>
      </c>
      <c r="E9" s="144"/>
      <c r="F9" s="4" t="s">
        <v>16</v>
      </c>
      <c r="G9" s="4">
        <v>51000</v>
      </c>
      <c r="J9" s="146"/>
      <c r="L9" s="8"/>
      <c r="M9" s="89"/>
      <c r="O9" s="10"/>
    </row>
    <row r="10" spans="1:18" x14ac:dyDescent="0.25">
      <c r="A10" s="1" t="s">
        <v>11</v>
      </c>
      <c r="B10" s="7">
        <v>80000</v>
      </c>
      <c r="C10" s="3">
        <f>59294+20706</f>
        <v>80000</v>
      </c>
      <c r="D10" s="1">
        <f t="shared" si="0"/>
        <v>0</v>
      </c>
      <c r="E10" s="5"/>
      <c r="F10" s="67" t="s">
        <v>222</v>
      </c>
      <c r="G10" s="120"/>
      <c r="I10" s="78"/>
      <c r="J10" s="10"/>
      <c r="L10" s="8"/>
      <c r="M10" s="89"/>
      <c r="O10" s="10"/>
    </row>
    <row r="11" spans="1:18" x14ac:dyDescent="0.25">
      <c r="A11" s="1" t="s">
        <v>98</v>
      </c>
      <c r="B11" s="7">
        <v>100000</v>
      </c>
      <c r="C11" s="3">
        <v>100000</v>
      </c>
      <c r="D11" s="1">
        <f t="shared" si="0"/>
        <v>0</v>
      </c>
      <c r="E11" s="25" t="s">
        <v>359</v>
      </c>
      <c r="F11" s="64"/>
      <c r="G11" s="44"/>
      <c r="H11" s="4"/>
      <c r="L11" s="8"/>
      <c r="M11" s="89"/>
      <c r="O11" s="10" t="s">
        <v>65</v>
      </c>
      <c r="P11">
        <f>SUM(P2:P10)</f>
        <v>12996</v>
      </c>
    </row>
    <row r="12" spans="1:18" x14ac:dyDescent="0.25">
      <c r="A12" s="1" t="s">
        <v>291</v>
      </c>
      <c r="B12" s="7">
        <v>0</v>
      </c>
      <c r="C12" s="3"/>
      <c r="D12" s="1">
        <f t="shared" si="0"/>
        <v>0</v>
      </c>
      <c r="E12" t="s">
        <v>412</v>
      </c>
      <c r="F12" s="67" t="s">
        <v>75</v>
      </c>
      <c r="G12" s="13">
        <f>-42132-28000-28000-28000-28000+89468</f>
        <v>-64664</v>
      </c>
      <c r="H12" s="4" t="s">
        <v>414</v>
      </c>
      <c r="I12" t="s">
        <v>382</v>
      </c>
      <c r="J12">
        <v>176332</v>
      </c>
      <c r="L12" s="149" t="s">
        <v>65</v>
      </c>
      <c r="M12" s="150">
        <f>SUM(M2:M11)</f>
        <v>156695</v>
      </c>
    </row>
    <row r="13" spans="1:18" ht="15.75" thickBot="1" x14ac:dyDescent="0.3">
      <c r="A13" s="1" t="s">
        <v>240</v>
      </c>
      <c r="B13" s="6">
        <v>15988</v>
      </c>
      <c r="C13" s="3">
        <v>15988</v>
      </c>
      <c r="D13" s="1">
        <f t="shared" si="0"/>
        <v>0</v>
      </c>
      <c r="E13" s="133"/>
      <c r="F13" s="4" t="s">
        <v>158</v>
      </c>
      <c r="G13" s="13">
        <f>-472349-2802266+2800000+151912-2758250+48819+231000+1923730</f>
        <v>-877404</v>
      </c>
      <c r="H13" s="4"/>
      <c r="O13" s="61" t="s">
        <v>259</v>
      </c>
      <c r="P13" s="76">
        <v>470400</v>
      </c>
      <c r="Q13" t="s">
        <v>95</v>
      </c>
      <c r="R13" t="s">
        <v>272</v>
      </c>
    </row>
    <row r="14" spans="1:18" x14ac:dyDescent="0.25">
      <c r="A14" s="1" t="s">
        <v>18</v>
      </c>
      <c r="B14" s="6">
        <v>25000</v>
      </c>
      <c r="C14" s="3">
        <f>14900+100+8770+807+423</f>
        <v>25000</v>
      </c>
      <c r="D14" s="1">
        <f t="shared" si="0"/>
        <v>0</v>
      </c>
      <c r="E14" s="5" t="s">
        <v>451</v>
      </c>
      <c r="F14" s="4" t="s">
        <v>121</v>
      </c>
      <c r="G14" s="13">
        <v>0</v>
      </c>
      <c r="H14" s="10"/>
      <c r="J14" s="13"/>
      <c r="L14" s="61" t="s">
        <v>131</v>
      </c>
      <c r="M14" s="76" t="s">
        <v>132</v>
      </c>
      <c r="O14" s="1" t="s">
        <v>241</v>
      </c>
      <c r="P14" s="75" t="s">
        <v>76</v>
      </c>
      <c r="Q14" s="56" t="s">
        <v>335</v>
      </c>
      <c r="R14" t="s">
        <v>334</v>
      </c>
    </row>
    <row r="15" spans="1:18" x14ac:dyDescent="0.25">
      <c r="A15" s="8" t="s">
        <v>159</v>
      </c>
      <c r="B15" s="7">
        <v>100000</v>
      </c>
      <c r="C15" s="9">
        <v>100000</v>
      </c>
      <c r="D15" s="1">
        <f t="shared" si="0"/>
        <v>0</v>
      </c>
      <c r="E15" s="5"/>
      <c r="F15" s="4" t="s">
        <v>416</v>
      </c>
      <c r="G15" s="88">
        <f>-8000-8000-8000-8000-8000</f>
        <v>-40000</v>
      </c>
      <c r="H15" s="4"/>
      <c r="L15" s="64" t="s">
        <v>428</v>
      </c>
      <c r="M15" s="156">
        <v>110000</v>
      </c>
      <c r="O15" s="1" t="s">
        <v>260</v>
      </c>
      <c r="P15" s="75"/>
      <c r="Q15" s="58"/>
    </row>
    <row r="16" spans="1:18" ht="15.75" thickBot="1" x14ac:dyDescent="0.3">
      <c r="A16" s="1" t="s">
        <v>64</v>
      </c>
      <c r="B16" s="6">
        <v>100413</v>
      </c>
      <c r="C16" s="3">
        <v>100413</v>
      </c>
      <c r="D16" s="1">
        <f t="shared" si="0"/>
        <v>0</v>
      </c>
      <c r="E16" s="5"/>
      <c r="F16" s="4" t="s">
        <v>129</v>
      </c>
      <c r="G16" s="87">
        <f>-30000-30000-30000-30000-30000-30000-30000-30000</f>
        <v>-240000</v>
      </c>
      <c r="H16" s="4"/>
      <c r="J16" s="13"/>
      <c r="L16" s="8" t="s">
        <v>429</v>
      </c>
      <c r="M16" s="89">
        <v>10381</v>
      </c>
      <c r="O16" s="1" t="s">
        <v>261</v>
      </c>
      <c r="P16" s="75"/>
      <c r="Q16" s="58"/>
      <c r="R16" t="s">
        <v>333</v>
      </c>
    </row>
    <row r="17" spans="1:19" ht="15.75" thickBot="1" x14ac:dyDescent="0.3">
      <c r="A17" s="8" t="s">
        <v>161</v>
      </c>
      <c r="B17" s="7">
        <v>25000</v>
      </c>
      <c r="C17" s="9">
        <f>25000</f>
        <v>25000</v>
      </c>
      <c r="D17" s="1">
        <f t="shared" si="0"/>
        <v>0</v>
      </c>
      <c r="E17" s="5"/>
      <c r="F17" s="71" t="s">
        <v>12</v>
      </c>
      <c r="G17" s="72">
        <f>SUM(G1:G16)</f>
        <v>188</v>
      </c>
      <c r="H17" s="16"/>
      <c r="J17" s="13"/>
      <c r="L17" s="96" t="s">
        <v>441</v>
      </c>
      <c r="M17" s="156">
        <v>10624</v>
      </c>
      <c r="O17" s="1" t="s">
        <v>262</v>
      </c>
      <c r="P17" s="75">
        <f>44990</f>
        <v>44990</v>
      </c>
      <c r="Q17" s="58" t="s">
        <v>353</v>
      </c>
      <c r="R17" t="s">
        <v>351</v>
      </c>
    </row>
    <row r="18" spans="1:19" x14ac:dyDescent="0.25">
      <c r="A18" s="6" t="s">
        <v>156</v>
      </c>
      <c r="B18" s="1">
        <v>30000</v>
      </c>
      <c r="C18" s="3">
        <v>30000</v>
      </c>
      <c r="D18" s="1">
        <f>B18-C18</f>
        <v>0</v>
      </c>
      <c r="E18" s="5" t="s">
        <v>292</v>
      </c>
      <c r="F18" s="201" t="s">
        <v>13</v>
      </c>
      <c r="G18" s="202"/>
      <c r="H18" s="203"/>
      <c r="J18" s="13"/>
      <c r="L18" s="96" t="s">
        <v>443</v>
      </c>
      <c r="M18" s="156">
        <v>10539</v>
      </c>
      <c r="O18" s="1" t="s">
        <v>263</v>
      </c>
      <c r="P18" s="75">
        <v>31990</v>
      </c>
      <c r="Q18" s="58" t="s">
        <v>353</v>
      </c>
      <c r="R18" t="s">
        <v>356</v>
      </c>
    </row>
    <row r="19" spans="1:19" x14ac:dyDescent="0.25">
      <c r="A19" s="6" t="s">
        <v>331</v>
      </c>
      <c r="B19" s="6">
        <v>132000</v>
      </c>
      <c r="C19" s="3">
        <v>132000</v>
      </c>
      <c r="D19" s="1">
        <f t="shared" si="0"/>
        <v>0</v>
      </c>
      <c r="E19" s="5" t="s">
        <v>244</v>
      </c>
      <c r="F19" s="8" t="s">
        <v>7</v>
      </c>
      <c r="G19" s="8" t="s">
        <v>8</v>
      </c>
      <c r="H19" s="8" t="s">
        <v>9</v>
      </c>
      <c r="J19" s="13">
        <f>H20-G17</f>
        <v>0</v>
      </c>
      <c r="L19" s="96" t="s">
        <v>447</v>
      </c>
      <c r="M19" s="157">
        <v>10740</v>
      </c>
      <c r="O19" s="1" t="s">
        <v>43</v>
      </c>
      <c r="P19" s="75">
        <f>44990</f>
        <v>44990</v>
      </c>
      <c r="Q19" s="58" t="s">
        <v>353</v>
      </c>
      <c r="R19" t="s">
        <v>351</v>
      </c>
    </row>
    <row r="20" spans="1:19" x14ac:dyDescent="0.25">
      <c r="A20" s="1" t="s">
        <v>42</v>
      </c>
      <c r="B20" s="6">
        <v>55000</v>
      </c>
      <c r="C20" s="3">
        <f>10633+367+17662+6000+16865+3473</f>
        <v>55000</v>
      </c>
      <c r="D20" s="1">
        <f t="shared" si="0"/>
        <v>0</v>
      </c>
      <c r="E20" s="5"/>
      <c r="F20" s="8">
        <f>SUM(D3:D35)+B37</f>
        <v>188</v>
      </c>
      <c r="G20" s="8">
        <v>0</v>
      </c>
      <c r="H20" s="18">
        <f>F20+G20</f>
        <v>188</v>
      </c>
      <c r="L20" s="96" t="s">
        <v>456</v>
      </c>
      <c r="M20" s="157">
        <v>54943</v>
      </c>
      <c r="O20" s="1" t="s">
        <v>264</v>
      </c>
      <c r="P20" s="75">
        <v>24990</v>
      </c>
      <c r="Q20" s="58" t="s">
        <v>353</v>
      </c>
      <c r="R20" t="s">
        <v>358</v>
      </c>
    </row>
    <row r="21" spans="1:19" x14ac:dyDescent="0.25">
      <c r="A21" s="3" t="s">
        <v>288</v>
      </c>
      <c r="B21" s="6">
        <f>15000+37000+15000</f>
        <v>67000</v>
      </c>
      <c r="C21" s="3">
        <f>37000+30000</f>
        <v>67000</v>
      </c>
      <c r="D21" s="1">
        <f t="shared" si="0"/>
        <v>0</v>
      </c>
      <c r="E21" s="5" t="s">
        <v>433</v>
      </c>
      <c r="F21" s="5"/>
      <c r="G21" s="5"/>
      <c r="H21" s="5"/>
      <c r="L21" s="171"/>
      <c r="O21" s="1" t="s">
        <v>265</v>
      </c>
      <c r="P21" s="75">
        <f>34990/2</f>
        <v>17495</v>
      </c>
      <c r="Q21" s="58" t="s">
        <v>353</v>
      </c>
      <c r="R21" t="s">
        <v>352</v>
      </c>
    </row>
    <row r="22" spans="1:19" ht="15.75" thickBot="1" x14ac:dyDescent="0.3">
      <c r="A22" s="61" t="s">
        <v>311</v>
      </c>
      <c r="B22" s="6"/>
      <c r="C22" s="3"/>
      <c r="D22" s="1">
        <f t="shared" si="0"/>
        <v>0</v>
      </c>
      <c r="E22" s="5"/>
      <c r="F22" s="5"/>
      <c r="G22" s="5"/>
      <c r="H22" s="5"/>
      <c r="J22" s="12"/>
      <c r="L22" s="147" t="s">
        <v>65</v>
      </c>
      <c r="M22" s="148">
        <f>SUM(M15:M21)</f>
        <v>207227</v>
      </c>
      <c r="O22" s="1" t="s">
        <v>266</v>
      </c>
      <c r="P22" s="75">
        <v>31990</v>
      </c>
      <c r="Q22" s="58" t="s">
        <v>353</v>
      </c>
      <c r="R22" t="s">
        <v>356</v>
      </c>
      <c r="S22" s="78"/>
    </row>
    <row r="23" spans="1:19" x14ac:dyDescent="0.25">
      <c r="A23" s="1" t="s">
        <v>449</v>
      </c>
      <c r="B23" s="7">
        <v>51800</v>
      </c>
      <c r="C23" s="3">
        <f>1003+1600+11717+26895+2700+5200+1100+1585</f>
        <v>51800</v>
      </c>
      <c r="D23" s="1">
        <f t="shared" si="0"/>
        <v>0</v>
      </c>
      <c r="E23" s="5" t="s">
        <v>448</v>
      </c>
      <c r="F23" s="44"/>
      <c r="G23" s="43"/>
      <c r="H23" s="5"/>
      <c r="I23" t="s">
        <v>31</v>
      </c>
      <c r="J23" s="13">
        <f>G17-D4-D5-D6-D7-D12-D29-D8-D11-D13-D17-D20-D22-D24-D28-D30-D14-D21-D19-D16-D18</f>
        <v>188</v>
      </c>
      <c r="M23" s="95"/>
      <c r="N23" s="10"/>
      <c r="O23" s="1" t="s">
        <v>267</v>
      </c>
      <c r="P23" s="75">
        <f>44990</f>
        <v>44990</v>
      </c>
      <c r="Q23" s="58" t="s">
        <v>353</v>
      </c>
      <c r="R23" t="s">
        <v>351</v>
      </c>
    </row>
    <row r="24" spans="1:19" x14ac:dyDescent="0.25">
      <c r="A24" s="1" t="s">
        <v>426</v>
      </c>
      <c r="B24" s="7">
        <v>35000</v>
      </c>
      <c r="C24" s="3">
        <v>35000</v>
      </c>
      <c r="D24" s="1">
        <f t="shared" si="0"/>
        <v>0</v>
      </c>
      <c r="E24" s="5"/>
      <c r="F24" s="5"/>
      <c r="G24" s="5"/>
      <c r="H24" s="5"/>
      <c r="O24" s="1" t="s">
        <v>270</v>
      </c>
      <c r="P24" s="75">
        <f>95970/3</f>
        <v>31990</v>
      </c>
      <c r="Q24" s="58" t="s">
        <v>353</v>
      </c>
      <c r="R24" t="s">
        <v>356</v>
      </c>
    </row>
    <row r="25" spans="1:19" x14ac:dyDescent="0.25">
      <c r="A25" s="1" t="s">
        <v>24</v>
      </c>
      <c r="B25" s="7">
        <f>85000+18000</f>
        <v>103000</v>
      </c>
      <c r="C25" s="3">
        <f>50000+18000+11880+4000+19120</f>
        <v>103000</v>
      </c>
      <c r="D25" s="1">
        <f t="shared" si="0"/>
        <v>0</v>
      </c>
      <c r="E25" s="5">
        <v>80000</v>
      </c>
      <c r="F25" s="62" t="s">
        <v>89</v>
      </c>
      <c r="G25" s="85">
        <f>SUM(G26:G28)</f>
        <v>5636408</v>
      </c>
      <c r="H25" s="61"/>
      <c r="L25" s="8"/>
      <c r="M25" s="89"/>
      <c r="O25" s="1" t="s">
        <v>271</v>
      </c>
      <c r="P25" s="75">
        <v>7990</v>
      </c>
      <c r="Q25" s="58" t="s">
        <v>353</v>
      </c>
      <c r="R25" t="s">
        <v>357</v>
      </c>
    </row>
    <row r="26" spans="1:19" x14ac:dyDescent="0.25">
      <c r="A26" s="1" t="s">
        <v>63</v>
      </c>
      <c r="B26" s="7">
        <v>85000</v>
      </c>
      <c r="C26" s="3">
        <f>44700+16239+14061+800+9200-7777-4200+92+9672+2213</f>
        <v>85000</v>
      </c>
      <c r="D26" s="1">
        <f t="shared" si="0"/>
        <v>0</v>
      </c>
      <c r="E26" s="5">
        <v>80000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O26" s="1" t="s">
        <v>268</v>
      </c>
      <c r="P26" s="75">
        <v>24190</v>
      </c>
      <c r="Q26" s="58" t="s">
        <v>353</v>
      </c>
      <c r="R26" s="44" t="s">
        <v>355</v>
      </c>
    </row>
    <row r="27" spans="1:19" x14ac:dyDescent="0.25">
      <c r="A27" s="1" t="s">
        <v>27</v>
      </c>
      <c r="B27" s="7">
        <f>8800+4400</f>
        <v>13200</v>
      </c>
      <c r="C27" s="3">
        <f>4400+4400+4400</f>
        <v>13200</v>
      </c>
      <c r="D27" s="1">
        <f t="shared" si="0"/>
        <v>0</v>
      </c>
      <c r="E27" s="5">
        <v>8400</v>
      </c>
      <c r="F27" s="8" t="s">
        <v>97</v>
      </c>
      <c r="G27" s="89">
        <f>AHRROS!B9</f>
        <v>5636408</v>
      </c>
      <c r="H27" s="8"/>
      <c r="I27" t="s">
        <v>105</v>
      </c>
      <c r="J27" s="74">
        <f>'Colegio Agus'!K7-G25</f>
        <v>602221.37200000044</v>
      </c>
      <c r="L27" s="8"/>
      <c r="M27" s="89"/>
      <c r="O27" s="1" t="s">
        <v>269</v>
      </c>
      <c r="P27" s="75">
        <f>34990/2</f>
        <v>17495</v>
      </c>
      <c r="Q27" s="58" t="s">
        <v>353</v>
      </c>
      <c r="R27" t="s">
        <v>352</v>
      </c>
    </row>
    <row r="28" spans="1:19" x14ac:dyDescent="0.25">
      <c r="A28" s="1" t="s">
        <v>3</v>
      </c>
      <c r="B28" s="6">
        <v>140000</v>
      </c>
      <c r="C28" s="3">
        <f>45865+6600+16042+11493+60000</f>
        <v>140000</v>
      </c>
      <c r="D28" s="1">
        <f t="shared" si="0"/>
        <v>0</v>
      </c>
      <c r="E28" s="5">
        <v>140000</v>
      </c>
      <c r="F28" s="8" t="s">
        <v>91</v>
      </c>
      <c r="G28" s="89">
        <v>0</v>
      </c>
      <c r="H28" s="8"/>
      <c r="I28" t="s">
        <v>106</v>
      </c>
      <c r="J28">
        <v>3</v>
      </c>
      <c r="K28" t="s">
        <v>312</v>
      </c>
      <c r="L28" s="8"/>
      <c r="M28" s="89"/>
      <c r="O28" s="1" t="s">
        <v>273</v>
      </c>
      <c r="P28" s="75"/>
      <c r="Q28" s="58"/>
    </row>
    <row r="29" spans="1:19" x14ac:dyDescent="0.25">
      <c r="A29" s="6"/>
      <c r="B29" s="6"/>
      <c r="C29" s="3"/>
      <c r="D29" s="1">
        <f t="shared" si="0"/>
        <v>0</v>
      </c>
      <c r="E29" s="5" t="s">
        <v>379</v>
      </c>
      <c r="F29" s="5"/>
      <c r="G29" s="5"/>
      <c r="H29" s="5"/>
      <c r="I29" t="s">
        <v>107</v>
      </c>
      <c r="J29" s="74">
        <f>J27/J28</f>
        <v>200740.45733333347</v>
      </c>
      <c r="L29" s="1"/>
      <c r="M29" s="89"/>
      <c r="O29" s="1" t="s">
        <v>274</v>
      </c>
      <c r="P29" s="75"/>
      <c r="Q29" s="58"/>
    </row>
    <row r="30" spans="1:19" x14ac:dyDescent="0.25">
      <c r="A30" s="61" t="s">
        <v>413</v>
      </c>
      <c r="B30" s="6">
        <v>8000</v>
      </c>
      <c r="C30" s="3">
        <v>8000</v>
      </c>
      <c r="D30" s="1">
        <f t="shared" si="0"/>
        <v>0</v>
      </c>
      <c r="E30" s="5" t="s">
        <v>296</v>
      </c>
      <c r="F30" s="5"/>
      <c r="G30" s="5"/>
      <c r="H30" s="5"/>
      <c r="L30" s="8"/>
      <c r="M30" s="89"/>
      <c r="O30" s="1" t="s">
        <v>354</v>
      </c>
      <c r="P30" s="75">
        <v>21990</v>
      </c>
      <c r="Q30" s="58" t="s">
        <v>353</v>
      </c>
    </row>
    <row r="31" spans="1:19" x14ac:dyDescent="0.25">
      <c r="A31" s="1" t="s">
        <v>79</v>
      </c>
      <c r="B31" s="6">
        <v>28000</v>
      </c>
      <c r="C31" s="3">
        <v>28000</v>
      </c>
      <c r="D31" s="1">
        <f t="shared" si="0"/>
        <v>0</v>
      </c>
      <c r="E31" t="s">
        <v>368</v>
      </c>
      <c r="F31" s="5"/>
      <c r="G31" s="5"/>
      <c r="H31" s="5"/>
      <c r="L31" s="1"/>
      <c r="M31" s="137"/>
      <c r="O31" s="1" t="s">
        <v>276</v>
      </c>
      <c r="P31" s="75"/>
      <c r="Q31" s="58"/>
    </row>
    <row r="32" spans="1:19" x14ac:dyDescent="0.25">
      <c r="A32" s="1" t="s">
        <v>430</v>
      </c>
      <c r="B32" s="6"/>
      <c r="C32" s="3"/>
      <c r="D32" s="1">
        <f t="shared" si="0"/>
        <v>0</v>
      </c>
      <c r="E32" t="s">
        <v>328</v>
      </c>
      <c r="F32" s="5"/>
      <c r="G32" s="5"/>
      <c r="H32" s="5"/>
      <c r="L32" s="1"/>
      <c r="M32" s="137"/>
      <c r="O32" s="1" t="s">
        <v>278</v>
      </c>
      <c r="P32" s="75"/>
      <c r="Q32" s="58"/>
    </row>
    <row r="33" spans="1:17" x14ac:dyDescent="0.25">
      <c r="A33" s="96" t="s">
        <v>243</v>
      </c>
      <c r="B33" s="6">
        <v>32000</v>
      </c>
      <c r="C33" s="3">
        <v>32000</v>
      </c>
      <c r="D33" s="1">
        <f t="shared" si="0"/>
        <v>0</v>
      </c>
      <c r="E33" s="5" t="s">
        <v>313</v>
      </c>
      <c r="F33" s="5"/>
      <c r="G33" s="5"/>
      <c r="H33" s="5"/>
      <c r="O33" s="1" t="s">
        <v>277</v>
      </c>
      <c r="P33" s="75"/>
      <c r="Q33" s="58"/>
    </row>
    <row r="34" spans="1:17" ht="15.75" thickBot="1" x14ac:dyDescent="0.3">
      <c r="A34" s="1" t="s">
        <v>162</v>
      </c>
      <c r="B34" s="6">
        <v>10000</v>
      </c>
      <c r="C34" s="3">
        <f>5690+2100+2210</f>
        <v>10000</v>
      </c>
      <c r="D34" s="1">
        <f t="shared" si="0"/>
        <v>0</v>
      </c>
      <c r="E34" s="5" t="s">
        <v>374</v>
      </c>
      <c r="F34" s="5"/>
      <c r="G34" s="5"/>
      <c r="H34" s="5"/>
      <c r="O34" s="47" t="s">
        <v>275</v>
      </c>
    </row>
    <row r="35" spans="1:17" ht="15.75" thickBot="1" x14ac:dyDescent="0.3">
      <c r="A35" s="1" t="s">
        <v>19</v>
      </c>
      <c r="B35" s="1">
        <v>200000</v>
      </c>
      <c r="C35" s="9">
        <f>8965+38720+1600+3000+13470+2570+1715+1640+1600+3000+35310+2599+16500-213+1690+3000+1400+25000+17142+2200+6550+12542</f>
        <v>200000</v>
      </c>
      <c r="D35" s="1">
        <f t="shared" si="0"/>
        <v>0</v>
      </c>
      <c r="E35" s="5"/>
      <c r="F35" s="5"/>
      <c r="G35" s="17"/>
      <c r="H35" s="5" t="s">
        <v>26</v>
      </c>
      <c r="L35" s="91"/>
      <c r="M35" s="138"/>
      <c r="O35" s="1" t="s">
        <v>65</v>
      </c>
      <c r="P35" s="75">
        <f>SUM(P14:P33)</f>
        <v>345090</v>
      </c>
    </row>
    <row r="36" spans="1:17" x14ac:dyDescent="0.25">
      <c r="A36" s="2" t="s">
        <v>1</v>
      </c>
      <c r="B36" s="2">
        <f>SUM(B3:B35)</f>
        <v>2651250</v>
      </c>
      <c r="C36" s="2">
        <f>SUM(C3:C35)</f>
        <v>2651250</v>
      </c>
      <c r="D36" s="2"/>
      <c r="E36" s="5"/>
      <c r="F36" s="5"/>
      <c r="G36" s="5"/>
      <c r="H36" s="5"/>
      <c r="O36" s="84"/>
      <c r="P36" s="74"/>
    </row>
    <row r="37" spans="1:17" ht="15.75" thickBot="1" x14ac:dyDescent="0.3">
      <c r="A37" s="2" t="s">
        <v>2</v>
      </c>
      <c r="B37" s="2">
        <f>B2-B36</f>
        <v>188</v>
      </c>
      <c r="C37" s="2">
        <f>C2-C36</f>
        <v>188</v>
      </c>
      <c r="D37" s="2"/>
      <c r="E37" s="5"/>
      <c r="F37" s="5"/>
      <c r="G37" s="5"/>
      <c r="H37" s="5"/>
      <c r="J37">
        <f>2752586</f>
        <v>2752586</v>
      </c>
      <c r="O37" s="47"/>
      <c r="P37" s="74"/>
    </row>
    <row r="38" spans="1:17" x14ac:dyDescent="0.25">
      <c r="D38">
        <f>SUM(D3:D35)</f>
        <v>0</v>
      </c>
      <c r="E38" s="5"/>
      <c r="F38" s="5"/>
      <c r="G38" s="5"/>
      <c r="H38" s="5"/>
      <c r="J38">
        <f>574857</f>
        <v>574857</v>
      </c>
      <c r="O38" s="83" t="s">
        <v>279</v>
      </c>
      <c r="P38" s="79"/>
    </row>
    <row r="39" spans="1:17" x14ac:dyDescent="0.25">
      <c r="E39" s="5"/>
      <c r="F39" s="5"/>
      <c r="G39" s="5"/>
      <c r="H39" s="5"/>
      <c r="J39">
        <f>J37-J38</f>
        <v>2177729</v>
      </c>
      <c r="O39" s="80"/>
      <c r="P39" s="81"/>
    </row>
    <row r="40" spans="1:17" x14ac:dyDescent="0.25">
      <c r="E40" s="5"/>
      <c r="O40" s="80"/>
      <c r="P40" s="81"/>
    </row>
    <row r="41" spans="1:17" x14ac:dyDescent="0.25">
      <c r="E41" s="5"/>
      <c r="O41" s="80"/>
      <c r="P41" s="81"/>
    </row>
    <row r="42" spans="1:17" x14ac:dyDescent="0.25">
      <c r="O42" s="80"/>
      <c r="P42" s="81"/>
    </row>
    <row r="43" spans="1:17" x14ac:dyDescent="0.25">
      <c r="O43" s="80"/>
      <c r="P43" s="81"/>
    </row>
    <row r="44" spans="1:17" x14ac:dyDescent="0.25">
      <c r="O44" s="80"/>
      <c r="P44" s="81"/>
    </row>
    <row r="45" spans="1:17" x14ac:dyDescent="0.25">
      <c r="O45" s="80"/>
      <c r="P45" s="81"/>
    </row>
    <row r="46" spans="1:17" x14ac:dyDescent="0.25">
      <c r="O46" s="139"/>
      <c r="P46" s="140"/>
    </row>
    <row r="47" spans="1:17" x14ac:dyDescent="0.25">
      <c r="O47" s="57"/>
      <c r="P47" s="81"/>
    </row>
    <row r="48" spans="1:17" ht="15.75" thickBot="1" x14ac:dyDescent="0.3">
      <c r="O48" s="59"/>
      <c r="P48" s="82"/>
    </row>
    <row r="49" spans="15:16" x14ac:dyDescent="0.25">
      <c r="P49" s="74"/>
    </row>
    <row r="50" spans="15:16" x14ac:dyDescent="0.25">
      <c r="O50" s="10" t="s">
        <v>92</v>
      </c>
      <c r="P50" s="77">
        <f>SUM(P14:P33)</f>
        <v>345090</v>
      </c>
    </row>
    <row r="51" spans="15:16" x14ac:dyDescent="0.25">
      <c r="O51" s="10"/>
      <c r="P51" s="77"/>
    </row>
    <row r="52" spans="15:16" x14ac:dyDescent="0.25">
      <c r="O52" s="10" t="s">
        <v>93</v>
      </c>
      <c r="P52" s="77">
        <f>P13-P50</f>
        <v>125310</v>
      </c>
    </row>
    <row r="53" spans="15:16" x14ac:dyDescent="0.25">
      <c r="O53" s="10"/>
      <c r="P53" s="77"/>
    </row>
    <row r="54" spans="15:16" x14ac:dyDescent="0.25">
      <c r="O54" s="10" t="s">
        <v>94</v>
      </c>
      <c r="P54" s="77">
        <f>P13-SUMIF(Q14:Q33,"GIFTCARD",P14:P33)-SUM(P39:P48)</f>
        <v>125310</v>
      </c>
    </row>
    <row r="56" spans="15:16" x14ac:dyDescent="0.25">
      <c r="O56" t="s">
        <v>99</v>
      </c>
      <c r="P56" s="78">
        <f>P54-G6</f>
        <v>781372</v>
      </c>
    </row>
  </sheetData>
  <mergeCells count="1">
    <mergeCell ref="F18:H18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17"/>
  <dimension ref="A1:S56"/>
  <sheetViews>
    <sheetView zoomScale="80" zoomScaleNormal="80" workbookViewId="0">
      <selection activeCell="L15" sqref="L15:M20"/>
    </sheetView>
  </sheetViews>
  <sheetFormatPr baseColWidth="10" defaultColWidth="23.28515625" defaultRowHeight="15" x14ac:dyDescent="0.25"/>
  <cols>
    <col min="1" max="1" width="35.140625" bestFit="1" customWidth="1"/>
    <col min="2" max="2" width="17.5703125" bestFit="1" customWidth="1"/>
    <col min="3" max="3" width="16.5703125" bestFit="1" customWidth="1"/>
    <col min="4" max="4" width="11.7109375" customWidth="1"/>
    <col min="5" max="5" width="23" customWidth="1"/>
    <col min="6" max="6" width="26.42578125" customWidth="1"/>
    <col min="7" max="7" width="14" bestFit="1" customWidth="1"/>
    <col min="8" max="8" width="20.85546875" customWidth="1"/>
    <col min="9" max="9" width="21.85546875" customWidth="1"/>
    <col min="10" max="10" width="13" bestFit="1" customWidth="1"/>
    <col min="11" max="11" width="8.140625" bestFit="1" customWidth="1"/>
    <col min="12" max="12" width="24.140625" customWidth="1"/>
    <col min="13" max="13" width="14.42578125" bestFit="1" customWidth="1"/>
    <col min="14" max="14" width="4.28515625" customWidth="1"/>
    <col min="15" max="15" width="43.42578125" customWidth="1"/>
    <col min="16" max="16" width="17.7109375" customWidth="1"/>
    <col min="17" max="17" width="24.28515625" customWidth="1"/>
  </cols>
  <sheetData>
    <row r="1" spans="1:18" x14ac:dyDescent="0.25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4489110</v>
      </c>
      <c r="H1" s="11"/>
      <c r="I1" s="10"/>
      <c r="L1" s="168" t="s">
        <v>83</v>
      </c>
      <c r="M1" s="168"/>
      <c r="O1" s="10" t="s">
        <v>72</v>
      </c>
    </row>
    <row r="2" spans="1:18" x14ac:dyDescent="0.25">
      <c r="A2" s="2"/>
      <c r="B2" s="90">
        <f>2649085</f>
        <v>2649085</v>
      </c>
      <c r="C2" s="90">
        <f>2649085+24905+366</f>
        <v>2674356</v>
      </c>
      <c r="D2" s="2"/>
      <c r="E2" s="4"/>
      <c r="F2" s="63" t="s">
        <v>73</v>
      </c>
      <c r="G2">
        <f>M12</f>
        <v>100752</v>
      </c>
      <c r="I2" s="132"/>
      <c r="L2" s="89" t="s">
        <v>81</v>
      </c>
      <c r="M2" s="89">
        <v>7800</v>
      </c>
      <c r="O2" s="10"/>
    </row>
    <row r="3" spans="1:18" x14ac:dyDescent="0.25">
      <c r="A3" s="1" t="s">
        <v>0</v>
      </c>
      <c r="B3" s="6">
        <v>200000</v>
      </c>
      <c r="C3" s="3">
        <f>6412-188+24821+27900+14480+25575-259+26092+19549+22223+33395-1020-34500-4124+35462+4182</f>
        <v>200000</v>
      </c>
      <c r="D3" s="1">
        <f>B3-C3</f>
        <v>0</v>
      </c>
      <c r="E3" s="97">
        <v>190000</v>
      </c>
      <c r="F3" s="63" t="s">
        <v>130</v>
      </c>
      <c r="G3">
        <f>P11</f>
        <v>0</v>
      </c>
      <c r="I3" s="74"/>
      <c r="L3" s="89" t="s">
        <v>128</v>
      </c>
      <c r="M3" s="89" t="s">
        <v>76</v>
      </c>
      <c r="O3" s="10"/>
    </row>
    <row r="4" spans="1:18" x14ac:dyDescent="0.25">
      <c r="A4" s="1" t="s">
        <v>62</v>
      </c>
      <c r="B4" s="6">
        <v>642712</v>
      </c>
      <c r="C4" s="3">
        <v>642712</v>
      </c>
      <c r="D4" s="1">
        <f t="shared" ref="D4:D35" si="0">B4-C4</f>
        <v>0</v>
      </c>
      <c r="E4" s="4" t="s">
        <v>459</v>
      </c>
      <c r="F4" t="s">
        <v>304</v>
      </c>
      <c r="G4" s="121">
        <f>-207000-34500+34500+34500</f>
        <v>-172500</v>
      </c>
      <c r="H4" s="170" t="s">
        <v>450</v>
      </c>
      <c r="I4" s="78"/>
      <c r="L4" s="89" t="s">
        <v>287</v>
      </c>
      <c r="M4" s="89" t="s">
        <v>76</v>
      </c>
      <c r="O4" s="10"/>
    </row>
    <row r="5" spans="1:18" x14ac:dyDescent="0.25">
      <c r="A5" s="1" t="s">
        <v>128</v>
      </c>
      <c r="B5" s="6">
        <v>30000</v>
      </c>
      <c r="C5" s="3">
        <v>30000</v>
      </c>
      <c r="D5" s="1">
        <f t="shared" si="0"/>
        <v>0</v>
      </c>
      <c r="E5" s="4"/>
      <c r="F5" t="s">
        <v>483</v>
      </c>
      <c r="G5">
        <v>-2747668</v>
      </c>
      <c r="I5" s="78"/>
      <c r="J5" s="88"/>
      <c r="L5" s="89" t="s">
        <v>427</v>
      </c>
      <c r="M5" s="89" t="s">
        <v>76</v>
      </c>
      <c r="O5" s="10"/>
    </row>
    <row r="6" spans="1:18" x14ac:dyDescent="0.25">
      <c r="A6" s="1" t="s">
        <v>81</v>
      </c>
      <c r="B6" s="6">
        <v>5220</v>
      </c>
      <c r="C6" s="3">
        <v>5220</v>
      </c>
      <c r="D6" s="1">
        <f t="shared" si="0"/>
        <v>0</v>
      </c>
      <c r="E6" s="4"/>
      <c r="F6" s="4" t="s">
        <v>221</v>
      </c>
      <c r="G6" s="4">
        <v>5144</v>
      </c>
      <c r="J6" s="145"/>
      <c r="L6" s="89" t="s">
        <v>82</v>
      </c>
      <c r="M6" s="89">
        <v>9072</v>
      </c>
      <c r="O6" s="10"/>
    </row>
    <row r="7" spans="1:18" x14ac:dyDescent="0.25">
      <c r="A7" s="1" t="s">
        <v>86</v>
      </c>
      <c r="B7" s="7">
        <v>203247</v>
      </c>
      <c r="C7" s="3">
        <v>203247</v>
      </c>
      <c r="D7" s="1">
        <f t="shared" si="0"/>
        <v>0</v>
      </c>
      <c r="E7" s="4"/>
      <c r="F7" s="63" t="s">
        <v>242</v>
      </c>
      <c r="G7" s="98">
        <f>M22</f>
        <v>193547</v>
      </c>
      <c r="J7" s="164"/>
      <c r="L7" s="89" t="s">
        <v>293</v>
      </c>
      <c r="M7" s="89" t="s">
        <v>76</v>
      </c>
      <c r="O7" s="10"/>
    </row>
    <row r="8" spans="1:18" x14ac:dyDescent="0.25">
      <c r="A8" s="62" t="s">
        <v>316</v>
      </c>
      <c r="B8" s="7">
        <v>78039</v>
      </c>
      <c r="C8" s="9">
        <v>78039</v>
      </c>
      <c r="D8" s="1">
        <f t="shared" si="0"/>
        <v>0</v>
      </c>
      <c r="E8" s="4"/>
      <c r="I8" s="13"/>
      <c r="J8" s="166"/>
      <c r="L8" s="89" t="s">
        <v>85</v>
      </c>
      <c r="M8" s="89">
        <f>11100</f>
        <v>11100</v>
      </c>
      <c r="O8" s="10"/>
    </row>
    <row r="9" spans="1:18" x14ac:dyDescent="0.25">
      <c r="A9" s="1" t="s">
        <v>445</v>
      </c>
      <c r="B9" s="6">
        <v>30000</v>
      </c>
      <c r="C9" s="3">
        <f>6333+2088+21579</f>
        <v>30000</v>
      </c>
      <c r="D9" s="1">
        <f t="shared" si="0"/>
        <v>0</v>
      </c>
      <c r="E9" s="144"/>
      <c r="F9" s="4" t="s">
        <v>16</v>
      </c>
      <c r="G9" s="4">
        <v>30000</v>
      </c>
      <c r="J9" s="146"/>
      <c r="L9" s="172"/>
      <c r="M9" s="87"/>
      <c r="O9" s="10"/>
    </row>
    <row r="10" spans="1:18" x14ac:dyDescent="0.25">
      <c r="A10" s="1" t="s">
        <v>11</v>
      </c>
      <c r="B10" s="7">
        <v>80000</v>
      </c>
      <c r="C10" s="3">
        <f>12990+12951+5000+21990+780+9990+16299</f>
        <v>80000</v>
      </c>
      <c r="D10" s="1">
        <f t="shared" si="0"/>
        <v>0</v>
      </c>
      <c r="E10" s="5"/>
      <c r="F10" s="67" t="s">
        <v>222</v>
      </c>
      <c r="G10" s="120"/>
      <c r="I10" s="78"/>
      <c r="J10" s="10"/>
      <c r="L10" s="89" t="s">
        <v>258</v>
      </c>
      <c r="M10" s="89">
        <v>57980</v>
      </c>
      <c r="O10" s="10"/>
    </row>
    <row r="11" spans="1:18" x14ac:dyDescent="0.25">
      <c r="A11" s="1" t="s">
        <v>462</v>
      </c>
      <c r="B11" s="7">
        <v>100000</v>
      </c>
      <c r="C11" s="3">
        <v>100000</v>
      </c>
      <c r="D11" s="1">
        <f t="shared" si="0"/>
        <v>0</v>
      </c>
      <c r="E11" s="25" t="s">
        <v>359</v>
      </c>
      <c r="F11" s="64"/>
      <c r="G11" s="44"/>
      <c r="H11" s="4"/>
      <c r="L11" s="89" t="s">
        <v>482</v>
      </c>
      <c r="M11" s="89">
        <f>14800</f>
        <v>14800</v>
      </c>
      <c r="O11" s="10" t="s">
        <v>65</v>
      </c>
      <c r="P11">
        <f>SUM(P2:P10)</f>
        <v>0</v>
      </c>
    </row>
    <row r="12" spans="1:18" x14ac:dyDescent="0.25">
      <c r="A12" s="1" t="s">
        <v>463</v>
      </c>
      <c r="B12" s="7">
        <v>30000</v>
      </c>
      <c r="C12" s="3">
        <v>30000</v>
      </c>
      <c r="D12" s="1">
        <f t="shared" si="0"/>
        <v>0</v>
      </c>
      <c r="E12" t="s">
        <v>412</v>
      </c>
      <c r="F12" s="67" t="s">
        <v>75</v>
      </c>
      <c r="G12" s="13">
        <f>-42132-28000-28000-28000-28000+89468-28000</f>
        <v>-92664</v>
      </c>
      <c r="H12" s="4" t="s">
        <v>414</v>
      </c>
      <c r="I12" t="s">
        <v>382</v>
      </c>
      <c r="J12">
        <v>176332</v>
      </c>
      <c r="L12" s="149" t="s">
        <v>65</v>
      </c>
      <c r="M12" s="150">
        <f>SUM(M2:M11)</f>
        <v>100752</v>
      </c>
    </row>
    <row r="13" spans="1:18" ht="15.75" thickBot="1" x14ac:dyDescent="0.3">
      <c r="A13" s="1" t="s">
        <v>240</v>
      </c>
      <c r="B13" s="6">
        <v>15988</v>
      </c>
      <c r="C13" s="3">
        <v>15988</v>
      </c>
      <c r="D13" s="1">
        <f t="shared" si="0"/>
        <v>0</v>
      </c>
      <c r="E13" s="133"/>
      <c r="F13" s="4" t="s">
        <v>158</v>
      </c>
      <c r="G13" s="13">
        <f>-500000-1500000+1617804+412273-1500000</f>
        <v>-1469923</v>
      </c>
      <c r="H13" s="4"/>
      <c r="O13" s="61" t="s">
        <v>259</v>
      </c>
      <c r="P13" s="76">
        <v>470400</v>
      </c>
      <c r="Q13" t="s">
        <v>95</v>
      </c>
      <c r="R13" t="s">
        <v>272</v>
      </c>
    </row>
    <row r="14" spans="1:18" x14ac:dyDescent="0.25">
      <c r="A14" s="1" t="s">
        <v>18</v>
      </c>
      <c r="B14" s="6">
        <v>25000</v>
      </c>
      <c r="C14" s="3">
        <f>25000</f>
        <v>25000</v>
      </c>
      <c r="D14" s="1">
        <f t="shared" si="0"/>
        <v>0</v>
      </c>
      <c r="E14" s="5" t="s">
        <v>451</v>
      </c>
      <c r="F14" s="4" t="s">
        <v>121</v>
      </c>
      <c r="G14" s="13"/>
      <c r="H14" s="10"/>
      <c r="J14" s="13"/>
      <c r="L14" s="61" t="s">
        <v>131</v>
      </c>
      <c r="M14" s="76" t="s">
        <v>132</v>
      </c>
      <c r="O14" s="1" t="s">
        <v>241</v>
      </c>
      <c r="P14" s="75" t="s">
        <v>76</v>
      </c>
      <c r="Q14" s="56" t="s">
        <v>335</v>
      </c>
      <c r="R14" t="s">
        <v>334</v>
      </c>
    </row>
    <row r="15" spans="1:18" x14ac:dyDescent="0.25">
      <c r="A15" s="8" t="s">
        <v>159</v>
      </c>
      <c r="B15" s="7">
        <v>100000</v>
      </c>
      <c r="C15" s="9">
        <v>100000</v>
      </c>
      <c r="D15" s="1">
        <f t="shared" si="0"/>
        <v>0</v>
      </c>
      <c r="E15" s="5"/>
      <c r="F15" s="4" t="s">
        <v>416</v>
      </c>
      <c r="G15" s="88">
        <f>-8000-8000-8000-8000-8000-8000</f>
        <v>-48000</v>
      </c>
      <c r="H15" s="4"/>
      <c r="L15" s="64" t="s">
        <v>428</v>
      </c>
      <c r="M15" s="156">
        <v>110000</v>
      </c>
      <c r="O15" s="1" t="s">
        <v>260</v>
      </c>
      <c r="P15" s="75"/>
      <c r="Q15" s="58"/>
    </row>
    <row r="16" spans="1:18" ht="15.75" thickBot="1" x14ac:dyDescent="0.3">
      <c r="A16" s="1" t="s">
        <v>64</v>
      </c>
      <c r="B16" s="6">
        <v>101024</v>
      </c>
      <c r="C16" s="3">
        <v>101024</v>
      </c>
      <c r="D16" s="1">
        <f t="shared" si="0"/>
        <v>0</v>
      </c>
      <c r="E16" s="5"/>
      <c r="F16" s="4" t="s">
        <v>129</v>
      </c>
      <c r="G16" s="87">
        <f>-30000-30000-30000-30000-30000-30000-30000-30000-30000</f>
        <v>-270000</v>
      </c>
      <c r="H16" s="4"/>
      <c r="J16" s="13"/>
      <c r="L16" s="8" t="s">
        <v>429</v>
      </c>
      <c r="M16" s="89">
        <f>-17716+11302+4500+9981</f>
        <v>8067</v>
      </c>
      <c r="O16" s="1" t="s">
        <v>261</v>
      </c>
      <c r="P16" s="75"/>
      <c r="Q16" s="58"/>
      <c r="R16" t="s">
        <v>333</v>
      </c>
    </row>
    <row r="17" spans="1:19" ht="15.75" thickBot="1" x14ac:dyDescent="0.3">
      <c r="A17" s="8" t="s">
        <v>161</v>
      </c>
      <c r="B17" s="7">
        <v>25000</v>
      </c>
      <c r="C17" s="9">
        <f>3000+17000+5000</f>
        <v>25000</v>
      </c>
      <c r="D17" s="1">
        <f t="shared" si="0"/>
        <v>0</v>
      </c>
      <c r="E17" s="5"/>
      <c r="F17" s="71" t="s">
        <v>12</v>
      </c>
      <c r="G17" s="72">
        <f>SUM(G1:G16)</f>
        <v>17798</v>
      </c>
      <c r="H17" s="16"/>
      <c r="J17" s="13"/>
      <c r="L17" s="96" t="s">
        <v>468</v>
      </c>
      <c r="M17" s="156">
        <v>5670</v>
      </c>
      <c r="O17" s="1" t="s">
        <v>262</v>
      </c>
      <c r="P17" s="75">
        <f>44990</f>
        <v>44990</v>
      </c>
      <c r="Q17" s="58" t="s">
        <v>353</v>
      </c>
      <c r="R17" t="s">
        <v>351</v>
      </c>
    </row>
    <row r="18" spans="1:19" x14ac:dyDescent="0.25">
      <c r="A18" s="6" t="s">
        <v>156</v>
      </c>
      <c r="B18" s="1">
        <v>30000</v>
      </c>
      <c r="C18" s="3">
        <v>30000</v>
      </c>
      <c r="D18" s="1">
        <f>B18-C18</f>
        <v>0</v>
      </c>
      <c r="E18" s="5" t="s">
        <v>292</v>
      </c>
      <c r="F18" s="201" t="s">
        <v>13</v>
      </c>
      <c r="G18" s="202"/>
      <c r="H18" s="203"/>
      <c r="J18" s="13"/>
      <c r="L18" s="96" t="s">
        <v>477</v>
      </c>
      <c r="M18" s="156">
        <f>8140+27170</f>
        <v>35310</v>
      </c>
      <c r="O18" s="1" t="s">
        <v>263</v>
      </c>
      <c r="P18" s="75">
        <v>31990</v>
      </c>
      <c r="Q18" s="58" t="s">
        <v>353</v>
      </c>
      <c r="R18" t="s">
        <v>356</v>
      </c>
    </row>
    <row r="19" spans="1:19" x14ac:dyDescent="0.25">
      <c r="A19" s="6" t="s">
        <v>331</v>
      </c>
      <c r="B19" s="6">
        <v>150000</v>
      </c>
      <c r="C19" s="3">
        <v>150000</v>
      </c>
      <c r="D19" s="1">
        <f t="shared" si="0"/>
        <v>0</v>
      </c>
      <c r="E19" s="5" t="s">
        <v>244</v>
      </c>
      <c r="F19" s="8" t="s">
        <v>7</v>
      </c>
      <c r="G19" s="8" t="s">
        <v>8</v>
      </c>
      <c r="H19" s="8" t="s">
        <v>9</v>
      </c>
      <c r="J19" s="13">
        <f>H20-G17</f>
        <v>0</v>
      </c>
      <c r="L19" s="96" t="s">
        <v>478</v>
      </c>
      <c r="M19" s="157">
        <v>34500</v>
      </c>
      <c r="O19" s="1" t="s">
        <v>43</v>
      </c>
      <c r="P19" s="75">
        <f>44990</f>
        <v>44990</v>
      </c>
      <c r="Q19" s="58" t="s">
        <v>353</v>
      </c>
      <c r="R19" t="s">
        <v>351</v>
      </c>
    </row>
    <row r="20" spans="1:19" x14ac:dyDescent="0.25">
      <c r="A20" s="1" t="s">
        <v>42</v>
      </c>
      <c r="B20" s="6">
        <v>55000</v>
      </c>
      <c r="C20" s="3">
        <f>32600+8958+442+13000</f>
        <v>55000</v>
      </c>
      <c r="D20" s="1">
        <f t="shared" si="0"/>
        <v>0</v>
      </c>
      <c r="E20" s="5"/>
      <c r="F20" s="8">
        <f>SUM(D3:D35)+B37</f>
        <v>17798</v>
      </c>
      <c r="G20" s="8">
        <v>0</v>
      </c>
      <c r="H20" s="18">
        <f>F20+G20</f>
        <v>17798</v>
      </c>
      <c r="L20" s="96"/>
      <c r="M20" s="157"/>
      <c r="O20" s="1" t="s">
        <v>264</v>
      </c>
      <c r="P20" s="75">
        <v>24990</v>
      </c>
      <c r="Q20" s="58" t="s">
        <v>353</v>
      </c>
      <c r="R20" t="s">
        <v>358</v>
      </c>
    </row>
    <row r="21" spans="1:19" x14ac:dyDescent="0.25">
      <c r="A21" s="3" t="s">
        <v>288</v>
      </c>
      <c r="B21" s="6">
        <f>15000+37000</f>
        <v>52000</v>
      </c>
      <c r="C21" s="3">
        <f>52000-15000+15000</f>
        <v>52000</v>
      </c>
      <c r="D21" s="1">
        <f t="shared" si="0"/>
        <v>0</v>
      </c>
      <c r="E21" s="5" t="s">
        <v>433</v>
      </c>
      <c r="F21" s="5"/>
      <c r="G21" s="5"/>
      <c r="H21" s="5"/>
      <c r="L21" s="171"/>
      <c r="O21" s="1" t="s">
        <v>265</v>
      </c>
      <c r="P21" s="75">
        <f>34990/2</f>
        <v>17495</v>
      </c>
      <c r="Q21" s="58" t="s">
        <v>353</v>
      </c>
      <c r="R21" t="s">
        <v>352</v>
      </c>
    </row>
    <row r="22" spans="1:19" ht="15.75" thickBot="1" x14ac:dyDescent="0.3">
      <c r="A22" s="61" t="s">
        <v>311</v>
      </c>
      <c r="B22" s="6"/>
      <c r="C22" s="3"/>
      <c r="D22" s="1">
        <f t="shared" si="0"/>
        <v>0</v>
      </c>
      <c r="E22" s="5"/>
      <c r="F22" s="5"/>
      <c r="G22" s="5"/>
      <c r="H22" s="5"/>
      <c r="J22" s="12"/>
      <c r="L22" s="147" t="s">
        <v>65</v>
      </c>
      <c r="M22" s="148">
        <f>SUM(M15:M21)</f>
        <v>193547</v>
      </c>
      <c r="O22" s="1" t="s">
        <v>266</v>
      </c>
      <c r="P22" s="75">
        <v>31990</v>
      </c>
      <c r="Q22" s="58" t="s">
        <v>353</v>
      </c>
      <c r="R22" t="s">
        <v>356</v>
      </c>
      <c r="S22" s="78"/>
    </row>
    <row r="23" spans="1:19" x14ac:dyDescent="0.25">
      <c r="A23" s="1" t="s">
        <v>460</v>
      </c>
      <c r="B23" s="7">
        <v>85000</v>
      </c>
      <c r="C23" s="3">
        <f>38749-330+41400+125+5056</f>
        <v>85000</v>
      </c>
      <c r="D23" s="1">
        <f t="shared" si="0"/>
        <v>0</v>
      </c>
      <c r="E23" s="5" t="s">
        <v>448</v>
      </c>
      <c r="F23" s="44"/>
      <c r="G23" s="43"/>
      <c r="H23" s="5"/>
      <c r="I23" t="s">
        <v>31</v>
      </c>
      <c r="J23" s="13">
        <f>G17-D4-D5-D6-D7-D12-D29-D8-D11-D13-D17-D20-D22-D24-D28-D30-D14-D21-D19-D16-D18</f>
        <v>17798</v>
      </c>
      <c r="M23" s="95"/>
      <c r="N23" s="10"/>
      <c r="O23" s="1" t="s">
        <v>267</v>
      </c>
      <c r="P23" s="75">
        <f>44990</f>
        <v>44990</v>
      </c>
      <c r="Q23" s="58" t="s">
        <v>353</v>
      </c>
      <c r="R23" t="s">
        <v>351</v>
      </c>
    </row>
    <row r="24" spans="1:19" x14ac:dyDescent="0.25">
      <c r="A24" s="1" t="s">
        <v>426</v>
      </c>
      <c r="B24" s="7">
        <v>35000</v>
      </c>
      <c r="C24" s="3">
        <v>35000</v>
      </c>
      <c r="D24" s="1">
        <f t="shared" si="0"/>
        <v>0</v>
      </c>
      <c r="E24" s="5"/>
      <c r="F24" s="5"/>
      <c r="G24" s="5"/>
      <c r="H24" s="5"/>
      <c r="O24" s="1" t="s">
        <v>270</v>
      </c>
      <c r="P24" s="75">
        <f>95970/3</f>
        <v>31990</v>
      </c>
      <c r="Q24" s="58" t="s">
        <v>353</v>
      </c>
      <c r="R24" t="s">
        <v>356</v>
      </c>
    </row>
    <row r="25" spans="1:19" x14ac:dyDescent="0.25">
      <c r="A25" s="1" t="s">
        <v>24</v>
      </c>
      <c r="B25" s="7">
        <v>85000</v>
      </c>
      <c r="C25" s="3">
        <f>1600+12633+12951+3600+5800+4493+10000+5600+1943+12982</f>
        <v>71602</v>
      </c>
      <c r="D25" s="1">
        <f t="shared" si="0"/>
        <v>13398</v>
      </c>
      <c r="E25" s="5">
        <v>80000</v>
      </c>
      <c r="F25" s="62" t="s">
        <v>89</v>
      </c>
      <c r="G25" s="85">
        <f>SUM(G26:G28)</f>
        <v>5636408</v>
      </c>
      <c r="H25" s="61"/>
      <c r="L25" s="8"/>
      <c r="M25" s="89"/>
      <c r="O25" s="1" t="s">
        <v>271</v>
      </c>
      <c r="P25" s="75">
        <v>7990</v>
      </c>
      <c r="Q25" s="58" t="s">
        <v>353</v>
      </c>
      <c r="R25" t="s">
        <v>357</v>
      </c>
    </row>
    <row r="26" spans="1:19" x14ac:dyDescent="0.25">
      <c r="A26" s="1" t="s">
        <v>63</v>
      </c>
      <c r="B26" s="7">
        <v>85000</v>
      </c>
      <c r="C26" s="3">
        <f>12996+3682+50000+1990+2018+14314</f>
        <v>85000</v>
      </c>
      <c r="D26" s="1">
        <f t="shared" si="0"/>
        <v>0</v>
      </c>
      <c r="E26" s="5">
        <v>80000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O26" s="1" t="s">
        <v>268</v>
      </c>
      <c r="P26" s="75">
        <v>24190</v>
      </c>
      <c r="Q26" s="58" t="s">
        <v>353</v>
      </c>
      <c r="R26" s="44" t="s">
        <v>355</v>
      </c>
    </row>
    <row r="27" spans="1:19" x14ac:dyDescent="0.25">
      <c r="A27" s="1" t="s">
        <v>27</v>
      </c>
      <c r="B27" s="7">
        <f>8800</f>
        <v>8800</v>
      </c>
      <c r="C27" s="3">
        <f>4400</f>
        <v>4400</v>
      </c>
      <c r="D27" s="1">
        <f t="shared" si="0"/>
        <v>4400</v>
      </c>
      <c r="E27" s="5">
        <v>8400</v>
      </c>
      <c r="F27" s="8" t="s">
        <v>97</v>
      </c>
      <c r="G27" s="89">
        <f>AHRROS!B9</f>
        <v>5636408</v>
      </c>
      <c r="H27" s="8"/>
      <c r="I27" t="s">
        <v>105</v>
      </c>
      <c r="J27" s="74">
        <f>'Colegio Agus'!K7-G25</f>
        <v>602221.37200000044</v>
      </c>
      <c r="L27" s="8"/>
      <c r="M27" s="89"/>
      <c r="O27" s="1" t="s">
        <v>269</v>
      </c>
      <c r="P27" s="75">
        <f>34990/2</f>
        <v>17495</v>
      </c>
      <c r="Q27" s="58" t="s">
        <v>353</v>
      </c>
      <c r="R27" t="s">
        <v>352</v>
      </c>
    </row>
    <row r="28" spans="1:19" x14ac:dyDescent="0.25">
      <c r="A28" s="1" t="s">
        <v>3</v>
      </c>
      <c r="B28" s="6">
        <v>140000</v>
      </c>
      <c r="C28" s="3">
        <f>50000+45000+45000</f>
        <v>140000</v>
      </c>
      <c r="D28" s="1">
        <f t="shared" si="0"/>
        <v>0</v>
      </c>
      <c r="E28" s="5">
        <v>140000</v>
      </c>
      <c r="F28" s="8" t="s">
        <v>91</v>
      </c>
      <c r="G28" s="89">
        <v>0</v>
      </c>
      <c r="H28" s="8"/>
      <c r="I28" t="s">
        <v>106</v>
      </c>
      <c r="J28">
        <v>2</v>
      </c>
      <c r="K28" t="s">
        <v>461</v>
      </c>
      <c r="L28" s="8"/>
      <c r="M28" s="89"/>
      <c r="O28" s="1" t="s">
        <v>273</v>
      </c>
      <c r="P28" s="75"/>
      <c r="Q28" s="58"/>
    </row>
    <row r="29" spans="1:19" x14ac:dyDescent="0.25">
      <c r="A29" s="6"/>
      <c r="B29" s="6"/>
      <c r="C29" s="3"/>
      <c r="D29" s="1">
        <f t="shared" si="0"/>
        <v>0</v>
      </c>
      <c r="E29" s="5" t="s">
        <v>379</v>
      </c>
      <c r="F29" s="5"/>
      <c r="G29" s="5"/>
      <c r="H29" s="5"/>
      <c r="I29" t="s">
        <v>107</v>
      </c>
      <c r="J29" s="74">
        <f>J27/J28</f>
        <v>301110.68600000022</v>
      </c>
      <c r="L29" s="1"/>
      <c r="M29" s="89"/>
      <c r="O29" s="1" t="s">
        <v>274</v>
      </c>
      <c r="P29" s="75"/>
      <c r="Q29" s="58"/>
    </row>
    <row r="30" spans="1:19" x14ac:dyDescent="0.25">
      <c r="A30" s="61" t="s">
        <v>413</v>
      </c>
      <c r="B30" s="6">
        <v>8000</v>
      </c>
      <c r="C30" s="3">
        <v>8000</v>
      </c>
      <c r="D30" s="1">
        <f t="shared" si="0"/>
        <v>0</v>
      </c>
      <c r="E30" s="5" t="s">
        <v>296</v>
      </c>
      <c r="F30" s="5"/>
      <c r="G30" s="5"/>
      <c r="H30" s="5"/>
      <c r="L30" s="8"/>
      <c r="M30" s="89"/>
      <c r="O30" s="1" t="s">
        <v>354</v>
      </c>
      <c r="P30" s="75">
        <v>21990</v>
      </c>
      <c r="Q30" s="58" t="s">
        <v>353</v>
      </c>
    </row>
    <row r="31" spans="1:19" x14ac:dyDescent="0.25">
      <c r="A31" s="1" t="s">
        <v>79</v>
      </c>
      <c r="B31" s="6">
        <v>28000</v>
      </c>
      <c r="C31" s="3">
        <v>28000</v>
      </c>
      <c r="D31" s="1">
        <f t="shared" si="0"/>
        <v>0</v>
      </c>
      <c r="E31" t="s">
        <v>368</v>
      </c>
      <c r="F31" s="5"/>
      <c r="G31" s="5"/>
      <c r="H31" s="5"/>
      <c r="L31" s="1"/>
      <c r="M31" s="137"/>
      <c r="O31" s="1" t="s">
        <v>276</v>
      </c>
      <c r="P31" s="75"/>
      <c r="Q31" s="58"/>
    </row>
    <row r="32" spans="1:19" x14ac:dyDescent="0.25">
      <c r="A32" s="1" t="s">
        <v>430</v>
      </c>
      <c r="B32" s="6"/>
      <c r="C32" s="3"/>
      <c r="D32" s="1">
        <f t="shared" si="0"/>
        <v>0</v>
      </c>
      <c r="E32" t="s">
        <v>328</v>
      </c>
      <c r="F32" s="5"/>
      <c r="G32" s="5"/>
      <c r="H32" s="5"/>
      <c r="L32" s="1"/>
      <c r="M32" s="137"/>
      <c r="O32" s="1" t="s">
        <v>278</v>
      </c>
      <c r="P32" s="75"/>
      <c r="Q32" s="58"/>
    </row>
    <row r="33" spans="1:17" x14ac:dyDescent="0.25">
      <c r="A33" s="96" t="s">
        <v>243</v>
      </c>
      <c r="B33" s="6"/>
      <c r="C33" s="3"/>
      <c r="D33" s="1">
        <f t="shared" si="0"/>
        <v>0</v>
      </c>
      <c r="E33" s="5" t="s">
        <v>313</v>
      </c>
      <c r="F33" s="5"/>
      <c r="G33" s="5"/>
      <c r="H33" s="5"/>
      <c r="O33" s="1" t="s">
        <v>277</v>
      </c>
      <c r="P33" s="75"/>
      <c r="Q33" s="58"/>
    </row>
    <row r="34" spans="1:17" ht="15.75" thickBot="1" x14ac:dyDescent="0.3">
      <c r="A34" s="1" t="s">
        <v>162</v>
      </c>
      <c r="B34" s="6">
        <v>10000</v>
      </c>
      <c r="C34" s="3">
        <f>1000+2000+3186+3814</f>
        <v>10000</v>
      </c>
      <c r="D34" s="1">
        <f t="shared" si="0"/>
        <v>0</v>
      </c>
      <c r="E34" s="5" t="s">
        <v>374</v>
      </c>
      <c r="F34" s="5"/>
      <c r="G34" s="5"/>
      <c r="H34" s="5"/>
      <c r="O34" s="47" t="s">
        <v>275</v>
      </c>
    </row>
    <row r="35" spans="1:17" ht="15.75" thickBot="1" x14ac:dyDescent="0.3">
      <c r="A35" s="1" t="s">
        <v>19</v>
      </c>
      <c r="B35" s="1">
        <v>211055</v>
      </c>
      <c r="C35" s="9">
        <f>11294+3200+9600+39033+6316+1490+2390+15549+14000+5420+5569+5400+4000+2480+14452+1690+42570+6850+240+8457+11055</f>
        <v>211055</v>
      </c>
      <c r="D35" s="1">
        <f t="shared" si="0"/>
        <v>0</v>
      </c>
      <c r="E35" s="5"/>
      <c r="F35" s="5"/>
      <c r="G35" s="17"/>
      <c r="H35" s="5" t="s">
        <v>26</v>
      </c>
      <c r="L35" s="91"/>
      <c r="M35" s="138"/>
      <c r="O35" s="1" t="s">
        <v>65</v>
      </c>
      <c r="P35" s="75">
        <f>SUM(P14:P33)</f>
        <v>345090</v>
      </c>
    </row>
    <row r="36" spans="1:17" x14ac:dyDescent="0.25">
      <c r="A36" s="2" t="s">
        <v>1</v>
      </c>
      <c r="B36" s="2">
        <f>SUM(B3:B35)</f>
        <v>2649085</v>
      </c>
      <c r="C36" s="2">
        <f>SUM(C3:C35)</f>
        <v>2631287</v>
      </c>
      <c r="D36" s="2"/>
      <c r="E36" s="5"/>
      <c r="F36" s="5"/>
      <c r="G36" s="5"/>
      <c r="H36" s="5"/>
      <c r="O36" s="84"/>
      <c r="P36" s="74"/>
    </row>
    <row r="37" spans="1:17" ht="15.75" thickBot="1" x14ac:dyDescent="0.3">
      <c r="A37" s="2" t="s">
        <v>2</v>
      </c>
      <c r="B37" s="2">
        <f>B2-B36</f>
        <v>0</v>
      </c>
      <c r="C37" s="2">
        <f>C2-C36</f>
        <v>43069</v>
      </c>
      <c r="D37" s="2"/>
      <c r="E37" s="5"/>
      <c r="F37" s="5"/>
      <c r="G37" s="5"/>
      <c r="H37" s="5"/>
      <c r="J37">
        <f>2752586</f>
        <v>2752586</v>
      </c>
      <c r="O37" s="47"/>
      <c r="P37" s="74"/>
    </row>
    <row r="38" spans="1:17" x14ac:dyDescent="0.25">
      <c r="D38">
        <f>SUM(D3:D35)</f>
        <v>17798</v>
      </c>
      <c r="E38" s="5"/>
      <c r="F38" s="5"/>
      <c r="G38" s="5"/>
      <c r="H38" s="5"/>
      <c r="J38">
        <f>574857</f>
        <v>574857</v>
      </c>
      <c r="O38" s="83" t="s">
        <v>279</v>
      </c>
      <c r="P38" s="79"/>
    </row>
    <row r="39" spans="1:17" x14ac:dyDescent="0.25">
      <c r="E39" s="5"/>
      <c r="F39" s="5"/>
      <c r="G39" s="5"/>
      <c r="H39" s="5"/>
      <c r="J39">
        <f>J37-J38</f>
        <v>2177729</v>
      </c>
      <c r="O39" s="80"/>
      <c r="P39" s="81"/>
    </row>
    <row r="40" spans="1:17" x14ac:dyDescent="0.25">
      <c r="E40" s="5"/>
      <c r="O40" s="80"/>
      <c r="P40" s="81"/>
    </row>
    <row r="41" spans="1:17" x14ac:dyDescent="0.25">
      <c r="E41" s="5"/>
      <c r="O41" s="80"/>
      <c r="P41" s="81"/>
    </row>
    <row r="42" spans="1:17" x14ac:dyDescent="0.25">
      <c r="O42" s="80"/>
      <c r="P42" s="81"/>
    </row>
    <row r="43" spans="1:17" x14ac:dyDescent="0.25">
      <c r="O43" s="80"/>
      <c r="P43" s="81"/>
    </row>
    <row r="44" spans="1:17" x14ac:dyDescent="0.25">
      <c r="O44" s="80"/>
      <c r="P44" s="81"/>
    </row>
    <row r="45" spans="1:17" x14ac:dyDescent="0.25">
      <c r="O45" s="80"/>
      <c r="P45" s="81"/>
    </row>
    <row r="46" spans="1:17" x14ac:dyDescent="0.25">
      <c r="O46" s="139"/>
      <c r="P46" s="140"/>
    </row>
    <row r="47" spans="1:17" x14ac:dyDescent="0.25">
      <c r="O47" s="57"/>
      <c r="P47" s="81"/>
    </row>
    <row r="48" spans="1:17" ht="15.75" thickBot="1" x14ac:dyDescent="0.3">
      <c r="O48" s="59"/>
      <c r="P48" s="82"/>
    </row>
    <row r="49" spans="15:16" x14ac:dyDescent="0.25">
      <c r="P49" s="74"/>
    </row>
    <row r="50" spans="15:16" x14ac:dyDescent="0.25">
      <c r="O50" s="10" t="s">
        <v>92</v>
      </c>
      <c r="P50" s="77">
        <f>SUM(P14:P33)</f>
        <v>345090</v>
      </c>
    </row>
    <row r="51" spans="15:16" x14ac:dyDescent="0.25">
      <c r="O51" s="10"/>
      <c r="P51" s="77"/>
    </row>
    <row r="52" spans="15:16" x14ac:dyDescent="0.25">
      <c r="O52" s="10" t="s">
        <v>93</v>
      </c>
      <c r="P52" s="77">
        <f>P13-P50</f>
        <v>125310</v>
      </c>
    </row>
    <row r="53" spans="15:16" x14ac:dyDescent="0.25">
      <c r="O53" s="10"/>
      <c r="P53" s="77"/>
    </row>
    <row r="54" spans="15:16" x14ac:dyDescent="0.25">
      <c r="O54" s="10" t="s">
        <v>94</v>
      </c>
      <c r="P54" s="77">
        <f>P13-SUMIF(Q14:Q33,"GIFTCARD",P14:P33)-SUM(P39:P48)</f>
        <v>125310</v>
      </c>
    </row>
    <row r="56" spans="15:16" x14ac:dyDescent="0.25">
      <c r="O56" t="s">
        <v>99</v>
      </c>
      <c r="P56" s="78">
        <f>P54-G6</f>
        <v>120166</v>
      </c>
    </row>
  </sheetData>
  <mergeCells count="1">
    <mergeCell ref="F18:H18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S56"/>
  <sheetViews>
    <sheetView topLeftCell="A5" zoomScale="80" zoomScaleNormal="80" workbookViewId="0">
      <selection activeCell="C20" sqref="C20"/>
    </sheetView>
  </sheetViews>
  <sheetFormatPr baseColWidth="10" defaultColWidth="23.28515625" defaultRowHeight="15" x14ac:dyDescent="0.25"/>
  <cols>
    <col min="1" max="1" width="32.28515625" bestFit="1" customWidth="1"/>
    <col min="2" max="2" width="12.140625" bestFit="1" customWidth="1"/>
    <col min="3" max="3" width="12" bestFit="1" customWidth="1"/>
    <col min="4" max="4" width="8.7109375" bestFit="1" customWidth="1"/>
    <col min="5" max="5" width="23" customWidth="1"/>
    <col min="6" max="6" width="22.85546875" bestFit="1" customWidth="1"/>
    <col min="7" max="7" width="12.28515625" bestFit="1" customWidth="1"/>
    <col min="8" max="8" width="20" bestFit="1" customWidth="1"/>
    <col min="9" max="9" width="17.7109375" bestFit="1" customWidth="1"/>
    <col min="10" max="10" width="13" bestFit="1" customWidth="1"/>
    <col min="11" max="11" width="3.85546875" customWidth="1"/>
    <col min="12" max="12" width="24.140625" customWidth="1"/>
    <col min="13" max="13" width="14.42578125" bestFit="1" customWidth="1"/>
    <col min="14" max="14" width="4.28515625" customWidth="1"/>
    <col min="15" max="15" width="22.5703125" customWidth="1"/>
    <col min="16" max="16" width="17.7109375" customWidth="1"/>
    <col min="17" max="17" width="24.28515625" customWidth="1"/>
  </cols>
  <sheetData>
    <row r="1" spans="1:18" x14ac:dyDescent="0.25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4545761</v>
      </c>
      <c r="H1" s="11"/>
      <c r="I1" s="10"/>
      <c r="L1" s="168" t="s">
        <v>83</v>
      </c>
      <c r="M1" s="168"/>
      <c r="O1" s="10" t="s">
        <v>72</v>
      </c>
    </row>
    <row r="2" spans="1:18" x14ac:dyDescent="0.25">
      <c r="A2" s="2"/>
      <c r="B2" s="90">
        <f>2644668+4400+13398</f>
        <v>2662466</v>
      </c>
      <c r="C2" s="90">
        <f>2644668+4400+13398</f>
        <v>2662466</v>
      </c>
      <c r="D2" s="2"/>
      <c r="E2" s="4"/>
      <c r="F2" s="63" t="s">
        <v>73</v>
      </c>
      <c r="G2">
        <f>M13</f>
        <v>149212</v>
      </c>
      <c r="I2" s="132"/>
      <c r="L2" s="89" t="s">
        <v>81</v>
      </c>
      <c r="M2" s="89">
        <v>13700</v>
      </c>
      <c r="O2" s="10" t="s">
        <v>502</v>
      </c>
      <c r="P2">
        <v>13580</v>
      </c>
    </row>
    <row r="3" spans="1:18" x14ac:dyDescent="0.25">
      <c r="A3" s="1" t="s">
        <v>0</v>
      </c>
      <c r="B3" s="6">
        <v>200000</v>
      </c>
      <c r="C3" s="3">
        <f>36150-2000-5000+28000+5000+36835+11736+31375+29450+28454</f>
        <v>200000</v>
      </c>
      <c r="D3" s="1">
        <f>B3-C3</f>
        <v>0</v>
      </c>
      <c r="E3" s="97">
        <v>200000</v>
      </c>
      <c r="F3" s="63" t="s">
        <v>130</v>
      </c>
      <c r="G3">
        <f>P11</f>
        <v>60662</v>
      </c>
      <c r="I3" s="74"/>
      <c r="L3" s="89" t="s">
        <v>128</v>
      </c>
      <c r="M3" s="89" t="s">
        <v>76</v>
      </c>
      <c r="O3" s="10" t="s">
        <v>152</v>
      </c>
      <c r="P3">
        <v>5372</v>
      </c>
    </row>
    <row r="4" spans="1:18" x14ac:dyDescent="0.25">
      <c r="A4" s="1" t="s">
        <v>62</v>
      </c>
      <c r="B4" s="6">
        <v>643375</v>
      </c>
      <c r="C4" s="3">
        <v>643375</v>
      </c>
      <c r="D4" s="1">
        <f t="shared" ref="D4:D35" si="0">B4-C4</f>
        <v>0</v>
      </c>
      <c r="E4" s="4" t="s">
        <v>481</v>
      </c>
      <c r="F4" t="s">
        <v>304</v>
      </c>
      <c r="G4" s="121">
        <f>-207000-34500+34500+34500+34500</f>
        <v>-138000</v>
      </c>
      <c r="H4" s="170" t="s">
        <v>450</v>
      </c>
      <c r="I4" s="78"/>
      <c r="L4" s="89" t="s">
        <v>287</v>
      </c>
      <c r="M4" s="89" t="s">
        <v>76</v>
      </c>
      <c r="O4" s="10" t="s">
        <v>503</v>
      </c>
      <c r="P4">
        <v>41710</v>
      </c>
    </row>
    <row r="5" spans="1:18" x14ac:dyDescent="0.25">
      <c r="A5" s="1" t="s">
        <v>128</v>
      </c>
      <c r="B5" s="6">
        <v>26600</v>
      </c>
      <c r="C5" s="3">
        <v>26600</v>
      </c>
      <c r="D5" s="1">
        <f t="shared" si="0"/>
        <v>0</v>
      </c>
      <c r="E5" s="4"/>
      <c r="F5" t="s">
        <v>504</v>
      </c>
      <c r="G5">
        <v>-2643163</v>
      </c>
      <c r="I5" s="78"/>
      <c r="J5" s="88"/>
      <c r="L5" s="89" t="s">
        <v>427</v>
      </c>
      <c r="M5" s="89" t="s">
        <v>76</v>
      </c>
      <c r="O5" s="10"/>
    </row>
    <row r="6" spans="1:18" x14ac:dyDescent="0.25">
      <c r="A6" s="1" t="s">
        <v>81</v>
      </c>
      <c r="B6" s="6">
        <v>7610</v>
      </c>
      <c r="C6" s="3">
        <v>7610</v>
      </c>
      <c r="D6" s="1">
        <f t="shared" si="0"/>
        <v>0</v>
      </c>
      <c r="E6" s="4"/>
      <c r="F6" s="4" t="s">
        <v>221</v>
      </c>
      <c r="G6" s="4">
        <f>5144-103000-150000+24003</f>
        <v>-223853</v>
      </c>
      <c r="J6" s="145"/>
      <c r="L6" s="89" t="s">
        <v>82</v>
      </c>
      <c r="M6" s="89">
        <v>-680</v>
      </c>
      <c r="O6" s="10"/>
    </row>
    <row r="7" spans="1:18" x14ac:dyDescent="0.25">
      <c r="A7" s="1" t="s">
        <v>86</v>
      </c>
      <c r="B7" s="7">
        <v>200000</v>
      </c>
      <c r="C7" s="3">
        <f>183714+16286</f>
        <v>200000</v>
      </c>
      <c r="D7" s="1">
        <f t="shared" si="0"/>
        <v>0</v>
      </c>
      <c r="E7" s="4"/>
      <c r="F7" s="63" t="s">
        <v>242</v>
      </c>
      <c r="G7" s="98">
        <f>M23</f>
        <v>34500</v>
      </c>
      <c r="J7" s="164"/>
      <c r="L7" s="89" t="s">
        <v>297</v>
      </c>
      <c r="M7" s="89">
        <v>136192</v>
      </c>
      <c r="O7" s="10"/>
    </row>
    <row r="8" spans="1:18" x14ac:dyDescent="0.25">
      <c r="A8" s="62" t="s">
        <v>316</v>
      </c>
      <c r="B8" s="7">
        <v>78261</v>
      </c>
      <c r="C8" s="9">
        <v>78261</v>
      </c>
      <c r="D8" s="1">
        <f t="shared" si="0"/>
        <v>0</v>
      </c>
      <c r="E8" s="4"/>
      <c r="I8" s="13"/>
      <c r="J8" s="177">
        <f>33700+J19</f>
        <v>33700</v>
      </c>
      <c r="L8" s="89" t="s">
        <v>85</v>
      </c>
      <c r="M8" s="89" t="s">
        <v>76</v>
      </c>
      <c r="O8" s="10"/>
    </row>
    <row r="9" spans="1:18" x14ac:dyDescent="0.25">
      <c r="A9" s="1" t="s">
        <v>310</v>
      </c>
      <c r="B9" s="6">
        <v>35000</v>
      </c>
      <c r="C9" s="3">
        <f>1421+15000+5246+13333</f>
        <v>35000</v>
      </c>
      <c r="D9" s="1">
        <f t="shared" si="0"/>
        <v>0</v>
      </c>
      <c r="E9" s="144"/>
      <c r="F9" s="4" t="s">
        <v>16</v>
      </c>
      <c r="G9" s="4">
        <v>20000</v>
      </c>
      <c r="J9" s="146"/>
      <c r="L9" s="89" t="s">
        <v>482</v>
      </c>
      <c r="M9" s="89" t="s">
        <v>76</v>
      </c>
      <c r="O9" s="10"/>
    </row>
    <row r="10" spans="1:18" x14ac:dyDescent="0.25">
      <c r="A10" s="1" t="s">
        <v>11</v>
      </c>
      <c r="B10" s="7">
        <v>80000</v>
      </c>
      <c r="C10" s="3">
        <f>5184+44850+5000+1490+20000+3476</f>
        <v>80000</v>
      </c>
      <c r="D10" s="1">
        <f t="shared" si="0"/>
        <v>0</v>
      </c>
      <c r="E10" s="5"/>
      <c r="F10" s="67" t="s">
        <v>222</v>
      </c>
      <c r="G10" s="120"/>
      <c r="I10" s="78"/>
      <c r="J10" s="10"/>
      <c r="L10" s="172" t="s">
        <v>487</v>
      </c>
      <c r="M10" s="89" t="s">
        <v>76</v>
      </c>
      <c r="O10" s="10"/>
    </row>
    <row r="11" spans="1:18" x14ac:dyDescent="0.25">
      <c r="A11" s="1" t="s">
        <v>462</v>
      </c>
      <c r="B11" s="7">
        <v>100000</v>
      </c>
      <c r="C11" s="3">
        <v>100000</v>
      </c>
      <c r="D11" s="1">
        <f t="shared" si="0"/>
        <v>0</v>
      </c>
      <c r="E11" s="25" t="s">
        <v>359</v>
      </c>
      <c r="F11" s="64"/>
      <c r="G11" s="44"/>
      <c r="H11" s="4"/>
      <c r="L11" s="89" t="s">
        <v>488</v>
      </c>
      <c r="M11" s="89" t="s">
        <v>76</v>
      </c>
      <c r="O11" s="10" t="s">
        <v>65</v>
      </c>
      <c r="P11">
        <f>SUM(P2:P10)</f>
        <v>60662</v>
      </c>
    </row>
    <row r="12" spans="1:18" x14ac:dyDescent="0.25">
      <c r="A12" s="1" t="s">
        <v>498</v>
      </c>
      <c r="B12" s="7">
        <v>30000</v>
      </c>
      <c r="C12" s="3">
        <v>30000</v>
      </c>
      <c r="D12" s="1">
        <f t="shared" si="0"/>
        <v>0</v>
      </c>
      <c r="E12" t="s">
        <v>379</v>
      </c>
      <c r="F12" s="67" t="s">
        <v>75</v>
      </c>
      <c r="G12" s="13">
        <f>-42132-28000-28000-28000-28000+89468-28000-28000+89468</f>
        <v>-31196</v>
      </c>
      <c r="H12" s="4" t="s">
        <v>489</v>
      </c>
      <c r="I12" t="s">
        <v>382</v>
      </c>
      <c r="J12">
        <v>176332</v>
      </c>
      <c r="L12" s="89"/>
      <c r="M12" s="89"/>
    </row>
    <row r="13" spans="1:18" ht="15.75" thickBot="1" x14ac:dyDescent="0.3">
      <c r="A13" s="1" t="s">
        <v>240</v>
      </c>
      <c r="B13" s="6">
        <v>15988</v>
      </c>
      <c r="C13" s="3">
        <v>15988</v>
      </c>
      <c r="D13" s="1">
        <f t="shared" si="0"/>
        <v>0</v>
      </c>
      <c r="E13" s="133"/>
      <c r="F13" s="4" t="s">
        <v>158</v>
      </c>
      <c r="G13" s="13">
        <f>-500000-1500000+1617804+412273-1500000+110000</f>
        <v>-1359923</v>
      </c>
      <c r="H13" s="4"/>
      <c r="L13" s="149" t="s">
        <v>65</v>
      </c>
      <c r="M13" s="150">
        <f>SUM(M2:M12)</f>
        <v>149212</v>
      </c>
      <c r="O13" s="61" t="s">
        <v>259</v>
      </c>
      <c r="P13" s="76">
        <v>470400</v>
      </c>
      <c r="Q13" t="s">
        <v>95</v>
      </c>
      <c r="R13" t="s">
        <v>272</v>
      </c>
    </row>
    <row r="14" spans="1:18" x14ac:dyDescent="0.25">
      <c r="A14" s="1" t="s">
        <v>18</v>
      </c>
      <c r="B14" s="6">
        <v>25000</v>
      </c>
      <c r="C14" s="3">
        <f>15000+10000</f>
        <v>25000</v>
      </c>
      <c r="D14" s="1">
        <f t="shared" si="0"/>
        <v>0</v>
      </c>
      <c r="E14" s="5" t="s">
        <v>451</v>
      </c>
      <c r="F14" s="4" t="s">
        <v>121</v>
      </c>
      <c r="G14" s="13">
        <v>0</v>
      </c>
      <c r="H14" s="10"/>
      <c r="J14" s="13"/>
      <c r="O14" s="1" t="s">
        <v>241</v>
      </c>
      <c r="P14" s="75" t="s">
        <v>76</v>
      </c>
      <c r="Q14" s="56" t="s">
        <v>335</v>
      </c>
      <c r="R14" t="s">
        <v>334</v>
      </c>
    </row>
    <row r="15" spans="1:18" x14ac:dyDescent="0.25">
      <c r="A15" s="8" t="s">
        <v>159</v>
      </c>
      <c r="B15" s="7">
        <v>100000</v>
      </c>
      <c r="C15" s="9">
        <v>100000</v>
      </c>
      <c r="D15" s="1">
        <f t="shared" si="0"/>
        <v>0</v>
      </c>
      <c r="E15" s="5"/>
      <c r="F15" s="4" t="s">
        <v>416</v>
      </c>
      <c r="G15" s="88">
        <f>-8000-8000-8000-8000-8000-8000-8000</f>
        <v>-56000</v>
      </c>
      <c r="H15" s="4"/>
      <c r="L15" s="61" t="s">
        <v>131</v>
      </c>
      <c r="M15" s="76" t="s">
        <v>132</v>
      </c>
      <c r="O15" s="1" t="s">
        <v>260</v>
      </c>
      <c r="P15" s="75"/>
      <c r="Q15" s="58"/>
    </row>
    <row r="16" spans="1:18" ht="15.75" thickBot="1" x14ac:dyDescent="0.3">
      <c r="A16" s="1" t="s">
        <v>64</v>
      </c>
      <c r="B16" s="6">
        <v>101141</v>
      </c>
      <c r="C16" s="3">
        <v>101141</v>
      </c>
      <c r="D16" s="1">
        <f t="shared" si="0"/>
        <v>0</v>
      </c>
      <c r="E16" s="5"/>
      <c r="F16" s="4" t="s">
        <v>129</v>
      </c>
      <c r="G16" s="87">
        <f>-30000-30000-30000-30000-30000-30000-30000-30000-30000-30000</f>
        <v>-300000</v>
      </c>
      <c r="H16" s="4"/>
      <c r="J16" s="13"/>
      <c r="L16" s="64"/>
      <c r="M16" s="156"/>
      <c r="O16" s="1" t="s">
        <v>261</v>
      </c>
      <c r="P16" s="75"/>
      <c r="Q16" s="58"/>
      <c r="R16" t="s">
        <v>333</v>
      </c>
    </row>
    <row r="17" spans="1:19" ht="15.75" thickBot="1" x14ac:dyDescent="0.3">
      <c r="A17" s="8" t="s">
        <v>161</v>
      </c>
      <c r="B17" s="7">
        <v>0</v>
      </c>
      <c r="C17" s="9"/>
      <c r="D17" s="1">
        <f t="shared" si="0"/>
        <v>0</v>
      </c>
      <c r="E17" s="5" t="s">
        <v>451</v>
      </c>
      <c r="F17" s="71" t="s">
        <v>12</v>
      </c>
      <c r="G17" s="72">
        <f>SUM(G1:G16)</f>
        <v>58000</v>
      </c>
      <c r="H17" s="16"/>
      <c r="J17" s="13"/>
      <c r="L17" s="8"/>
      <c r="M17" s="89"/>
      <c r="O17" s="1" t="s">
        <v>262</v>
      </c>
      <c r="P17" s="75">
        <f>44990</f>
        <v>44990</v>
      </c>
      <c r="Q17" s="58" t="s">
        <v>353</v>
      </c>
      <c r="R17" t="s">
        <v>351</v>
      </c>
    </row>
    <row r="18" spans="1:19" x14ac:dyDescent="0.25">
      <c r="A18" s="6" t="s">
        <v>156</v>
      </c>
      <c r="B18" s="1">
        <v>30000</v>
      </c>
      <c r="C18" s="3">
        <v>30000</v>
      </c>
      <c r="D18" s="1">
        <f>B18-C18</f>
        <v>0</v>
      </c>
      <c r="E18" s="5" t="s">
        <v>292</v>
      </c>
      <c r="F18" s="201" t="s">
        <v>13</v>
      </c>
      <c r="G18" s="202"/>
      <c r="H18" s="203"/>
      <c r="J18" s="13"/>
      <c r="L18" s="96"/>
      <c r="M18" s="156"/>
      <c r="O18" s="1" t="s">
        <v>263</v>
      </c>
      <c r="P18" s="75">
        <v>31990</v>
      </c>
      <c r="Q18" s="58" t="s">
        <v>353</v>
      </c>
      <c r="R18" t="s">
        <v>356</v>
      </c>
    </row>
    <row r="19" spans="1:19" x14ac:dyDescent="0.25">
      <c r="A19" s="6" t="s">
        <v>331</v>
      </c>
      <c r="B19" s="6">
        <v>150000</v>
      </c>
      <c r="C19" s="3">
        <v>150000</v>
      </c>
      <c r="D19" s="1">
        <f t="shared" si="0"/>
        <v>0</v>
      </c>
      <c r="E19" s="5" t="s">
        <v>244</v>
      </c>
      <c r="F19" s="8" t="s">
        <v>7</v>
      </c>
      <c r="G19" s="8" t="s">
        <v>8</v>
      </c>
      <c r="H19" s="8" t="s">
        <v>9</v>
      </c>
      <c r="J19" s="13">
        <f>H20-G17</f>
        <v>0</v>
      </c>
      <c r="L19" s="96"/>
      <c r="M19" s="156"/>
      <c r="O19" s="1" t="s">
        <v>43</v>
      </c>
      <c r="P19" s="75">
        <f>44990</f>
        <v>44990</v>
      </c>
      <c r="Q19" s="58" t="s">
        <v>353</v>
      </c>
      <c r="R19" t="s">
        <v>351</v>
      </c>
    </row>
    <row r="20" spans="1:19" x14ac:dyDescent="0.25">
      <c r="A20" s="1" t="s">
        <v>42</v>
      </c>
      <c r="B20" s="6">
        <f>55000+8078</f>
        <v>63078</v>
      </c>
      <c r="C20" s="3">
        <f>7920+8958+29600+16600</f>
        <v>63078</v>
      </c>
      <c r="D20" s="1">
        <f t="shared" si="0"/>
        <v>0</v>
      </c>
      <c r="E20" s="5" t="s">
        <v>492</v>
      </c>
      <c r="F20" s="8">
        <f>SUM(D3:D35)+B37</f>
        <v>58000</v>
      </c>
      <c r="G20" s="8">
        <v>0</v>
      </c>
      <c r="H20" s="18">
        <f>F20+G20</f>
        <v>58000</v>
      </c>
      <c r="L20" s="96" t="s">
        <v>478</v>
      </c>
      <c r="M20" s="157">
        <v>34500</v>
      </c>
      <c r="O20" s="1" t="s">
        <v>264</v>
      </c>
      <c r="P20" s="75">
        <v>24990</v>
      </c>
      <c r="Q20" s="58" t="s">
        <v>353</v>
      </c>
      <c r="R20" t="s">
        <v>358</v>
      </c>
    </row>
    <row r="21" spans="1:19" x14ac:dyDescent="0.25">
      <c r="A21" s="3" t="s">
        <v>288</v>
      </c>
      <c r="B21" s="6">
        <f>15000+37000</f>
        <v>52000</v>
      </c>
      <c r="C21" s="3">
        <f>37000+15000</f>
        <v>52000</v>
      </c>
      <c r="D21" s="1">
        <f t="shared" si="0"/>
        <v>0</v>
      </c>
      <c r="E21" s="5" t="s">
        <v>433</v>
      </c>
      <c r="F21" s="5"/>
      <c r="G21" s="5"/>
      <c r="H21" s="5"/>
      <c r="L21" s="96"/>
      <c r="M21" s="157"/>
      <c r="O21" s="1" t="s">
        <v>265</v>
      </c>
      <c r="P21" s="75">
        <f>34990/2</f>
        <v>17495</v>
      </c>
      <c r="Q21" s="58" t="s">
        <v>353</v>
      </c>
      <c r="R21" t="s">
        <v>352</v>
      </c>
    </row>
    <row r="22" spans="1:19" x14ac:dyDescent="0.25">
      <c r="A22" s="61" t="s">
        <v>311</v>
      </c>
      <c r="B22" s="6"/>
      <c r="C22" s="3"/>
      <c r="D22" s="1">
        <f t="shared" si="0"/>
        <v>0</v>
      </c>
      <c r="E22" s="5"/>
      <c r="F22" s="5"/>
      <c r="G22" s="5"/>
      <c r="H22" s="5"/>
      <c r="J22" s="12"/>
      <c r="L22" s="171"/>
      <c r="O22" s="1" t="s">
        <v>266</v>
      </c>
      <c r="P22" s="75">
        <v>31990</v>
      </c>
      <c r="Q22" s="58" t="s">
        <v>353</v>
      </c>
      <c r="R22" t="s">
        <v>356</v>
      </c>
      <c r="S22" s="78"/>
    </row>
    <row r="23" spans="1:19" ht="15.75" thickBot="1" x14ac:dyDescent="0.3">
      <c r="A23" s="1" t="s">
        <v>460</v>
      </c>
      <c r="B23" s="7">
        <v>85000</v>
      </c>
      <c r="C23" s="3">
        <f>23277+2000+59723</f>
        <v>85000</v>
      </c>
      <c r="D23" s="1">
        <f t="shared" si="0"/>
        <v>0</v>
      </c>
      <c r="E23" s="5" t="s">
        <v>448</v>
      </c>
      <c r="F23" s="44"/>
      <c r="G23" s="43"/>
      <c r="H23" s="5"/>
      <c r="I23" t="s">
        <v>31</v>
      </c>
      <c r="J23" s="13">
        <f>G17-D4-D5-D6-D7-D12-D29-D8-D11-D13-D17-D20-D22-D24-D28-D30-D14-D21-D19-D16-D18</f>
        <v>0</v>
      </c>
      <c r="L23" s="147" t="s">
        <v>65</v>
      </c>
      <c r="M23" s="148">
        <f>SUM(M16:M22)</f>
        <v>34500</v>
      </c>
      <c r="N23" s="10"/>
      <c r="O23" s="1" t="s">
        <v>267</v>
      </c>
      <c r="P23" s="75">
        <f>44990</f>
        <v>44990</v>
      </c>
      <c r="Q23" s="58" t="s">
        <v>353</v>
      </c>
      <c r="R23" t="s">
        <v>351</v>
      </c>
    </row>
    <row r="24" spans="1:19" x14ac:dyDescent="0.25">
      <c r="A24" s="1" t="s">
        <v>426</v>
      </c>
      <c r="B24" s="7">
        <v>40000</v>
      </c>
      <c r="C24" s="3">
        <v>40000</v>
      </c>
      <c r="D24" s="1">
        <f t="shared" si="0"/>
        <v>0</v>
      </c>
      <c r="E24" s="5"/>
      <c r="F24" s="5"/>
      <c r="G24" s="5"/>
      <c r="H24" s="5"/>
      <c r="M24" s="95"/>
      <c r="O24" s="1" t="s">
        <v>270</v>
      </c>
      <c r="P24" s="75">
        <f>95970/3</f>
        <v>31990</v>
      </c>
      <c r="Q24" s="58" t="s">
        <v>353</v>
      </c>
      <c r="R24" t="s">
        <v>356</v>
      </c>
    </row>
    <row r="25" spans="1:19" x14ac:dyDescent="0.25">
      <c r="A25" s="1" t="s">
        <v>24</v>
      </c>
      <c r="B25" s="7">
        <v>85000</v>
      </c>
      <c r="C25" s="3">
        <f>22980+4200+2200+1350+10383+10246-1003+9100+5544+9236+764+5000+5000</f>
        <v>85000</v>
      </c>
      <c r="D25" s="1">
        <f t="shared" si="0"/>
        <v>0</v>
      </c>
      <c r="E25" s="5">
        <v>80000</v>
      </c>
      <c r="F25" s="62" t="s">
        <v>89</v>
      </c>
      <c r="G25" s="85">
        <f>SUM(G26:G28)</f>
        <v>5636408</v>
      </c>
      <c r="H25" s="61"/>
      <c r="O25" s="1" t="s">
        <v>271</v>
      </c>
      <c r="P25" s="75">
        <v>7990</v>
      </c>
      <c r="Q25" s="58" t="s">
        <v>353</v>
      </c>
      <c r="R25" t="s">
        <v>357</v>
      </c>
    </row>
    <row r="26" spans="1:19" x14ac:dyDescent="0.25">
      <c r="A26" s="1" t="s">
        <v>63</v>
      </c>
      <c r="B26" s="7">
        <v>85608</v>
      </c>
      <c r="C26" s="3">
        <f>5000+4290+8990+1300+800+1000+1160+1500+12000+1000+2282+5678+1000+39608</f>
        <v>85608</v>
      </c>
      <c r="D26" s="1">
        <f t="shared" si="0"/>
        <v>0</v>
      </c>
      <c r="E26" s="5">
        <v>80000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L26" s="8"/>
      <c r="M26" s="89"/>
      <c r="O26" s="1" t="s">
        <v>268</v>
      </c>
      <c r="P26" s="75">
        <v>24190</v>
      </c>
      <c r="Q26" s="58" t="s">
        <v>353</v>
      </c>
      <c r="R26" s="44" t="s">
        <v>355</v>
      </c>
    </row>
    <row r="27" spans="1:19" x14ac:dyDescent="0.25">
      <c r="A27" s="1" t="s">
        <v>27</v>
      </c>
      <c r="B27" s="7">
        <f>8800</f>
        <v>8800</v>
      </c>
      <c r="C27" s="3">
        <f>4400+4400</f>
        <v>8800</v>
      </c>
      <c r="D27" s="1">
        <f t="shared" si="0"/>
        <v>0</v>
      </c>
      <c r="E27" s="5">
        <v>8400</v>
      </c>
      <c r="F27" s="8" t="s">
        <v>97</v>
      </c>
      <c r="G27" s="89">
        <f>AHRROS!B9</f>
        <v>5636408</v>
      </c>
      <c r="H27" s="8"/>
      <c r="I27" t="s">
        <v>105</v>
      </c>
      <c r="J27" s="74">
        <f>'Colegio Agus'!K7-G25</f>
        <v>602221.37200000044</v>
      </c>
      <c r="O27" s="1" t="s">
        <v>269</v>
      </c>
      <c r="P27" s="75">
        <f>34990/2</f>
        <v>17495</v>
      </c>
      <c r="Q27" s="58" t="s">
        <v>353</v>
      </c>
      <c r="R27" t="s">
        <v>352</v>
      </c>
    </row>
    <row r="28" spans="1:19" x14ac:dyDescent="0.25">
      <c r="A28" s="1" t="s">
        <v>3</v>
      </c>
      <c r="B28" s="6">
        <f>140000-36651</f>
        <v>103349</v>
      </c>
      <c r="C28" s="3">
        <f>20000+54381-33000+39000+619+15000+7349</f>
        <v>103349</v>
      </c>
      <c r="D28" s="1">
        <f t="shared" si="0"/>
        <v>0</v>
      </c>
      <c r="E28" s="5">
        <v>140000</v>
      </c>
      <c r="F28" s="8" t="s">
        <v>91</v>
      </c>
      <c r="G28" s="89">
        <v>0</v>
      </c>
      <c r="H28" s="8"/>
      <c r="I28" t="s">
        <v>106</v>
      </c>
      <c r="J28">
        <v>1</v>
      </c>
      <c r="K28" t="s">
        <v>332</v>
      </c>
      <c r="L28" s="8"/>
      <c r="M28" s="89"/>
      <c r="O28" s="1" t="s">
        <v>273</v>
      </c>
      <c r="P28" s="75"/>
      <c r="Q28" s="58"/>
    </row>
    <row r="29" spans="1:19" x14ac:dyDescent="0.25">
      <c r="A29" s="6" t="s">
        <v>490</v>
      </c>
      <c r="B29" s="6">
        <f>58000</f>
        <v>58000</v>
      </c>
      <c r="C29" s="3"/>
      <c r="D29" s="1">
        <f t="shared" si="0"/>
        <v>58000</v>
      </c>
      <c r="E29" s="5" t="s">
        <v>491</v>
      </c>
      <c r="F29" s="5"/>
      <c r="G29" s="5"/>
      <c r="H29" s="5"/>
      <c r="I29" t="s">
        <v>107</v>
      </c>
      <c r="J29" s="74">
        <f>J27/J28</f>
        <v>602221.37200000044</v>
      </c>
      <c r="L29" s="8"/>
      <c r="M29" s="89"/>
      <c r="O29" s="1" t="s">
        <v>274</v>
      </c>
      <c r="P29" s="75"/>
      <c r="Q29" s="58"/>
    </row>
    <row r="30" spans="1:19" x14ac:dyDescent="0.25">
      <c r="A30" s="61" t="s">
        <v>413</v>
      </c>
      <c r="B30" s="6">
        <v>8000</v>
      </c>
      <c r="C30" s="3">
        <v>8000</v>
      </c>
      <c r="D30" s="1">
        <f t="shared" si="0"/>
        <v>0</v>
      </c>
      <c r="E30" s="5" t="s">
        <v>296</v>
      </c>
      <c r="F30" s="5"/>
      <c r="G30" s="5"/>
      <c r="H30" s="5"/>
      <c r="L30" s="1"/>
      <c r="M30" s="89"/>
      <c r="O30" s="1" t="s">
        <v>354</v>
      </c>
      <c r="P30" s="75">
        <v>21990</v>
      </c>
      <c r="Q30" s="58" t="s">
        <v>353</v>
      </c>
    </row>
    <row r="31" spans="1:19" x14ac:dyDescent="0.25">
      <c r="A31" s="1" t="s">
        <v>79</v>
      </c>
      <c r="B31" s="6">
        <v>28000</v>
      </c>
      <c r="C31" s="3">
        <v>28000</v>
      </c>
      <c r="D31" s="1">
        <f t="shared" si="0"/>
        <v>0</v>
      </c>
      <c r="E31" t="s">
        <v>368</v>
      </c>
      <c r="F31" s="5"/>
      <c r="G31" s="5"/>
      <c r="H31" s="5"/>
      <c r="L31" s="8"/>
      <c r="M31" s="89"/>
      <c r="O31" s="1" t="s">
        <v>276</v>
      </c>
      <c r="P31" s="75"/>
      <c r="Q31" s="58"/>
    </row>
    <row r="32" spans="1:19" x14ac:dyDescent="0.25">
      <c r="A32" s="1" t="s">
        <v>430</v>
      </c>
      <c r="B32" s="6"/>
      <c r="C32" s="3"/>
      <c r="D32" s="1">
        <f t="shared" si="0"/>
        <v>0</v>
      </c>
      <c r="E32" t="s">
        <v>328</v>
      </c>
      <c r="F32" s="5"/>
      <c r="G32" s="5"/>
      <c r="H32" s="5"/>
      <c r="L32" s="1"/>
      <c r="M32" s="137"/>
      <c r="O32" s="1" t="s">
        <v>278</v>
      </c>
      <c r="P32" s="75"/>
      <c r="Q32" s="58"/>
    </row>
    <row r="33" spans="1:17" x14ac:dyDescent="0.25">
      <c r="A33" s="96" t="s">
        <v>243</v>
      </c>
      <c r="B33" s="6"/>
      <c r="C33" s="3"/>
      <c r="D33" s="1">
        <f t="shared" si="0"/>
        <v>0</v>
      </c>
      <c r="E33" s="5" t="s">
        <v>313</v>
      </c>
      <c r="F33" s="5"/>
      <c r="G33" s="5"/>
      <c r="H33" s="5"/>
      <c r="L33" s="1"/>
      <c r="M33" s="137"/>
      <c r="O33" s="1" t="s">
        <v>277</v>
      </c>
      <c r="P33" s="75"/>
      <c r="Q33" s="58"/>
    </row>
    <row r="34" spans="1:17" ht="15.75" thickBot="1" x14ac:dyDescent="0.3">
      <c r="A34" s="1" t="s">
        <v>162</v>
      </c>
      <c r="B34" s="6">
        <v>10000</v>
      </c>
      <c r="C34" s="3">
        <v>10000</v>
      </c>
      <c r="D34" s="1">
        <f t="shared" si="0"/>
        <v>0</v>
      </c>
      <c r="E34" s="5" t="s">
        <v>374</v>
      </c>
      <c r="F34" s="5"/>
      <c r="G34" s="5"/>
      <c r="H34" s="5"/>
      <c r="O34" s="47" t="s">
        <v>275</v>
      </c>
    </row>
    <row r="35" spans="1:17" ht="15.75" thickBot="1" x14ac:dyDescent="0.3">
      <c r="A35" s="1" t="s">
        <v>19</v>
      </c>
      <c r="B35" s="1">
        <f>200000+13398-742</f>
        <v>212656</v>
      </c>
      <c r="C35" s="9">
        <f>8565+5280+4470+3180+7500+22055+6820+2880+2970+1980+1600+1690+1971+1990+18900+29380+6310+8400+18335+13347+21810+20190+450+2583</f>
        <v>212656</v>
      </c>
      <c r="D35" s="1">
        <f t="shared" si="0"/>
        <v>0</v>
      </c>
      <c r="E35" s="5"/>
      <c r="F35" s="5"/>
      <c r="G35" s="17"/>
      <c r="H35" s="5" t="s">
        <v>26</v>
      </c>
      <c r="O35" s="1" t="s">
        <v>65</v>
      </c>
      <c r="P35" s="75">
        <f>SUM(P14:P33)</f>
        <v>345090</v>
      </c>
    </row>
    <row r="36" spans="1:17" x14ac:dyDescent="0.25">
      <c r="A36" s="2" t="s">
        <v>1</v>
      </c>
      <c r="B36" s="2">
        <f>SUM(B3:B35)</f>
        <v>2662466</v>
      </c>
      <c r="C36" s="2">
        <f>SUM(C3:C35)</f>
        <v>2604466</v>
      </c>
      <c r="D36" s="2"/>
      <c r="E36" s="5"/>
      <c r="F36" s="5"/>
      <c r="G36" s="5"/>
      <c r="H36" s="5"/>
      <c r="L36" s="91"/>
      <c r="M36" s="138"/>
      <c r="O36" s="84"/>
      <c r="P36" s="74"/>
    </row>
    <row r="37" spans="1:17" ht="15.75" thickBot="1" x14ac:dyDescent="0.3">
      <c r="A37" s="2" t="s">
        <v>2</v>
      </c>
      <c r="B37" s="2">
        <f>B2-B36</f>
        <v>0</v>
      </c>
      <c r="C37" s="2">
        <f>C2-C36</f>
        <v>58000</v>
      </c>
      <c r="D37" s="2"/>
      <c r="E37" s="5"/>
      <c r="F37" s="5"/>
      <c r="G37" s="5"/>
      <c r="H37" s="5"/>
      <c r="J37">
        <f>2752586</f>
        <v>2752586</v>
      </c>
      <c r="O37" s="47"/>
      <c r="P37" s="74"/>
    </row>
    <row r="38" spans="1:17" x14ac:dyDescent="0.25">
      <c r="D38">
        <f>SUM(D3:D35)</f>
        <v>58000</v>
      </c>
      <c r="E38" s="5"/>
      <c r="F38" s="5"/>
      <c r="G38" s="5"/>
      <c r="H38" s="5"/>
      <c r="J38">
        <f>574857</f>
        <v>574857</v>
      </c>
      <c r="O38" s="83" t="s">
        <v>279</v>
      </c>
      <c r="P38" s="79"/>
    </row>
    <row r="39" spans="1:17" x14ac:dyDescent="0.25">
      <c r="E39" s="5"/>
      <c r="F39" s="5"/>
      <c r="G39" s="5"/>
      <c r="H39" s="5"/>
      <c r="J39">
        <f>J37-J38</f>
        <v>2177729</v>
      </c>
      <c r="O39" s="80"/>
      <c r="P39" s="81"/>
    </row>
    <row r="40" spans="1:17" x14ac:dyDescent="0.25">
      <c r="E40" s="5"/>
      <c r="O40" s="80"/>
      <c r="P40" s="81"/>
    </row>
    <row r="41" spans="1:17" x14ac:dyDescent="0.25">
      <c r="E41" s="5"/>
      <c r="O41" s="80"/>
      <c r="P41" s="81"/>
    </row>
    <row r="42" spans="1:17" x14ac:dyDescent="0.25">
      <c r="O42" s="80"/>
      <c r="P42" s="81"/>
    </row>
    <row r="43" spans="1:17" x14ac:dyDescent="0.25">
      <c r="O43" s="80"/>
      <c r="P43" s="81"/>
    </row>
    <row r="44" spans="1:17" x14ac:dyDescent="0.25">
      <c r="O44" s="80"/>
      <c r="P44" s="81"/>
    </row>
    <row r="45" spans="1:17" x14ac:dyDescent="0.25">
      <c r="O45" s="80"/>
      <c r="P45" s="81"/>
    </row>
    <row r="46" spans="1:17" x14ac:dyDescent="0.25">
      <c r="O46" s="139"/>
      <c r="P46" s="140"/>
    </row>
    <row r="47" spans="1:17" x14ac:dyDescent="0.25">
      <c r="O47" s="57"/>
      <c r="P47" s="81"/>
    </row>
    <row r="48" spans="1:17" ht="15.75" thickBot="1" x14ac:dyDescent="0.3">
      <c r="O48" s="59"/>
      <c r="P48" s="82"/>
    </row>
    <row r="49" spans="15:16" x14ac:dyDescent="0.25">
      <c r="P49" s="74"/>
    </row>
    <row r="50" spans="15:16" x14ac:dyDescent="0.25">
      <c r="O50" s="10" t="s">
        <v>92</v>
      </c>
      <c r="P50" s="77">
        <f>SUM(P14:P33)</f>
        <v>345090</v>
      </c>
    </row>
    <row r="51" spans="15:16" x14ac:dyDescent="0.25">
      <c r="O51" s="10"/>
      <c r="P51" s="77"/>
    </row>
    <row r="52" spans="15:16" x14ac:dyDescent="0.25">
      <c r="O52" s="10" t="s">
        <v>93</v>
      </c>
      <c r="P52" s="77">
        <f>P13-P50</f>
        <v>125310</v>
      </c>
    </row>
    <row r="53" spans="15:16" x14ac:dyDescent="0.25">
      <c r="O53" s="10"/>
      <c r="P53" s="77"/>
    </row>
    <row r="54" spans="15:16" x14ac:dyDescent="0.25">
      <c r="O54" s="10" t="s">
        <v>94</v>
      </c>
      <c r="P54" s="77">
        <f>P13-SUMIF(Q14:Q33,"GIFTCARD",P14:P33)-SUM(P39:P48)</f>
        <v>125310</v>
      </c>
    </row>
    <row r="56" spans="15:16" x14ac:dyDescent="0.25">
      <c r="O56" t="s">
        <v>99</v>
      </c>
      <c r="P56" s="78">
        <f>P54-G6</f>
        <v>349163</v>
      </c>
    </row>
  </sheetData>
  <mergeCells count="1">
    <mergeCell ref="F18:H18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S56"/>
  <sheetViews>
    <sheetView topLeftCell="A35" zoomScale="80" zoomScaleNormal="80" workbookViewId="0">
      <selection activeCell="G12" sqref="G12"/>
    </sheetView>
  </sheetViews>
  <sheetFormatPr baseColWidth="10" defaultColWidth="23.28515625" defaultRowHeight="15" x14ac:dyDescent="0.25"/>
  <cols>
    <col min="1" max="1" width="32.28515625" bestFit="1" customWidth="1"/>
    <col min="2" max="2" width="12.140625" bestFit="1" customWidth="1"/>
    <col min="3" max="3" width="12" bestFit="1" customWidth="1"/>
    <col min="4" max="4" width="8.7109375" bestFit="1" customWidth="1"/>
    <col min="5" max="5" width="23" customWidth="1"/>
    <col min="6" max="6" width="22.85546875" bestFit="1" customWidth="1"/>
    <col min="7" max="7" width="12.28515625" bestFit="1" customWidth="1"/>
    <col min="8" max="8" width="20" bestFit="1" customWidth="1"/>
    <col min="9" max="9" width="17.7109375" bestFit="1" customWidth="1"/>
    <col min="10" max="10" width="13" bestFit="1" customWidth="1"/>
    <col min="11" max="11" width="3.85546875" customWidth="1"/>
    <col min="12" max="12" width="24.140625" customWidth="1"/>
    <col min="13" max="13" width="14.42578125" bestFit="1" customWidth="1"/>
    <col min="14" max="14" width="4.28515625" customWidth="1"/>
    <col min="15" max="15" width="43.42578125" customWidth="1"/>
    <col min="16" max="16" width="17.7109375" customWidth="1"/>
    <col min="17" max="17" width="24.28515625" customWidth="1"/>
  </cols>
  <sheetData>
    <row r="1" spans="1:19" x14ac:dyDescent="0.25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46911</v>
      </c>
      <c r="H1" s="11"/>
      <c r="I1" s="10"/>
      <c r="L1" s="168" t="s">
        <v>83</v>
      </c>
      <c r="M1" s="168"/>
      <c r="O1" s="10" t="s">
        <v>72</v>
      </c>
    </row>
    <row r="2" spans="1:19" x14ac:dyDescent="0.25">
      <c r="A2" s="2"/>
      <c r="B2" s="90">
        <f>2643163-103000+58000</f>
        <v>2598163</v>
      </c>
      <c r="C2" s="90">
        <f>2643163-103000+58000</f>
        <v>2598163</v>
      </c>
      <c r="D2" s="2"/>
      <c r="E2" s="4"/>
      <c r="F2" s="63" t="s">
        <v>73</v>
      </c>
      <c r="G2">
        <f>M13</f>
        <v>18808</v>
      </c>
      <c r="I2" s="132"/>
      <c r="L2" s="89" t="s">
        <v>81</v>
      </c>
      <c r="M2" s="89">
        <v>11970</v>
      </c>
      <c r="O2" s="10" t="s">
        <v>514</v>
      </c>
      <c r="P2">
        <f>7490*2</f>
        <v>14980</v>
      </c>
    </row>
    <row r="3" spans="1:19" x14ac:dyDescent="0.25">
      <c r="A3" s="1" t="s">
        <v>0</v>
      </c>
      <c r="B3" s="6">
        <v>200000</v>
      </c>
      <c r="C3" s="3">
        <f>41710+30100+50183-4017-176+19846+41540+20814-34500-4+19880+14624</f>
        <v>200000</v>
      </c>
      <c r="D3" s="1">
        <f>B3-C3</f>
        <v>0</v>
      </c>
      <c r="E3" s="97">
        <v>200000</v>
      </c>
      <c r="F3" s="63" t="s">
        <v>130</v>
      </c>
      <c r="G3">
        <f>P11</f>
        <v>88768</v>
      </c>
      <c r="I3" s="74"/>
      <c r="L3" s="89" t="s">
        <v>128</v>
      </c>
      <c r="M3" s="89" t="s">
        <v>76</v>
      </c>
      <c r="O3" s="10" t="s">
        <v>529</v>
      </c>
      <c r="P3">
        <v>31050</v>
      </c>
    </row>
    <row r="4" spans="1:19" x14ac:dyDescent="0.25">
      <c r="A4" s="1" t="s">
        <v>62</v>
      </c>
      <c r="B4" s="6">
        <v>645171</v>
      </c>
      <c r="C4" s="3">
        <v>645171</v>
      </c>
      <c r="D4" s="1">
        <f t="shared" ref="D4:D35" si="0">B4-C4</f>
        <v>0</v>
      </c>
      <c r="E4" s="4" t="s">
        <v>499</v>
      </c>
      <c r="F4" t="s">
        <v>304</v>
      </c>
      <c r="G4" s="121">
        <f>-207000-34500+34500+34500+34500+34500</f>
        <v>-103500</v>
      </c>
      <c r="H4" s="170" t="s">
        <v>450</v>
      </c>
      <c r="I4" s="78"/>
      <c r="L4" s="89" t="s">
        <v>287</v>
      </c>
      <c r="M4" s="89" t="s">
        <v>76</v>
      </c>
      <c r="O4" s="10"/>
    </row>
    <row r="5" spans="1:19" x14ac:dyDescent="0.25">
      <c r="A5" s="1" t="s">
        <v>128</v>
      </c>
      <c r="B5" s="6">
        <v>30600</v>
      </c>
      <c r="C5" s="3">
        <v>30600</v>
      </c>
      <c r="D5" s="1">
        <f t="shared" si="0"/>
        <v>0</v>
      </c>
      <c r="E5" s="4"/>
      <c r="I5" s="78"/>
      <c r="J5" s="88"/>
      <c r="L5" s="89" t="s">
        <v>427</v>
      </c>
      <c r="M5" s="89" t="s">
        <v>76</v>
      </c>
      <c r="O5" s="10" t="s">
        <v>537</v>
      </c>
      <c r="P5">
        <v>12490</v>
      </c>
    </row>
    <row r="6" spans="1:19" x14ac:dyDescent="0.25">
      <c r="A6" s="1" t="s">
        <v>81</v>
      </c>
      <c r="B6" s="6">
        <v>7750</v>
      </c>
      <c r="C6" s="3">
        <v>7750</v>
      </c>
      <c r="D6" s="1">
        <f t="shared" si="0"/>
        <v>0</v>
      </c>
      <c r="E6" s="4"/>
      <c r="F6" s="4" t="s">
        <v>221</v>
      </c>
      <c r="G6" s="4">
        <f>6947-140000</f>
        <v>-133053</v>
      </c>
      <c r="J6" s="145"/>
      <c r="L6" s="89" t="s">
        <v>82</v>
      </c>
      <c r="M6" s="89">
        <v>-242</v>
      </c>
      <c r="O6" s="10" t="s">
        <v>533</v>
      </c>
      <c r="P6">
        <f>11992+4792+1459*2</f>
        <v>19702</v>
      </c>
    </row>
    <row r="7" spans="1:19" x14ac:dyDescent="0.25">
      <c r="A7" s="1" t="s">
        <v>86</v>
      </c>
      <c r="B7" s="7">
        <v>186842</v>
      </c>
      <c r="C7" s="3">
        <v>186842</v>
      </c>
      <c r="D7" s="1">
        <f t="shared" si="0"/>
        <v>0</v>
      </c>
      <c r="E7" s="4"/>
      <c r="F7" s="63" t="s">
        <v>242</v>
      </c>
      <c r="G7" s="98">
        <f>M23</f>
        <v>34500</v>
      </c>
      <c r="J7" s="164"/>
      <c r="L7" s="89" t="s">
        <v>297</v>
      </c>
      <c r="M7" s="89" t="s">
        <v>76</v>
      </c>
      <c r="O7" s="10" t="s">
        <v>258</v>
      </c>
      <c r="P7">
        <f>10800+6396-6650</f>
        <v>10546</v>
      </c>
    </row>
    <row r="8" spans="1:19" x14ac:dyDescent="0.25">
      <c r="A8" s="62" t="s">
        <v>316</v>
      </c>
      <c r="B8" s="7">
        <v>78351</v>
      </c>
      <c r="C8" s="9">
        <v>78351</v>
      </c>
      <c r="D8" s="1">
        <f t="shared" si="0"/>
        <v>0</v>
      </c>
      <c r="E8" s="4"/>
      <c r="F8" t="s">
        <v>508</v>
      </c>
      <c r="G8" s="178">
        <f>P47-P46</f>
        <v>-18647</v>
      </c>
      <c r="I8" s="13"/>
      <c r="J8" s="177"/>
      <c r="L8" s="89" t="s">
        <v>290</v>
      </c>
      <c r="M8" s="89"/>
      <c r="O8" s="10"/>
    </row>
    <row r="9" spans="1:19" x14ac:dyDescent="0.25">
      <c r="A9" s="1" t="s">
        <v>310</v>
      </c>
      <c r="B9" s="6">
        <v>50000</v>
      </c>
      <c r="C9" s="3">
        <f>40000+10000</f>
        <v>50000</v>
      </c>
      <c r="D9" s="1">
        <f t="shared" si="0"/>
        <v>0</v>
      </c>
      <c r="E9" s="144"/>
      <c r="F9" s="4" t="s">
        <v>16</v>
      </c>
      <c r="G9" s="4">
        <v>0</v>
      </c>
      <c r="J9" s="146"/>
      <c r="L9" s="89" t="s">
        <v>550</v>
      </c>
      <c r="M9" s="89"/>
      <c r="O9" s="10"/>
    </row>
    <row r="10" spans="1:19" x14ac:dyDescent="0.25">
      <c r="A10" s="1" t="s">
        <v>11</v>
      </c>
      <c r="B10" s="7">
        <v>80000</v>
      </c>
      <c r="C10" s="3">
        <f>23990+8623+25871+8597+9340+3579</f>
        <v>80000</v>
      </c>
      <c r="D10" s="1">
        <f t="shared" si="0"/>
        <v>0</v>
      </c>
      <c r="E10" s="5"/>
      <c r="F10" s="67" t="s">
        <v>222</v>
      </c>
      <c r="G10" s="120"/>
      <c r="I10" s="78"/>
      <c r="J10" s="10"/>
      <c r="L10" s="172" t="s">
        <v>551</v>
      </c>
      <c r="M10" s="89">
        <v>7080</v>
      </c>
      <c r="O10" s="10"/>
    </row>
    <row r="11" spans="1:19" x14ac:dyDescent="0.25">
      <c r="A11" s="1" t="s">
        <v>462</v>
      </c>
      <c r="B11" s="7">
        <v>120000</v>
      </c>
      <c r="C11" s="3">
        <v>120000</v>
      </c>
      <c r="D11" s="1">
        <f t="shared" si="0"/>
        <v>0</v>
      </c>
      <c r="E11" s="25" t="s">
        <v>359</v>
      </c>
      <c r="F11" s="64"/>
      <c r="G11" s="44"/>
      <c r="H11" s="4"/>
      <c r="L11" s="89"/>
      <c r="M11" s="89"/>
      <c r="O11" s="10" t="s">
        <v>65</v>
      </c>
      <c r="P11">
        <f>SUM(P2:P10)</f>
        <v>88768</v>
      </c>
    </row>
    <row r="12" spans="1:19" x14ac:dyDescent="0.25">
      <c r="A12" s="1" t="s">
        <v>498</v>
      </c>
      <c r="B12" s="7">
        <v>0</v>
      </c>
      <c r="C12" s="3"/>
      <c r="D12" s="1">
        <f t="shared" si="0"/>
        <v>0</v>
      </c>
      <c r="E12" t="s">
        <v>500</v>
      </c>
      <c r="F12" s="67" t="s">
        <v>75</v>
      </c>
      <c r="G12" s="13">
        <f>-42132-28000-28000-28000-28000+89468-28000-28000+89468-30000</f>
        <v>-61196</v>
      </c>
      <c r="H12" s="4" t="s">
        <v>489</v>
      </c>
      <c r="I12" t="s">
        <v>382</v>
      </c>
      <c r="J12">
        <v>176332</v>
      </c>
      <c r="L12" s="89"/>
      <c r="M12" s="89"/>
    </row>
    <row r="13" spans="1:19" ht="15.75" thickBot="1" x14ac:dyDescent="0.3">
      <c r="A13" s="1" t="s">
        <v>240</v>
      </c>
      <c r="B13" s="6">
        <v>15988</v>
      </c>
      <c r="C13" s="3">
        <v>15988</v>
      </c>
      <c r="D13" s="1">
        <f t="shared" si="0"/>
        <v>0</v>
      </c>
      <c r="E13" s="133"/>
      <c r="F13" s="4" t="s">
        <v>158</v>
      </c>
      <c r="G13" s="13">
        <f>-1577676+775391+362-1500000+1977375+214562+631395</f>
        <v>521409</v>
      </c>
      <c r="H13" s="4"/>
      <c r="L13" s="149" t="s">
        <v>65</v>
      </c>
      <c r="M13" s="150">
        <f>SUM(M2:M12)</f>
        <v>18808</v>
      </c>
      <c r="O13" s="61" t="s">
        <v>259</v>
      </c>
      <c r="P13" s="76">
        <v>444440</v>
      </c>
      <c r="Q13" t="s">
        <v>95</v>
      </c>
      <c r="R13" t="s">
        <v>272</v>
      </c>
      <c r="S13" t="s">
        <v>530</v>
      </c>
    </row>
    <row r="14" spans="1:19" x14ac:dyDescent="0.25">
      <c r="A14" s="1" t="s">
        <v>18</v>
      </c>
      <c r="B14" s="6">
        <v>25000</v>
      </c>
      <c r="C14" s="3">
        <f>13580+11420</f>
        <v>25000</v>
      </c>
      <c r="D14" s="1">
        <f t="shared" si="0"/>
        <v>0</v>
      </c>
      <c r="E14" s="5" t="s">
        <v>451</v>
      </c>
      <c r="F14" s="4" t="s">
        <v>121</v>
      </c>
      <c r="G14" s="13">
        <v>0</v>
      </c>
      <c r="H14" s="10"/>
      <c r="J14" s="13"/>
      <c r="O14" s="1" t="s">
        <v>241</v>
      </c>
      <c r="P14" s="75" t="s">
        <v>76</v>
      </c>
      <c r="Q14" s="56" t="s">
        <v>76</v>
      </c>
      <c r="R14" t="s">
        <v>392</v>
      </c>
      <c r="S14" t="s">
        <v>55</v>
      </c>
    </row>
    <row r="15" spans="1:19" x14ac:dyDescent="0.25">
      <c r="A15" s="8" t="s">
        <v>159</v>
      </c>
      <c r="B15" s="7">
        <v>100000</v>
      </c>
      <c r="C15" s="9">
        <v>100000</v>
      </c>
      <c r="D15" s="1">
        <f t="shared" si="0"/>
        <v>0</v>
      </c>
      <c r="E15" s="5"/>
      <c r="F15" s="4" t="s">
        <v>416</v>
      </c>
      <c r="G15" s="88">
        <f>-8000-8000-8000-8000-8000-8000-8000-8000</f>
        <v>-64000</v>
      </c>
      <c r="H15" s="4"/>
      <c r="L15" s="61" t="s">
        <v>131</v>
      </c>
      <c r="M15" s="76" t="s">
        <v>132</v>
      </c>
      <c r="O15" s="1" t="s">
        <v>260</v>
      </c>
      <c r="P15" s="75">
        <v>35920</v>
      </c>
      <c r="Q15" s="58" t="s">
        <v>511</v>
      </c>
      <c r="R15" t="s">
        <v>543</v>
      </c>
      <c r="S15" s="78" t="s">
        <v>544</v>
      </c>
    </row>
    <row r="16" spans="1:19" ht="15.75" thickBot="1" x14ac:dyDescent="0.3">
      <c r="A16" s="1" t="s">
        <v>64</v>
      </c>
      <c r="B16" s="6">
        <v>101428</v>
      </c>
      <c r="C16" s="3">
        <v>101428</v>
      </c>
      <c r="D16" s="1">
        <f t="shared" si="0"/>
        <v>0</v>
      </c>
      <c r="E16" s="5"/>
      <c r="F16" s="4" t="s">
        <v>129</v>
      </c>
      <c r="G16" s="87">
        <f>-30000-30000-30000-30000-30000-30000-30000-30000-30000-30000-30000+247990</f>
        <v>-82010</v>
      </c>
      <c r="H16" s="4"/>
      <c r="J16" s="13"/>
      <c r="L16" s="64"/>
      <c r="M16" s="156"/>
      <c r="O16" s="1" t="s">
        <v>261</v>
      </c>
      <c r="P16" s="75">
        <v>19990</v>
      </c>
      <c r="Q16" s="58" t="s">
        <v>511</v>
      </c>
      <c r="R16" t="s">
        <v>518</v>
      </c>
      <c r="S16" t="s">
        <v>55</v>
      </c>
    </row>
    <row r="17" spans="1:19" ht="15.75" thickBot="1" x14ac:dyDescent="0.3">
      <c r="A17" s="8" t="s">
        <v>161</v>
      </c>
      <c r="B17" s="7">
        <v>25000</v>
      </c>
      <c r="C17" s="9">
        <v>25000</v>
      </c>
      <c r="D17" s="1">
        <f t="shared" si="0"/>
        <v>0</v>
      </c>
      <c r="E17" s="5" t="s">
        <v>451</v>
      </c>
      <c r="F17" s="71" t="s">
        <v>12</v>
      </c>
      <c r="G17" s="72">
        <f>SUM(G1:G16)</f>
        <v>247990</v>
      </c>
      <c r="H17" s="16"/>
      <c r="J17" s="13"/>
      <c r="L17" s="8"/>
      <c r="M17" s="89"/>
      <c r="O17" s="1" t="s">
        <v>262</v>
      </c>
      <c r="P17" s="75">
        <v>39980</v>
      </c>
      <c r="Q17" s="58" t="s">
        <v>513</v>
      </c>
      <c r="R17" t="s">
        <v>524</v>
      </c>
      <c r="S17" t="s">
        <v>55</v>
      </c>
    </row>
    <row r="18" spans="1:19" x14ac:dyDescent="0.25">
      <c r="A18" s="6" t="s">
        <v>156</v>
      </c>
      <c r="B18" s="1">
        <v>30000</v>
      </c>
      <c r="C18" s="3">
        <v>30000</v>
      </c>
      <c r="D18" s="1">
        <f>B18-C18</f>
        <v>0</v>
      </c>
      <c r="E18" s="5" t="s">
        <v>292</v>
      </c>
      <c r="F18" s="201" t="s">
        <v>13</v>
      </c>
      <c r="G18" s="202"/>
      <c r="H18" s="203"/>
      <c r="J18" s="13"/>
      <c r="L18" s="96"/>
      <c r="M18" s="156"/>
      <c r="O18" s="1" t="s">
        <v>263</v>
      </c>
      <c r="P18" s="75">
        <f>25990</f>
        <v>25990</v>
      </c>
      <c r="Q18" s="58" t="s">
        <v>513</v>
      </c>
      <c r="R18" t="s">
        <v>531</v>
      </c>
      <c r="S18" t="s">
        <v>55</v>
      </c>
    </row>
    <row r="19" spans="1:19" x14ac:dyDescent="0.25">
      <c r="A19" s="6" t="s">
        <v>331</v>
      </c>
      <c r="B19" s="6">
        <v>3000</v>
      </c>
      <c r="C19" s="3">
        <v>3000</v>
      </c>
      <c r="D19" s="1">
        <f t="shared" si="0"/>
        <v>0</v>
      </c>
      <c r="E19" s="5" t="s">
        <v>244</v>
      </c>
      <c r="F19" s="8" t="s">
        <v>7</v>
      </c>
      <c r="G19" s="8" t="s">
        <v>8</v>
      </c>
      <c r="H19" s="8" t="s">
        <v>9</v>
      </c>
      <c r="J19" s="13">
        <f>H20-G17</f>
        <v>-247990</v>
      </c>
      <c r="L19" s="96"/>
      <c r="M19" s="156"/>
      <c r="O19" s="1" t="s">
        <v>43</v>
      </c>
      <c r="P19" s="75">
        <v>37791</v>
      </c>
      <c r="Q19" s="58" t="s">
        <v>513</v>
      </c>
      <c r="R19" t="s">
        <v>522</v>
      </c>
      <c r="S19" t="s">
        <v>55</v>
      </c>
    </row>
    <row r="20" spans="1:19" x14ac:dyDescent="0.25">
      <c r="A20" s="1" t="s">
        <v>42</v>
      </c>
      <c r="B20" s="6">
        <v>60000</v>
      </c>
      <c r="C20" s="3">
        <f>673+6199+8048+1272+9805+32600+1403</f>
        <v>60000</v>
      </c>
      <c r="D20" s="1">
        <f t="shared" si="0"/>
        <v>0</v>
      </c>
      <c r="E20" s="5" t="s">
        <v>492</v>
      </c>
      <c r="F20" s="8">
        <f>SUM(D3:D35)+B37</f>
        <v>0</v>
      </c>
      <c r="G20" s="8">
        <v>0</v>
      </c>
      <c r="H20" s="18">
        <f>F20+G20</f>
        <v>0</v>
      </c>
      <c r="L20" s="96" t="s">
        <v>478</v>
      </c>
      <c r="M20" s="157">
        <v>34500</v>
      </c>
      <c r="O20" s="1" t="s">
        <v>264</v>
      </c>
      <c r="P20" s="75">
        <v>19990</v>
      </c>
      <c r="Q20" s="58" t="s">
        <v>513</v>
      </c>
      <c r="R20" t="s">
        <v>358</v>
      </c>
      <c r="S20" t="s">
        <v>545</v>
      </c>
    </row>
    <row r="21" spans="1:19" x14ac:dyDescent="0.25">
      <c r="A21" s="3" t="s">
        <v>288</v>
      </c>
      <c r="B21" s="6">
        <f>15000+37000</f>
        <v>52000</v>
      </c>
      <c r="C21" s="3">
        <f>37000+15000</f>
        <v>52000</v>
      </c>
      <c r="D21" s="1">
        <f t="shared" si="0"/>
        <v>0</v>
      </c>
      <c r="E21" s="5" t="s">
        <v>433</v>
      </c>
      <c r="F21" s="5"/>
      <c r="G21" s="5"/>
      <c r="H21" s="5"/>
      <c r="J21" s="13"/>
      <c r="L21" s="96"/>
      <c r="M21" s="157"/>
      <c r="O21" s="1" t="s">
        <v>265</v>
      </c>
      <c r="P21" s="75">
        <v>41990</v>
      </c>
      <c r="Q21" s="58" t="s">
        <v>513</v>
      </c>
      <c r="R21" t="s">
        <v>512</v>
      </c>
      <c r="S21" t="s">
        <v>55</v>
      </c>
    </row>
    <row r="22" spans="1:19" x14ac:dyDescent="0.25">
      <c r="A22" s="61" t="s">
        <v>311</v>
      </c>
      <c r="B22" s="6"/>
      <c r="C22" s="3"/>
      <c r="D22" s="1">
        <f t="shared" si="0"/>
        <v>0</v>
      </c>
      <c r="E22" s="5"/>
      <c r="F22" s="5"/>
      <c r="G22" s="5"/>
      <c r="H22" s="5"/>
      <c r="J22" s="12"/>
      <c r="L22" s="171"/>
      <c r="O22" s="1" t="s">
        <v>266</v>
      </c>
      <c r="P22" s="75"/>
      <c r="Q22" s="58"/>
      <c r="S22" s="78"/>
    </row>
    <row r="23" spans="1:19" ht="15.75" thickBot="1" x14ac:dyDescent="0.3">
      <c r="A23" s="1" t="s">
        <v>460</v>
      </c>
      <c r="B23" s="7">
        <v>85000</v>
      </c>
      <c r="C23" s="3">
        <f>59586+7890+1570+15954</f>
        <v>85000</v>
      </c>
      <c r="D23" s="1">
        <f t="shared" si="0"/>
        <v>0</v>
      </c>
      <c r="E23" s="5" t="s">
        <v>448</v>
      </c>
      <c r="F23" s="44"/>
      <c r="G23" s="43"/>
      <c r="H23" s="5"/>
      <c r="I23" t="s">
        <v>31</v>
      </c>
      <c r="J23" s="13">
        <f>G17-D4-D5-D6-D7-D12-D29-D8-D11-D13-D17-D20-D22-D24-D28-D30-D14-D21-D19-D16-D18</f>
        <v>247990</v>
      </c>
      <c r="L23" s="147" t="s">
        <v>65</v>
      </c>
      <c r="M23" s="148">
        <f>SUM(M16:M22)</f>
        <v>34500</v>
      </c>
      <c r="N23" s="10"/>
      <c r="O23" s="1" t="s">
        <v>267</v>
      </c>
      <c r="P23" s="75">
        <v>20990</v>
      </c>
      <c r="Q23" s="58" t="s">
        <v>513</v>
      </c>
      <c r="R23" t="s">
        <v>536</v>
      </c>
      <c r="S23" t="s">
        <v>76</v>
      </c>
    </row>
    <row r="24" spans="1:19" x14ac:dyDescent="0.25">
      <c r="A24" s="1" t="s">
        <v>426</v>
      </c>
      <c r="B24" s="7">
        <v>40000</v>
      </c>
      <c r="C24" s="3">
        <v>40000</v>
      </c>
      <c r="D24" s="1">
        <f t="shared" si="0"/>
        <v>0</v>
      </c>
      <c r="E24" s="5"/>
      <c r="F24" s="5"/>
      <c r="G24" s="5"/>
      <c r="H24" s="5"/>
      <c r="M24" s="95"/>
      <c r="O24" s="1" t="s">
        <v>270</v>
      </c>
      <c r="P24" s="75"/>
      <c r="Q24" s="58"/>
    </row>
    <row r="25" spans="1:19" x14ac:dyDescent="0.25">
      <c r="A25" s="1" t="s">
        <v>24</v>
      </c>
      <c r="B25" s="7">
        <v>85000</v>
      </c>
      <c r="C25" s="3">
        <f>19990+7000+58010</f>
        <v>85000</v>
      </c>
      <c r="D25" s="1">
        <f t="shared" si="0"/>
        <v>0</v>
      </c>
      <c r="E25" s="5">
        <v>80000</v>
      </c>
      <c r="F25" s="62" t="s">
        <v>89</v>
      </c>
      <c r="G25" s="85">
        <f>SUM(G26:G28)</f>
        <v>7973310</v>
      </c>
      <c r="H25" s="61"/>
      <c r="O25" s="1" t="s">
        <v>271</v>
      </c>
      <c r="P25" s="75">
        <v>17990</v>
      </c>
      <c r="Q25" s="58" t="s">
        <v>513</v>
      </c>
      <c r="R25" t="s">
        <v>535</v>
      </c>
      <c r="S25" t="s">
        <v>76</v>
      </c>
    </row>
    <row r="26" spans="1:19" x14ac:dyDescent="0.25">
      <c r="A26" s="1" t="s">
        <v>63</v>
      </c>
      <c r="B26" s="7">
        <v>85000</v>
      </c>
      <c r="C26" s="3">
        <f>5372+3+29990+49635</f>
        <v>85000</v>
      </c>
      <c r="D26" s="1">
        <f t="shared" si="0"/>
        <v>0</v>
      </c>
      <c r="E26" s="5">
        <v>80000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11</v>
      </c>
      <c r="L26" s="8"/>
      <c r="M26" s="89"/>
      <c r="O26" s="1" t="s">
        <v>268</v>
      </c>
      <c r="P26" s="75">
        <f>25390+3990</f>
        <v>29380</v>
      </c>
      <c r="Q26" s="58" t="s">
        <v>513</v>
      </c>
      <c r="R26" t="s">
        <v>519</v>
      </c>
      <c r="S26" s="44" t="s">
        <v>76</v>
      </c>
    </row>
    <row r="27" spans="1:19" x14ac:dyDescent="0.25">
      <c r="A27" s="1" t="s">
        <v>27</v>
      </c>
      <c r="B27" s="7">
        <f>8800</f>
        <v>8800</v>
      </c>
      <c r="C27" s="3">
        <f>4400+3875+525</f>
        <v>8800</v>
      </c>
      <c r="D27" s="1">
        <f t="shared" si="0"/>
        <v>0</v>
      </c>
      <c r="E27" s="5">
        <v>8400</v>
      </c>
      <c r="F27" s="8" t="s">
        <v>97</v>
      </c>
      <c r="G27" s="89">
        <f>AHRROS!B9</f>
        <v>5636408</v>
      </c>
      <c r="H27" s="8"/>
      <c r="I27" t="s">
        <v>105</v>
      </c>
      <c r="J27" s="74">
        <f>'Colegio Agus'!K7-G25</f>
        <v>-1734680.6279999996</v>
      </c>
      <c r="O27" s="1" t="s">
        <v>269</v>
      </c>
      <c r="P27" s="75">
        <v>24490</v>
      </c>
      <c r="Q27" s="58" t="s">
        <v>513</v>
      </c>
      <c r="R27" t="s">
        <v>520</v>
      </c>
      <c r="S27" t="s">
        <v>55</v>
      </c>
    </row>
    <row r="28" spans="1:19" x14ac:dyDescent="0.25">
      <c r="A28" s="1" t="s">
        <v>3</v>
      </c>
      <c r="B28" s="6">
        <v>130000</v>
      </c>
      <c r="C28" s="3">
        <f>30000+45000+53651+1349</f>
        <v>130000</v>
      </c>
      <c r="D28" s="1">
        <f t="shared" si="0"/>
        <v>0</v>
      </c>
      <c r="E28" s="5">
        <v>140000</v>
      </c>
      <c r="F28" s="8" t="s">
        <v>91</v>
      </c>
      <c r="G28" s="89">
        <v>2336902</v>
      </c>
      <c r="H28" s="8"/>
      <c r="I28" t="s">
        <v>106</v>
      </c>
      <c r="J28">
        <v>12</v>
      </c>
      <c r="K28" t="s">
        <v>548</v>
      </c>
      <c r="L28" s="8"/>
      <c r="M28" s="89"/>
      <c r="O28" s="1" t="s">
        <v>273</v>
      </c>
      <c r="P28" s="75"/>
      <c r="Q28" s="58"/>
    </row>
    <row r="29" spans="1:19" x14ac:dyDescent="0.25">
      <c r="A29" s="6" t="s">
        <v>501</v>
      </c>
      <c r="B29" s="6">
        <v>104313</v>
      </c>
      <c r="C29" s="3">
        <v>104313</v>
      </c>
      <c r="D29" s="1">
        <f t="shared" si="0"/>
        <v>0</v>
      </c>
      <c r="E29" s="5"/>
      <c r="F29" s="5"/>
      <c r="G29" s="5"/>
      <c r="H29" s="5"/>
      <c r="I29" t="s">
        <v>107</v>
      </c>
      <c r="J29" s="74">
        <f>J27/J28</f>
        <v>-144556.71899999995</v>
      </c>
      <c r="L29" s="8"/>
      <c r="M29" s="89"/>
      <c r="O29" s="1" t="s">
        <v>274</v>
      </c>
      <c r="P29" s="75">
        <f>11992+1459</f>
        <v>13451</v>
      </c>
      <c r="Q29" s="58" t="s">
        <v>511</v>
      </c>
      <c r="R29" t="s">
        <v>541</v>
      </c>
      <c r="S29" t="s">
        <v>542</v>
      </c>
    </row>
    <row r="30" spans="1:19" x14ac:dyDescent="0.25">
      <c r="A30" s="61" t="s">
        <v>413</v>
      </c>
      <c r="B30" s="6">
        <v>8000</v>
      </c>
      <c r="C30" s="3">
        <v>8000</v>
      </c>
      <c r="D30" s="1">
        <f t="shared" si="0"/>
        <v>0</v>
      </c>
      <c r="E30" s="5" t="s">
        <v>296</v>
      </c>
      <c r="F30" s="5"/>
      <c r="G30" s="5"/>
      <c r="H30" s="5"/>
      <c r="L30" s="1"/>
      <c r="M30" s="89"/>
      <c r="O30" s="1" t="s">
        <v>278</v>
      </c>
      <c r="P30" s="75"/>
      <c r="Q30" s="58"/>
    </row>
    <row r="31" spans="1:19" x14ac:dyDescent="0.25">
      <c r="A31" s="1" t="s">
        <v>79</v>
      </c>
      <c r="B31" s="6">
        <v>30000</v>
      </c>
      <c r="C31" s="3">
        <v>30000</v>
      </c>
      <c r="D31" s="1">
        <f t="shared" si="0"/>
        <v>0</v>
      </c>
      <c r="E31" t="s">
        <v>505</v>
      </c>
      <c r="F31" s="5"/>
      <c r="G31" s="5"/>
      <c r="H31" s="5"/>
      <c r="L31" s="8"/>
      <c r="M31" s="89"/>
      <c r="O31" s="1" t="s">
        <v>521</v>
      </c>
      <c r="P31" s="75"/>
      <c r="Q31" s="58"/>
    </row>
    <row r="32" spans="1:19" x14ac:dyDescent="0.25">
      <c r="A32" s="1" t="s">
        <v>430</v>
      </c>
      <c r="B32" s="6"/>
      <c r="C32" s="3"/>
      <c r="D32" s="1">
        <f t="shared" si="0"/>
        <v>0</v>
      </c>
      <c r="E32" t="s">
        <v>328</v>
      </c>
      <c r="F32" s="5"/>
      <c r="G32" s="5"/>
      <c r="H32" s="5"/>
      <c r="L32" s="1"/>
      <c r="M32" s="137"/>
      <c r="O32" s="47" t="s">
        <v>509</v>
      </c>
      <c r="P32" s="75">
        <f>18890+7990</f>
        <v>26880</v>
      </c>
      <c r="Q32" t="s">
        <v>513</v>
      </c>
      <c r="R32" s="58" t="s">
        <v>517</v>
      </c>
      <c r="S32" t="s">
        <v>55</v>
      </c>
    </row>
    <row r="33" spans="1:19" x14ac:dyDescent="0.25">
      <c r="A33" s="96" t="s">
        <v>243</v>
      </c>
      <c r="B33" s="6"/>
      <c r="C33" s="3"/>
      <c r="D33" s="1">
        <f t="shared" si="0"/>
        <v>0</v>
      </c>
      <c r="E33" s="5" t="s">
        <v>313</v>
      </c>
      <c r="F33" s="5"/>
      <c r="G33" s="5"/>
      <c r="H33" s="5"/>
      <c r="L33" s="1"/>
      <c r="M33" s="137"/>
      <c r="O33" s="47" t="s">
        <v>538</v>
      </c>
      <c r="P33" s="75">
        <f>7992+1460</f>
        <v>9452</v>
      </c>
      <c r="Q33" s="58" t="s">
        <v>511</v>
      </c>
      <c r="R33" t="s">
        <v>539</v>
      </c>
      <c r="S33" t="s">
        <v>540</v>
      </c>
    </row>
    <row r="34" spans="1:19" ht="15.75" thickBot="1" x14ac:dyDescent="0.3">
      <c r="A34" s="1" t="s">
        <v>162</v>
      </c>
      <c r="B34" s="6">
        <v>10000</v>
      </c>
      <c r="C34" s="3">
        <v>10000</v>
      </c>
      <c r="D34" s="1">
        <f t="shared" si="0"/>
        <v>0</v>
      </c>
      <c r="E34" s="5" t="s">
        <v>374</v>
      </c>
      <c r="F34" s="5"/>
      <c r="G34" s="5"/>
      <c r="H34" s="5"/>
      <c r="O34" s="47"/>
    </row>
    <row r="35" spans="1:19" ht="15.75" thickBot="1" x14ac:dyDescent="0.3">
      <c r="A35" s="1" t="s">
        <v>19</v>
      </c>
      <c r="B35" s="1">
        <v>200920</v>
      </c>
      <c r="C35" s="9">
        <f>7800+45760+4017+150+2550+20000+3590+224+4385+2880+7995+4661+11934+3200+1600+6710+900+2366-1198+7250+3600+13035+11200+500+1890+480+27316+6125</f>
        <v>200920</v>
      </c>
      <c r="D35" s="1">
        <f t="shared" si="0"/>
        <v>0</v>
      </c>
      <c r="E35" s="5"/>
      <c r="F35" s="5"/>
      <c r="G35" s="17"/>
      <c r="H35" s="5" t="s">
        <v>26</v>
      </c>
      <c r="O35" s="1" t="s">
        <v>65</v>
      </c>
      <c r="P35" s="75">
        <f>SUM(P14:P33)</f>
        <v>364284</v>
      </c>
    </row>
    <row r="36" spans="1:19" x14ac:dyDescent="0.25">
      <c r="A36" s="2" t="s">
        <v>1</v>
      </c>
      <c r="B36" s="2">
        <f>SUM(B3:B35)</f>
        <v>2598163</v>
      </c>
      <c r="C36" s="2">
        <f>SUM(C3:C35)</f>
        <v>2598163</v>
      </c>
      <c r="D36" s="2"/>
      <c r="E36" s="5"/>
      <c r="F36" s="5"/>
      <c r="G36" s="5"/>
      <c r="H36" s="5"/>
      <c r="L36" s="91"/>
      <c r="M36" s="138"/>
      <c r="O36" s="84"/>
      <c r="P36" s="74"/>
    </row>
    <row r="37" spans="1:19" ht="15.75" thickBot="1" x14ac:dyDescent="0.3">
      <c r="A37" s="2" t="s">
        <v>2</v>
      </c>
      <c r="B37" s="2">
        <f>B2-B36</f>
        <v>0</v>
      </c>
      <c r="C37" s="2">
        <f>C2-C36</f>
        <v>0</v>
      </c>
      <c r="D37" s="2"/>
      <c r="E37" s="5"/>
      <c r="F37" s="5"/>
      <c r="G37" s="5"/>
      <c r="H37" s="5"/>
      <c r="J37">
        <f>2752586</f>
        <v>2752586</v>
      </c>
      <c r="O37" s="47"/>
      <c r="P37" s="74"/>
    </row>
    <row r="38" spans="1:19" x14ac:dyDescent="0.25">
      <c r="D38">
        <f>SUM(D3:D35)</f>
        <v>0</v>
      </c>
      <c r="E38" s="5"/>
      <c r="F38" s="5"/>
      <c r="G38" s="5"/>
      <c r="H38" s="5"/>
      <c r="J38">
        <f>574857</f>
        <v>574857</v>
      </c>
      <c r="O38" s="83" t="s">
        <v>279</v>
      </c>
      <c r="P38" s="79"/>
    </row>
    <row r="39" spans="1:19" x14ac:dyDescent="0.25">
      <c r="E39" s="5"/>
      <c r="F39" s="5"/>
      <c r="G39" s="5"/>
      <c r="H39" s="5"/>
      <c r="J39">
        <f>J37-J38</f>
        <v>2177729</v>
      </c>
      <c r="O39" s="80" t="s">
        <v>507</v>
      </c>
      <c r="P39" s="81">
        <v>29990</v>
      </c>
    </row>
    <row r="40" spans="1:19" x14ac:dyDescent="0.25">
      <c r="E40" s="5"/>
      <c r="O40" s="1" t="s">
        <v>277</v>
      </c>
      <c r="P40" s="81">
        <f>7490*2</f>
        <v>14980</v>
      </c>
      <c r="Q40" t="s">
        <v>515</v>
      </c>
      <c r="S40" t="s">
        <v>516</v>
      </c>
    </row>
    <row r="41" spans="1:19" x14ac:dyDescent="0.25">
      <c r="E41" s="5"/>
      <c r="O41" s="1"/>
      <c r="P41" s="81"/>
    </row>
    <row r="42" spans="1:19" x14ac:dyDescent="0.25">
      <c r="O42" s="80" t="s">
        <v>523</v>
      </c>
      <c r="P42" s="81">
        <f>40000</f>
        <v>40000</v>
      </c>
      <c r="Q42" t="s">
        <v>525</v>
      </c>
      <c r="S42" t="s">
        <v>526</v>
      </c>
    </row>
    <row r="43" spans="1:19" x14ac:dyDescent="0.25">
      <c r="O43" s="80" t="s">
        <v>534</v>
      </c>
      <c r="P43" s="81">
        <v>12490</v>
      </c>
      <c r="Q43" t="s">
        <v>532</v>
      </c>
    </row>
    <row r="44" spans="1:19" x14ac:dyDescent="0.25">
      <c r="O44" s="80"/>
      <c r="P44" s="81"/>
    </row>
    <row r="45" spans="1:19" x14ac:dyDescent="0.25">
      <c r="O45" s="80"/>
      <c r="P45" s="81"/>
    </row>
    <row r="46" spans="1:19" x14ac:dyDescent="0.25">
      <c r="O46" s="139" t="s">
        <v>9</v>
      </c>
      <c r="P46" s="140">
        <f>SUM(P39:P45)</f>
        <v>97460</v>
      </c>
    </row>
    <row r="47" spans="1:19" x14ac:dyDescent="0.25">
      <c r="O47" s="57" t="s">
        <v>510</v>
      </c>
      <c r="P47" s="81">
        <f>SUMIF(Q14:Q33,"EFECTIVO",P14:P33)</f>
        <v>78813</v>
      </c>
    </row>
    <row r="48" spans="1:19" ht="15.75" thickBot="1" x14ac:dyDescent="0.3">
      <c r="O48" s="59"/>
      <c r="P48" s="82"/>
    </row>
    <row r="49" spans="15:16" x14ac:dyDescent="0.25">
      <c r="P49" s="74"/>
    </row>
    <row r="50" spans="15:16" x14ac:dyDescent="0.25">
      <c r="O50" s="10" t="s">
        <v>92</v>
      </c>
      <c r="P50" s="77">
        <f>SUM(P14:P33)</f>
        <v>364284</v>
      </c>
    </row>
    <row r="51" spans="15:16" x14ac:dyDescent="0.25">
      <c r="O51" s="10"/>
      <c r="P51" s="77"/>
    </row>
    <row r="52" spans="15:16" x14ac:dyDescent="0.25">
      <c r="O52" s="10" t="s">
        <v>93</v>
      </c>
      <c r="P52" s="77">
        <f>P13-P50</f>
        <v>80156</v>
      </c>
    </row>
    <row r="53" spans="15:16" x14ac:dyDescent="0.25">
      <c r="O53" s="10"/>
      <c r="P53" s="77"/>
    </row>
    <row r="54" spans="15:16" x14ac:dyDescent="0.25">
      <c r="O54" s="10" t="s">
        <v>94</v>
      </c>
      <c r="P54" s="77">
        <f>P13-SUMIF(Q14:Q33,"GIFTCARD",P14:P33)-SUM(P39:P45)</f>
        <v>61509</v>
      </c>
    </row>
    <row r="56" spans="15:16" x14ac:dyDescent="0.25">
      <c r="O56" t="s">
        <v>99</v>
      </c>
      <c r="P56" s="78">
        <f>P54-G6</f>
        <v>194562</v>
      </c>
    </row>
  </sheetData>
  <mergeCells count="1">
    <mergeCell ref="F18:H18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S56"/>
  <sheetViews>
    <sheetView zoomScale="80" zoomScaleNormal="80" workbookViewId="0">
      <selection activeCell="G13" sqref="G13"/>
    </sheetView>
  </sheetViews>
  <sheetFormatPr baseColWidth="10" defaultColWidth="23.28515625" defaultRowHeight="15" x14ac:dyDescent="0.25"/>
  <cols>
    <col min="1" max="1" width="35.7109375" bestFit="1" customWidth="1"/>
    <col min="2" max="2" width="12.140625" bestFit="1" customWidth="1"/>
    <col min="3" max="3" width="12" bestFit="1" customWidth="1"/>
    <col min="4" max="4" width="8.7109375" bestFit="1" customWidth="1"/>
    <col min="5" max="5" width="23" customWidth="1"/>
    <col min="6" max="6" width="22.85546875" bestFit="1" customWidth="1"/>
    <col min="7" max="7" width="12.28515625" bestFit="1" customWidth="1"/>
    <col min="8" max="8" width="20" bestFit="1" customWidth="1"/>
    <col min="9" max="9" width="17.7109375" bestFit="1" customWidth="1"/>
    <col min="10" max="10" width="13" bestFit="1" customWidth="1"/>
    <col min="11" max="11" width="3.85546875" customWidth="1"/>
    <col min="12" max="12" width="24.140625" customWidth="1"/>
    <col min="13" max="13" width="14.42578125" bestFit="1" customWidth="1"/>
    <col min="14" max="14" width="4.28515625" customWidth="1"/>
    <col min="15" max="15" width="43.42578125" customWidth="1"/>
    <col min="16" max="16" width="17.7109375" customWidth="1"/>
    <col min="17" max="17" width="24.28515625" customWidth="1"/>
  </cols>
  <sheetData>
    <row r="1" spans="1:19" x14ac:dyDescent="0.25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4705440</v>
      </c>
      <c r="H1" s="11"/>
      <c r="I1" s="10"/>
      <c r="L1" s="168" t="s">
        <v>83</v>
      </c>
      <c r="M1" s="168"/>
      <c r="O1" s="10" t="s">
        <v>72</v>
      </c>
    </row>
    <row r="2" spans="1:19" x14ac:dyDescent="0.25">
      <c r="A2" s="2"/>
      <c r="B2" s="90">
        <f>2713123</f>
        <v>2713123</v>
      </c>
      <c r="C2" s="90">
        <f>2713123</f>
        <v>2713123</v>
      </c>
      <c r="D2" s="2"/>
      <c r="E2" s="4"/>
      <c r="F2" s="63" t="s">
        <v>73</v>
      </c>
      <c r="G2">
        <f>M13</f>
        <v>26115</v>
      </c>
      <c r="I2" s="132"/>
      <c r="L2" s="89" t="s">
        <v>81</v>
      </c>
      <c r="M2" s="89">
        <v>16160</v>
      </c>
      <c r="O2" s="10" t="s">
        <v>258</v>
      </c>
      <c r="P2">
        <f>18503+800-14000</f>
        <v>5303</v>
      </c>
    </row>
    <row r="3" spans="1:19" x14ac:dyDescent="0.25">
      <c r="A3" s="1" t="s">
        <v>0</v>
      </c>
      <c r="B3" s="6">
        <v>200000</v>
      </c>
      <c r="C3" s="3">
        <f>10546+44752+2201+6594+22795+4000+30230-4480+36881+1690+630+33580+10581</f>
        <v>200000</v>
      </c>
      <c r="D3" s="1">
        <f>B3-C3</f>
        <v>0</v>
      </c>
      <c r="E3" s="97">
        <v>200000</v>
      </c>
      <c r="F3" s="63" t="s">
        <v>130</v>
      </c>
      <c r="G3">
        <f>P11</f>
        <v>5303</v>
      </c>
      <c r="I3" s="74"/>
      <c r="L3" s="89" t="s">
        <v>128</v>
      </c>
      <c r="M3" s="89" t="s">
        <v>76</v>
      </c>
      <c r="O3" s="10"/>
    </row>
    <row r="4" spans="1:19" x14ac:dyDescent="0.25">
      <c r="A4" s="1" t="s">
        <v>62</v>
      </c>
      <c r="B4" s="6">
        <v>645834</v>
      </c>
      <c r="C4" s="3">
        <v>645834</v>
      </c>
      <c r="D4" s="1">
        <f t="shared" ref="D4:D35" si="0">B4-C4</f>
        <v>0</v>
      </c>
      <c r="E4" s="4" t="s">
        <v>570</v>
      </c>
      <c r="F4" t="s">
        <v>304</v>
      </c>
      <c r="G4" s="121">
        <f>-207000-34500+34500+34500+34500+34500+19971</f>
        <v>-83529</v>
      </c>
      <c r="H4" s="170" t="s">
        <v>450</v>
      </c>
      <c r="I4" s="78"/>
      <c r="L4" s="89" t="s">
        <v>287</v>
      </c>
      <c r="M4" s="89" t="s">
        <v>76</v>
      </c>
      <c r="O4" s="10"/>
    </row>
    <row r="5" spans="1:19" x14ac:dyDescent="0.25">
      <c r="A5" s="1" t="s">
        <v>128</v>
      </c>
      <c r="B5" s="6">
        <v>29800</v>
      </c>
      <c r="C5" s="3">
        <v>29800</v>
      </c>
      <c r="D5" s="1">
        <f t="shared" si="0"/>
        <v>0</v>
      </c>
      <c r="E5" s="4"/>
      <c r="F5" t="s">
        <v>580</v>
      </c>
      <c r="G5">
        <f>-101645-3342596</f>
        <v>-3444241</v>
      </c>
      <c r="I5" s="78"/>
      <c r="J5" s="88"/>
      <c r="L5" s="89" t="s">
        <v>427</v>
      </c>
      <c r="M5" s="89" t="s">
        <v>76</v>
      </c>
      <c r="O5" s="10"/>
    </row>
    <row r="6" spans="1:19" x14ac:dyDescent="0.25">
      <c r="A6" s="1" t="s">
        <v>81</v>
      </c>
      <c r="B6" s="6">
        <v>7440</v>
      </c>
      <c r="C6" s="3">
        <v>7440</v>
      </c>
      <c r="D6" s="1">
        <f t="shared" si="0"/>
        <v>0</v>
      </c>
      <c r="E6" s="4"/>
      <c r="F6" s="4" t="s">
        <v>221</v>
      </c>
      <c r="G6" s="4">
        <v>0</v>
      </c>
      <c r="J6" s="145"/>
      <c r="L6" s="89" t="s">
        <v>82</v>
      </c>
      <c r="M6" s="89">
        <f>-294+7249+3000</f>
        <v>9955</v>
      </c>
      <c r="O6" s="10"/>
    </row>
    <row r="7" spans="1:19" x14ac:dyDescent="0.25">
      <c r="A7" s="1" t="s">
        <v>86</v>
      </c>
      <c r="B7" s="7">
        <v>183531</v>
      </c>
      <c r="C7" s="3">
        <v>183531</v>
      </c>
      <c r="D7" s="1">
        <f t="shared" si="0"/>
        <v>0</v>
      </c>
      <c r="E7" s="4"/>
      <c r="F7" s="63" t="s">
        <v>242</v>
      </c>
      <c r="G7" s="98">
        <f>M23</f>
        <v>0</v>
      </c>
      <c r="J7" s="164"/>
      <c r="L7" s="172"/>
      <c r="M7" s="89"/>
      <c r="O7" s="10"/>
    </row>
    <row r="8" spans="1:19" x14ac:dyDescent="0.25">
      <c r="A8" s="62" t="s">
        <v>316</v>
      </c>
      <c r="B8" s="7">
        <v>78518</v>
      </c>
      <c r="C8" s="9">
        <v>78518</v>
      </c>
      <c r="D8" s="1">
        <f t="shared" si="0"/>
        <v>0</v>
      </c>
      <c r="E8" s="4"/>
      <c r="F8" t="s">
        <v>508</v>
      </c>
      <c r="G8" s="178">
        <f>-11520</f>
        <v>-11520</v>
      </c>
      <c r="I8" s="13"/>
      <c r="J8" s="177"/>
      <c r="L8" s="96"/>
      <c r="M8" s="157"/>
      <c r="O8" s="10"/>
    </row>
    <row r="9" spans="1:19" x14ac:dyDescent="0.25">
      <c r="A9" s="1" t="s">
        <v>310</v>
      </c>
      <c r="B9" s="6">
        <v>47172</v>
      </c>
      <c r="C9" s="3">
        <f>19702+14980+12490</f>
        <v>47172</v>
      </c>
      <c r="D9" s="1">
        <f t="shared" si="0"/>
        <v>0</v>
      </c>
      <c r="E9" s="144"/>
      <c r="F9" s="4" t="s">
        <v>16</v>
      </c>
      <c r="G9" s="4">
        <v>73000</v>
      </c>
      <c r="J9" s="146"/>
      <c r="L9" s="89"/>
      <c r="M9" s="89"/>
      <c r="O9" s="10"/>
    </row>
    <row r="10" spans="1:19" x14ac:dyDescent="0.25">
      <c r="A10" s="1" t="s">
        <v>11</v>
      </c>
      <c r="B10" s="7">
        <v>80000</v>
      </c>
      <c r="C10" s="3">
        <f>5829+14171+6153+3847+1200+12823+35977</f>
        <v>80000</v>
      </c>
      <c r="D10" s="1">
        <f t="shared" si="0"/>
        <v>0</v>
      </c>
      <c r="E10" s="5"/>
      <c r="F10" s="67" t="s">
        <v>222</v>
      </c>
      <c r="G10" s="120">
        <v>15000</v>
      </c>
      <c r="I10" s="78"/>
      <c r="J10" s="10"/>
      <c r="O10" s="10"/>
    </row>
    <row r="11" spans="1:19" x14ac:dyDescent="0.25">
      <c r="A11" s="1" t="s">
        <v>462</v>
      </c>
      <c r="B11" s="7">
        <v>120000</v>
      </c>
      <c r="C11" s="3">
        <v>120000</v>
      </c>
      <c r="D11" s="1">
        <f t="shared" si="0"/>
        <v>0</v>
      </c>
      <c r="E11" s="25" t="s">
        <v>359</v>
      </c>
      <c r="F11" s="64"/>
      <c r="G11" s="44"/>
      <c r="H11" s="4"/>
      <c r="L11" s="89"/>
      <c r="M11" s="89"/>
      <c r="O11" s="10" t="s">
        <v>65</v>
      </c>
      <c r="P11">
        <f>SUM(P2:P10)</f>
        <v>5303</v>
      </c>
    </row>
    <row r="12" spans="1:19" x14ac:dyDescent="0.25">
      <c r="A12" s="1" t="s">
        <v>498</v>
      </c>
      <c r="B12" s="7">
        <v>0</v>
      </c>
      <c r="C12" s="3"/>
      <c r="D12" s="1">
        <f t="shared" si="0"/>
        <v>0</v>
      </c>
      <c r="F12" s="67" t="s">
        <v>75</v>
      </c>
      <c r="G12" s="13">
        <f>-42132-28000-28000-28000-28000+89468-28000-28000+89468-30000-30000</f>
        <v>-91196</v>
      </c>
      <c r="H12" s="4" t="s">
        <v>489</v>
      </c>
      <c r="I12" t="s">
        <v>382</v>
      </c>
      <c r="J12">
        <v>176332</v>
      </c>
      <c r="L12" s="89"/>
      <c r="M12" s="89"/>
    </row>
    <row r="13" spans="1:19" ht="15.75" thickBot="1" x14ac:dyDescent="0.3">
      <c r="A13" s="1" t="s">
        <v>240</v>
      </c>
      <c r="B13" s="6">
        <v>15449</v>
      </c>
      <c r="C13" s="3">
        <v>15449</v>
      </c>
      <c r="D13" s="1">
        <f t="shared" si="0"/>
        <v>0</v>
      </c>
      <c r="E13" s="133"/>
      <c r="F13" s="4" t="s">
        <v>158</v>
      </c>
      <c r="G13" s="13">
        <f>521409-1500000+233226+112074+182552-559623</f>
        <v>-1010362</v>
      </c>
      <c r="H13" s="4"/>
      <c r="L13" s="149" t="s">
        <v>65</v>
      </c>
      <c r="M13" s="150">
        <f>SUM(M2:M12)</f>
        <v>26115</v>
      </c>
      <c r="O13" s="61" t="s">
        <v>259</v>
      </c>
      <c r="P13" s="76">
        <v>444440</v>
      </c>
      <c r="Q13" t="s">
        <v>95</v>
      </c>
      <c r="R13" t="s">
        <v>272</v>
      </c>
      <c r="S13" t="s">
        <v>530</v>
      </c>
    </row>
    <row r="14" spans="1:19" x14ac:dyDescent="0.25">
      <c r="A14" s="1" t="s">
        <v>18</v>
      </c>
      <c r="B14" s="6">
        <v>25000</v>
      </c>
      <c r="C14" s="3">
        <f>10682+1400+1000+11580+338</f>
        <v>25000</v>
      </c>
      <c r="D14" s="1">
        <f t="shared" si="0"/>
        <v>0</v>
      </c>
      <c r="E14" s="5" t="s">
        <v>451</v>
      </c>
      <c r="F14" s="4" t="s">
        <v>121</v>
      </c>
      <c r="G14" s="13">
        <v>0</v>
      </c>
      <c r="H14" s="10"/>
      <c r="J14" s="13"/>
      <c r="O14" s="1" t="s">
        <v>241</v>
      </c>
      <c r="P14" s="75" t="s">
        <v>76</v>
      </c>
      <c r="Q14" s="56" t="s">
        <v>76</v>
      </c>
      <c r="R14" t="s">
        <v>392</v>
      </c>
      <c r="S14" t="s">
        <v>55</v>
      </c>
    </row>
    <row r="15" spans="1:19" x14ac:dyDescent="0.25">
      <c r="A15" s="8" t="s">
        <v>568</v>
      </c>
      <c r="B15" s="7">
        <v>0</v>
      </c>
      <c r="C15" s="9"/>
      <c r="D15" s="1">
        <f t="shared" si="0"/>
        <v>0</v>
      </c>
      <c r="E15" s="5"/>
      <c r="F15" s="4" t="s">
        <v>416</v>
      </c>
      <c r="G15" s="88">
        <f>-8000-8000-8000-8000-8000-8000-8000-8000-8000</f>
        <v>-72000</v>
      </c>
      <c r="H15" s="4"/>
      <c r="L15" s="61" t="s">
        <v>131</v>
      </c>
      <c r="M15" s="76" t="s">
        <v>132</v>
      </c>
      <c r="O15" s="1" t="s">
        <v>260</v>
      </c>
      <c r="P15" s="75">
        <v>35920</v>
      </c>
      <c r="Q15" s="58" t="s">
        <v>511</v>
      </c>
      <c r="R15" t="s">
        <v>543</v>
      </c>
      <c r="S15" s="78" t="s">
        <v>544</v>
      </c>
    </row>
    <row r="16" spans="1:19" ht="15.75" thickBot="1" x14ac:dyDescent="0.3">
      <c r="A16" s="1" t="s">
        <v>64</v>
      </c>
      <c r="B16" s="6">
        <v>101536</v>
      </c>
      <c r="C16" s="3">
        <v>101536</v>
      </c>
      <c r="D16" s="1">
        <f t="shared" si="0"/>
        <v>0</v>
      </c>
      <c r="E16" s="5"/>
      <c r="F16" s="4" t="s">
        <v>129</v>
      </c>
      <c r="G16" s="87">
        <f>-82010-30000</f>
        <v>-112010</v>
      </c>
      <c r="H16" s="4"/>
      <c r="J16" s="13"/>
      <c r="L16" s="64"/>
      <c r="M16" s="156"/>
      <c r="O16" s="1" t="s">
        <v>261</v>
      </c>
      <c r="P16" s="75">
        <v>19990</v>
      </c>
      <c r="Q16" s="58" t="s">
        <v>511</v>
      </c>
      <c r="R16" t="s">
        <v>518</v>
      </c>
      <c r="S16" t="s">
        <v>55</v>
      </c>
    </row>
    <row r="17" spans="1:19" ht="15.75" thickBot="1" x14ac:dyDescent="0.3">
      <c r="A17" s="8" t="s">
        <v>161</v>
      </c>
      <c r="B17" s="7">
        <v>25000</v>
      </c>
      <c r="C17" s="9">
        <v>25000</v>
      </c>
      <c r="D17" s="1">
        <f t="shared" si="0"/>
        <v>0</v>
      </c>
      <c r="E17" s="5" t="s">
        <v>451</v>
      </c>
      <c r="F17" s="71" t="s">
        <v>12</v>
      </c>
      <c r="G17" s="72">
        <f>SUM(G1:G16)</f>
        <v>0</v>
      </c>
      <c r="H17" s="16"/>
      <c r="J17" s="13"/>
      <c r="L17" s="8"/>
      <c r="M17" s="89"/>
      <c r="O17" s="1" t="s">
        <v>262</v>
      </c>
      <c r="P17" s="75">
        <v>39980</v>
      </c>
      <c r="Q17" s="58" t="s">
        <v>513</v>
      </c>
      <c r="R17" t="s">
        <v>524</v>
      </c>
      <c r="S17" t="s">
        <v>55</v>
      </c>
    </row>
    <row r="18" spans="1:19" x14ac:dyDescent="0.25">
      <c r="A18" s="6" t="s">
        <v>156</v>
      </c>
      <c r="B18" s="1">
        <v>30000</v>
      </c>
      <c r="C18" s="3">
        <f>30000</f>
        <v>30000</v>
      </c>
      <c r="D18" s="1">
        <f>B18-C18</f>
        <v>0</v>
      </c>
      <c r="E18" s="5" t="s">
        <v>292</v>
      </c>
      <c r="F18" s="201" t="s">
        <v>13</v>
      </c>
      <c r="G18" s="202"/>
      <c r="H18" s="203"/>
      <c r="J18" s="13"/>
      <c r="L18" s="96"/>
      <c r="M18" s="156"/>
      <c r="O18" s="1" t="s">
        <v>263</v>
      </c>
      <c r="P18" s="75">
        <f>25990</f>
        <v>25990</v>
      </c>
      <c r="Q18" s="58" t="s">
        <v>513</v>
      </c>
      <c r="R18" t="s">
        <v>531</v>
      </c>
      <c r="S18" t="s">
        <v>55</v>
      </c>
    </row>
    <row r="19" spans="1:19" x14ac:dyDescent="0.25">
      <c r="A19" s="6" t="s">
        <v>331</v>
      </c>
      <c r="B19" s="6">
        <v>150000</v>
      </c>
      <c r="C19" s="3">
        <v>150000</v>
      </c>
      <c r="D19" s="1">
        <f t="shared" si="0"/>
        <v>0</v>
      </c>
      <c r="E19" s="5" t="s">
        <v>244</v>
      </c>
      <c r="F19" s="8" t="s">
        <v>7</v>
      </c>
      <c r="G19" s="8" t="s">
        <v>8</v>
      </c>
      <c r="H19" s="8" t="s">
        <v>9</v>
      </c>
      <c r="J19" s="13">
        <f>H20-G17</f>
        <v>0</v>
      </c>
      <c r="L19" s="96"/>
      <c r="M19" s="156"/>
      <c r="O19" s="1" t="s">
        <v>43</v>
      </c>
      <c r="P19" s="75">
        <v>37791</v>
      </c>
      <c r="Q19" s="58" t="s">
        <v>513</v>
      </c>
      <c r="R19" t="s">
        <v>522</v>
      </c>
      <c r="S19" t="s">
        <v>55</v>
      </c>
    </row>
    <row r="20" spans="1:19" x14ac:dyDescent="0.25">
      <c r="A20" s="1" t="s">
        <v>42</v>
      </c>
      <c r="B20" s="6">
        <v>60000</v>
      </c>
      <c r="C20" s="3">
        <f>15700+5009+8012+1279+26000+4000</f>
        <v>60000</v>
      </c>
      <c r="D20" s="1">
        <f t="shared" si="0"/>
        <v>0</v>
      </c>
      <c r="E20" s="5" t="s">
        <v>492</v>
      </c>
      <c r="F20" s="8">
        <f>SUM(D3:D35)+B37</f>
        <v>0</v>
      </c>
      <c r="G20" s="8">
        <v>0</v>
      </c>
      <c r="H20" s="18">
        <f>F20+G20</f>
        <v>0</v>
      </c>
      <c r="O20" s="1" t="s">
        <v>264</v>
      </c>
      <c r="P20" s="75">
        <v>19990</v>
      </c>
      <c r="Q20" s="58" t="s">
        <v>513</v>
      </c>
      <c r="R20" t="s">
        <v>358</v>
      </c>
      <c r="S20" t="s">
        <v>545</v>
      </c>
    </row>
    <row r="21" spans="1:19" x14ac:dyDescent="0.25">
      <c r="A21" s="3" t="s">
        <v>288</v>
      </c>
      <c r="B21" s="6">
        <f>15000+37000</f>
        <v>52000</v>
      </c>
      <c r="C21" s="3">
        <f>37000+15000</f>
        <v>52000</v>
      </c>
      <c r="D21" s="1">
        <f t="shared" si="0"/>
        <v>0</v>
      </c>
      <c r="E21" s="5" t="s">
        <v>433</v>
      </c>
      <c r="F21" s="5"/>
      <c r="G21" s="5"/>
      <c r="H21" s="5"/>
      <c r="L21" s="96"/>
      <c r="M21" s="157"/>
      <c r="O21" s="1" t="s">
        <v>265</v>
      </c>
      <c r="P21" s="75">
        <v>41990</v>
      </c>
      <c r="Q21" s="58" t="s">
        <v>513</v>
      </c>
      <c r="R21" t="s">
        <v>512</v>
      </c>
      <c r="S21" t="s">
        <v>55</v>
      </c>
    </row>
    <row r="22" spans="1:19" x14ac:dyDescent="0.25">
      <c r="A22" s="61" t="s">
        <v>572</v>
      </c>
      <c r="B22" s="6"/>
      <c r="C22" s="3"/>
      <c r="D22" s="1">
        <f t="shared" si="0"/>
        <v>0</v>
      </c>
      <c r="E22" s="5"/>
      <c r="F22" s="5"/>
      <c r="G22" s="5"/>
      <c r="H22" s="5"/>
      <c r="J22" s="12"/>
      <c r="L22" s="171"/>
      <c r="O22" s="1" t="s">
        <v>266</v>
      </c>
      <c r="P22" s="75"/>
      <c r="Q22" s="58"/>
      <c r="S22" s="78"/>
    </row>
    <row r="23" spans="1:19" ht="15.75" thickBot="1" x14ac:dyDescent="0.3">
      <c r="A23" s="1" t="s">
        <v>460</v>
      </c>
      <c r="B23" s="7">
        <v>85000</v>
      </c>
      <c r="C23" s="3">
        <f>25000+60000</f>
        <v>85000</v>
      </c>
      <c r="D23" s="1">
        <f t="shared" si="0"/>
        <v>0</v>
      </c>
      <c r="E23" s="5" t="s">
        <v>448</v>
      </c>
      <c r="F23" s="44"/>
      <c r="G23" s="43"/>
      <c r="H23" s="5"/>
      <c r="I23" t="s">
        <v>31</v>
      </c>
      <c r="J23" s="13">
        <f>G17-D4-D5-D6-D7-D12-D29-D8-D11-D13-D17-D20-D22-D24-D28-D30-D14-D21-D19-D16-D18</f>
        <v>0</v>
      </c>
      <c r="L23" s="147" t="s">
        <v>65</v>
      </c>
      <c r="M23" s="148">
        <f>SUM(M16:M22)</f>
        <v>0</v>
      </c>
      <c r="N23" s="10"/>
      <c r="O23" s="1" t="s">
        <v>267</v>
      </c>
      <c r="P23" s="75">
        <v>20990</v>
      </c>
      <c r="Q23" s="58" t="s">
        <v>513</v>
      </c>
      <c r="R23" t="s">
        <v>536</v>
      </c>
      <c r="S23" t="s">
        <v>76</v>
      </c>
    </row>
    <row r="24" spans="1:19" x14ac:dyDescent="0.25">
      <c r="A24" s="1" t="s">
        <v>426</v>
      </c>
      <c r="B24" s="7">
        <v>40000</v>
      </c>
      <c r="C24" s="3">
        <v>40000</v>
      </c>
      <c r="D24" s="1">
        <f t="shared" si="0"/>
        <v>0</v>
      </c>
      <c r="E24" s="5"/>
      <c r="F24" s="5"/>
      <c r="G24" s="5"/>
      <c r="H24" s="5"/>
      <c r="M24" s="95"/>
      <c r="O24" s="1" t="s">
        <v>270</v>
      </c>
      <c r="P24" s="75"/>
      <c r="Q24" s="58"/>
    </row>
    <row r="25" spans="1:19" x14ac:dyDescent="0.25">
      <c r="A25" s="1" t="s">
        <v>24</v>
      </c>
      <c r="B25" s="7">
        <v>85000</v>
      </c>
      <c r="C25" s="3">
        <f>1000+18000+14740+35010+16250</f>
        <v>85000</v>
      </c>
      <c r="D25" s="1">
        <f t="shared" si="0"/>
        <v>0</v>
      </c>
      <c r="E25" s="5">
        <v>85000</v>
      </c>
      <c r="F25" s="62" t="s">
        <v>89</v>
      </c>
      <c r="G25" s="85">
        <f>SUM(G26:G28)</f>
        <v>5636408</v>
      </c>
      <c r="H25" s="61"/>
      <c r="O25" s="1" t="s">
        <v>271</v>
      </c>
      <c r="P25" s="75">
        <v>17990</v>
      </c>
      <c r="Q25" s="58" t="s">
        <v>513</v>
      </c>
      <c r="R25" t="s">
        <v>535</v>
      </c>
      <c r="S25" t="s">
        <v>76</v>
      </c>
    </row>
    <row r="26" spans="1:19" x14ac:dyDescent="0.25">
      <c r="A26" s="1" t="s">
        <v>63</v>
      </c>
      <c r="B26" s="7">
        <v>85000</v>
      </c>
      <c r="C26" s="3">
        <f>31050+1800+6000+2550+2000+24954+5000+1000+3000+610+7036</f>
        <v>85000</v>
      </c>
      <c r="D26" s="1">
        <f t="shared" si="0"/>
        <v>0</v>
      </c>
      <c r="E26" s="5">
        <v>85000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L26" s="8"/>
      <c r="M26" s="89"/>
      <c r="O26" s="1" t="s">
        <v>268</v>
      </c>
      <c r="P26" s="75">
        <f>25390+3990</f>
        <v>29380</v>
      </c>
      <c r="Q26" s="58" t="s">
        <v>513</v>
      </c>
      <c r="R26" t="s">
        <v>519</v>
      </c>
      <c r="S26" s="44" t="s">
        <v>76</v>
      </c>
    </row>
    <row r="27" spans="1:19" x14ac:dyDescent="0.25">
      <c r="A27" s="1" t="s">
        <v>27</v>
      </c>
      <c r="B27" s="7">
        <f>8800</f>
        <v>8800</v>
      </c>
      <c r="C27" s="3">
        <f>4400+2200+2200</f>
        <v>8800</v>
      </c>
      <c r="D27" s="1">
        <f t="shared" si="0"/>
        <v>0</v>
      </c>
      <c r="E27" s="5">
        <v>8800</v>
      </c>
      <c r="F27" s="8" t="s">
        <v>97</v>
      </c>
      <c r="G27" s="89">
        <f>AHRROS!B9</f>
        <v>5636408</v>
      </c>
      <c r="H27" s="8"/>
      <c r="I27" t="s">
        <v>105</v>
      </c>
      <c r="J27" s="74">
        <f>'Colegio Agus'!K7-G25</f>
        <v>602221.37200000044</v>
      </c>
      <c r="O27" s="1" t="s">
        <v>269</v>
      </c>
      <c r="P27" s="75">
        <v>24490</v>
      </c>
      <c r="Q27" s="58" t="s">
        <v>513</v>
      </c>
      <c r="R27" t="s">
        <v>520</v>
      </c>
      <c r="S27" t="s">
        <v>55</v>
      </c>
    </row>
    <row r="28" spans="1:19" x14ac:dyDescent="0.25">
      <c r="A28" s="1" t="s">
        <v>3</v>
      </c>
      <c r="B28" s="6">
        <v>130000</v>
      </c>
      <c r="C28" s="3">
        <f>20000+41277+13391+31615+23717</f>
        <v>130000</v>
      </c>
      <c r="D28" s="1">
        <f t="shared" si="0"/>
        <v>0</v>
      </c>
      <c r="E28" s="5">
        <v>140000</v>
      </c>
      <c r="F28" s="8" t="s">
        <v>91</v>
      </c>
      <c r="G28" s="89">
        <v>0</v>
      </c>
      <c r="H28" s="8"/>
      <c r="I28" t="s">
        <v>106</v>
      </c>
      <c r="J28">
        <v>11</v>
      </c>
      <c r="K28" t="s">
        <v>548</v>
      </c>
      <c r="L28" s="8"/>
      <c r="M28" s="89"/>
      <c r="O28" s="1" t="s">
        <v>273</v>
      </c>
      <c r="P28" s="75"/>
      <c r="Q28" s="58"/>
      <c r="S28" t="s">
        <v>76</v>
      </c>
    </row>
    <row r="29" spans="1:19" x14ac:dyDescent="0.25">
      <c r="A29" s="6" t="s">
        <v>569</v>
      </c>
      <c r="B29" s="6">
        <v>57619</v>
      </c>
      <c r="C29" s="3">
        <f>23762+33857</f>
        <v>57619</v>
      </c>
      <c r="D29" s="1">
        <f t="shared" si="0"/>
        <v>0</v>
      </c>
      <c r="E29" s="5"/>
      <c r="F29" s="5"/>
      <c r="G29" s="5"/>
      <c r="H29" s="5"/>
      <c r="I29" t="s">
        <v>107</v>
      </c>
      <c r="J29" s="74">
        <f>J27/J28</f>
        <v>54747.397454545491</v>
      </c>
      <c r="L29" s="8"/>
      <c r="M29" s="89"/>
      <c r="O29" s="1" t="s">
        <v>274</v>
      </c>
      <c r="P29" s="75">
        <f>11992+1459</f>
        <v>13451</v>
      </c>
      <c r="Q29" s="58" t="s">
        <v>511</v>
      </c>
      <c r="R29" t="s">
        <v>541</v>
      </c>
      <c r="S29" t="s">
        <v>542</v>
      </c>
    </row>
    <row r="30" spans="1:19" x14ac:dyDescent="0.25">
      <c r="A30" s="61" t="s">
        <v>413</v>
      </c>
      <c r="B30" s="6">
        <v>8000</v>
      </c>
      <c r="C30" s="3">
        <v>8000</v>
      </c>
      <c r="D30" s="1">
        <f t="shared" si="0"/>
        <v>0</v>
      </c>
      <c r="E30" s="5" t="s">
        <v>296</v>
      </c>
      <c r="F30" s="5"/>
      <c r="G30" s="5"/>
      <c r="H30" s="5"/>
      <c r="L30" s="1"/>
      <c r="M30" s="89"/>
      <c r="O30" s="1" t="s">
        <v>278</v>
      </c>
      <c r="P30" s="75"/>
      <c r="Q30" s="58"/>
      <c r="S30" t="s">
        <v>76</v>
      </c>
    </row>
    <row r="31" spans="1:19" x14ac:dyDescent="0.25">
      <c r="A31" s="1" t="s">
        <v>79</v>
      </c>
      <c r="B31" s="6">
        <v>30000</v>
      </c>
      <c r="C31" s="3">
        <v>30000</v>
      </c>
      <c r="D31" s="1">
        <f t="shared" si="0"/>
        <v>0</v>
      </c>
      <c r="E31" t="s">
        <v>505</v>
      </c>
      <c r="F31" s="5"/>
      <c r="G31" s="5"/>
      <c r="H31" s="5"/>
      <c r="L31" s="8"/>
      <c r="M31" s="89"/>
      <c r="O31" s="1" t="s">
        <v>521</v>
      </c>
      <c r="P31" s="75"/>
      <c r="Q31" s="58"/>
    </row>
    <row r="32" spans="1:19" x14ac:dyDescent="0.25">
      <c r="A32" s="1" t="s">
        <v>573</v>
      </c>
      <c r="B32" s="6">
        <v>100000</v>
      </c>
      <c r="C32" s="3">
        <f>58100+36211+5689</f>
        <v>100000</v>
      </c>
      <c r="D32" s="1">
        <f t="shared" si="0"/>
        <v>0</v>
      </c>
      <c r="E32" t="s">
        <v>328</v>
      </c>
      <c r="F32" s="5"/>
      <c r="G32" s="5"/>
      <c r="H32" s="5"/>
      <c r="L32" s="1"/>
      <c r="M32" s="137"/>
      <c r="O32" s="47" t="s">
        <v>509</v>
      </c>
      <c r="P32" s="75">
        <f>18890+7990</f>
        <v>26880</v>
      </c>
      <c r="Q32" t="s">
        <v>513</v>
      </c>
      <c r="R32" s="58" t="s">
        <v>517</v>
      </c>
      <c r="S32" t="s">
        <v>55</v>
      </c>
    </row>
    <row r="33" spans="1:19" x14ac:dyDescent="0.25">
      <c r="A33" s="96" t="s">
        <v>243</v>
      </c>
      <c r="B33" s="6"/>
      <c r="C33" s="3"/>
      <c r="D33" s="1">
        <f t="shared" si="0"/>
        <v>0</v>
      </c>
      <c r="E33" s="5" t="s">
        <v>313</v>
      </c>
      <c r="F33" s="5"/>
      <c r="G33" s="5"/>
      <c r="H33" s="5"/>
      <c r="L33" s="1"/>
      <c r="M33" s="137"/>
      <c r="O33" s="47" t="s">
        <v>538</v>
      </c>
      <c r="P33" s="75">
        <f>7992+1460</f>
        <v>9452</v>
      </c>
      <c r="Q33" s="58" t="s">
        <v>511</v>
      </c>
      <c r="R33" t="s">
        <v>539</v>
      </c>
      <c r="S33" t="s">
        <v>540</v>
      </c>
    </row>
    <row r="34" spans="1:19" ht="15.75" thickBot="1" x14ac:dyDescent="0.3">
      <c r="A34" s="1" t="s">
        <v>162</v>
      </c>
      <c r="B34" s="6">
        <v>10000</v>
      </c>
      <c r="C34" s="3">
        <f>5000+5000</f>
        <v>10000</v>
      </c>
      <c r="D34" s="1">
        <f t="shared" si="0"/>
        <v>0</v>
      </c>
      <c r="E34" s="5" t="s">
        <v>374</v>
      </c>
      <c r="F34" s="5"/>
      <c r="G34" s="5"/>
      <c r="H34" s="5"/>
      <c r="O34" s="47"/>
    </row>
    <row r="35" spans="1:19" ht="15.75" thickBot="1" x14ac:dyDescent="0.3">
      <c r="A35" s="1" t="s">
        <v>19</v>
      </c>
      <c r="B35" s="1">
        <v>222424</v>
      </c>
      <c r="C35" s="9">
        <f>18258+16858+21530+990+12990+2090+20590+6194+16500+1050+8400+2070+2000+4570+5900+2000+1890+7103+7365+2859+22627+38590</f>
        <v>222424</v>
      </c>
      <c r="D35" s="1">
        <f t="shared" si="0"/>
        <v>0</v>
      </c>
      <c r="E35" s="5"/>
      <c r="F35" s="5"/>
      <c r="G35" s="17"/>
      <c r="H35" s="5" t="s">
        <v>26</v>
      </c>
      <c r="O35" s="1" t="s">
        <v>65</v>
      </c>
      <c r="P35" s="75">
        <f>SUM(P14:P33)</f>
        <v>364284</v>
      </c>
    </row>
    <row r="36" spans="1:19" x14ac:dyDescent="0.25">
      <c r="A36" s="2" t="s">
        <v>1</v>
      </c>
      <c r="B36" s="2">
        <f>SUM(B3:B35)</f>
        <v>2713123</v>
      </c>
      <c r="C36" s="2">
        <f>SUM(C3:C35)</f>
        <v>2713123</v>
      </c>
      <c r="D36" s="2"/>
      <c r="E36" s="5"/>
      <c r="F36" s="5"/>
      <c r="G36" s="5"/>
      <c r="H36" s="5"/>
      <c r="L36" s="91"/>
      <c r="M36" s="138"/>
      <c r="O36" s="84"/>
      <c r="P36" s="74"/>
    </row>
    <row r="37" spans="1:19" ht="15.75" thickBot="1" x14ac:dyDescent="0.3">
      <c r="A37" s="2" t="s">
        <v>2</v>
      </c>
      <c r="B37" s="181">
        <f>B2-B36</f>
        <v>0</v>
      </c>
      <c r="C37" s="2">
        <f>C2-C36</f>
        <v>0</v>
      </c>
      <c r="D37" s="2"/>
      <c r="E37" s="5"/>
      <c r="F37" s="5"/>
      <c r="G37" s="5"/>
      <c r="H37" s="5"/>
      <c r="J37">
        <f>2752586</f>
        <v>2752586</v>
      </c>
      <c r="O37" s="47"/>
      <c r="P37" s="74"/>
    </row>
    <row r="38" spans="1:19" x14ac:dyDescent="0.25">
      <c r="D38">
        <f>SUM(D3:D35)</f>
        <v>0</v>
      </c>
      <c r="E38" s="5"/>
      <c r="F38" s="5"/>
      <c r="G38" s="5"/>
      <c r="H38" s="5"/>
      <c r="J38">
        <f>574857</f>
        <v>574857</v>
      </c>
      <c r="O38" s="83" t="s">
        <v>279</v>
      </c>
      <c r="P38" s="79"/>
    </row>
    <row r="39" spans="1:19" x14ac:dyDescent="0.25">
      <c r="E39" s="5"/>
      <c r="F39" s="5"/>
      <c r="G39" s="5"/>
      <c r="H39" s="5"/>
      <c r="J39">
        <f>J37-J38</f>
        <v>2177729</v>
      </c>
      <c r="O39" s="80" t="s">
        <v>507</v>
      </c>
      <c r="P39" s="81">
        <v>29990</v>
      </c>
    </row>
    <row r="40" spans="1:19" x14ac:dyDescent="0.25">
      <c r="E40" s="5"/>
      <c r="O40" s="1" t="s">
        <v>277</v>
      </c>
      <c r="P40" s="81">
        <f>7490*2</f>
        <v>14980</v>
      </c>
      <c r="Q40" t="s">
        <v>515</v>
      </c>
      <c r="S40" t="s">
        <v>516</v>
      </c>
    </row>
    <row r="41" spans="1:19" x14ac:dyDescent="0.25">
      <c r="E41" s="5"/>
      <c r="O41" s="1"/>
      <c r="P41" s="81"/>
    </row>
    <row r="42" spans="1:19" x14ac:dyDescent="0.25">
      <c r="O42" s="80" t="s">
        <v>523</v>
      </c>
      <c r="P42" s="81">
        <f>40000</f>
        <v>40000</v>
      </c>
      <c r="Q42" t="s">
        <v>525</v>
      </c>
      <c r="S42" t="s">
        <v>526</v>
      </c>
    </row>
    <row r="43" spans="1:19" x14ac:dyDescent="0.25">
      <c r="O43" s="80" t="s">
        <v>534</v>
      </c>
      <c r="P43" s="81">
        <v>12490</v>
      </c>
      <c r="Q43" t="s">
        <v>532</v>
      </c>
    </row>
    <row r="44" spans="1:19" x14ac:dyDescent="0.25">
      <c r="O44" s="80"/>
      <c r="P44" s="81"/>
    </row>
    <row r="45" spans="1:19" x14ac:dyDescent="0.25">
      <c r="O45" s="80"/>
      <c r="P45" s="81"/>
    </row>
    <row r="46" spans="1:19" x14ac:dyDescent="0.25">
      <c r="O46" s="139" t="s">
        <v>9</v>
      </c>
      <c r="P46" s="140">
        <f>SUM(P39:P45)</f>
        <v>97460</v>
      </c>
    </row>
    <row r="47" spans="1:19" x14ac:dyDescent="0.25">
      <c r="O47" s="57" t="s">
        <v>510</v>
      </c>
      <c r="P47" s="81">
        <f>SUMIF(Q14:Q33,"EFECTIVO",P14:P33)</f>
        <v>78813</v>
      </c>
    </row>
    <row r="48" spans="1:19" ht="15.75" thickBot="1" x14ac:dyDescent="0.3">
      <c r="O48" s="59"/>
      <c r="P48" s="82"/>
    </row>
    <row r="49" spans="15:16" x14ac:dyDescent="0.25">
      <c r="P49" s="74"/>
    </row>
    <row r="50" spans="15:16" x14ac:dyDescent="0.25">
      <c r="O50" s="10" t="s">
        <v>92</v>
      </c>
      <c r="P50" s="77">
        <f>SUM(P14:P33)</f>
        <v>364284</v>
      </c>
    </row>
    <row r="51" spans="15:16" x14ac:dyDescent="0.25">
      <c r="O51" s="10"/>
      <c r="P51" s="77"/>
    </row>
    <row r="52" spans="15:16" x14ac:dyDescent="0.25">
      <c r="O52" s="10" t="s">
        <v>93</v>
      </c>
      <c r="P52" s="77">
        <f>P13-P50</f>
        <v>80156</v>
      </c>
    </row>
    <row r="53" spans="15:16" x14ac:dyDescent="0.25">
      <c r="O53" s="10"/>
      <c r="P53" s="77"/>
    </row>
    <row r="54" spans="15:16" x14ac:dyDescent="0.25">
      <c r="O54" s="10" t="s">
        <v>94</v>
      </c>
      <c r="P54" s="77">
        <f>P13-SUMIF(Q14:Q33,"GIFTCARD",P14:P33)-SUM(P39:P45)</f>
        <v>61509</v>
      </c>
    </row>
    <row r="56" spans="15:16" x14ac:dyDescent="0.25">
      <c r="O56" t="s">
        <v>99</v>
      </c>
      <c r="P56" s="78">
        <f>P54-G6</f>
        <v>61509</v>
      </c>
    </row>
  </sheetData>
  <mergeCells count="1">
    <mergeCell ref="F18:H18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S57"/>
  <sheetViews>
    <sheetView zoomScale="80" zoomScaleNormal="80" workbookViewId="0">
      <selection activeCell="F22" sqref="F22"/>
    </sheetView>
  </sheetViews>
  <sheetFormatPr baseColWidth="10" defaultColWidth="27" defaultRowHeight="15" x14ac:dyDescent="0.25"/>
  <cols>
    <col min="1" max="1" width="35.7109375" customWidth="1"/>
    <col min="2" max="2" width="12.140625" bestFit="1" customWidth="1"/>
    <col min="3" max="3" width="12" bestFit="1" customWidth="1"/>
    <col min="4" max="4" width="7.7109375" bestFit="1" customWidth="1"/>
    <col min="5" max="5" width="18.85546875" customWidth="1"/>
    <col min="6" max="6" width="26.28515625" customWidth="1"/>
    <col min="7" max="7" width="12.28515625" bestFit="1" customWidth="1"/>
    <col min="8" max="8" width="20" bestFit="1" customWidth="1"/>
    <col min="9" max="9" width="12.5703125" customWidth="1"/>
    <col min="10" max="10" width="12.28515625" bestFit="1" customWidth="1"/>
    <col min="11" max="11" width="2.5703125" customWidth="1"/>
    <col min="12" max="12" width="16.7109375" bestFit="1" customWidth="1"/>
    <col min="13" max="13" width="10.28515625" bestFit="1" customWidth="1"/>
    <col min="14" max="14" width="8.28515625" customWidth="1"/>
    <col min="15" max="15" width="15.85546875" customWidth="1"/>
    <col min="16" max="16" width="10.7109375" bestFit="1" customWidth="1"/>
    <col min="17" max="17" width="28" bestFit="1" customWidth="1"/>
    <col min="18" max="18" width="23.42578125" bestFit="1" customWidth="1"/>
    <col min="19" max="19" width="19.85546875" bestFit="1" customWidth="1"/>
  </cols>
  <sheetData>
    <row r="1" spans="1:19" x14ac:dyDescent="0.25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f>5277751</f>
        <v>5277751</v>
      </c>
      <c r="H1" s="11"/>
      <c r="I1" s="10"/>
      <c r="L1" s="168" t="s">
        <v>83</v>
      </c>
      <c r="M1" s="168"/>
      <c r="O1" s="10" t="s">
        <v>72</v>
      </c>
    </row>
    <row r="2" spans="1:19" x14ac:dyDescent="0.25">
      <c r="A2" s="2"/>
      <c r="B2" s="90">
        <f>3342596+101645</f>
        <v>3444241</v>
      </c>
      <c r="C2" s="90">
        <f>3342596+101645</f>
        <v>3444241</v>
      </c>
      <c r="D2" s="2"/>
      <c r="E2" s="4"/>
      <c r="F2" s="63" t="s">
        <v>73</v>
      </c>
      <c r="G2">
        <f>M13</f>
        <v>29646</v>
      </c>
      <c r="I2" s="132"/>
      <c r="L2" s="89" t="s">
        <v>81</v>
      </c>
      <c r="M2" s="89">
        <v>15380</v>
      </c>
      <c r="O2" s="10"/>
    </row>
    <row r="3" spans="1:19" x14ac:dyDescent="0.25">
      <c r="A3" s="1" t="s">
        <v>0</v>
      </c>
      <c r="B3" s="6">
        <f>210000</f>
        <v>210000</v>
      </c>
      <c r="C3" s="3">
        <f>5303-1005+5374-50+27971+12407+11520+11068+31760+27885+37025+8710-6450+31457+7025</f>
        <v>210000</v>
      </c>
      <c r="D3" s="1">
        <f>B3-C3</f>
        <v>0</v>
      </c>
      <c r="E3" s="97">
        <v>200000</v>
      </c>
      <c r="F3" s="63" t="s">
        <v>130</v>
      </c>
      <c r="G3">
        <f>P11</f>
        <v>0</v>
      </c>
      <c r="I3" s="74"/>
      <c r="L3" s="89" t="s">
        <v>128</v>
      </c>
      <c r="M3" s="89" t="s">
        <v>76</v>
      </c>
      <c r="O3" s="10"/>
    </row>
    <row r="4" spans="1:19" x14ac:dyDescent="0.25">
      <c r="A4" s="1" t="s">
        <v>62</v>
      </c>
      <c r="B4" s="6">
        <v>646554</v>
      </c>
      <c r="C4" s="3">
        <v>646554</v>
      </c>
      <c r="D4" s="1">
        <f t="shared" ref="D4:D34" si="0">B4-C4</f>
        <v>0</v>
      </c>
      <c r="E4" s="4" t="s">
        <v>570</v>
      </c>
      <c r="F4" t="s">
        <v>304</v>
      </c>
      <c r="G4" s="121">
        <f>-207000-34500+34500+34500+34500+34500+19971</f>
        <v>-83529</v>
      </c>
      <c r="H4" s="170" t="s">
        <v>450</v>
      </c>
      <c r="I4" s="78"/>
      <c r="L4" s="89" t="s">
        <v>287</v>
      </c>
      <c r="M4" s="89" t="s">
        <v>76</v>
      </c>
      <c r="O4" s="10"/>
    </row>
    <row r="5" spans="1:19" x14ac:dyDescent="0.25">
      <c r="A5" s="1" t="s">
        <v>128</v>
      </c>
      <c r="B5" s="6">
        <v>28100</v>
      </c>
      <c r="C5" s="3">
        <f>28100</f>
        <v>28100</v>
      </c>
      <c r="D5" s="1">
        <f t="shared" si="0"/>
        <v>0</v>
      </c>
      <c r="E5" s="4"/>
      <c r="F5" t="s">
        <v>585</v>
      </c>
      <c r="G5">
        <f>-3466976-178107</f>
        <v>-3645083</v>
      </c>
      <c r="I5" s="78"/>
      <c r="J5" s="88"/>
      <c r="L5" s="89" t="s">
        <v>427</v>
      </c>
      <c r="M5" s="89" t="s">
        <v>76</v>
      </c>
      <c r="O5" s="10"/>
    </row>
    <row r="6" spans="1:19" x14ac:dyDescent="0.25">
      <c r="A6" s="1" t="s">
        <v>81</v>
      </c>
      <c r="B6" s="6">
        <v>9870</v>
      </c>
      <c r="C6" s="3">
        <v>9870</v>
      </c>
      <c r="D6" s="1">
        <f t="shared" si="0"/>
        <v>0</v>
      </c>
      <c r="E6" s="4"/>
      <c r="F6" s="4" t="s">
        <v>221</v>
      </c>
      <c r="G6" s="4">
        <f>17644-241002</f>
        <v>-223358</v>
      </c>
      <c r="J6" s="145"/>
      <c r="L6" s="89" t="s">
        <v>82</v>
      </c>
      <c r="M6" s="89">
        <f>5977+5400+2889</f>
        <v>14266</v>
      </c>
      <c r="O6" s="10"/>
    </row>
    <row r="7" spans="1:19" x14ac:dyDescent="0.25">
      <c r="A7" s="1" t="s">
        <v>86</v>
      </c>
      <c r="B7" s="7">
        <v>195711</v>
      </c>
      <c r="C7" s="3">
        <v>195711</v>
      </c>
      <c r="D7" s="1">
        <f t="shared" si="0"/>
        <v>0</v>
      </c>
      <c r="E7" s="4"/>
      <c r="F7" s="63" t="s">
        <v>242</v>
      </c>
      <c r="G7" s="98">
        <f>M23</f>
        <v>91000</v>
      </c>
      <c r="J7" s="164"/>
      <c r="L7" s="172"/>
      <c r="M7" s="89"/>
      <c r="O7" s="10"/>
    </row>
    <row r="8" spans="1:19" x14ac:dyDescent="0.25">
      <c r="A8" s="62" t="s">
        <v>316</v>
      </c>
      <c r="B8" s="7">
        <v>78475</v>
      </c>
      <c r="C8" s="9">
        <v>78475</v>
      </c>
      <c r="D8" s="1">
        <f t="shared" si="0"/>
        <v>0</v>
      </c>
      <c r="E8" s="4"/>
      <c r="F8" t="s">
        <v>586</v>
      </c>
      <c r="G8" s="178">
        <f>200*845</f>
        <v>169000</v>
      </c>
      <c r="I8" s="13"/>
      <c r="J8" s="177"/>
      <c r="L8" s="96"/>
      <c r="M8" s="157"/>
      <c r="O8" s="10"/>
    </row>
    <row r="9" spans="1:19" x14ac:dyDescent="0.25">
      <c r="A9" s="1" t="s">
        <v>310</v>
      </c>
      <c r="B9" s="6">
        <v>30000</v>
      </c>
      <c r="C9" s="3">
        <f>30000</f>
        <v>30000</v>
      </c>
      <c r="D9" s="1">
        <f t="shared" si="0"/>
        <v>0</v>
      </c>
      <c r="E9" s="144"/>
      <c r="F9" s="4" t="s">
        <v>16</v>
      </c>
      <c r="G9" s="4">
        <v>35000</v>
      </c>
      <c r="J9" s="146"/>
      <c r="L9" s="89"/>
      <c r="M9" s="89"/>
      <c r="O9" s="10"/>
    </row>
    <row r="10" spans="1:19" x14ac:dyDescent="0.25">
      <c r="A10" s="1" t="s">
        <v>11</v>
      </c>
      <c r="B10" s="7">
        <v>80000</v>
      </c>
      <c r="C10" s="3">
        <f>14400+600+9836+3600+5900+10490+8184+151+26839</f>
        <v>80000</v>
      </c>
      <c r="D10" s="1">
        <f t="shared" si="0"/>
        <v>0</v>
      </c>
      <c r="E10" s="5"/>
      <c r="F10" s="67" t="s">
        <v>222</v>
      </c>
      <c r="G10" s="120">
        <v>0</v>
      </c>
      <c r="I10" s="78"/>
      <c r="J10" s="10"/>
      <c r="O10" s="10"/>
    </row>
    <row r="11" spans="1:19" x14ac:dyDescent="0.25">
      <c r="A11" s="1" t="s">
        <v>462</v>
      </c>
      <c r="B11" s="7">
        <v>120000</v>
      </c>
      <c r="C11" s="3">
        <v>120000</v>
      </c>
      <c r="D11" s="1">
        <f t="shared" si="0"/>
        <v>0</v>
      </c>
      <c r="E11" s="25" t="s">
        <v>359</v>
      </c>
      <c r="F11" s="64" t="s">
        <v>588</v>
      </c>
      <c r="G11" s="44">
        <f>-420.99*892</f>
        <v>-375523.08</v>
      </c>
      <c r="H11" s="4"/>
      <c r="L11" s="89"/>
      <c r="M11" s="89"/>
      <c r="O11" s="10" t="s">
        <v>65</v>
      </c>
      <c r="P11">
        <f>SUM(P2:P10)</f>
        <v>0</v>
      </c>
    </row>
    <row r="12" spans="1:19" x14ac:dyDescent="0.25">
      <c r="A12" s="1" t="s">
        <v>498</v>
      </c>
      <c r="B12" s="7">
        <v>0</v>
      </c>
      <c r="C12" s="3"/>
      <c r="D12" s="1">
        <f t="shared" si="0"/>
        <v>0</v>
      </c>
      <c r="F12" s="67" t="s">
        <v>75</v>
      </c>
      <c r="G12" s="13">
        <f>-42132-28000-28000-28000-28000+89468-28000-28000+89468-30000-30000-32000</f>
        <v>-123196</v>
      </c>
      <c r="H12" s="4" t="s">
        <v>583</v>
      </c>
      <c r="I12" t="s">
        <v>382</v>
      </c>
      <c r="J12">
        <v>176332</v>
      </c>
      <c r="L12" s="89"/>
      <c r="M12" s="89"/>
    </row>
    <row r="13" spans="1:19" ht="15.75" thickBot="1" x14ac:dyDescent="0.3">
      <c r="A13" s="1" t="s">
        <v>240</v>
      </c>
      <c r="B13" s="6">
        <v>15448</v>
      </c>
      <c r="C13" s="3">
        <v>15448</v>
      </c>
      <c r="D13" s="1">
        <f t="shared" si="0"/>
        <v>0</v>
      </c>
      <c r="E13" s="133"/>
      <c r="F13" s="4" t="s">
        <v>158</v>
      </c>
      <c r="G13" s="13">
        <f>-1010362-400000-1608231+1689037+41335+375523</f>
        <v>-912698</v>
      </c>
      <c r="H13" s="4"/>
      <c r="L13" s="149" t="s">
        <v>65</v>
      </c>
      <c r="M13" s="150">
        <f>SUM(M2:M12)</f>
        <v>29646</v>
      </c>
      <c r="O13" s="61" t="s">
        <v>259</v>
      </c>
      <c r="P13" s="76">
        <v>444440</v>
      </c>
      <c r="Q13" t="s">
        <v>95</v>
      </c>
      <c r="R13" t="s">
        <v>272</v>
      </c>
      <c r="S13" t="s">
        <v>530</v>
      </c>
    </row>
    <row r="14" spans="1:19" x14ac:dyDescent="0.25">
      <c r="A14" s="1" t="s">
        <v>18</v>
      </c>
      <c r="B14" s="6">
        <v>25000</v>
      </c>
      <c r="C14" s="3">
        <f>5000+5000+1433+13567</f>
        <v>25000</v>
      </c>
      <c r="D14" s="1">
        <f t="shared" si="0"/>
        <v>0</v>
      </c>
      <c r="E14" s="5" t="s">
        <v>451</v>
      </c>
      <c r="F14" s="4" t="s">
        <v>121</v>
      </c>
      <c r="G14" s="13">
        <v>0</v>
      </c>
      <c r="H14" s="10"/>
      <c r="J14" s="13"/>
      <c r="O14" s="1" t="s">
        <v>241</v>
      </c>
      <c r="P14" s="75" t="s">
        <v>76</v>
      </c>
      <c r="Q14" s="56" t="s">
        <v>76</v>
      </c>
      <c r="R14" t="s">
        <v>392</v>
      </c>
      <c r="S14" t="s">
        <v>55</v>
      </c>
    </row>
    <row r="15" spans="1:19" x14ac:dyDescent="0.25">
      <c r="A15" s="8" t="s">
        <v>568</v>
      </c>
      <c r="B15" s="7">
        <f>25000+25000</f>
        <v>50000</v>
      </c>
      <c r="C15" s="9">
        <f>50000</f>
        <v>50000</v>
      </c>
      <c r="D15" s="1">
        <f t="shared" si="0"/>
        <v>0</v>
      </c>
      <c r="E15" s="5"/>
      <c r="F15" s="4" t="s">
        <v>416</v>
      </c>
      <c r="G15" s="88">
        <f>-8000-8000-8000-8000-8000-8000-8000-8000-8000-15000</f>
        <v>-87000</v>
      </c>
      <c r="H15" s="4"/>
      <c r="L15" s="61" t="s">
        <v>131</v>
      </c>
      <c r="M15" s="76" t="s">
        <v>132</v>
      </c>
      <c r="O15" s="1" t="s">
        <v>260</v>
      </c>
      <c r="P15" s="75">
        <v>35920</v>
      </c>
      <c r="Q15" s="58" t="s">
        <v>511</v>
      </c>
      <c r="R15" t="s">
        <v>543</v>
      </c>
      <c r="S15" s="78" t="s">
        <v>544</v>
      </c>
    </row>
    <row r="16" spans="1:19" ht="15.75" thickBot="1" x14ac:dyDescent="0.3">
      <c r="A16" s="1" t="s">
        <v>64</v>
      </c>
      <c r="B16" s="6">
        <v>101654</v>
      </c>
      <c r="C16" s="3">
        <v>101654</v>
      </c>
      <c r="D16" s="1">
        <f t="shared" si="0"/>
        <v>0</v>
      </c>
      <c r="E16" s="5"/>
      <c r="F16" s="4" t="s">
        <v>129</v>
      </c>
      <c r="G16" s="87">
        <f>-82010-30000-40000</f>
        <v>-152010</v>
      </c>
      <c r="H16" s="4"/>
      <c r="J16" s="13"/>
      <c r="L16" s="64" t="s">
        <v>157</v>
      </c>
      <c r="M16" s="156">
        <v>91000</v>
      </c>
      <c r="O16" s="1" t="s">
        <v>261</v>
      </c>
      <c r="P16" s="75">
        <v>19990</v>
      </c>
      <c r="Q16" s="58" t="s">
        <v>511</v>
      </c>
      <c r="R16" t="s">
        <v>518</v>
      </c>
      <c r="S16" t="s">
        <v>55</v>
      </c>
    </row>
    <row r="17" spans="1:19" ht="15.75" thickBot="1" x14ac:dyDescent="0.3">
      <c r="A17" s="8" t="s">
        <v>161</v>
      </c>
      <c r="B17" s="7">
        <v>25000</v>
      </c>
      <c r="C17" s="9">
        <v>25000</v>
      </c>
      <c r="D17" s="1">
        <f t="shared" si="0"/>
        <v>0</v>
      </c>
      <c r="E17" s="5" t="s">
        <v>451</v>
      </c>
      <c r="F17" s="71" t="s">
        <v>12</v>
      </c>
      <c r="G17" s="72">
        <f>SUM(G1:G16)</f>
        <v>-8.0000000074505806E-2</v>
      </c>
      <c r="H17" s="16"/>
      <c r="J17" s="13"/>
      <c r="L17" s="8"/>
      <c r="M17" s="89"/>
      <c r="O17" s="1" t="s">
        <v>262</v>
      </c>
      <c r="P17" s="75">
        <v>39980</v>
      </c>
      <c r="Q17" s="58" t="s">
        <v>513</v>
      </c>
      <c r="R17" t="s">
        <v>524</v>
      </c>
      <c r="S17" t="s">
        <v>55</v>
      </c>
    </row>
    <row r="18" spans="1:19" x14ac:dyDescent="0.25">
      <c r="A18" s="6" t="s">
        <v>156</v>
      </c>
      <c r="B18" s="1">
        <v>40000</v>
      </c>
      <c r="C18" s="3">
        <v>40000</v>
      </c>
      <c r="D18" s="1">
        <f>B18-C18</f>
        <v>0</v>
      </c>
      <c r="E18" s="5" t="s">
        <v>575</v>
      </c>
      <c r="F18" s="201" t="s">
        <v>13</v>
      </c>
      <c r="G18" s="202"/>
      <c r="H18" s="203"/>
      <c r="J18" s="13"/>
      <c r="L18" s="96"/>
      <c r="M18" s="156"/>
      <c r="O18" s="1" t="s">
        <v>263</v>
      </c>
      <c r="P18" s="75">
        <f>25990</f>
        <v>25990</v>
      </c>
      <c r="Q18" s="58" t="s">
        <v>513</v>
      </c>
      <c r="R18" t="s">
        <v>531</v>
      </c>
      <c r="S18" t="s">
        <v>55</v>
      </c>
    </row>
    <row r="19" spans="1:19" x14ac:dyDescent="0.25">
      <c r="A19" s="6" t="s">
        <v>331</v>
      </c>
      <c r="B19" s="6">
        <v>250000</v>
      </c>
      <c r="C19" s="3">
        <v>250000</v>
      </c>
      <c r="D19" s="1">
        <f t="shared" si="0"/>
        <v>0</v>
      </c>
      <c r="E19" s="5" t="s">
        <v>576</v>
      </c>
      <c r="F19" s="8" t="s">
        <v>7</v>
      </c>
      <c r="G19" s="8" t="s">
        <v>8</v>
      </c>
      <c r="H19" s="8" t="s">
        <v>9</v>
      </c>
      <c r="J19" s="13">
        <f>H20-G17</f>
        <v>8.0000000074505806E-2</v>
      </c>
      <c r="L19" s="96"/>
      <c r="M19" s="156"/>
      <c r="O19" s="1" t="s">
        <v>43</v>
      </c>
      <c r="P19" s="75">
        <v>37791</v>
      </c>
      <c r="Q19" s="58" t="s">
        <v>513</v>
      </c>
      <c r="R19" t="s">
        <v>522</v>
      </c>
      <c r="S19" t="s">
        <v>55</v>
      </c>
    </row>
    <row r="20" spans="1:19" x14ac:dyDescent="0.25">
      <c r="A20" s="1" t="s">
        <v>42</v>
      </c>
      <c r="B20" s="6">
        <v>60000</v>
      </c>
      <c r="C20" s="3">
        <f>14800+3830+7094+3059+5033+26184</f>
        <v>60000</v>
      </c>
      <c r="D20" s="1">
        <f t="shared" si="0"/>
        <v>0</v>
      </c>
      <c r="E20" s="5" t="s">
        <v>492</v>
      </c>
      <c r="F20" s="183">
        <f>SUM(D3:D36)+B38</f>
        <v>0</v>
      </c>
      <c r="G20" s="8">
        <v>0</v>
      </c>
      <c r="H20" s="18">
        <f>F20+G20</f>
        <v>0</v>
      </c>
      <c r="O20" s="1" t="s">
        <v>264</v>
      </c>
      <c r="P20" s="75">
        <v>19990</v>
      </c>
      <c r="Q20" s="58" t="s">
        <v>513</v>
      </c>
      <c r="R20" t="s">
        <v>358</v>
      </c>
      <c r="S20" t="s">
        <v>545</v>
      </c>
    </row>
    <row r="21" spans="1:19" x14ac:dyDescent="0.25">
      <c r="A21" s="3" t="s">
        <v>288</v>
      </c>
      <c r="B21" s="6">
        <f>15000+37000</f>
        <v>52000</v>
      </c>
      <c r="C21" s="3">
        <f>15000+37000</f>
        <v>52000</v>
      </c>
      <c r="D21" s="1">
        <f t="shared" si="0"/>
        <v>0</v>
      </c>
      <c r="E21" s="5" t="s">
        <v>433</v>
      </c>
      <c r="F21" s="5"/>
      <c r="G21" s="5"/>
      <c r="H21" s="5"/>
      <c r="L21" s="96"/>
      <c r="M21" s="157"/>
      <c r="O21" s="1" t="s">
        <v>265</v>
      </c>
      <c r="P21" s="75">
        <v>41990</v>
      </c>
      <c r="Q21" s="58" t="s">
        <v>513</v>
      </c>
      <c r="R21" t="s">
        <v>512</v>
      </c>
      <c r="S21" t="s">
        <v>55</v>
      </c>
    </row>
    <row r="22" spans="1:19" x14ac:dyDescent="0.25">
      <c r="A22" s="61" t="s">
        <v>572</v>
      </c>
      <c r="B22" s="6">
        <f>4990</f>
        <v>4990</v>
      </c>
      <c r="C22" s="3">
        <v>4990</v>
      </c>
      <c r="D22" s="1">
        <f t="shared" si="0"/>
        <v>0</v>
      </c>
      <c r="E22" s="5" t="s">
        <v>584</v>
      </c>
      <c r="F22" s="5"/>
      <c r="G22" s="5"/>
      <c r="H22" s="5"/>
      <c r="J22" s="12"/>
      <c r="L22" s="171"/>
      <c r="O22" s="1" t="s">
        <v>266</v>
      </c>
      <c r="P22" s="75"/>
      <c r="Q22" s="58"/>
      <c r="S22" s="78"/>
    </row>
    <row r="23" spans="1:19" ht="15.75" thickBot="1" x14ac:dyDescent="0.3">
      <c r="A23" s="1" t="s">
        <v>460</v>
      </c>
      <c r="B23" s="7">
        <v>90000</v>
      </c>
      <c r="C23" s="3">
        <v>90000</v>
      </c>
      <c r="D23" s="1">
        <f t="shared" si="0"/>
        <v>0</v>
      </c>
      <c r="E23" s="5" t="s">
        <v>448</v>
      </c>
      <c r="F23" s="44"/>
      <c r="G23" s="43"/>
      <c r="H23" s="5"/>
      <c r="I23" t="s">
        <v>31</v>
      </c>
      <c r="J23" s="13">
        <f>G17-SUM(D4,D5,D6,D7,D8,D11,D12,D13,D16,D17,D18,D19,D20,D21,D22,D24,D28,D30,D31,D33,D36)</f>
        <v>-8.0000000074505806E-2</v>
      </c>
      <c r="L23" s="147" t="s">
        <v>65</v>
      </c>
      <c r="M23" s="148">
        <f>SUM(M16:M22)</f>
        <v>91000</v>
      </c>
      <c r="N23" s="10"/>
      <c r="O23" s="1" t="s">
        <v>267</v>
      </c>
      <c r="P23" s="75">
        <v>20990</v>
      </c>
      <c r="Q23" s="58" t="s">
        <v>513</v>
      </c>
      <c r="R23" t="s">
        <v>536</v>
      </c>
      <c r="S23" t="s">
        <v>76</v>
      </c>
    </row>
    <row r="24" spans="1:19" x14ac:dyDescent="0.25">
      <c r="A24" s="1" t="s">
        <v>426</v>
      </c>
      <c r="B24" s="7">
        <v>40000</v>
      </c>
      <c r="C24" s="3">
        <v>40000</v>
      </c>
      <c r="D24" s="1">
        <f t="shared" si="0"/>
        <v>0</v>
      </c>
      <c r="E24" s="5"/>
      <c r="F24" s="5"/>
      <c r="G24" s="5"/>
      <c r="H24" s="5"/>
      <c r="M24" s="95"/>
      <c r="O24" s="1" t="s">
        <v>270</v>
      </c>
      <c r="P24" s="75"/>
      <c r="Q24" s="58"/>
    </row>
    <row r="25" spans="1:19" x14ac:dyDescent="0.25">
      <c r="A25" s="1" t="s">
        <v>24</v>
      </c>
      <c r="B25" s="7">
        <v>90000</v>
      </c>
      <c r="C25" s="3">
        <f>20000+2000+44300+20546+3154</f>
        <v>90000</v>
      </c>
      <c r="D25" s="1">
        <f t="shared" si="0"/>
        <v>0</v>
      </c>
      <c r="E25" s="5">
        <v>85000</v>
      </c>
      <c r="F25" s="62" t="s">
        <v>89</v>
      </c>
      <c r="G25" s="85">
        <f>SUM(G26:G28)</f>
        <v>5636408</v>
      </c>
      <c r="H25" s="61"/>
      <c r="O25" s="1" t="s">
        <v>271</v>
      </c>
      <c r="P25" s="75">
        <v>17990</v>
      </c>
      <c r="Q25" s="58" t="s">
        <v>513</v>
      </c>
      <c r="R25" t="s">
        <v>535</v>
      </c>
      <c r="S25" t="s">
        <v>76</v>
      </c>
    </row>
    <row r="26" spans="1:19" x14ac:dyDescent="0.25">
      <c r="A26" s="1" t="s">
        <v>63</v>
      </c>
      <c r="B26" s="7">
        <v>85000</v>
      </c>
      <c r="C26" s="3">
        <f>1120+3880+10780+4600+8000+56620</f>
        <v>85000</v>
      </c>
      <c r="D26" s="1">
        <f t="shared" si="0"/>
        <v>0</v>
      </c>
      <c r="E26" s="5">
        <v>85000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L26" s="8"/>
      <c r="M26" s="89"/>
      <c r="O26" s="1" t="s">
        <v>268</v>
      </c>
      <c r="P26" s="75">
        <f>25390+3990</f>
        <v>29380</v>
      </c>
      <c r="Q26" s="58" t="s">
        <v>513</v>
      </c>
      <c r="R26" t="s">
        <v>519</v>
      </c>
      <c r="S26" s="44" t="s">
        <v>76</v>
      </c>
    </row>
    <row r="27" spans="1:19" x14ac:dyDescent="0.25">
      <c r="A27" s="1" t="s">
        <v>27</v>
      </c>
      <c r="B27" s="7">
        <f>8800</f>
        <v>8800</v>
      </c>
      <c r="C27" s="3">
        <f>8800</f>
        <v>8800</v>
      </c>
      <c r="D27" s="1">
        <f t="shared" si="0"/>
        <v>0</v>
      </c>
      <c r="E27" s="5">
        <v>8800</v>
      </c>
      <c r="F27" s="8" t="s">
        <v>97</v>
      </c>
      <c r="G27" s="89">
        <f>AHRROS!B9</f>
        <v>5636408</v>
      </c>
      <c r="H27" s="8"/>
      <c r="I27" t="s">
        <v>105</v>
      </c>
      <c r="J27" s="74">
        <f>'Colegio Agus'!K7-G25</f>
        <v>602221.37200000044</v>
      </c>
      <c r="O27" s="1" t="s">
        <v>269</v>
      </c>
      <c r="P27" s="75">
        <v>24490</v>
      </c>
      <c r="Q27" s="58" t="s">
        <v>513</v>
      </c>
      <c r="R27" t="s">
        <v>520</v>
      </c>
      <c r="S27" t="s">
        <v>55</v>
      </c>
    </row>
    <row r="28" spans="1:19" x14ac:dyDescent="0.25">
      <c r="A28" s="1" t="s">
        <v>3</v>
      </c>
      <c r="B28" s="6">
        <v>140000</v>
      </c>
      <c r="C28" s="3">
        <f>51112+15000+73888</f>
        <v>140000</v>
      </c>
      <c r="D28" s="1">
        <f t="shared" si="0"/>
        <v>0</v>
      </c>
      <c r="E28" s="5">
        <v>140000</v>
      </c>
      <c r="F28" s="8" t="s">
        <v>91</v>
      </c>
      <c r="G28" s="89">
        <v>0</v>
      </c>
      <c r="H28" s="8"/>
      <c r="I28" t="s">
        <v>106</v>
      </c>
      <c r="J28">
        <v>10</v>
      </c>
      <c r="K28" t="s">
        <v>574</v>
      </c>
      <c r="L28" s="8"/>
      <c r="M28" s="89"/>
      <c r="O28" s="1" t="s">
        <v>273</v>
      </c>
      <c r="P28" s="75"/>
      <c r="Q28" s="58"/>
      <c r="S28" t="s">
        <v>76</v>
      </c>
    </row>
    <row r="29" spans="1:19" x14ac:dyDescent="0.25">
      <c r="A29" s="6" t="s">
        <v>569</v>
      </c>
      <c r="B29" s="6">
        <v>135639</v>
      </c>
      <c r="C29" s="3">
        <v>135639</v>
      </c>
      <c r="D29" s="1">
        <f t="shared" si="0"/>
        <v>0</v>
      </c>
      <c r="E29" s="5"/>
      <c r="F29" s="5"/>
      <c r="G29" s="5"/>
      <c r="H29" s="5"/>
      <c r="I29" t="s">
        <v>107</v>
      </c>
      <c r="J29" s="74">
        <f>J27/J28</f>
        <v>60222.137200000041</v>
      </c>
      <c r="L29" s="8"/>
      <c r="M29" s="89"/>
      <c r="O29" s="1" t="s">
        <v>274</v>
      </c>
      <c r="P29" s="75">
        <f>11992+1459</f>
        <v>13451</v>
      </c>
      <c r="Q29" s="58" t="s">
        <v>511</v>
      </c>
      <c r="R29" t="s">
        <v>541</v>
      </c>
      <c r="S29" t="s">
        <v>542</v>
      </c>
    </row>
    <row r="30" spans="1:19" x14ac:dyDescent="0.25">
      <c r="A30" s="61" t="s">
        <v>413</v>
      </c>
      <c r="B30" s="6">
        <v>15000</v>
      </c>
      <c r="C30" s="3">
        <v>15000</v>
      </c>
      <c r="D30" s="1">
        <f t="shared" si="0"/>
        <v>0</v>
      </c>
      <c r="E30" s="5" t="s">
        <v>577</v>
      </c>
      <c r="F30" s="5"/>
      <c r="G30" s="5"/>
      <c r="H30" s="5"/>
      <c r="L30" s="1"/>
      <c r="M30" s="89"/>
      <c r="O30" s="1" t="s">
        <v>278</v>
      </c>
      <c r="P30" s="75"/>
      <c r="Q30" s="58"/>
      <c r="S30" t="s">
        <v>76</v>
      </c>
    </row>
    <row r="31" spans="1:19" x14ac:dyDescent="0.25">
      <c r="A31" s="1" t="s">
        <v>79</v>
      </c>
      <c r="B31" s="6">
        <v>32000</v>
      </c>
      <c r="C31" s="3">
        <f>32000</f>
        <v>32000</v>
      </c>
      <c r="D31" s="1">
        <f t="shared" si="0"/>
        <v>0</v>
      </c>
      <c r="E31" t="s">
        <v>582</v>
      </c>
      <c r="F31" s="5"/>
      <c r="G31" s="5"/>
      <c r="H31" s="5"/>
      <c r="L31" s="8"/>
      <c r="M31" s="89"/>
      <c r="O31" s="1" t="s">
        <v>521</v>
      </c>
      <c r="P31" s="75"/>
      <c r="Q31" s="58"/>
    </row>
    <row r="32" spans="1:19" x14ac:dyDescent="0.25">
      <c r="A32" s="1" t="s">
        <v>581</v>
      </c>
      <c r="B32" s="6">
        <v>150000</v>
      </c>
      <c r="C32" s="3">
        <f>18754+7814+123432</f>
        <v>150000</v>
      </c>
      <c r="D32" s="1">
        <f t="shared" si="0"/>
        <v>0</v>
      </c>
      <c r="E32" t="s">
        <v>328</v>
      </c>
      <c r="F32" s="5"/>
      <c r="G32" s="5"/>
      <c r="H32" s="5"/>
      <c r="L32" s="1"/>
      <c r="M32" s="137"/>
      <c r="O32" s="47" t="s">
        <v>509</v>
      </c>
      <c r="P32" s="75">
        <f>18890+7990</f>
        <v>26880</v>
      </c>
      <c r="Q32" t="s">
        <v>513</v>
      </c>
      <c r="R32" s="58" t="s">
        <v>517</v>
      </c>
      <c r="S32" t="s">
        <v>55</v>
      </c>
    </row>
    <row r="33" spans="1:19" x14ac:dyDescent="0.25">
      <c r="A33" s="96" t="s">
        <v>243</v>
      </c>
      <c r="B33" s="6"/>
      <c r="C33" s="3"/>
      <c r="D33" s="1">
        <f t="shared" si="0"/>
        <v>0</v>
      </c>
      <c r="E33" s="5" t="s">
        <v>313</v>
      </c>
      <c r="F33" s="5"/>
      <c r="G33" s="5"/>
      <c r="H33" s="5"/>
      <c r="L33" s="1"/>
      <c r="M33" s="137"/>
      <c r="O33" s="47" t="s">
        <v>538</v>
      </c>
      <c r="P33" s="75">
        <f>7992+1460</f>
        <v>9452</v>
      </c>
      <c r="Q33" s="58" t="s">
        <v>511</v>
      </c>
      <c r="R33" t="s">
        <v>539</v>
      </c>
      <c r="S33" t="s">
        <v>540</v>
      </c>
    </row>
    <row r="34" spans="1:19" x14ac:dyDescent="0.25">
      <c r="A34" s="1" t="s">
        <v>578</v>
      </c>
      <c r="B34" s="6">
        <v>15000</v>
      </c>
      <c r="C34" s="3">
        <v>15000</v>
      </c>
      <c r="D34" s="1">
        <f t="shared" si="0"/>
        <v>0</v>
      </c>
      <c r="E34" s="5" t="s">
        <v>374</v>
      </c>
      <c r="F34" s="5"/>
      <c r="G34" s="5"/>
      <c r="H34" s="5"/>
      <c r="O34" s="47"/>
    </row>
    <row r="35" spans="1:19" ht="15.75" thickBot="1" x14ac:dyDescent="0.3">
      <c r="A35" s="1" t="s">
        <v>19</v>
      </c>
      <c r="B35" s="1">
        <v>220000</v>
      </c>
      <c r="C35" s="9">
        <f>14000+11310+4990+1000+278+5400+48770+6770+9830+27462+2780+2800+46281+38329</f>
        <v>220000</v>
      </c>
      <c r="D35" s="1">
        <f>B35-C35</f>
        <v>0</v>
      </c>
      <c r="E35" s="5"/>
      <c r="F35" s="5"/>
      <c r="G35" s="5"/>
      <c r="H35" s="5"/>
      <c r="O35" s="47"/>
    </row>
    <row r="36" spans="1:19" ht="15.75" thickBot="1" x14ac:dyDescent="0.3">
      <c r="A36" s="47" t="s">
        <v>579</v>
      </c>
      <c r="B36" s="182">
        <v>400000</v>
      </c>
      <c r="C36">
        <v>400000</v>
      </c>
      <c r="D36" s="47">
        <f>B36-C36</f>
        <v>0</v>
      </c>
      <c r="E36" s="5"/>
      <c r="F36" s="5"/>
      <c r="G36" s="17"/>
      <c r="H36" s="5" t="s">
        <v>26</v>
      </c>
      <c r="O36" s="1" t="s">
        <v>65</v>
      </c>
      <c r="P36" s="75">
        <f>SUM(P14:P33)</f>
        <v>364284</v>
      </c>
    </row>
    <row r="37" spans="1:19" x14ac:dyDescent="0.25">
      <c r="A37" s="2" t="s">
        <v>1</v>
      </c>
      <c r="B37" s="2">
        <f>SUM(B3:B36)</f>
        <v>3444241</v>
      </c>
      <c r="C37" s="2">
        <f>SUM(C3:C35)</f>
        <v>3044241</v>
      </c>
      <c r="D37" s="2"/>
      <c r="E37" s="5"/>
      <c r="F37" s="5"/>
      <c r="G37" s="5"/>
      <c r="H37" s="5"/>
      <c r="L37" s="91"/>
      <c r="M37" s="138"/>
      <c r="O37" s="84"/>
      <c r="P37" s="74"/>
    </row>
    <row r="38" spans="1:19" ht="15.75" thickBot="1" x14ac:dyDescent="0.3">
      <c r="A38" s="2" t="s">
        <v>2</v>
      </c>
      <c r="B38" s="181">
        <f>B2-B37</f>
        <v>0</v>
      </c>
      <c r="C38" s="2">
        <f>C2-C37</f>
        <v>400000</v>
      </c>
      <c r="D38" s="2"/>
      <c r="E38" s="5"/>
      <c r="F38" s="5"/>
      <c r="G38" s="5"/>
      <c r="H38" s="5"/>
      <c r="J38">
        <f>2752586</f>
        <v>2752586</v>
      </c>
      <c r="O38" s="47"/>
      <c r="P38" s="74"/>
    </row>
    <row r="39" spans="1:19" x14ac:dyDescent="0.25">
      <c r="D39">
        <f>SUM(D3:D36)</f>
        <v>0</v>
      </c>
      <c r="E39" s="5"/>
      <c r="F39" s="5"/>
      <c r="G39" s="5"/>
      <c r="H39" s="5"/>
      <c r="J39">
        <f>574857</f>
        <v>574857</v>
      </c>
      <c r="O39" s="83" t="s">
        <v>279</v>
      </c>
      <c r="P39" s="79"/>
    </row>
    <row r="40" spans="1:19" x14ac:dyDescent="0.25">
      <c r="E40" s="5"/>
      <c r="F40" s="5"/>
      <c r="G40" s="5"/>
      <c r="H40" s="5"/>
      <c r="J40">
        <f>J38-J39</f>
        <v>2177729</v>
      </c>
      <c r="O40" s="80" t="s">
        <v>507</v>
      </c>
      <c r="P40" s="81">
        <v>29990</v>
      </c>
    </row>
    <row r="41" spans="1:19" x14ac:dyDescent="0.25">
      <c r="E41" s="5"/>
      <c r="O41" s="1" t="s">
        <v>277</v>
      </c>
      <c r="P41" s="81">
        <f>7490*2</f>
        <v>14980</v>
      </c>
      <c r="Q41" t="s">
        <v>515</v>
      </c>
      <c r="S41" t="s">
        <v>516</v>
      </c>
    </row>
    <row r="42" spans="1:19" x14ac:dyDescent="0.25">
      <c r="E42" s="5"/>
      <c r="O42" s="1"/>
      <c r="P42" s="81"/>
    </row>
    <row r="43" spans="1:19" x14ac:dyDescent="0.25">
      <c r="O43" s="80" t="s">
        <v>523</v>
      </c>
      <c r="P43" s="81">
        <f>40000</f>
        <v>40000</v>
      </c>
      <c r="Q43" t="s">
        <v>525</v>
      </c>
      <c r="S43" t="s">
        <v>526</v>
      </c>
    </row>
    <row r="44" spans="1:19" x14ac:dyDescent="0.25">
      <c r="O44" s="80" t="s">
        <v>534</v>
      </c>
      <c r="P44" s="81">
        <v>12490</v>
      </c>
      <c r="Q44" t="s">
        <v>532</v>
      </c>
    </row>
    <row r="45" spans="1:19" x14ac:dyDescent="0.25">
      <c r="O45" s="80"/>
      <c r="P45" s="81"/>
    </row>
    <row r="46" spans="1:19" x14ac:dyDescent="0.25">
      <c r="O46" s="80"/>
      <c r="P46" s="81"/>
    </row>
    <row r="47" spans="1:19" x14ac:dyDescent="0.25">
      <c r="O47" s="139" t="s">
        <v>9</v>
      </c>
      <c r="P47" s="140">
        <f>SUM(P40:P46)</f>
        <v>97460</v>
      </c>
    </row>
    <row r="48" spans="1:19" x14ac:dyDescent="0.25">
      <c r="O48" s="57" t="s">
        <v>510</v>
      </c>
      <c r="P48" s="81">
        <f>SUMIF(Q14:Q33,"EFECTIVO",P14:P33)</f>
        <v>78813</v>
      </c>
    </row>
    <row r="49" spans="15:16" ht="15.75" thickBot="1" x14ac:dyDescent="0.3">
      <c r="O49" s="59"/>
      <c r="P49" s="82"/>
    </row>
    <row r="50" spans="15:16" x14ac:dyDescent="0.25">
      <c r="P50" s="74"/>
    </row>
    <row r="51" spans="15:16" x14ac:dyDescent="0.25">
      <c r="O51" s="10" t="s">
        <v>92</v>
      </c>
      <c r="P51" s="77">
        <f>SUM(P14:P33)</f>
        <v>364284</v>
      </c>
    </row>
    <row r="52" spans="15:16" x14ac:dyDescent="0.25">
      <c r="O52" s="10"/>
      <c r="P52" s="77"/>
    </row>
    <row r="53" spans="15:16" x14ac:dyDescent="0.25">
      <c r="O53" s="10" t="s">
        <v>93</v>
      </c>
      <c r="P53" s="77">
        <f>P13-P51</f>
        <v>80156</v>
      </c>
    </row>
    <row r="54" spans="15:16" x14ac:dyDescent="0.25">
      <c r="O54" s="10"/>
      <c r="P54" s="77"/>
    </row>
    <row r="55" spans="15:16" x14ac:dyDescent="0.25">
      <c r="O55" s="10" t="s">
        <v>94</v>
      </c>
      <c r="P55" s="77">
        <f>P13-SUMIF(Q14:Q33,"GIFTCARD",P14:P33)-SUM(P40:P46)</f>
        <v>61509</v>
      </c>
    </row>
    <row r="57" spans="15:16" x14ac:dyDescent="0.25">
      <c r="O57" t="s">
        <v>99</v>
      </c>
      <c r="P57" s="78">
        <f>P55-G6</f>
        <v>284867</v>
      </c>
    </row>
  </sheetData>
  <mergeCells count="1">
    <mergeCell ref="F18:H18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S71"/>
  <sheetViews>
    <sheetView topLeftCell="A53" zoomScale="80" zoomScaleNormal="80" workbookViewId="0">
      <selection activeCell="C74" sqref="C74"/>
    </sheetView>
  </sheetViews>
  <sheetFormatPr baseColWidth="10" defaultColWidth="27" defaultRowHeight="15" x14ac:dyDescent="0.25"/>
  <cols>
    <col min="1" max="1" width="43.140625" bestFit="1" customWidth="1"/>
    <col min="2" max="2" width="12.140625" bestFit="1" customWidth="1"/>
    <col min="3" max="3" width="12" bestFit="1" customWidth="1"/>
    <col min="4" max="4" width="7.7109375" bestFit="1" customWidth="1"/>
    <col min="5" max="5" width="18.85546875" customWidth="1"/>
    <col min="6" max="6" width="26.28515625" customWidth="1"/>
    <col min="7" max="7" width="15.85546875" bestFit="1" customWidth="1"/>
    <col min="8" max="8" width="20" bestFit="1" customWidth="1"/>
    <col min="9" max="9" width="12.5703125" customWidth="1"/>
    <col min="10" max="10" width="12.28515625" bestFit="1" customWidth="1"/>
    <col min="11" max="11" width="2.5703125" customWidth="1"/>
    <col min="12" max="12" width="26.5703125" customWidth="1"/>
    <col min="13" max="13" width="12" bestFit="1" customWidth="1"/>
    <col min="14" max="14" width="8.28515625" customWidth="1"/>
    <col min="15" max="15" width="18.5703125" customWidth="1"/>
    <col min="16" max="16" width="10.7109375" bestFit="1" customWidth="1"/>
    <col min="17" max="17" width="28" bestFit="1" customWidth="1"/>
    <col min="18" max="18" width="23.42578125" bestFit="1" customWidth="1"/>
    <col min="19" max="19" width="19.85546875" bestFit="1" customWidth="1"/>
  </cols>
  <sheetData>
    <row r="1" spans="1:19" x14ac:dyDescent="0.25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4291897</v>
      </c>
      <c r="H1" s="11"/>
      <c r="I1" s="10"/>
      <c r="L1" s="168" t="s">
        <v>83</v>
      </c>
      <c r="M1" s="168"/>
      <c r="O1" s="10" t="s">
        <v>72</v>
      </c>
    </row>
    <row r="2" spans="1:19" x14ac:dyDescent="0.25">
      <c r="A2" s="2"/>
      <c r="B2" s="90">
        <v>3466976</v>
      </c>
      <c r="C2" s="90">
        <v>3466976</v>
      </c>
      <c r="D2" s="2"/>
      <c r="E2" s="4"/>
      <c r="F2" s="63" t="s">
        <v>73</v>
      </c>
      <c r="G2" s="88">
        <f>M13</f>
        <v>30955</v>
      </c>
      <c r="I2" s="132"/>
      <c r="L2" s="89" t="s">
        <v>81</v>
      </c>
      <c r="M2" s="89">
        <v>8370</v>
      </c>
      <c r="O2" s="10" t="s">
        <v>638</v>
      </c>
      <c r="P2">
        <f>266199</f>
        <v>266199</v>
      </c>
    </row>
    <row r="3" spans="1:19" x14ac:dyDescent="0.25">
      <c r="A3" s="1" t="s">
        <v>0</v>
      </c>
      <c r="B3" s="6">
        <v>220000</v>
      </c>
      <c r="C3" s="3">
        <f>9999+60820+20539+23962-812+33954-2390+136+3980+46349+1290+21880+293</f>
        <v>220000</v>
      </c>
      <c r="D3" s="1">
        <f>B3-C3</f>
        <v>0</v>
      </c>
      <c r="E3" s="97">
        <v>220000</v>
      </c>
      <c r="F3" s="63" t="s">
        <v>130</v>
      </c>
      <c r="G3">
        <f>P11</f>
        <v>324199</v>
      </c>
      <c r="I3" s="74"/>
      <c r="L3" s="89" t="s">
        <v>128</v>
      </c>
      <c r="M3" s="89" t="s">
        <v>76</v>
      </c>
      <c r="O3" s="10" t="s">
        <v>550</v>
      </c>
      <c r="P3">
        <v>18000</v>
      </c>
    </row>
    <row r="4" spans="1:19" x14ac:dyDescent="0.25">
      <c r="A4" s="1" t="s">
        <v>62</v>
      </c>
      <c r="B4" s="6">
        <v>647027</v>
      </c>
      <c r="C4" s="3">
        <v>647027</v>
      </c>
      <c r="D4" s="1">
        <f t="shared" ref="D4:D34" si="0">B4-C4</f>
        <v>0</v>
      </c>
      <c r="E4" s="4" t="s">
        <v>590</v>
      </c>
      <c r="F4" t="s">
        <v>304</v>
      </c>
      <c r="G4" s="121">
        <f>-207000-34500+34500+34500+34500+34500+19971+14529+34500</f>
        <v>-34500</v>
      </c>
      <c r="H4" s="170" t="s">
        <v>450</v>
      </c>
      <c r="I4" s="78"/>
      <c r="L4" s="89" t="s">
        <v>287</v>
      </c>
      <c r="M4" s="89" t="s">
        <v>76</v>
      </c>
      <c r="O4" s="10"/>
    </row>
    <row r="5" spans="1:19" x14ac:dyDescent="0.25">
      <c r="A5" s="1" t="s">
        <v>128</v>
      </c>
      <c r="B5" s="6">
        <v>25000</v>
      </c>
      <c r="C5" s="3">
        <v>25000</v>
      </c>
      <c r="D5" s="1">
        <f t="shared" si="0"/>
        <v>0</v>
      </c>
      <c r="E5" s="4"/>
      <c r="F5" t="s">
        <v>637</v>
      </c>
      <c r="G5">
        <v>-25000</v>
      </c>
      <c r="I5" s="78">
        <f>260442-259822</f>
        <v>620</v>
      </c>
      <c r="J5" s="88"/>
      <c r="L5" s="89" t="s">
        <v>427</v>
      </c>
      <c r="M5" s="89" t="s">
        <v>76</v>
      </c>
      <c r="O5" s="10" t="s">
        <v>639</v>
      </c>
      <c r="P5">
        <v>40000</v>
      </c>
    </row>
    <row r="6" spans="1:19" x14ac:dyDescent="0.25">
      <c r="A6" s="1" t="s">
        <v>81</v>
      </c>
      <c r="B6" s="6">
        <v>7590</v>
      </c>
      <c r="C6" s="3">
        <v>7590</v>
      </c>
      <c r="D6" s="1">
        <f t="shared" si="0"/>
        <v>0</v>
      </c>
      <c r="E6" s="4"/>
      <c r="F6" s="4" t="s">
        <v>221</v>
      </c>
      <c r="G6" s="4">
        <f>17644-241002-178107-250000+400000+46958-101597-871189+600000</f>
        <v>-577293</v>
      </c>
      <c r="J6" s="145"/>
      <c r="L6" s="89" t="s">
        <v>82</v>
      </c>
      <c r="M6" s="89">
        <f>2980+6600</f>
        <v>9580</v>
      </c>
      <c r="O6" s="10"/>
    </row>
    <row r="7" spans="1:19" x14ac:dyDescent="0.25">
      <c r="A7" s="1" t="s">
        <v>86</v>
      </c>
      <c r="B7" s="7">
        <v>177130</v>
      </c>
      <c r="C7" s="3">
        <v>177130</v>
      </c>
      <c r="D7" s="1">
        <f t="shared" si="0"/>
        <v>0</v>
      </c>
      <c r="E7" s="4"/>
      <c r="F7" s="63" t="s">
        <v>242</v>
      </c>
      <c r="G7" s="98">
        <f>M23</f>
        <v>20000</v>
      </c>
      <c r="J7" s="164"/>
      <c r="L7" s="172" t="s">
        <v>85</v>
      </c>
      <c r="M7" s="89">
        <f>10800+2205</f>
        <v>13005</v>
      </c>
      <c r="O7" s="10"/>
    </row>
    <row r="8" spans="1:19" x14ac:dyDescent="0.25">
      <c r="A8" s="62" t="s">
        <v>316</v>
      </c>
      <c r="B8" s="7">
        <v>78642</v>
      </c>
      <c r="C8" s="9">
        <v>78642</v>
      </c>
      <c r="D8" s="1">
        <f t="shared" si="0"/>
        <v>0</v>
      </c>
      <c r="E8" s="4"/>
      <c r="F8" s="63" t="s">
        <v>658</v>
      </c>
      <c r="G8" s="195">
        <v>89990</v>
      </c>
      <c r="I8" s="13"/>
      <c r="J8" s="177"/>
      <c r="L8" s="172"/>
      <c r="O8" s="10"/>
    </row>
    <row r="9" spans="1:19" x14ac:dyDescent="0.25">
      <c r="A9" s="1" t="s">
        <v>310</v>
      </c>
      <c r="B9" s="6">
        <v>30000</v>
      </c>
      <c r="C9" s="3">
        <f>28773+1227</f>
        <v>30000</v>
      </c>
      <c r="D9" s="1">
        <f t="shared" si="0"/>
        <v>0</v>
      </c>
      <c r="E9" s="144"/>
      <c r="F9" s="4" t="s">
        <v>16</v>
      </c>
      <c r="G9" s="4">
        <v>32000</v>
      </c>
      <c r="J9" s="196"/>
      <c r="O9" s="10"/>
    </row>
    <row r="10" spans="1:19" x14ac:dyDescent="0.25">
      <c r="A10" s="1" t="s">
        <v>11</v>
      </c>
      <c r="B10" s="7">
        <v>80000</v>
      </c>
      <c r="C10" s="3">
        <f>5593+12920+11200+43945+6342</f>
        <v>80000</v>
      </c>
      <c r="D10" s="1">
        <f t="shared" si="0"/>
        <v>0</v>
      </c>
      <c r="E10" s="5"/>
      <c r="F10" t="s">
        <v>504</v>
      </c>
      <c r="G10">
        <f>-3460216-121650</f>
        <v>-3581866</v>
      </c>
      <c r="I10" s="78"/>
      <c r="J10" s="10"/>
      <c r="L10" s="188"/>
      <c r="O10" s="10"/>
    </row>
    <row r="11" spans="1:19" x14ac:dyDescent="0.25">
      <c r="A11" s="1" t="s">
        <v>462</v>
      </c>
      <c r="B11" s="7">
        <v>120000</v>
      </c>
      <c r="C11" s="3">
        <f>120000</f>
        <v>120000</v>
      </c>
      <c r="D11" s="1">
        <f t="shared" si="0"/>
        <v>0</v>
      </c>
      <c r="E11" s="25" t="s">
        <v>359</v>
      </c>
      <c r="F11" s="64"/>
      <c r="G11" s="44"/>
      <c r="H11" s="4"/>
      <c r="L11" s="96"/>
      <c r="M11" s="157"/>
      <c r="O11" s="10" t="s">
        <v>65</v>
      </c>
      <c r="P11">
        <f>SUM(P2:P10)</f>
        <v>324199</v>
      </c>
    </row>
    <row r="12" spans="1:19" x14ac:dyDescent="0.25">
      <c r="A12" s="1" t="s">
        <v>498</v>
      </c>
      <c r="B12" s="7">
        <v>0</v>
      </c>
      <c r="C12" s="3"/>
      <c r="D12" s="1">
        <f t="shared" si="0"/>
        <v>0</v>
      </c>
      <c r="F12" s="67" t="s">
        <v>75</v>
      </c>
      <c r="G12" s="13">
        <f>-42132-28000-28000-28000-28000+89468-28000-28000+89468-30000-30000-32000-32000</f>
        <v>-155196</v>
      </c>
      <c r="H12" s="4" t="s">
        <v>583</v>
      </c>
      <c r="I12" t="s">
        <v>382</v>
      </c>
      <c r="J12">
        <v>176332</v>
      </c>
      <c r="L12" s="89"/>
      <c r="M12" s="89"/>
    </row>
    <row r="13" spans="1:19" ht="15.75" thickBot="1" x14ac:dyDescent="0.3">
      <c r="A13" s="1" t="s">
        <v>240</v>
      </c>
      <c r="B13" s="6">
        <v>15988</v>
      </c>
      <c r="C13" s="3">
        <v>15988</v>
      </c>
      <c r="D13" s="1">
        <f t="shared" si="0"/>
        <v>0</v>
      </c>
      <c r="E13" s="133"/>
      <c r="F13" s="4" t="s">
        <v>158</v>
      </c>
      <c r="G13" s="13">
        <v>0</v>
      </c>
      <c r="H13" s="4"/>
      <c r="L13" s="149" t="s">
        <v>65</v>
      </c>
      <c r="M13" s="150">
        <f>SUM(M2:M12)</f>
        <v>30955</v>
      </c>
      <c r="O13" s="61" t="s">
        <v>259</v>
      </c>
      <c r="P13" s="76">
        <v>444440</v>
      </c>
      <c r="Q13" t="s">
        <v>95</v>
      </c>
      <c r="R13" t="s">
        <v>272</v>
      </c>
      <c r="S13" t="s">
        <v>530</v>
      </c>
    </row>
    <row r="14" spans="1:19" x14ac:dyDescent="0.25">
      <c r="A14" s="1" t="s">
        <v>591</v>
      </c>
      <c r="B14" s="6">
        <v>25000</v>
      </c>
      <c r="C14" s="3">
        <f>23344+1656</f>
        <v>25000</v>
      </c>
      <c r="D14" s="1">
        <f t="shared" si="0"/>
        <v>0</v>
      </c>
      <c r="E14" s="5" t="s">
        <v>451</v>
      </c>
      <c r="F14" s="4" t="s">
        <v>121</v>
      </c>
      <c r="G14" s="13">
        <v>0</v>
      </c>
      <c r="H14" s="10"/>
      <c r="J14" s="13"/>
      <c r="O14" s="1" t="s">
        <v>241</v>
      </c>
      <c r="P14" s="75" t="s">
        <v>76</v>
      </c>
      <c r="Q14" s="56" t="s">
        <v>76</v>
      </c>
      <c r="R14" t="s">
        <v>392</v>
      </c>
      <c r="S14" t="s">
        <v>55</v>
      </c>
    </row>
    <row r="15" spans="1:19" x14ac:dyDescent="0.25">
      <c r="A15" s="8" t="s">
        <v>589</v>
      </c>
      <c r="B15" s="7">
        <f>25000+25000</f>
        <v>50000</v>
      </c>
      <c r="C15" s="9">
        <f>1020+610+2000+2610+1220+2000+5000+610+1000+1220+1000+1220+610+620+1120+1000+1220+860+610+1220+510</f>
        <v>27280</v>
      </c>
      <c r="D15" s="1">
        <f t="shared" si="0"/>
        <v>22720</v>
      </c>
      <c r="E15" s="5"/>
      <c r="F15" s="4" t="s">
        <v>416</v>
      </c>
      <c r="G15" s="88">
        <f>-8000-8000-8000-8000-8000-8000-8000-8000-8000-15000-15000</f>
        <v>-102000</v>
      </c>
      <c r="H15" s="4"/>
      <c r="L15" s="61" t="s">
        <v>131</v>
      </c>
      <c r="M15" s="76" t="s">
        <v>132</v>
      </c>
      <c r="O15" s="1" t="s">
        <v>260</v>
      </c>
      <c r="P15" s="75">
        <v>35920</v>
      </c>
      <c r="Q15" s="58" t="s">
        <v>511</v>
      </c>
      <c r="R15" t="s">
        <v>543</v>
      </c>
      <c r="S15" s="78" t="s">
        <v>544</v>
      </c>
    </row>
    <row r="16" spans="1:19" ht="15.75" thickBot="1" x14ac:dyDescent="0.3">
      <c r="A16" s="1" t="s">
        <v>64</v>
      </c>
      <c r="B16" s="6">
        <v>101717</v>
      </c>
      <c r="C16" s="3">
        <v>101717</v>
      </c>
      <c r="D16" s="1">
        <f t="shared" si="0"/>
        <v>0</v>
      </c>
      <c r="E16" s="5"/>
      <c r="F16" s="4" t="s">
        <v>129</v>
      </c>
      <c r="G16" s="87">
        <f>-82010-30000-40000-40000</f>
        <v>-192010</v>
      </c>
      <c r="H16" s="4"/>
      <c r="J16" s="13"/>
      <c r="L16" s="67" t="s">
        <v>661</v>
      </c>
      <c r="M16" s="120">
        <v>20000</v>
      </c>
      <c r="O16" s="1" t="s">
        <v>261</v>
      </c>
      <c r="P16" s="75">
        <v>19990</v>
      </c>
      <c r="Q16" s="58" t="s">
        <v>511</v>
      </c>
      <c r="R16" t="s">
        <v>518</v>
      </c>
      <c r="S16" t="s">
        <v>55</v>
      </c>
    </row>
    <row r="17" spans="1:19" ht="15.75" thickBot="1" x14ac:dyDescent="0.3">
      <c r="A17" s="8" t="s">
        <v>161</v>
      </c>
      <c r="B17" s="7">
        <v>25000</v>
      </c>
      <c r="C17" s="9">
        <v>25000</v>
      </c>
      <c r="D17" s="1">
        <f t="shared" si="0"/>
        <v>0</v>
      </c>
      <c r="E17" s="5" t="s">
        <v>451</v>
      </c>
      <c r="F17" s="71" t="s">
        <v>12</v>
      </c>
      <c r="G17" s="72">
        <f>SUM(G1:G16)</f>
        <v>121176</v>
      </c>
      <c r="H17" s="16"/>
      <c r="J17" s="13"/>
      <c r="L17" s="8"/>
      <c r="M17" s="89"/>
      <c r="O17" s="1" t="s">
        <v>262</v>
      </c>
      <c r="P17" s="75">
        <v>39980</v>
      </c>
      <c r="Q17" s="58" t="s">
        <v>513</v>
      </c>
      <c r="R17" t="s">
        <v>524</v>
      </c>
      <c r="S17" t="s">
        <v>55</v>
      </c>
    </row>
    <row r="18" spans="1:19" x14ac:dyDescent="0.25">
      <c r="A18" s="6" t="s">
        <v>156</v>
      </c>
      <c r="B18" s="1">
        <v>40000</v>
      </c>
      <c r="C18" s="3">
        <f>40000</f>
        <v>40000</v>
      </c>
      <c r="D18" s="1">
        <f>B18-C18</f>
        <v>0</v>
      </c>
      <c r="E18" s="5" t="s">
        <v>575</v>
      </c>
      <c r="F18" s="201" t="s">
        <v>13</v>
      </c>
      <c r="G18" s="202"/>
      <c r="H18" s="203"/>
      <c r="J18" s="13"/>
      <c r="L18" s="96"/>
      <c r="M18" s="156"/>
      <c r="O18" s="1" t="s">
        <v>263</v>
      </c>
      <c r="P18" s="75">
        <f>25990</f>
        <v>25990</v>
      </c>
      <c r="Q18" s="58" t="s">
        <v>513</v>
      </c>
      <c r="R18" t="s">
        <v>531</v>
      </c>
      <c r="S18" t="s">
        <v>55</v>
      </c>
    </row>
    <row r="19" spans="1:19" x14ac:dyDescent="0.25">
      <c r="A19" s="6" t="s">
        <v>331</v>
      </c>
      <c r="B19" s="6">
        <v>250000</v>
      </c>
      <c r="C19" s="3">
        <f>250000</f>
        <v>250000</v>
      </c>
      <c r="D19" s="1">
        <f t="shared" si="0"/>
        <v>0</v>
      </c>
      <c r="E19" s="5" t="s">
        <v>576</v>
      </c>
      <c r="F19" s="8" t="s">
        <v>7</v>
      </c>
      <c r="G19" s="8" t="s">
        <v>8</v>
      </c>
      <c r="H19" s="8" t="s">
        <v>9</v>
      </c>
      <c r="J19" s="13">
        <f>H20-G17</f>
        <v>0</v>
      </c>
      <c r="L19" s="96"/>
      <c r="M19" s="156"/>
      <c r="O19" s="1" t="s">
        <v>43</v>
      </c>
      <c r="P19" s="75">
        <v>37791</v>
      </c>
      <c r="Q19" s="58" t="s">
        <v>513</v>
      </c>
      <c r="R19" t="s">
        <v>522</v>
      </c>
      <c r="S19" t="s">
        <v>55</v>
      </c>
    </row>
    <row r="20" spans="1:19" x14ac:dyDescent="0.25">
      <c r="A20" s="1" t="s">
        <v>42</v>
      </c>
      <c r="B20" s="6">
        <v>60000</v>
      </c>
      <c r="C20" s="3">
        <f>23062+4200</f>
        <v>27262</v>
      </c>
      <c r="D20" s="1">
        <f t="shared" si="0"/>
        <v>32738</v>
      </c>
      <c r="E20" s="5" t="s">
        <v>492</v>
      </c>
      <c r="F20" s="183">
        <f>SUM(D3:D36)+B38</f>
        <v>121176</v>
      </c>
      <c r="G20" s="8">
        <v>0</v>
      </c>
      <c r="H20" s="18">
        <f>F20+G20</f>
        <v>121176</v>
      </c>
      <c r="J20" s="13"/>
      <c r="O20" s="1" t="s">
        <v>264</v>
      </c>
      <c r="P20" s="75">
        <v>19990</v>
      </c>
      <c r="Q20" s="58" t="s">
        <v>513</v>
      </c>
      <c r="R20" t="s">
        <v>358</v>
      </c>
      <c r="S20" t="s">
        <v>545</v>
      </c>
    </row>
    <row r="21" spans="1:19" x14ac:dyDescent="0.25">
      <c r="A21" s="3" t="s">
        <v>288</v>
      </c>
      <c r="B21" s="6">
        <v>55000</v>
      </c>
      <c r="C21" s="3">
        <f>40000+15000</f>
        <v>55000</v>
      </c>
      <c r="D21" s="1">
        <f t="shared" si="0"/>
        <v>0</v>
      </c>
      <c r="E21" s="5" t="s">
        <v>636</v>
      </c>
      <c r="F21" s="5"/>
      <c r="G21" s="5"/>
      <c r="H21" s="5"/>
      <c r="L21" s="96"/>
      <c r="M21" s="157"/>
      <c r="O21" s="1" t="s">
        <v>265</v>
      </c>
      <c r="P21" s="75">
        <v>41990</v>
      </c>
      <c r="Q21" s="58" t="s">
        <v>513</v>
      </c>
      <c r="R21" t="s">
        <v>512</v>
      </c>
      <c r="S21" t="s">
        <v>55</v>
      </c>
    </row>
    <row r="22" spans="1:19" x14ac:dyDescent="0.25">
      <c r="A22" s="61" t="s">
        <v>572</v>
      </c>
      <c r="B22" s="6">
        <v>77244</v>
      </c>
      <c r="C22" s="3">
        <f>14835+12461+31482+7180+11286</f>
        <v>77244</v>
      </c>
      <c r="D22" s="1">
        <f t="shared" si="0"/>
        <v>0</v>
      </c>
      <c r="E22" s="5" t="s">
        <v>592</v>
      </c>
      <c r="F22" s="5"/>
      <c r="G22" s="5"/>
      <c r="H22" s="5"/>
      <c r="J22" s="12"/>
      <c r="L22" s="171"/>
      <c r="O22" s="1" t="s">
        <v>266</v>
      </c>
      <c r="P22" s="75"/>
      <c r="Q22" s="58"/>
      <c r="S22" s="78"/>
    </row>
    <row r="23" spans="1:19" ht="15.75" thickBot="1" x14ac:dyDescent="0.3">
      <c r="A23" s="1" t="s">
        <v>460</v>
      </c>
      <c r="B23" s="7">
        <v>90000</v>
      </c>
      <c r="C23" s="3">
        <f>34110+2352+27990</f>
        <v>64452</v>
      </c>
      <c r="D23" s="1">
        <f t="shared" si="0"/>
        <v>25548</v>
      </c>
      <c r="E23" s="5" t="s">
        <v>448</v>
      </c>
      <c r="F23" s="44"/>
      <c r="G23" s="43"/>
      <c r="H23" s="5"/>
      <c r="I23" t="s">
        <v>31</v>
      </c>
      <c r="J23" s="13">
        <f>G17-SUM(D4,D5,D6,D7,D8,D11,D12,D13,D16,D17,D18,D19,D20,D21,D22,D24,D28,D30,D31,D33,D36)</f>
        <v>88438</v>
      </c>
      <c r="L23" s="147" t="s">
        <v>65</v>
      </c>
      <c r="M23" s="148">
        <f>SUM(M16:M22)</f>
        <v>20000</v>
      </c>
      <c r="N23" s="10"/>
      <c r="O23" s="1" t="s">
        <v>267</v>
      </c>
      <c r="P23" s="75">
        <v>20990</v>
      </c>
      <c r="Q23" s="58" t="s">
        <v>513</v>
      </c>
      <c r="R23" t="s">
        <v>536</v>
      </c>
      <c r="S23" t="s">
        <v>76</v>
      </c>
    </row>
    <row r="24" spans="1:19" x14ac:dyDescent="0.25">
      <c r="A24" s="1" t="s">
        <v>426</v>
      </c>
      <c r="B24" s="7">
        <v>40000</v>
      </c>
      <c r="C24" s="3">
        <v>40000</v>
      </c>
      <c r="D24" s="1">
        <f t="shared" si="0"/>
        <v>0</v>
      </c>
      <c r="E24" s="5"/>
      <c r="F24" s="5"/>
      <c r="G24" s="5"/>
      <c r="H24" s="5"/>
      <c r="M24" s="95"/>
      <c r="O24" s="1" t="s">
        <v>270</v>
      </c>
      <c r="P24" s="75"/>
      <c r="Q24" s="58"/>
    </row>
    <row r="25" spans="1:19" x14ac:dyDescent="0.25">
      <c r="A25" s="1" t="s">
        <v>24</v>
      </c>
      <c r="B25" s="7">
        <v>90000</v>
      </c>
      <c r="C25" s="3">
        <f>9835+16693+8350+12990+4500+7490+5000+25142</f>
        <v>90000</v>
      </c>
      <c r="D25" s="1">
        <f t="shared" si="0"/>
        <v>0</v>
      </c>
      <c r="E25" s="5">
        <v>85000</v>
      </c>
      <c r="F25" s="62" t="s">
        <v>89</v>
      </c>
      <c r="G25" s="85">
        <f>SUM(G26:G28)</f>
        <v>5636408</v>
      </c>
      <c r="H25" s="61"/>
      <c r="O25" s="1" t="s">
        <v>271</v>
      </c>
      <c r="P25" s="75">
        <v>17990</v>
      </c>
      <c r="Q25" s="58" t="s">
        <v>513</v>
      </c>
      <c r="R25" t="s">
        <v>535</v>
      </c>
      <c r="S25" t="s">
        <v>76</v>
      </c>
    </row>
    <row r="26" spans="1:19" x14ac:dyDescent="0.25">
      <c r="A26" s="1" t="s">
        <v>63</v>
      </c>
      <c r="B26" s="7">
        <f>92201+2345</f>
        <v>94546</v>
      </c>
      <c r="C26" s="3">
        <f>89201+3000+2345-19468</f>
        <v>75078</v>
      </c>
      <c r="D26" s="1">
        <f t="shared" si="0"/>
        <v>19468</v>
      </c>
      <c r="E26" s="5">
        <v>85000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L26" s="8"/>
      <c r="M26" s="89"/>
      <c r="O26" s="1" t="s">
        <v>268</v>
      </c>
      <c r="P26" s="75">
        <f>25390+3990</f>
        <v>29380</v>
      </c>
      <c r="Q26" s="58" t="s">
        <v>513</v>
      </c>
      <c r="R26" t="s">
        <v>519</v>
      </c>
      <c r="S26" s="44" t="s">
        <v>76</v>
      </c>
    </row>
    <row r="27" spans="1:19" x14ac:dyDescent="0.25">
      <c r="A27" s="1" t="s">
        <v>27</v>
      </c>
      <c r="B27" s="7">
        <f>8800</f>
        <v>8800</v>
      </c>
      <c r="C27" s="3">
        <f>4400</f>
        <v>4400</v>
      </c>
      <c r="D27" s="1">
        <f t="shared" si="0"/>
        <v>4400</v>
      </c>
      <c r="E27" s="5">
        <v>8800</v>
      </c>
      <c r="F27" s="8" t="s">
        <v>97</v>
      </c>
      <c r="G27" s="89">
        <f>AHRROS!B9</f>
        <v>5636408</v>
      </c>
      <c r="H27" s="8"/>
      <c r="I27" t="s">
        <v>105</v>
      </c>
      <c r="J27" s="74">
        <f>'Colegio Agus'!K7-G25</f>
        <v>602221.37200000044</v>
      </c>
      <c r="O27" s="1" t="s">
        <v>269</v>
      </c>
      <c r="P27" s="75">
        <v>24490</v>
      </c>
      <c r="Q27" s="58" t="s">
        <v>513</v>
      </c>
      <c r="R27" t="s">
        <v>520</v>
      </c>
      <c r="S27" t="s">
        <v>55</v>
      </c>
    </row>
    <row r="28" spans="1:19" x14ac:dyDescent="0.25">
      <c r="A28" s="1" t="s">
        <v>3</v>
      </c>
      <c r="B28" s="6">
        <v>140000</v>
      </c>
      <c r="C28" s="3">
        <f>46104+11854+82042</f>
        <v>140000</v>
      </c>
      <c r="D28" s="1">
        <f t="shared" si="0"/>
        <v>0</v>
      </c>
      <c r="E28" s="5">
        <v>140000</v>
      </c>
      <c r="F28" s="8" t="s">
        <v>91</v>
      </c>
      <c r="G28" s="89">
        <v>0</v>
      </c>
      <c r="H28" s="8"/>
      <c r="I28" t="s">
        <v>106</v>
      </c>
      <c r="J28">
        <v>10</v>
      </c>
      <c r="K28" t="s">
        <v>574</v>
      </c>
      <c r="L28" s="8"/>
      <c r="M28" s="89"/>
      <c r="O28" s="1" t="s">
        <v>273</v>
      </c>
      <c r="P28" s="75"/>
      <c r="Q28" s="58"/>
      <c r="S28" t="s">
        <v>76</v>
      </c>
    </row>
    <row r="29" spans="1:19" x14ac:dyDescent="0.25">
      <c r="A29" s="6" t="s">
        <v>569</v>
      </c>
      <c r="B29" s="6">
        <v>0</v>
      </c>
      <c r="C29" s="3"/>
      <c r="D29" s="1">
        <f t="shared" si="0"/>
        <v>0</v>
      </c>
      <c r="E29" s="5"/>
      <c r="F29" s="5"/>
      <c r="G29" s="5"/>
      <c r="H29" s="5"/>
      <c r="I29" t="s">
        <v>107</v>
      </c>
      <c r="J29" s="74">
        <f>J27/J28</f>
        <v>60222.137200000041</v>
      </c>
      <c r="L29" s="8"/>
      <c r="M29" s="89"/>
      <c r="O29" s="1" t="s">
        <v>274</v>
      </c>
      <c r="P29" s="75">
        <f>11992+1459</f>
        <v>13451</v>
      </c>
      <c r="Q29" s="58" t="s">
        <v>511</v>
      </c>
      <c r="R29" t="s">
        <v>541</v>
      </c>
      <c r="S29" t="s">
        <v>542</v>
      </c>
    </row>
    <row r="30" spans="1:19" x14ac:dyDescent="0.25">
      <c r="A30" s="61" t="s">
        <v>413</v>
      </c>
      <c r="B30" s="6">
        <v>15000</v>
      </c>
      <c r="C30" s="3">
        <f>15000</f>
        <v>15000</v>
      </c>
      <c r="D30" s="1">
        <f t="shared" si="0"/>
        <v>0</v>
      </c>
      <c r="E30" s="5" t="s">
        <v>577</v>
      </c>
      <c r="F30" s="5"/>
      <c r="G30" s="5"/>
      <c r="H30" s="5"/>
      <c r="L30" s="1"/>
      <c r="M30" s="89"/>
      <c r="O30" s="1" t="s">
        <v>278</v>
      </c>
      <c r="P30" s="75"/>
      <c r="Q30" s="58"/>
      <c r="S30" t="s">
        <v>76</v>
      </c>
    </row>
    <row r="31" spans="1:19" x14ac:dyDescent="0.25">
      <c r="A31" s="1" t="s">
        <v>79</v>
      </c>
      <c r="B31" s="6">
        <v>32000</v>
      </c>
      <c r="C31" s="3">
        <f>32000</f>
        <v>32000</v>
      </c>
      <c r="D31" s="1">
        <f t="shared" si="0"/>
        <v>0</v>
      </c>
      <c r="E31" t="s">
        <v>582</v>
      </c>
      <c r="F31" s="5"/>
      <c r="G31" s="5"/>
      <c r="H31" s="5"/>
      <c r="L31" s="8"/>
      <c r="M31" s="89"/>
      <c r="O31" s="1" t="s">
        <v>521</v>
      </c>
      <c r="P31" s="75"/>
      <c r="Q31" s="58"/>
    </row>
    <row r="32" spans="1:19" x14ac:dyDescent="0.25">
      <c r="A32" s="1" t="s">
        <v>640</v>
      </c>
      <c r="B32" s="6">
        <v>150000</v>
      </c>
      <c r="C32" s="3">
        <f>3124+32670+101460+2690+95+9961</f>
        <v>150000</v>
      </c>
      <c r="D32" s="1">
        <f t="shared" si="0"/>
        <v>0</v>
      </c>
      <c r="E32" t="s">
        <v>328</v>
      </c>
      <c r="F32" s="5"/>
      <c r="G32" s="5"/>
      <c r="H32" s="5"/>
      <c r="L32" s="1"/>
      <c r="M32" s="137"/>
      <c r="O32" s="47" t="s">
        <v>509</v>
      </c>
      <c r="P32" s="75">
        <f>18890+7990</f>
        <v>26880</v>
      </c>
      <c r="Q32" t="s">
        <v>513</v>
      </c>
      <c r="R32" s="58" t="s">
        <v>517</v>
      </c>
      <c r="S32" t="s">
        <v>55</v>
      </c>
    </row>
    <row r="33" spans="1:19" x14ac:dyDescent="0.25">
      <c r="A33" s="96" t="s">
        <v>243</v>
      </c>
      <c r="B33" s="6"/>
      <c r="C33" s="3"/>
      <c r="D33" s="1">
        <f t="shared" si="0"/>
        <v>0</v>
      </c>
      <c r="E33" s="5" t="s">
        <v>313</v>
      </c>
      <c r="F33" s="5"/>
      <c r="G33" s="5"/>
      <c r="H33" s="5"/>
      <c r="L33" s="1"/>
      <c r="M33" s="137"/>
      <c r="O33" s="47" t="s">
        <v>538</v>
      </c>
      <c r="P33" s="75">
        <f>7992+1460</f>
        <v>9452</v>
      </c>
      <c r="Q33" s="58" t="s">
        <v>511</v>
      </c>
      <c r="R33" t="s">
        <v>539</v>
      </c>
      <c r="S33" t="s">
        <v>540</v>
      </c>
    </row>
    <row r="34" spans="1:19" x14ac:dyDescent="0.25">
      <c r="A34" s="1" t="s">
        <v>578</v>
      </c>
      <c r="B34" s="6">
        <v>15000</v>
      </c>
      <c r="C34" s="3">
        <v>15000</v>
      </c>
      <c r="D34" s="1">
        <f t="shared" si="0"/>
        <v>0</v>
      </c>
      <c r="E34" s="5" t="s">
        <v>374</v>
      </c>
      <c r="F34" s="5"/>
      <c r="G34" s="5"/>
      <c r="H34" s="5"/>
      <c r="O34" s="47"/>
    </row>
    <row r="35" spans="1:19" ht="15.75" thickBot="1" x14ac:dyDescent="0.3">
      <c r="A35" s="1" t="s">
        <v>19</v>
      </c>
      <c r="B35" s="1">
        <v>256292</v>
      </c>
      <c r="C35" s="9">
        <f>3637+4100+39160+3200+150+20490+1890+1100+2090+9820+7060+4200+8260+800+1390+1547+5908+8500+22575+3421+22590+1000+4200+1890+2000+20131-9961+48842</f>
        <v>239990</v>
      </c>
      <c r="D35" s="1">
        <f>B35-C35</f>
        <v>16302</v>
      </c>
      <c r="E35" s="5"/>
      <c r="F35" s="5"/>
      <c r="G35" s="5"/>
      <c r="H35" s="5"/>
      <c r="L35" s="189" t="s">
        <v>643</v>
      </c>
      <c r="O35" s="47"/>
    </row>
    <row r="36" spans="1:19" ht="15.75" thickBot="1" x14ac:dyDescent="0.3">
      <c r="A36" s="47" t="s">
        <v>579</v>
      </c>
      <c r="B36" s="182">
        <v>450000</v>
      </c>
      <c r="C36" s="3">
        <f>450000</f>
        <v>450000</v>
      </c>
      <c r="D36" s="47">
        <f>B36-C36</f>
        <v>0</v>
      </c>
      <c r="E36" s="5"/>
      <c r="F36" s="5"/>
      <c r="G36" s="17"/>
      <c r="H36" s="5" t="s">
        <v>26</v>
      </c>
      <c r="L36" s="1" t="s">
        <v>641</v>
      </c>
      <c r="M36" s="137">
        <v>8990</v>
      </c>
      <c r="O36" s="1" t="s">
        <v>65</v>
      </c>
      <c r="P36" s="75">
        <f>SUM(P14:P33)</f>
        <v>364284</v>
      </c>
    </row>
    <row r="37" spans="1:19" x14ac:dyDescent="0.25">
      <c r="A37" s="2" t="s">
        <v>1</v>
      </c>
      <c r="B37" s="2">
        <f>SUM(B3:B36)</f>
        <v>3466976</v>
      </c>
      <c r="C37" s="2">
        <f>SUM(C3:C35)</f>
        <v>2895800</v>
      </c>
      <c r="D37" s="2"/>
      <c r="E37" s="5"/>
      <c r="F37" s="5"/>
      <c r="G37" s="5"/>
      <c r="H37" s="5"/>
      <c r="L37" s="61" t="s">
        <v>642</v>
      </c>
      <c r="M37" s="190">
        <v>16480</v>
      </c>
      <c r="O37" s="84"/>
      <c r="P37" s="74"/>
    </row>
    <row r="38" spans="1:19" ht="15.75" thickBot="1" x14ac:dyDescent="0.3">
      <c r="A38" s="2" t="s">
        <v>2</v>
      </c>
      <c r="B38" s="181">
        <f>B2-B37</f>
        <v>0</v>
      </c>
      <c r="C38" s="2">
        <f>C2-C37</f>
        <v>571176</v>
      </c>
      <c r="D38" s="2"/>
      <c r="E38" s="5"/>
      <c r="F38" s="5"/>
      <c r="G38" s="5"/>
      <c r="H38" s="5"/>
      <c r="J38">
        <f>2752586</f>
        <v>2752586</v>
      </c>
      <c r="L38" s="1" t="str" cm="1">
        <f t="array" ref="L38:M38">A16:B16</f>
        <v>Credito LU</v>
      </c>
      <c r="M38" s="137">
        <v>101717</v>
      </c>
      <c r="O38" s="47"/>
      <c r="P38" s="74"/>
    </row>
    <row r="39" spans="1:19" x14ac:dyDescent="0.25">
      <c r="D39">
        <f>SUM(D3:D36)</f>
        <v>121176</v>
      </c>
      <c r="E39" s="5"/>
      <c r="F39" s="5"/>
      <c r="G39" s="5"/>
      <c r="H39" s="5"/>
      <c r="J39">
        <f>574857</f>
        <v>574857</v>
      </c>
      <c r="L39" s="1" t="str" cm="1">
        <f t="array" ref="L39:M39">A25:B25</f>
        <v xml:space="preserve">Lucia </v>
      </c>
      <c r="M39" s="137">
        <v>90000</v>
      </c>
      <c r="O39" s="83" t="s">
        <v>279</v>
      </c>
      <c r="P39" s="79"/>
    </row>
    <row r="40" spans="1:19" x14ac:dyDescent="0.25">
      <c r="E40" s="5"/>
      <c r="F40" s="5"/>
      <c r="G40" s="5"/>
      <c r="H40" s="5"/>
      <c r="J40">
        <f>J38-J39</f>
        <v>2177729</v>
      </c>
      <c r="L40" s="1" t="str" cm="1">
        <f t="array" ref="L40:M40">A34:B34</f>
        <v>carga metro - movilizacion-lucia</v>
      </c>
      <c r="M40" s="137">
        <v>15000</v>
      </c>
      <c r="O40" s="80" t="s">
        <v>507</v>
      </c>
      <c r="P40" s="81">
        <v>29990</v>
      </c>
    </row>
    <row r="41" spans="1:19" x14ac:dyDescent="0.25">
      <c r="A41" t="s">
        <v>604</v>
      </c>
      <c r="E41" s="5"/>
      <c r="L41" s="149" t="s">
        <v>649</v>
      </c>
      <c r="M41" s="150">
        <f>SUM(M36:M40)</f>
        <v>232187</v>
      </c>
      <c r="O41" s="1" t="s">
        <v>277</v>
      </c>
      <c r="P41" s="81">
        <f>7490*2</f>
        <v>14980</v>
      </c>
      <c r="Q41" t="s">
        <v>515</v>
      </c>
      <c r="S41" t="s">
        <v>516</v>
      </c>
    </row>
    <row r="42" spans="1:19" x14ac:dyDescent="0.25">
      <c r="A42" t="s">
        <v>605</v>
      </c>
      <c r="B42">
        <v>500000</v>
      </c>
      <c r="E42" s="5"/>
      <c r="F42" s="191" t="s">
        <v>651</v>
      </c>
      <c r="G42" s="191" t="s">
        <v>109</v>
      </c>
      <c r="H42" s="191" t="s">
        <v>652</v>
      </c>
      <c r="O42" s="1"/>
      <c r="P42" s="81"/>
    </row>
    <row r="43" spans="1:19" x14ac:dyDescent="0.25">
      <c r="A43" t="s">
        <v>606</v>
      </c>
      <c r="B43">
        <v>38000</v>
      </c>
      <c r="F43" s="1" t="str" cm="1">
        <f t="array" ref="F43:H43">A3:C3</f>
        <v>Supermercado</v>
      </c>
      <c r="G43" s="137">
        <v>220000</v>
      </c>
      <c r="H43" s="137">
        <v>220000</v>
      </c>
      <c r="L43" s="189" t="s">
        <v>644</v>
      </c>
      <c r="O43" s="80" t="s">
        <v>523</v>
      </c>
      <c r="P43" s="81">
        <f>40000</f>
        <v>40000</v>
      </c>
      <c r="Q43" t="s">
        <v>525</v>
      </c>
      <c r="S43" t="s">
        <v>526</v>
      </c>
    </row>
    <row r="44" spans="1:19" x14ac:dyDescent="0.25">
      <c r="F44" s="1" t="str" cm="1">
        <f t="array" ref="F44:H47">A5:C8</f>
        <v xml:space="preserve">luz </v>
      </c>
      <c r="G44" s="137">
        <v>25000</v>
      </c>
      <c r="H44" s="137">
        <v>25000</v>
      </c>
      <c r="L44" s="1" t="str" cm="1">
        <f t="array" ref="L44:M44">A3:B3</f>
        <v>Supermercado</v>
      </c>
      <c r="M44" s="137">
        <v>220000</v>
      </c>
      <c r="O44" s="80" t="s">
        <v>534</v>
      </c>
      <c r="P44" s="81">
        <v>12490</v>
      </c>
      <c r="Q44" t="s">
        <v>532</v>
      </c>
    </row>
    <row r="45" spans="1:19" x14ac:dyDescent="0.25">
      <c r="A45" t="s">
        <v>65</v>
      </c>
      <c r="B45">
        <f>SUM(B3,B5,B6,B7,B4,B10,B14,B15,B17,B30,B31,B32,B35,B42,B43)</f>
        <v>2248039</v>
      </c>
      <c r="F45" s="1" t="str">
        <v>agua</v>
      </c>
      <c r="G45" s="137">
        <v>7590</v>
      </c>
      <c r="H45" s="137">
        <v>7590</v>
      </c>
      <c r="L45" s="1" t="str" cm="1">
        <f t="array" ref="L45:M47">A5:B7</f>
        <v xml:space="preserve">luz </v>
      </c>
      <c r="M45" s="137">
        <v>25000</v>
      </c>
      <c r="O45" s="80"/>
      <c r="P45" s="81"/>
    </row>
    <row r="46" spans="1:19" x14ac:dyDescent="0.25">
      <c r="F46" s="1" t="str">
        <v>GG.CC + agua caliente</v>
      </c>
      <c r="G46" s="137">
        <v>177130</v>
      </c>
      <c r="H46" s="137">
        <v>177130</v>
      </c>
      <c r="L46" s="1" t="str">
        <v>agua</v>
      </c>
      <c r="M46" s="137">
        <v>7590</v>
      </c>
      <c r="O46" s="80"/>
      <c r="P46" s="81"/>
    </row>
    <row r="47" spans="1:19" x14ac:dyDescent="0.25">
      <c r="A47" t="s">
        <v>607</v>
      </c>
      <c r="B47">
        <f>B3+B5+B6+B10+B14+B15+B17+B30+B32+B42</f>
        <v>1097590</v>
      </c>
      <c r="F47" s="1" t="str">
        <v xml:space="preserve">seguro </v>
      </c>
      <c r="G47" s="137">
        <v>78642</v>
      </c>
      <c r="H47" s="137">
        <v>78642</v>
      </c>
      <c r="L47" s="1" t="str">
        <v>GG.CC + agua caliente</v>
      </c>
      <c r="M47" s="137">
        <v>177130</v>
      </c>
      <c r="O47" s="139" t="s">
        <v>9</v>
      </c>
      <c r="P47" s="140">
        <f>SUM(P40:P46)</f>
        <v>97460</v>
      </c>
    </row>
    <row r="48" spans="1:19" x14ac:dyDescent="0.25">
      <c r="F48" s="1" t="str" cm="1">
        <f t="array" ref="F48:H48">A10:C10</f>
        <v>Agustina</v>
      </c>
      <c r="G48" s="137">
        <v>80000</v>
      </c>
      <c r="H48" s="137">
        <v>80000</v>
      </c>
      <c r="L48" s="1" t="str" cm="1">
        <f t="array" ref="L48:M48">A10:B10</f>
        <v>Agustina</v>
      </c>
      <c r="M48" s="137">
        <v>80000</v>
      </c>
      <c r="O48" s="57" t="s">
        <v>510</v>
      </c>
      <c r="P48" s="81">
        <f>SUMIF(Q14:Q33,"EFECTIVO",P14:P33)</f>
        <v>78813</v>
      </c>
    </row>
    <row r="49" spans="6:16" ht="15.75" thickBot="1" x14ac:dyDescent="0.3">
      <c r="F49" s="1" t="str" cm="1">
        <f t="array" ref="F49:H50">A13:C14</f>
        <v>Teléfono</v>
      </c>
      <c r="G49" s="137">
        <v>15988</v>
      </c>
      <c r="H49" s="137">
        <v>15988</v>
      </c>
      <c r="L49" s="1" t="str" cm="1">
        <f t="array" ref="L49:M50">A13:B14</f>
        <v>Teléfono</v>
      </c>
      <c r="M49" s="137">
        <v>15988</v>
      </c>
      <c r="O49" s="59"/>
      <c r="P49" s="82"/>
    </row>
    <row r="50" spans="6:16" x14ac:dyDescent="0.25">
      <c r="F50" s="1" t="str">
        <v>Feria/huevos/frutos secos</v>
      </c>
      <c r="G50" s="137">
        <v>25000</v>
      </c>
      <c r="H50" s="137">
        <v>25000</v>
      </c>
      <c r="L50" s="1" t="str">
        <v>Feria/huevos/frutos secos</v>
      </c>
      <c r="M50" s="137">
        <v>25000</v>
      </c>
      <c r="P50" s="74"/>
    </row>
    <row r="51" spans="6:16" x14ac:dyDescent="0.25">
      <c r="F51" s="1" t="str" cm="1">
        <f t="array" ref="F51:H51">A17:C17</f>
        <v>frenillos agus</v>
      </c>
      <c r="G51" s="137">
        <v>25000</v>
      </c>
      <c r="H51" s="137">
        <v>25000</v>
      </c>
      <c r="L51" s="1" t="str" cm="1">
        <f t="array" ref="L51:M51">A17:B17</f>
        <v>frenillos agus</v>
      </c>
      <c r="M51" s="137">
        <v>25000</v>
      </c>
      <c r="O51" s="10" t="s">
        <v>92</v>
      </c>
      <c r="P51" s="77">
        <f>SUM(P14:P33)</f>
        <v>364284</v>
      </c>
    </row>
    <row r="52" spans="6:16" x14ac:dyDescent="0.25">
      <c r="F52" s="1" t="str" cm="1">
        <f t="array" ref="F52:H52">A20:C20</f>
        <v>TAG</v>
      </c>
      <c r="G52" s="137">
        <v>60000</v>
      </c>
      <c r="H52" s="137">
        <v>27262</v>
      </c>
      <c r="L52" s="1" t="str" cm="1">
        <f t="array" ref="L52:M52">A20:B20</f>
        <v>TAG</v>
      </c>
      <c r="M52" s="137">
        <v>60000</v>
      </c>
      <c r="O52" s="10"/>
      <c r="P52" s="77"/>
    </row>
    <row r="53" spans="6:16" x14ac:dyDescent="0.25">
      <c r="F53" s="1" t="str" cm="1">
        <f t="array" ref="F53:H54">A22:C23</f>
        <v>cumple agus (sep) / rev tecnica (AGO)</v>
      </c>
      <c r="G53" s="137">
        <v>77244</v>
      </c>
      <c r="H53" s="137">
        <v>77244</v>
      </c>
      <c r="L53" s="1" t="str" cm="1">
        <f t="array" ref="L53:M53">A8:B8</f>
        <v xml:space="preserve">seguro </v>
      </c>
      <c r="M53" s="137">
        <v>78642</v>
      </c>
      <c r="O53" s="10" t="s">
        <v>93</v>
      </c>
      <c r="P53" s="77">
        <f>P13-P51</f>
        <v>80156</v>
      </c>
    </row>
    <row r="54" spans="6:16" x14ac:dyDescent="0.25">
      <c r="F54" s="1" t="str">
        <v xml:space="preserve">viajes Y paseos </v>
      </c>
      <c r="G54" s="137">
        <v>90000</v>
      </c>
      <c r="H54" s="137">
        <v>64452</v>
      </c>
      <c r="L54" s="1" t="str">
        <f>A28</f>
        <v>Bencina</v>
      </c>
      <c r="M54" s="137">
        <f>C28</f>
        <v>140000</v>
      </c>
      <c r="O54" s="10"/>
      <c r="P54" s="77"/>
    </row>
    <row r="55" spans="6:16" x14ac:dyDescent="0.25">
      <c r="F55" s="1" t="str" cm="1">
        <f t="array" ref="F55:H55">A28:C28</f>
        <v>Bencina</v>
      </c>
      <c r="G55" s="137">
        <v>140000</v>
      </c>
      <c r="H55" s="137">
        <v>140000</v>
      </c>
      <c r="L55" s="1" t="str" cm="1">
        <f t="array" ref="L55:M55">A32:B32</f>
        <v>Utiles agus (uniforme) 2 de 2 (super extra)</v>
      </c>
      <c r="M55" s="137">
        <v>150000</v>
      </c>
      <c r="O55" s="10" t="s">
        <v>94</v>
      </c>
      <c r="P55" s="77">
        <f>P13-SUMIF(Q14:Q33,"GIFTCARD",P14:P33)-SUM(P40:P46)</f>
        <v>61509</v>
      </c>
    </row>
    <row r="56" spans="6:16" x14ac:dyDescent="0.25">
      <c r="F56" s="1" t="str" cm="1">
        <f t="array" ref="F56:H56">A32:C32</f>
        <v>Utiles agus (uniforme) 2 de 2 (super extra)</v>
      </c>
      <c r="G56" s="137">
        <v>150000</v>
      </c>
      <c r="H56" s="137">
        <v>150000</v>
      </c>
      <c r="L56" s="1" t="str">
        <f>A35</f>
        <v>extras</v>
      </c>
      <c r="M56" s="137">
        <f>C35</f>
        <v>239990</v>
      </c>
    </row>
    <row r="57" spans="6:16" x14ac:dyDescent="0.25">
      <c r="F57" s="1" t="str" cm="1">
        <f t="array" ref="F57:H57">A35:C35</f>
        <v>extras</v>
      </c>
      <c r="G57" s="137">
        <v>256292</v>
      </c>
      <c r="H57" s="137">
        <v>239990</v>
      </c>
      <c r="L57" s="1" t="s">
        <v>606</v>
      </c>
      <c r="M57" s="137">
        <v>38000</v>
      </c>
      <c r="O57" t="s">
        <v>99</v>
      </c>
      <c r="P57" s="78">
        <f>P55-G6</f>
        <v>638802</v>
      </c>
    </row>
    <row r="58" spans="6:16" x14ac:dyDescent="0.25">
      <c r="F58" s="1" t="s">
        <v>606</v>
      </c>
      <c r="G58" s="137">
        <v>38000</v>
      </c>
      <c r="H58" s="137">
        <v>38000</v>
      </c>
      <c r="L58" s="2" t="s">
        <v>645</v>
      </c>
      <c r="M58" s="90">
        <f>SUM(M44:M57)</f>
        <v>1282340</v>
      </c>
    </row>
    <row r="59" spans="6:16" x14ac:dyDescent="0.25">
      <c r="F59" s="2" t="s">
        <v>656</v>
      </c>
      <c r="G59" s="90">
        <f>SUM(G43:G58)</f>
        <v>1465886</v>
      </c>
      <c r="H59" s="90">
        <f>SUM(H43:H58)</f>
        <v>1391298</v>
      </c>
      <c r="L59" s="149" t="s">
        <v>648</v>
      </c>
      <c r="M59" s="150">
        <f>M58/2</f>
        <v>641170</v>
      </c>
    </row>
    <row r="60" spans="6:16" x14ac:dyDescent="0.25">
      <c r="F60" s="1"/>
      <c r="G60" s="137"/>
      <c r="H60" s="137"/>
    </row>
    <row r="61" spans="6:16" x14ac:dyDescent="0.25">
      <c r="F61" s="149" t="s">
        <v>653</v>
      </c>
      <c r="G61" s="150">
        <f>G59/2</f>
        <v>732943</v>
      </c>
      <c r="H61" s="150">
        <f>H59/2</f>
        <v>695649</v>
      </c>
      <c r="L61" s="138" t="s">
        <v>650</v>
      </c>
      <c r="M61" s="138">
        <f>M59+M41</f>
        <v>873357</v>
      </c>
    </row>
    <row r="63" spans="6:16" x14ac:dyDescent="0.25">
      <c r="F63" s="189" t="s">
        <v>643</v>
      </c>
    </row>
    <row r="64" spans="6:16" x14ac:dyDescent="0.25">
      <c r="F64" s="1" t="s">
        <v>641</v>
      </c>
      <c r="G64" s="137">
        <v>8990</v>
      </c>
      <c r="H64" s="137">
        <v>8990</v>
      </c>
    </row>
    <row r="65" spans="6:8" x14ac:dyDescent="0.25">
      <c r="F65" s="1" t="s">
        <v>642</v>
      </c>
      <c r="G65" s="137">
        <v>16480</v>
      </c>
      <c r="H65" s="137">
        <v>16480</v>
      </c>
    </row>
    <row r="66" spans="6:8" x14ac:dyDescent="0.25">
      <c r="F66" s="1" t="s">
        <v>64</v>
      </c>
      <c r="G66" s="137">
        <v>101717</v>
      </c>
      <c r="H66" s="137">
        <v>101717</v>
      </c>
    </row>
    <row r="67" spans="6:8" x14ac:dyDescent="0.25">
      <c r="F67" s="1" t="s">
        <v>24</v>
      </c>
      <c r="G67" s="137">
        <v>90000</v>
      </c>
      <c r="H67" s="137">
        <v>90000</v>
      </c>
    </row>
    <row r="68" spans="6:8" x14ac:dyDescent="0.25">
      <c r="F68" s="1" t="s">
        <v>578</v>
      </c>
      <c r="G68" s="137">
        <v>15000</v>
      </c>
      <c r="H68" s="137">
        <v>15000</v>
      </c>
    </row>
    <row r="69" spans="6:8" x14ac:dyDescent="0.25">
      <c r="F69" s="149" t="s">
        <v>654</v>
      </c>
      <c r="G69" s="150">
        <f>SUM(G64:G68)</f>
        <v>232187</v>
      </c>
      <c r="H69" s="150">
        <f>SUM(H64:H68)</f>
        <v>232187</v>
      </c>
    </row>
    <row r="70" spans="6:8" x14ac:dyDescent="0.25">
      <c r="F70" s="1"/>
      <c r="G70" s="1"/>
      <c r="H70" s="1"/>
    </row>
    <row r="71" spans="6:8" x14ac:dyDescent="0.25">
      <c r="F71" s="149" t="s">
        <v>618</v>
      </c>
      <c r="G71" s="149" t="s">
        <v>655</v>
      </c>
      <c r="H71" s="192">
        <f>H61+H69</f>
        <v>927836</v>
      </c>
    </row>
  </sheetData>
  <mergeCells count="1">
    <mergeCell ref="F18:H18"/>
  </mergeCell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S69"/>
  <sheetViews>
    <sheetView topLeftCell="A43" zoomScale="80" zoomScaleNormal="80" workbookViewId="0">
      <selection activeCell="A68" sqref="A68"/>
    </sheetView>
  </sheetViews>
  <sheetFormatPr baseColWidth="10" defaultColWidth="27" defaultRowHeight="15" x14ac:dyDescent="0.25"/>
  <cols>
    <col min="1" max="1" width="43.140625" bestFit="1" customWidth="1"/>
    <col min="2" max="2" width="12.140625" bestFit="1" customWidth="1"/>
    <col min="3" max="3" width="12" bestFit="1" customWidth="1"/>
    <col min="4" max="4" width="7.7109375" bestFit="1" customWidth="1"/>
    <col min="5" max="5" width="22.42578125" customWidth="1"/>
    <col min="6" max="6" width="25.5703125" bestFit="1" customWidth="1"/>
    <col min="7" max="7" width="12.28515625" bestFit="1" customWidth="1"/>
    <col min="8" max="8" width="20" bestFit="1" customWidth="1"/>
    <col min="9" max="9" width="17.7109375" bestFit="1" customWidth="1"/>
    <col min="10" max="10" width="12.28515625" bestFit="1" customWidth="1"/>
    <col min="11" max="11" width="4.140625" customWidth="1"/>
    <col min="12" max="12" width="28" bestFit="1" customWidth="1"/>
    <col min="13" max="13" width="10.28515625" bestFit="1" customWidth="1"/>
    <col min="14" max="14" width="5.5703125" customWidth="1"/>
    <col min="15" max="15" width="24.5703125" bestFit="1" customWidth="1"/>
    <col min="16" max="16" width="10.7109375" bestFit="1" customWidth="1"/>
    <col min="17" max="17" width="28" bestFit="1" customWidth="1"/>
    <col min="18" max="18" width="23.42578125" bestFit="1" customWidth="1"/>
    <col min="19" max="19" width="19.85546875" bestFit="1" customWidth="1"/>
  </cols>
  <sheetData>
    <row r="1" spans="1:19" x14ac:dyDescent="0.25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429165</v>
      </c>
      <c r="H1" s="11"/>
      <c r="I1" s="10"/>
      <c r="L1" s="168" t="s">
        <v>83</v>
      </c>
      <c r="M1" s="168"/>
      <c r="O1" s="10" t="s">
        <v>72</v>
      </c>
    </row>
    <row r="2" spans="1:19" x14ac:dyDescent="0.25">
      <c r="A2" s="2"/>
      <c r="B2" s="90">
        <f>3407515+25000</f>
        <v>3432515</v>
      </c>
      <c r="C2" s="90">
        <f>3407515+25000</f>
        <v>3432515</v>
      </c>
      <c r="D2" s="2"/>
      <c r="E2" s="4"/>
      <c r="F2" s="63" t="s">
        <v>73</v>
      </c>
      <c r="G2" s="88">
        <f>M13</f>
        <v>361112</v>
      </c>
      <c r="I2" s="132"/>
      <c r="L2" s="89" t="s">
        <v>81</v>
      </c>
      <c r="M2" s="89">
        <v>16010</v>
      </c>
      <c r="O2" s="10"/>
    </row>
    <row r="3" spans="1:19" x14ac:dyDescent="0.25">
      <c r="A3" s="1" t="s">
        <v>0</v>
      </c>
      <c r="B3" s="6">
        <f>230000+25060</f>
        <v>255060</v>
      </c>
      <c r="C3" s="3">
        <f>339+4122+25376+32110-50-1888+2190+2880+8664+36371+25264+13270+35520+6790+31030+8012+25060</f>
        <v>255060</v>
      </c>
      <c r="D3" s="1">
        <f>B3-C3</f>
        <v>0</v>
      </c>
      <c r="E3" s="97">
        <v>230000</v>
      </c>
      <c r="F3" s="63" t="s">
        <v>130</v>
      </c>
      <c r="G3">
        <f>P11</f>
        <v>0</v>
      </c>
      <c r="I3" s="74"/>
      <c r="L3" s="89" t="s">
        <v>128</v>
      </c>
      <c r="M3" s="89" t="s">
        <v>76</v>
      </c>
      <c r="O3" s="10"/>
    </row>
    <row r="4" spans="1:19" x14ac:dyDescent="0.25">
      <c r="A4" s="1" t="s">
        <v>62</v>
      </c>
      <c r="B4" s="6">
        <v>648292</v>
      </c>
      <c r="C4" s="3">
        <v>648292</v>
      </c>
      <c r="D4" s="1">
        <f t="shared" ref="D4:D34" si="0">B4-C4</f>
        <v>0</v>
      </c>
      <c r="E4" s="4" t="s">
        <v>660</v>
      </c>
      <c r="G4" s="121"/>
      <c r="H4" s="170"/>
      <c r="I4" s="78"/>
      <c r="L4" s="89" t="s">
        <v>287</v>
      </c>
      <c r="M4" s="89" t="s">
        <v>76</v>
      </c>
      <c r="O4" s="10"/>
    </row>
    <row r="5" spans="1:19" x14ac:dyDescent="0.25">
      <c r="A5" s="1" t="s">
        <v>128</v>
      </c>
      <c r="B5" s="6">
        <v>22800</v>
      </c>
      <c r="C5" s="3">
        <v>22800</v>
      </c>
      <c r="D5" s="1">
        <f t="shared" si="0"/>
        <v>0</v>
      </c>
      <c r="E5" s="4"/>
      <c r="I5" s="78"/>
      <c r="J5" s="88"/>
      <c r="L5" s="89" t="s">
        <v>427</v>
      </c>
      <c r="M5" s="89" t="s">
        <v>76</v>
      </c>
      <c r="O5" s="10"/>
    </row>
    <row r="6" spans="1:19" x14ac:dyDescent="0.25">
      <c r="A6" s="1" t="s">
        <v>81</v>
      </c>
      <c r="B6" s="6">
        <v>11550</v>
      </c>
      <c r="C6" s="3">
        <v>11550</v>
      </c>
      <c r="D6" s="1">
        <f t="shared" si="0"/>
        <v>0</v>
      </c>
      <c r="E6" s="4"/>
      <c r="F6" s="4" t="s">
        <v>221</v>
      </c>
      <c r="G6" s="4">
        <f>-577293-121176-121650-52701-500000+1500+1000000-100000-1000-941693-57420+100780</f>
        <v>-1370653</v>
      </c>
      <c r="J6" s="145"/>
      <c r="L6" s="89" t="s">
        <v>681</v>
      </c>
      <c r="M6" s="89">
        <v>137645</v>
      </c>
      <c r="O6" s="10"/>
    </row>
    <row r="7" spans="1:19" x14ac:dyDescent="0.25">
      <c r="A7" s="1" t="s">
        <v>86</v>
      </c>
      <c r="B7" s="7">
        <v>175884</v>
      </c>
      <c r="C7" s="3">
        <v>175884</v>
      </c>
      <c r="D7" s="1">
        <f t="shared" si="0"/>
        <v>0</v>
      </c>
      <c r="E7" s="4"/>
      <c r="F7" s="63" t="s">
        <v>242</v>
      </c>
      <c r="G7" s="98">
        <f>M23</f>
        <v>915550</v>
      </c>
      <c r="J7" s="164"/>
      <c r="L7" s="89" t="s">
        <v>682</v>
      </c>
      <c r="M7" s="89">
        <v>137645</v>
      </c>
      <c r="O7" s="10"/>
    </row>
    <row r="8" spans="1:19" x14ac:dyDescent="0.25">
      <c r="A8" s="62" t="s">
        <v>316</v>
      </c>
      <c r="B8" s="7">
        <v>78743</v>
      </c>
      <c r="C8" s="9">
        <v>78743</v>
      </c>
      <c r="D8" s="1">
        <f t="shared" si="0"/>
        <v>0</v>
      </c>
      <c r="E8" s="4"/>
      <c r="F8" s="63"/>
      <c r="G8" s="195"/>
      <c r="I8" s="13"/>
      <c r="J8" s="177"/>
      <c r="L8" s="89" t="s">
        <v>692</v>
      </c>
      <c r="M8" s="137">
        <v>40000</v>
      </c>
      <c r="O8" s="10"/>
    </row>
    <row r="9" spans="1:19" x14ac:dyDescent="0.25">
      <c r="A9" s="1" t="s">
        <v>310</v>
      </c>
      <c r="B9" s="6">
        <v>30000</v>
      </c>
      <c r="C9" s="3">
        <f>14549+15451</f>
        <v>30000</v>
      </c>
      <c r="D9" s="1">
        <f t="shared" si="0"/>
        <v>0</v>
      </c>
      <c r="E9" s="144"/>
      <c r="F9" s="4" t="s">
        <v>16</v>
      </c>
      <c r="G9" s="4">
        <v>20000</v>
      </c>
      <c r="J9" s="146"/>
      <c r="L9" s="1"/>
      <c r="M9" s="1"/>
      <c r="O9" s="10"/>
    </row>
    <row r="10" spans="1:19" x14ac:dyDescent="0.25">
      <c r="A10" s="1" t="s">
        <v>11</v>
      </c>
      <c r="B10" s="7">
        <v>75000</v>
      </c>
      <c r="C10" s="3">
        <f>10490+13240+16110+2100+12160+3688+2400+2990+530+11292</f>
        <v>75000</v>
      </c>
      <c r="D10" s="1">
        <f t="shared" si="0"/>
        <v>0</v>
      </c>
      <c r="E10" s="5"/>
      <c r="I10" s="78"/>
      <c r="J10" s="10"/>
      <c r="L10" s="89"/>
      <c r="M10" s="1"/>
      <c r="O10" s="10"/>
    </row>
    <row r="11" spans="1:19" x14ac:dyDescent="0.25">
      <c r="A11" s="1" t="s">
        <v>462</v>
      </c>
      <c r="B11" s="7">
        <v>120000</v>
      </c>
      <c r="C11" s="3">
        <v>120000</v>
      </c>
      <c r="D11" s="1">
        <f t="shared" si="0"/>
        <v>0</v>
      </c>
      <c r="E11" s="25" t="s">
        <v>359</v>
      </c>
      <c r="F11" s="64"/>
      <c r="G11" s="44"/>
      <c r="H11" s="4"/>
      <c r="L11" s="96" t="s">
        <v>82</v>
      </c>
      <c r="M11" s="157">
        <f>11700+10200+1500+6600-900+772-60</f>
        <v>29812</v>
      </c>
      <c r="O11" s="10" t="s">
        <v>65</v>
      </c>
      <c r="P11">
        <f>SUM(P2:P10)</f>
        <v>0</v>
      </c>
    </row>
    <row r="12" spans="1:19" x14ac:dyDescent="0.25">
      <c r="A12" s="1" t="s">
        <v>498</v>
      </c>
      <c r="B12" s="7">
        <v>60000</v>
      </c>
      <c r="C12" s="3">
        <v>60000</v>
      </c>
      <c r="D12" s="1">
        <f t="shared" si="0"/>
        <v>0</v>
      </c>
      <c r="E12" t="s">
        <v>664</v>
      </c>
      <c r="F12" s="67" t="s">
        <v>75</v>
      </c>
      <c r="G12" s="13">
        <f>-42132-28000-28000-28000-28000+89468-28000-28000+89468-30000-30000-32000-32000-32000+181032</f>
        <v>-6164</v>
      </c>
      <c r="H12" s="4" t="s">
        <v>683</v>
      </c>
      <c r="L12" s="89"/>
      <c r="M12" s="89"/>
    </row>
    <row r="13" spans="1:19" ht="15.75" thickBot="1" x14ac:dyDescent="0.3">
      <c r="A13" s="1" t="s">
        <v>240</v>
      </c>
      <c r="B13" s="6">
        <v>15988</v>
      </c>
      <c r="C13" s="3">
        <v>15988</v>
      </c>
      <c r="D13" s="1">
        <f t="shared" si="0"/>
        <v>0</v>
      </c>
      <c r="E13" s="133"/>
      <c r="F13" s="4" t="s">
        <v>158</v>
      </c>
      <c r="G13" s="13">
        <v>0</v>
      </c>
      <c r="H13" s="4"/>
      <c r="L13" s="149" t="s">
        <v>65</v>
      </c>
      <c r="M13" s="150">
        <f>SUM(M2:M12)</f>
        <v>361112</v>
      </c>
      <c r="O13" s="61" t="s">
        <v>259</v>
      </c>
      <c r="P13" s="76">
        <v>444440</v>
      </c>
      <c r="Q13" t="s">
        <v>95</v>
      </c>
      <c r="R13" t="s">
        <v>272</v>
      </c>
      <c r="S13" t="s">
        <v>530</v>
      </c>
    </row>
    <row r="14" spans="1:19" x14ac:dyDescent="0.25">
      <c r="A14" s="1" t="s">
        <v>591</v>
      </c>
      <c r="B14" s="6">
        <v>25000</v>
      </c>
      <c r="C14" s="3">
        <f>12600+900+11500</f>
        <v>25000</v>
      </c>
      <c r="D14" s="1">
        <f t="shared" si="0"/>
        <v>0</v>
      </c>
      <c r="E14" s="5" t="s">
        <v>451</v>
      </c>
      <c r="F14" s="4" t="s">
        <v>121</v>
      </c>
      <c r="G14" s="13">
        <v>0</v>
      </c>
      <c r="H14" s="10"/>
      <c r="J14" s="13"/>
      <c r="O14" s="1" t="s">
        <v>241</v>
      </c>
      <c r="P14" s="75" t="s">
        <v>76</v>
      </c>
      <c r="Q14" s="56" t="s">
        <v>76</v>
      </c>
      <c r="R14" t="s">
        <v>392</v>
      </c>
      <c r="S14" t="s">
        <v>55</v>
      </c>
    </row>
    <row r="15" spans="1:19" x14ac:dyDescent="0.25">
      <c r="A15" s="8" t="s">
        <v>684</v>
      </c>
      <c r="B15" s="7">
        <f>30000</f>
        <v>30000</v>
      </c>
      <c r="C15" s="9">
        <f>610+610+800+1120+5000+610+3000+610+10+5000+610+1000+610+1000+100+510+8800</f>
        <v>30000</v>
      </c>
      <c r="D15" s="1">
        <f t="shared" si="0"/>
        <v>0</v>
      </c>
      <c r="E15" s="5"/>
      <c r="F15" s="4" t="s">
        <v>416</v>
      </c>
      <c r="G15" s="88">
        <f>-8000-8000-8000-8000-8000-8000-8000-8000-8000-15000-15000-15000</f>
        <v>-117000</v>
      </c>
      <c r="H15" s="4"/>
      <c r="L15" s="61" t="s">
        <v>131</v>
      </c>
      <c r="M15" s="76" t="s">
        <v>132</v>
      </c>
      <c r="O15" s="1" t="s">
        <v>260</v>
      </c>
      <c r="P15" s="75">
        <v>35920</v>
      </c>
      <c r="Q15" s="58" t="s">
        <v>511</v>
      </c>
      <c r="R15" t="s">
        <v>543</v>
      </c>
      <c r="S15" s="78" t="s">
        <v>544</v>
      </c>
    </row>
    <row r="16" spans="1:19" ht="15.75" thickBot="1" x14ac:dyDescent="0.3">
      <c r="A16" s="1" t="s">
        <v>64</v>
      </c>
      <c r="B16" s="6">
        <v>0</v>
      </c>
      <c r="C16" s="3"/>
      <c r="D16" s="1">
        <f t="shared" si="0"/>
        <v>0</v>
      </c>
      <c r="E16" s="5" t="s">
        <v>657</v>
      </c>
      <c r="F16" s="4" t="s">
        <v>129</v>
      </c>
      <c r="G16" s="87">
        <f>-82010-30000-40000-40000-40000</f>
        <v>-232010</v>
      </c>
      <c r="H16" s="4"/>
      <c r="J16" s="13"/>
      <c r="L16" s="67" t="s">
        <v>679</v>
      </c>
      <c r="M16" s="120">
        <f>4800*5</f>
        <v>24000</v>
      </c>
      <c r="O16" s="1" t="s">
        <v>261</v>
      </c>
      <c r="P16" s="75">
        <v>19990</v>
      </c>
      <c r="Q16" s="58" t="s">
        <v>511</v>
      </c>
      <c r="R16" t="s">
        <v>518</v>
      </c>
      <c r="S16" t="s">
        <v>55</v>
      </c>
    </row>
    <row r="17" spans="1:19" ht="15.75" thickBot="1" x14ac:dyDescent="0.3">
      <c r="A17" s="8" t="s">
        <v>161</v>
      </c>
      <c r="B17" s="7">
        <v>25000</v>
      </c>
      <c r="C17" s="9">
        <f>18000+7000</f>
        <v>25000</v>
      </c>
      <c r="D17" s="1">
        <f t="shared" si="0"/>
        <v>0</v>
      </c>
      <c r="E17" s="5" t="s">
        <v>451</v>
      </c>
      <c r="F17" s="71" t="s">
        <v>12</v>
      </c>
      <c r="G17" s="72">
        <f>SUM(G1:G16)</f>
        <v>0</v>
      </c>
      <c r="H17" s="16"/>
      <c r="J17" s="13"/>
      <c r="L17" s="8"/>
      <c r="M17" s="89"/>
      <c r="O17" s="1" t="s">
        <v>262</v>
      </c>
      <c r="P17" s="75">
        <v>39980</v>
      </c>
      <c r="Q17" s="58" t="s">
        <v>513</v>
      </c>
      <c r="R17" t="s">
        <v>524</v>
      </c>
      <c r="S17" t="s">
        <v>55</v>
      </c>
    </row>
    <row r="18" spans="1:19" x14ac:dyDescent="0.25">
      <c r="A18" s="6" t="s">
        <v>156</v>
      </c>
      <c r="B18" s="1">
        <v>40000</v>
      </c>
      <c r="C18" s="3">
        <v>40000</v>
      </c>
      <c r="D18" s="1">
        <f>B18-C18</f>
        <v>0</v>
      </c>
      <c r="E18" s="5" t="s">
        <v>575</v>
      </c>
      <c r="F18" s="201" t="s">
        <v>13</v>
      </c>
      <c r="G18" s="202"/>
      <c r="H18" s="203"/>
      <c r="J18" s="13"/>
      <c r="L18" s="96" t="s">
        <v>695</v>
      </c>
      <c r="M18" s="156">
        <v>891550</v>
      </c>
      <c r="O18" s="1" t="s">
        <v>263</v>
      </c>
      <c r="P18" s="75">
        <f>25990</f>
        <v>25990</v>
      </c>
      <c r="Q18" s="58" t="s">
        <v>513</v>
      </c>
      <c r="R18" t="s">
        <v>531</v>
      </c>
      <c r="S18" t="s">
        <v>55</v>
      </c>
    </row>
    <row r="19" spans="1:19" x14ac:dyDescent="0.25">
      <c r="A19" s="6" t="s">
        <v>331</v>
      </c>
      <c r="B19" s="6">
        <v>600000</v>
      </c>
      <c r="C19" s="3">
        <v>600000</v>
      </c>
      <c r="D19" s="1">
        <f t="shared" si="0"/>
        <v>0</v>
      </c>
      <c r="E19" s="5" t="s">
        <v>647</v>
      </c>
      <c r="F19" s="8" t="s">
        <v>7</v>
      </c>
      <c r="G19" s="8" t="s">
        <v>8</v>
      </c>
      <c r="H19" s="8" t="s">
        <v>9</v>
      </c>
      <c r="J19" s="13">
        <f>H20-G17</f>
        <v>0</v>
      </c>
      <c r="L19" s="96"/>
      <c r="M19" s="156"/>
      <c r="O19" s="1" t="s">
        <v>43</v>
      </c>
      <c r="P19" s="75">
        <v>37791</v>
      </c>
      <c r="Q19" s="58" t="s">
        <v>513</v>
      </c>
      <c r="R19" t="s">
        <v>522</v>
      </c>
      <c r="S19" t="s">
        <v>55</v>
      </c>
    </row>
    <row r="20" spans="1:19" x14ac:dyDescent="0.25">
      <c r="A20" s="1" t="s">
        <v>42</v>
      </c>
      <c r="B20" s="6">
        <v>60000</v>
      </c>
      <c r="C20" s="3">
        <f>4236+15600+6136+30665+3363</f>
        <v>60000</v>
      </c>
      <c r="D20" s="1">
        <f t="shared" si="0"/>
        <v>0</v>
      </c>
      <c r="E20" s="5" t="s">
        <v>492</v>
      </c>
      <c r="F20" s="183">
        <f>SUM(D3:D36)+B38</f>
        <v>0</v>
      </c>
      <c r="G20" s="8">
        <v>0</v>
      </c>
      <c r="H20" s="18">
        <f>F20+G20</f>
        <v>0</v>
      </c>
      <c r="J20" s="13"/>
      <c r="O20" s="1" t="s">
        <v>264</v>
      </c>
      <c r="P20" s="75">
        <v>19990</v>
      </c>
      <c r="Q20" s="58" t="s">
        <v>513</v>
      </c>
      <c r="R20" t="s">
        <v>358</v>
      </c>
      <c r="S20" t="s">
        <v>545</v>
      </c>
    </row>
    <row r="21" spans="1:19" x14ac:dyDescent="0.25">
      <c r="A21" s="3" t="s">
        <v>288</v>
      </c>
      <c r="B21" s="6">
        <v>55000</v>
      </c>
      <c r="C21" s="3">
        <f>40000+15000</f>
        <v>55000</v>
      </c>
      <c r="D21" s="1">
        <f t="shared" si="0"/>
        <v>0</v>
      </c>
      <c r="E21" s="5" t="s">
        <v>636</v>
      </c>
      <c r="F21" s="5"/>
      <c r="G21" s="5"/>
      <c r="H21" s="5"/>
      <c r="L21" s="96"/>
      <c r="M21" s="157"/>
      <c r="O21" s="1" t="s">
        <v>265</v>
      </c>
      <c r="P21" s="75">
        <v>41990</v>
      </c>
      <c r="Q21" s="58" t="s">
        <v>513</v>
      </c>
      <c r="R21" t="s">
        <v>512</v>
      </c>
      <c r="S21" t="s">
        <v>55</v>
      </c>
    </row>
    <row r="22" spans="1:19" x14ac:dyDescent="0.25">
      <c r="A22" s="61" t="s">
        <v>693</v>
      </c>
      <c r="B22" s="6">
        <v>266199</v>
      </c>
      <c r="C22" s="3">
        <v>266199</v>
      </c>
      <c r="D22" s="1">
        <f t="shared" si="0"/>
        <v>0</v>
      </c>
      <c r="E22" s="5" t="s">
        <v>592</v>
      </c>
      <c r="F22" s="5"/>
      <c r="G22" s="5"/>
      <c r="H22" s="5"/>
      <c r="J22" s="12"/>
      <c r="L22" s="171"/>
      <c r="O22" s="1" t="s">
        <v>266</v>
      </c>
      <c r="P22" s="75"/>
      <c r="Q22" s="58"/>
      <c r="S22" s="78"/>
    </row>
    <row r="23" spans="1:19" ht="15.75" thickBot="1" x14ac:dyDescent="0.3">
      <c r="A23" s="1" t="s">
        <v>674</v>
      </c>
      <c r="B23" s="7">
        <v>100000</v>
      </c>
      <c r="C23" s="3">
        <f>20000+17660+45745+16595</f>
        <v>100000</v>
      </c>
      <c r="D23" s="1">
        <f t="shared" si="0"/>
        <v>0</v>
      </c>
      <c r="E23" s="5" t="s">
        <v>663</v>
      </c>
      <c r="F23" s="44"/>
      <c r="G23" s="43"/>
      <c r="H23" s="5"/>
      <c r="I23" t="s">
        <v>31</v>
      </c>
      <c r="J23" s="13">
        <f>G17-SUM(D4,D5,D6,D7,D8,D11,D12,D13,D16,D17,D18,D19,D20,D21,D22,D24,D28,D30,D31,D33,D36)</f>
        <v>0</v>
      </c>
      <c r="L23" s="147" t="s">
        <v>65</v>
      </c>
      <c r="M23" s="148">
        <f>SUM(M16:M22)</f>
        <v>915550</v>
      </c>
      <c r="N23" s="10"/>
      <c r="O23" s="1" t="s">
        <v>267</v>
      </c>
      <c r="P23" s="75">
        <v>20990</v>
      </c>
      <c r="Q23" s="58" t="s">
        <v>513</v>
      </c>
      <c r="R23" t="s">
        <v>536</v>
      </c>
      <c r="S23" t="s">
        <v>76</v>
      </c>
    </row>
    <row r="24" spans="1:19" x14ac:dyDescent="0.25">
      <c r="A24" s="1" t="s">
        <v>426</v>
      </c>
      <c r="B24" s="7">
        <v>40000</v>
      </c>
      <c r="C24" s="3">
        <v>40000</v>
      </c>
      <c r="D24" s="1">
        <f t="shared" si="0"/>
        <v>0</v>
      </c>
      <c r="E24" s="5"/>
      <c r="F24" s="5"/>
      <c r="G24" s="5"/>
      <c r="H24" s="5"/>
      <c r="M24" s="95"/>
      <c r="O24" s="1" t="s">
        <v>270</v>
      </c>
      <c r="P24" s="75"/>
      <c r="Q24" s="58"/>
    </row>
    <row r="25" spans="1:19" x14ac:dyDescent="0.25">
      <c r="A25" s="1" t="s">
        <v>687</v>
      </c>
      <c r="B25" s="7">
        <f>37296</f>
        <v>37296</v>
      </c>
      <c r="C25" s="3">
        <f>21990+15306</f>
        <v>37296</v>
      </c>
      <c r="D25" s="1">
        <f t="shared" si="0"/>
        <v>0</v>
      </c>
      <c r="E25" s="5" t="s">
        <v>657</v>
      </c>
      <c r="F25" s="62" t="s">
        <v>89</v>
      </c>
      <c r="G25" s="85">
        <f>SUM(G26:G28)</f>
        <v>5636408</v>
      </c>
      <c r="H25" s="61"/>
      <c r="O25" s="1" t="s">
        <v>271</v>
      </c>
      <c r="P25" s="75">
        <v>17990</v>
      </c>
      <c r="Q25" s="58" t="s">
        <v>513</v>
      </c>
      <c r="R25" t="s">
        <v>535</v>
      </c>
      <c r="S25" t="s">
        <v>76</v>
      </c>
    </row>
    <row r="26" spans="1:19" x14ac:dyDescent="0.25">
      <c r="A26" s="1" t="s">
        <v>63</v>
      </c>
      <c r="B26" s="7">
        <f>101619+20000+1197+6389+18335-100</f>
        <v>147440</v>
      </c>
      <c r="C26" s="3">
        <f>26990+11000+44100+3000-551+12859+4221+20000+1197+6389+18335-100</f>
        <v>147440</v>
      </c>
      <c r="D26" s="1">
        <f t="shared" si="0"/>
        <v>0</v>
      </c>
      <c r="E26" s="5">
        <v>85000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L26" s="8"/>
      <c r="M26" s="89"/>
      <c r="O26" s="1" t="s">
        <v>268</v>
      </c>
      <c r="P26" s="75">
        <f>25390+3990</f>
        <v>29380</v>
      </c>
      <c r="Q26" s="58" t="s">
        <v>513</v>
      </c>
      <c r="R26" t="s">
        <v>519</v>
      </c>
      <c r="S26" s="44" t="s">
        <v>76</v>
      </c>
    </row>
    <row r="27" spans="1:19" x14ac:dyDescent="0.25">
      <c r="A27" s="1" t="s">
        <v>27</v>
      </c>
      <c r="B27" s="7">
        <f>8800</f>
        <v>8800</v>
      </c>
      <c r="C27" s="3">
        <f>4400+4400</f>
        <v>8800</v>
      </c>
      <c r="D27" s="1">
        <f t="shared" si="0"/>
        <v>0</v>
      </c>
      <c r="E27" s="5">
        <v>8800</v>
      </c>
      <c r="F27" s="8" t="s">
        <v>97</v>
      </c>
      <c r="G27" s="89">
        <f>AHRROS!B9</f>
        <v>5636408</v>
      </c>
      <c r="H27" s="8"/>
      <c r="I27" t="s">
        <v>105</v>
      </c>
      <c r="J27" s="74">
        <f>'Colegio Agus'!K7-G25</f>
        <v>602221.37200000044</v>
      </c>
      <c r="O27" s="1" t="s">
        <v>269</v>
      </c>
      <c r="P27" s="75">
        <v>24490</v>
      </c>
      <c r="Q27" s="58" t="s">
        <v>513</v>
      </c>
      <c r="R27" t="s">
        <v>520</v>
      </c>
      <c r="S27" t="s">
        <v>55</v>
      </c>
    </row>
    <row r="28" spans="1:19" x14ac:dyDescent="0.25">
      <c r="A28" s="1" t="s">
        <v>3</v>
      </c>
      <c r="B28" s="6">
        <v>120000</v>
      </c>
      <c r="C28" s="3">
        <f>37869+59301-34500+57330</f>
        <v>120000</v>
      </c>
      <c r="D28" s="1">
        <f t="shared" si="0"/>
        <v>0</v>
      </c>
      <c r="E28" s="5">
        <v>140000</v>
      </c>
      <c r="F28" s="8" t="s">
        <v>91</v>
      </c>
      <c r="G28" s="89">
        <v>0</v>
      </c>
      <c r="H28" s="8"/>
      <c r="I28" t="s">
        <v>106</v>
      </c>
      <c r="J28">
        <v>8</v>
      </c>
      <c r="K28" t="s">
        <v>662</v>
      </c>
      <c r="L28" s="8"/>
      <c r="M28" s="89"/>
      <c r="O28" s="1" t="s">
        <v>273</v>
      </c>
      <c r="P28" s="75"/>
      <c r="Q28" s="58"/>
      <c r="S28" t="s">
        <v>76</v>
      </c>
    </row>
    <row r="29" spans="1:19" x14ac:dyDescent="0.25">
      <c r="A29" s="6" t="s">
        <v>659</v>
      </c>
      <c r="B29" s="6">
        <v>0</v>
      </c>
      <c r="C29" s="3"/>
      <c r="D29" s="1">
        <f t="shared" si="0"/>
        <v>0</v>
      </c>
      <c r="E29" s="5"/>
      <c r="F29" s="5"/>
      <c r="G29" s="5"/>
      <c r="H29" s="5"/>
      <c r="I29" t="s">
        <v>107</v>
      </c>
      <c r="J29" s="74">
        <f>J27/J28</f>
        <v>75277.671500000055</v>
      </c>
      <c r="L29" s="8"/>
      <c r="M29" s="89"/>
      <c r="O29" s="1" t="s">
        <v>274</v>
      </c>
      <c r="P29" s="75">
        <f>11992+1459</f>
        <v>13451</v>
      </c>
      <c r="Q29" s="58" t="s">
        <v>511</v>
      </c>
      <c r="R29" t="s">
        <v>541</v>
      </c>
      <c r="S29" t="s">
        <v>542</v>
      </c>
    </row>
    <row r="30" spans="1:19" x14ac:dyDescent="0.25">
      <c r="A30" s="61" t="s">
        <v>413</v>
      </c>
      <c r="B30" s="6">
        <v>15000</v>
      </c>
      <c r="C30" s="3">
        <v>15000</v>
      </c>
      <c r="D30" s="1">
        <f t="shared" si="0"/>
        <v>0</v>
      </c>
      <c r="E30" s="5" t="s">
        <v>577</v>
      </c>
      <c r="F30" s="5"/>
      <c r="G30" s="5"/>
      <c r="H30" s="5"/>
      <c r="L30" s="1"/>
      <c r="M30" s="89"/>
      <c r="O30" s="1" t="s">
        <v>278</v>
      </c>
      <c r="P30" s="75"/>
      <c r="Q30" s="58"/>
      <c r="S30" t="s">
        <v>76</v>
      </c>
    </row>
    <row r="31" spans="1:19" x14ac:dyDescent="0.25">
      <c r="A31" s="1" t="s">
        <v>79</v>
      </c>
      <c r="B31" s="6">
        <v>32000</v>
      </c>
      <c r="C31" s="3">
        <v>32000</v>
      </c>
      <c r="D31" s="1">
        <f t="shared" si="0"/>
        <v>0</v>
      </c>
      <c r="E31" t="s">
        <v>582</v>
      </c>
      <c r="F31" s="5"/>
      <c r="G31" s="5"/>
      <c r="H31" s="5"/>
      <c r="L31" s="8"/>
      <c r="M31" s="89"/>
      <c r="O31" s="1" t="s">
        <v>521</v>
      </c>
      <c r="P31" s="75"/>
      <c r="Q31" s="58"/>
    </row>
    <row r="32" spans="1:19" x14ac:dyDescent="0.25">
      <c r="A32" s="1" t="s">
        <v>640</v>
      </c>
      <c r="B32" s="6"/>
      <c r="C32" s="3"/>
      <c r="D32" s="1">
        <f t="shared" si="0"/>
        <v>0</v>
      </c>
      <c r="E32" t="s">
        <v>328</v>
      </c>
      <c r="F32" s="5"/>
      <c r="G32" s="5"/>
      <c r="H32" s="5"/>
      <c r="L32" s="1"/>
      <c r="M32" s="137"/>
      <c r="O32" s="47" t="s">
        <v>509</v>
      </c>
      <c r="P32" s="75">
        <f>18890+7990</f>
        <v>26880</v>
      </c>
      <c r="Q32" t="s">
        <v>513</v>
      </c>
      <c r="R32" s="58" t="s">
        <v>517</v>
      </c>
      <c r="S32" t="s">
        <v>55</v>
      </c>
    </row>
    <row r="33" spans="1:19" x14ac:dyDescent="0.25">
      <c r="A33" s="96" t="s">
        <v>680</v>
      </c>
      <c r="B33" s="6">
        <v>33000</v>
      </c>
      <c r="C33" s="3">
        <v>33000</v>
      </c>
      <c r="D33" s="1">
        <f t="shared" si="0"/>
        <v>0</v>
      </c>
      <c r="E33" s="5" t="s">
        <v>313</v>
      </c>
      <c r="F33" s="5"/>
      <c r="G33" s="5"/>
      <c r="H33" s="5"/>
      <c r="L33" s="1"/>
      <c r="M33" s="137"/>
      <c r="O33" s="47" t="s">
        <v>538</v>
      </c>
      <c r="P33" s="75">
        <f>7992+1460</f>
        <v>9452</v>
      </c>
      <c r="Q33" s="58" t="s">
        <v>511</v>
      </c>
      <c r="R33" t="s">
        <v>539</v>
      </c>
      <c r="S33" t="s">
        <v>540</v>
      </c>
    </row>
    <row r="34" spans="1:19" x14ac:dyDescent="0.25">
      <c r="A34" s="1" t="s">
        <v>676</v>
      </c>
      <c r="B34" s="6">
        <v>20000</v>
      </c>
      <c r="C34" s="3">
        <f>9000+5000+5000+1000</f>
        <v>20000</v>
      </c>
      <c r="D34" s="1">
        <f t="shared" si="0"/>
        <v>0</v>
      </c>
      <c r="E34" s="5" t="s">
        <v>657</v>
      </c>
      <c r="F34" s="5"/>
      <c r="G34" s="5"/>
      <c r="H34" s="5"/>
      <c r="O34" s="47"/>
    </row>
    <row r="35" spans="1:19" ht="15.75" thickBot="1" x14ac:dyDescent="0.3">
      <c r="A35" s="1" t="s">
        <v>19</v>
      </c>
      <c r="B35" s="1">
        <v>230003</v>
      </c>
      <c r="C35" s="9">
        <f>2780+8500+8965+12585+8180+2600+46860+7000+33590+5800+11336+21440+1590+50270-5000+1900+2000+2780+6827</f>
        <v>230003</v>
      </c>
      <c r="D35" s="1">
        <f>B35-C35</f>
        <v>0</v>
      </c>
      <c r="E35" s="5"/>
      <c r="F35" s="5"/>
      <c r="G35" s="5"/>
      <c r="H35" s="5"/>
      <c r="L35" s="189"/>
      <c r="O35" s="47"/>
    </row>
    <row r="36" spans="1:19" ht="15.75" thickBot="1" x14ac:dyDescent="0.3">
      <c r="A36" s="1" t="s">
        <v>673</v>
      </c>
      <c r="B36" s="182">
        <v>54460</v>
      </c>
      <c r="C36" s="3">
        <f>54460</f>
        <v>54460</v>
      </c>
      <c r="D36" s="1">
        <f>B36-C36</f>
        <v>0</v>
      </c>
      <c r="E36" s="5"/>
      <c r="F36" s="5"/>
      <c r="G36" s="17"/>
      <c r="H36" s="5" t="s">
        <v>26</v>
      </c>
      <c r="L36" s="1"/>
      <c r="M36" s="1"/>
      <c r="O36" s="1" t="s">
        <v>65</v>
      </c>
      <c r="P36" s="75">
        <f>SUM(P14:P33)</f>
        <v>364284</v>
      </c>
    </row>
    <row r="37" spans="1:19" x14ac:dyDescent="0.25">
      <c r="A37" s="2" t="s">
        <v>1</v>
      </c>
      <c r="B37" s="2">
        <f>SUM(B3:B36)</f>
        <v>3432515</v>
      </c>
      <c r="C37" s="2">
        <f>SUM(C3:C35)</f>
        <v>3378055</v>
      </c>
      <c r="D37" s="2"/>
      <c r="E37" s="5"/>
      <c r="F37" s="5"/>
      <c r="G37" s="5"/>
      <c r="H37" s="5"/>
      <c r="L37" s="61"/>
      <c r="M37" s="190"/>
      <c r="O37" s="84"/>
      <c r="P37" s="74"/>
    </row>
    <row r="38" spans="1:19" ht="15.75" thickBot="1" x14ac:dyDescent="0.3">
      <c r="A38" s="2" t="s">
        <v>2</v>
      </c>
      <c r="B38" s="181">
        <f>B2-B37</f>
        <v>0</v>
      </c>
      <c r="C38" s="2">
        <f>C2-C37</f>
        <v>54460</v>
      </c>
      <c r="D38" s="2"/>
      <c r="E38" s="5"/>
      <c r="F38" s="5"/>
      <c r="G38" s="5"/>
      <c r="H38" s="5"/>
      <c r="J38">
        <f>2752586</f>
        <v>2752586</v>
      </c>
      <c r="L38" s="1"/>
      <c r="M38" s="1"/>
      <c r="O38" s="47"/>
      <c r="P38" s="74"/>
    </row>
    <row r="39" spans="1:19" x14ac:dyDescent="0.25">
      <c r="D39">
        <f>SUM(D3:D36)</f>
        <v>0</v>
      </c>
      <c r="E39" s="5"/>
      <c r="F39" s="5"/>
      <c r="G39" s="5"/>
      <c r="H39" s="5"/>
      <c r="J39">
        <f>574857</f>
        <v>574857</v>
      </c>
      <c r="L39" s="1"/>
      <c r="M39" s="1"/>
      <c r="O39" s="83" t="s">
        <v>279</v>
      </c>
      <c r="P39" s="79"/>
    </row>
    <row r="40" spans="1:19" x14ac:dyDescent="0.25">
      <c r="E40" s="5"/>
      <c r="F40" s="5"/>
      <c r="G40" s="5"/>
      <c r="H40" s="5"/>
      <c r="J40">
        <f>J38-J39</f>
        <v>2177729</v>
      </c>
      <c r="L40" s="1"/>
      <c r="M40" s="1"/>
      <c r="O40" s="80" t="s">
        <v>507</v>
      </c>
      <c r="P40" s="81">
        <v>29990</v>
      </c>
    </row>
    <row r="41" spans="1:19" x14ac:dyDescent="0.25">
      <c r="A41" t="s">
        <v>604</v>
      </c>
      <c r="E41" s="5"/>
      <c r="L41" s="149"/>
      <c r="M41" s="149"/>
      <c r="O41" s="1" t="s">
        <v>277</v>
      </c>
      <c r="P41" s="81">
        <f>7490*2</f>
        <v>14980</v>
      </c>
      <c r="Q41" t="s">
        <v>515</v>
      </c>
      <c r="S41" t="s">
        <v>516</v>
      </c>
    </row>
    <row r="42" spans="1:19" x14ac:dyDescent="0.25">
      <c r="A42" t="s">
        <v>605</v>
      </c>
      <c r="B42">
        <v>500000</v>
      </c>
      <c r="E42" s="193" t="s">
        <v>651</v>
      </c>
      <c r="F42" s="194" t="s">
        <v>109</v>
      </c>
      <c r="G42" s="194" t="s">
        <v>652</v>
      </c>
      <c r="O42" s="1"/>
      <c r="P42" s="81"/>
    </row>
    <row r="43" spans="1:19" x14ac:dyDescent="0.25">
      <c r="A43" t="s">
        <v>606</v>
      </c>
      <c r="B43">
        <v>38000</v>
      </c>
      <c r="E43" s="1" t="str" cm="1">
        <f t="array" ref="E43:G43">A3:C3</f>
        <v>Supermercado</v>
      </c>
      <c r="F43" s="137">
        <v>255060</v>
      </c>
      <c r="G43" s="137">
        <v>255060</v>
      </c>
      <c r="L43" s="189" t="s">
        <v>694</v>
      </c>
      <c r="O43" s="80" t="s">
        <v>523</v>
      </c>
      <c r="P43" s="81">
        <f>40000</f>
        <v>40000</v>
      </c>
      <c r="Q43" t="s">
        <v>525</v>
      </c>
      <c r="S43" t="s">
        <v>526</v>
      </c>
    </row>
    <row r="44" spans="1:19" x14ac:dyDescent="0.25">
      <c r="E44" s="1" t="str" cm="1">
        <f t="array" ref="E44:G47">A5:C8</f>
        <v xml:space="preserve">luz </v>
      </c>
      <c r="F44" s="137">
        <v>22800</v>
      </c>
      <c r="G44" s="137">
        <v>22800</v>
      </c>
      <c r="L44" s="1" t="s">
        <v>668</v>
      </c>
      <c r="M44" s="1">
        <v>6180</v>
      </c>
      <c r="O44" s="80" t="s">
        <v>534</v>
      </c>
      <c r="P44" s="81">
        <v>12490</v>
      </c>
      <c r="Q44" t="s">
        <v>532</v>
      </c>
    </row>
    <row r="45" spans="1:19" x14ac:dyDescent="0.25">
      <c r="A45" t="s">
        <v>65</v>
      </c>
      <c r="B45">
        <f>SUM(B3,B5,B6,B7,B4,B10,B14,B15,B17,B30,B31,B32,B35,B42,B43)</f>
        <v>2083589</v>
      </c>
      <c r="E45" s="1" t="str">
        <v>agua</v>
      </c>
      <c r="F45" s="137">
        <v>11550</v>
      </c>
      <c r="G45" s="137">
        <v>11550</v>
      </c>
      <c r="L45" s="1" t="s">
        <v>670</v>
      </c>
      <c r="M45" s="1">
        <v>3300</v>
      </c>
      <c r="O45" s="80"/>
      <c r="P45" s="81"/>
    </row>
    <row r="46" spans="1:19" x14ac:dyDescent="0.25">
      <c r="E46" s="1" t="str">
        <v>GG.CC + agua caliente</v>
      </c>
      <c r="F46" s="137">
        <v>175884</v>
      </c>
      <c r="G46" s="137">
        <v>175884</v>
      </c>
      <c r="L46" s="1" t="s">
        <v>671</v>
      </c>
      <c r="M46" s="1">
        <v>20000</v>
      </c>
      <c r="O46" s="80"/>
      <c r="P46" s="81"/>
    </row>
    <row r="47" spans="1:19" x14ac:dyDescent="0.25">
      <c r="A47" t="s">
        <v>607</v>
      </c>
      <c r="B47">
        <f>B3+B5+B6+B10+B14+B15+B17+B30+B32+B42</f>
        <v>959410</v>
      </c>
      <c r="E47" s="1" t="str">
        <v xml:space="preserve">seguro </v>
      </c>
      <c r="F47" s="137">
        <v>78743</v>
      </c>
      <c r="G47" s="137">
        <v>78743</v>
      </c>
      <c r="L47" s="1" t="s">
        <v>672</v>
      </c>
      <c r="M47" s="1">
        <f>5760+2950+2890</f>
        <v>11600</v>
      </c>
      <c r="O47" s="139" t="s">
        <v>9</v>
      </c>
      <c r="P47" s="140">
        <f>SUM(P40:P46)</f>
        <v>97460</v>
      </c>
    </row>
    <row r="48" spans="1:19" x14ac:dyDescent="0.25">
      <c r="E48" s="1" t="str" cm="1">
        <f t="array" ref="E48:G48">A10:C10</f>
        <v>Agustina</v>
      </c>
      <c r="F48" s="137">
        <v>75000</v>
      </c>
      <c r="G48" s="137">
        <v>75000</v>
      </c>
      <c r="L48" s="1" t="s">
        <v>675</v>
      </c>
      <c r="M48" s="1">
        <f>35000+8000</f>
        <v>43000</v>
      </c>
      <c r="O48" s="57" t="s">
        <v>510</v>
      </c>
      <c r="P48" s="81">
        <f>SUMIF(Q14:Q33,"EFECTIVO",P14:P33)</f>
        <v>78813</v>
      </c>
    </row>
    <row r="49" spans="5:16" ht="15.75" thickBot="1" x14ac:dyDescent="0.3">
      <c r="E49" s="1" t="str" cm="1">
        <f t="array" ref="E49:G51">A12:C14</f>
        <v xml:space="preserve">cuota curso agus </v>
      </c>
      <c r="F49" s="137">
        <v>60000</v>
      </c>
      <c r="G49" s="137">
        <v>60000</v>
      </c>
      <c r="L49" s="1" t="s">
        <v>677</v>
      </c>
      <c r="M49" s="1">
        <v>14000</v>
      </c>
      <c r="O49" s="59"/>
      <c r="P49" s="82"/>
    </row>
    <row r="50" spans="5:16" x14ac:dyDescent="0.25">
      <c r="E50" s="1" t="str">
        <v>Teléfono</v>
      </c>
      <c r="F50" s="137">
        <v>15988</v>
      </c>
      <c r="G50" s="137">
        <v>15988</v>
      </c>
      <c r="L50" s="1" t="s">
        <v>678</v>
      </c>
      <c r="M50" s="1">
        <v>2700</v>
      </c>
      <c r="P50" s="74"/>
    </row>
    <row r="51" spans="5:16" x14ac:dyDescent="0.25">
      <c r="E51" s="1" t="str">
        <v>Feria/huevos/frutos secos</v>
      </c>
      <c r="F51" s="137">
        <v>25000</v>
      </c>
      <c r="G51" s="137">
        <v>25000</v>
      </c>
      <c r="L51" s="1"/>
      <c r="M51" s="1"/>
      <c r="O51" s="10" t="s">
        <v>92</v>
      </c>
      <c r="P51" s="77">
        <f>SUM(P14:P33)</f>
        <v>364284</v>
      </c>
    </row>
    <row r="52" spans="5:16" x14ac:dyDescent="0.25">
      <c r="E52" s="1" t="str" cm="1">
        <f t="array" ref="E52:G52">A17:C17</f>
        <v>frenillos agus</v>
      </c>
      <c r="F52" s="137">
        <v>25000</v>
      </c>
      <c r="G52" s="137">
        <v>25000</v>
      </c>
      <c r="L52" s="1"/>
      <c r="M52" s="1"/>
      <c r="O52" s="10"/>
      <c r="P52" s="77"/>
    </row>
    <row r="53" spans="5:16" x14ac:dyDescent="0.25">
      <c r="E53" s="1" t="str" cm="1">
        <f t="array" ref="E53:G53">A20:C20</f>
        <v>TAG</v>
      </c>
      <c r="F53" s="137">
        <v>60000</v>
      </c>
      <c r="G53" s="137">
        <v>60000</v>
      </c>
      <c r="L53" s="1"/>
      <c r="M53" s="1"/>
      <c r="O53" s="10" t="s">
        <v>93</v>
      </c>
      <c r="P53" s="77">
        <f>P13-P51</f>
        <v>80156</v>
      </c>
    </row>
    <row r="54" spans="5:16" x14ac:dyDescent="0.25">
      <c r="E54" s="1" t="str" cm="1">
        <f t="array" ref="E54:G55">A22:C23</f>
        <v>perm circ (marzo)/ cumple agus (sep) / rev tecnica (AGO)</v>
      </c>
      <c r="F54" s="137">
        <v>266199</v>
      </c>
      <c r="G54" s="137">
        <v>266199</v>
      </c>
      <c r="L54" s="1"/>
      <c r="M54" s="1"/>
      <c r="O54" s="10"/>
      <c r="P54" s="77"/>
    </row>
    <row r="55" spans="5:16" x14ac:dyDescent="0.25">
      <c r="E55" s="1" t="str">
        <v>viajes Y paseos (curico)</v>
      </c>
      <c r="F55" s="137">
        <v>100000</v>
      </c>
      <c r="G55" s="137">
        <v>100000</v>
      </c>
      <c r="L55" s="1"/>
      <c r="M55" s="1"/>
      <c r="O55" s="10" t="s">
        <v>94</v>
      </c>
      <c r="P55" s="77">
        <f>P13-SUMIF(Q14:Q33,"GIFTCARD",P14:P33)-SUM(P40:P46)</f>
        <v>61509</v>
      </c>
    </row>
    <row r="56" spans="5:16" x14ac:dyDescent="0.25">
      <c r="E56" s="1" t="str" cm="1">
        <f t="array" ref="E56:G56">A28:C28</f>
        <v>Bencina</v>
      </c>
      <c r="F56" s="137">
        <v>120000</v>
      </c>
      <c r="G56" s="137">
        <v>120000</v>
      </c>
      <c r="L56" s="1"/>
      <c r="M56" s="1"/>
    </row>
    <row r="57" spans="5:16" x14ac:dyDescent="0.25">
      <c r="E57" s="1" t="str" cm="1">
        <f t="array" ref="E57:G58">A35:C36</f>
        <v>extras</v>
      </c>
      <c r="F57" s="137">
        <v>230003</v>
      </c>
      <c r="G57" s="137">
        <v>230003</v>
      </c>
      <c r="L57" s="1"/>
      <c r="M57" s="1"/>
      <c r="O57" t="s">
        <v>99</v>
      </c>
      <c r="P57" s="78">
        <f>P55-G6</f>
        <v>1432162</v>
      </c>
    </row>
    <row r="58" spans="5:16" x14ac:dyDescent="0.25">
      <c r="E58" s="1" t="str">
        <v>Casa (cyber)</v>
      </c>
      <c r="F58" s="137">
        <v>54460</v>
      </c>
      <c r="G58" s="137">
        <v>54460</v>
      </c>
      <c r="L58" s="2"/>
      <c r="M58" s="2"/>
    </row>
    <row r="59" spans="5:16" x14ac:dyDescent="0.25">
      <c r="E59" s="1" t="s">
        <v>606</v>
      </c>
      <c r="F59" s="137">
        <v>38000</v>
      </c>
      <c r="G59" s="137">
        <v>38000</v>
      </c>
      <c r="L59" s="149" t="s">
        <v>9</v>
      </c>
      <c r="M59" s="149">
        <f>SUM(M44:M58)</f>
        <v>100780</v>
      </c>
    </row>
    <row r="60" spans="5:16" x14ac:dyDescent="0.25">
      <c r="E60" s="1" t="str">
        <f>A34</f>
        <v>carga metro - movilizacion-agus</v>
      </c>
      <c r="F60" s="137">
        <f t="shared" ref="F60:G60" si="1">B34</f>
        <v>20000</v>
      </c>
      <c r="G60" s="137">
        <f t="shared" si="1"/>
        <v>20000</v>
      </c>
    </row>
    <row r="61" spans="5:16" x14ac:dyDescent="0.25">
      <c r="E61" s="2" t="s">
        <v>645</v>
      </c>
      <c r="F61" s="90">
        <f>SUM(F43:F59)</f>
        <v>1613687</v>
      </c>
      <c r="G61" s="90">
        <f>SUM(G43:G60)</f>
        <v>1633687</v>
      </c>
      <c r="L61" s="138"/>
      <c r="M61" s="138"/>
    </row>
    <row r="62" spans="5:16" x14ac:dyDescent="0.25">
      <c r="E62" s="1"/>
      <c r="F62" s="137"/>
      <c r="G62" s="137"/>
    </row>
    <row r="63" spans="5:16" x14ac:dyDescent="0.25">
      <c r="E63" s="149" t="s">
        <v>666</v>
      </c>
      <c r="F63" s="150">
        <f>F61/2</f>
        <v>806843.5</v>
      </c>
      <c r="G63" s="150">
        <f>G61/2</f>
        <v>816843.5</v>
      </c>
    </row>
    <row r="65" spans="5:7" x14ac:dyDescent="0.25">
      <c r="E65" s="1" t="s">
        <v>665</v>
      </c>
      <c r="F65" s="137"/>
      <c r="G65" s="137"/>
    </row>
    <row r="66" spans="5:7" x14ac:dyDescent="0.25">
      <c r="E66" s="1"/>
      <c r="F66" s="137"/>
      <c r="G66" s="137"/>
    </row>
    <row r="67" spans="5:7" x14ac:dyDescent="0.25">
      <c r="E67" t="s">
        <v>669</v>
      </c>
      <c r="F67" s="111"/>
      <c r="G67" s="111">
        <f>M59</f>
        <v>100780</v>
      </c>
    </row>
    <row r="69" spans="5:7" x14ac:dyDescent="0.25">
      <c r="E69" s="149" t="s">
        <v>667</v>
      </c>
      <c r="F69" s="150"/>
      <c r="G69" s="150">
        <f>G63+SUM(G66:G68)</f>
        <v>917623.5</v>
      </c>
    </row>
  </sheetData>
  <mergeCells count="1">
    <mergeCell ref="F18:H18"/>
  </mergeCell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S70"/>
  <sheetViews>
    <sheetView zoomScale="80" zoomScaleNormal="80" workbookViewId="0">
      <selection activeCell="C19" sqref="C19"/>
    </sheetView>
  </sheetViews>
  <sheetFormatPr baseColWidth="10" defaultColWidth="27" defaultRowHeight="15" x14ac:dyDescent="0.25"/>
  <cols>
    <col min="1" max="1" width="43.140625" bestFit="1" customWidth="1"/>
    <col min="2" max="2" width="12.140625" bestFit="1" customWidth="1"/>
    <col min="3" max="3" width="12" bestFit="1" customWidth="1"/>
    <col min="4" max="4" width="8.7109375" bestFit="1" customWidth="1"/>
    <col min="5" max="5" width="22.42578125" customWidth="1"/>
    <col min="6" max="6" width="25.5703125" bestFit="1" customWidth="1"/>
    <col min="7" max="7" width="12.28515625" bestFit="1" customWidth="1"/>
    <col min="8" max="8" width="20" bestFit="1" customWidth="1"/>
    <col min="9" max="9" width="10.5703125" customWidth="1"/>
    <col min="10" max="10" width="12.85546875" customWidth="1"/>
    <col min="11" max="11" width="8.5703125" bestFit="1" customWidth="1"/>
    <col min="12" max="12" width="28" bestFit="1" customWidth="1"/>
    <col min="13" max="13" width="10.28515625" bestFit="1" customWidth="1"/>
    <col min="14" max="14" width="5.5703125" customWidth="1"/>
    <col min="15" max="15" width="24.5703125" bestFit="1" customWidth="1"/>
    <col min="16" max="16" width="10.7109375" bestFit="1" customWidth="1"/>
    <col min="17" max="17" width="28" bestFit="1" customWidth="1"/>
    <col min="18" max="18" width="23.42578125" bestFit="1" customWidth="1"/>
    <col min="19" max="19" width="19.85546875" bestFit="1" customWidth="1"/>
  </cols>
  <sheetData>
    <row r="1" spans="1:19" x14ac:dyDescent="0.25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4101351</v>
      </c>
      <c r="H1" s="11"/>
      <c r="I1" s="10"/>
      <c r="L1" s="168" t="s">
        <v>83</v>
      </c>
      <c r="M1" s="168"/>
      <c r="O1" s="10" t="s">
        <v>72</v>
      </c>
    </row>
    <row r="2" spans="1:19" x14ac:dyDescent="0.25">
      <c r="A2" s="2"/>
      <c r="B2" s="90">
        <f>3556069</f>
        <v>3556069</v>
      </c>
      <c r="C2" s="90">
        <f>3556069</f>
        <v>3556069</v>
      </c>
      <c r="D2" s="2"/>
      <c r="E2" s="4"/>
      <c r="F2" s="63" t="s">
        <v>73</v>
      </c>
      <c r="G2" s="88">
        <f>M13</f>
        <v>208806</v>
      </c>
      <c r="I2" s="132"/>
      <c r="L2" s="89" t="s">
        <v>81</v>
      </c>
      <c r="M2" s="89">
        <v>14290</v>
      </c>
      <c r="O2" s="10"/>
    </row>
    <row r="3" spans="1:19" x14ac:dyDescent="0.25">
      <c r="A3" s="198" t="s">
        <v>0</v>
      </c>
      <c r="B3" s="6">
        <v>250000</v>
      </c>
      <c r="C3" s="3">
        <f>13090+30035+77121+5381+50486+7180-8060+30325+11309+2400+28063+2670-16567+16567</f>
        <v>250000</v>
      </c>
      <c r="D3" s="1">
        <f>B3-C3</f>
        <v>0</v>
      </c>
      <c r="E3" s="97">
        <v>230000</v>
      </c>
      <c r="F3" s="63" t="s">
        <v>130</v>
      </c>
      <c r="G3">
        <f>P11</f>
        <v>0</v>
      </c>
      <c r="I3" s="74"/>
      <c r="L3" s="89" t="s">
        <v>128</v>
      </c>
      <c r="M3" s="89" t="s">
        <v>76</v>
      </c>
      <c r="O3" s="10"/>
    </row>
    <row r="4" spans="1:19" x14ac:dyDescent="0.25">
      <c r="A4" s="198" t="s">
        <v>128</v>
      </c>
      <c r="B4" s="6">
        <v>24700</v>
      </c>
      <c r="C4" s="3">
        <v>24700</v>
      </c>
      <c r="D4" s="1">
        <f t="shared" ref="D4:D17" si="0">B4-C4</f>
        <v>0</v>
      </c>
      <c r="E4" s="4"/>
      <c r="F4" t="s">
        <v>580</v>
      </c>
      <c r="G4" s="121">
        <f>-3487971-121650</f>
        <v>-3609621</v>
      </c>
      <c r="H4" s="170"/>
      <c r="I4" s="78"/>
      <c r="L4" s="89" t="s">
        <v>287</v>
      </c>
      <c r="M4" s="89" t="s">
        <v>76</v>
      </c>
      <c r="O4" s="10"/>
    </row>
    <row r="5" spans="1:19" x14ac:dyDescent="0.25">
      <c r="A5" s="198" t="s">
        <v>81</v>
      </c>
      <c r="B5" s="6">
        <v>7460</v>
      </c>
      <c r="C5" s="3">
        <v>7460</v>
      </c>
      <c r="D5" s="1">
        <f t="shared" si="0"/>
        <v>0</v>
      </c>
      <c r="E5" s="4"/>
      <c r="G5" s="78"/>
      <c r="I5" s="78"/>
      <c r="J5" s="88"/>
      <c r="L5" s="89" t="s">
        <v>427</v>
      </c>
      <c r="M5" s="89" t="s">
        <v>76</v>
      </c>
      <c r="O5" s="10"/>
    </row>
    <row r="6" spans="1:19" x14ac:dyDescent="0.25">
      <c r="A6" s="198" t="s">
        <v>86</v>
      </c>
      <c r="B6" s="7">
        <v>166232</v>
      </c>
      <c r="C6" s="3">
        <v>166232</v>
      </c>
      <c r="D6" s="1">
        <f t="shared" si="0"/>
        <v>0</v>
      </c>
      <c r="E6" s="4" t="s">
        <v>691</v>
      </c>
      <c r="F6" s="4" t="s">
        <v>743</v>
      </c>
      <c r="G6" s="4">
        <v>1190</v>
      </c>
      <c r="J6" s="145"/>
      <c r="L6" s="89" t="s">
        <v>681</v>
      </c>
      <c r="M6" s="89" t="s">
        <v>76</v>
      </c>
      <c r="O6" s="10"/>
    </row>
    <row r="7" spans="1:19" x14ac:dyDescent="0.25">
      <c r="A7" s="198" t="s">
        <v>316</v>
      </c>
      <c r="B7" s="7">
        <v>79293</v>
      </c>
      <c r="C7" s="9">
        <v>79293</v>
      </c>
      <c r="D7" s="1">
        <f t="shared" si="0"/>
        <v>0</v>
      </c>
      <c r="E7" s="4"/>
      <c r="F7" s="63" t="s">
        <v>242</v>
      </c>
      <c r="G7" s="98">
        <f>M23</f>
        <v>289665</v>
      </c>
      <c r="J7" s="164"/>
      <c r="L7" s="89" t="s">
        <v>682</v>
      </c>
      <c r="M7" s="89">
        <v>137645</v>
      </c>
      <c r="O7" s="10"/>
    </row>
    <row r="8" spans="1:19" x14ac:dyDescent="0.25">
      <c r="A8" s="198" t="s">
        <v>11</v>
      </c>
      <c r="B8" s="7">
        <v>80000</v>
      </c>
      <c r="C8" s="3">
        <f>33350+30000+8500+7283+867</f>
        <v>80000</v>
      </c>
      <c r="D8" s="1">
        <f t="shared" si="0"/>
        <v>0</v>
      </c>
      <c r="E8" s="5"/>
      <c r="F8" s="63"/>
      <c r="G8" s="195"/>
      <c r="I8" s="13"/>
      <c r="J8" s="177"/>
      <c r="L8" s="89" t="s">
        <v>692</v>
      </c>
      <c r="M8" s="137" t="s">
        <v>76</v>
      </c>
      <c r="O8" s="10"/>
    </row>
    <row r="9" spans="1:19" x14ac:dyDescent="0.25">
      <c r="A9" s="198" t="s">
        <v>498</v>
      </c>
      <c r="B9" s="7">
        <v>0</v>
      </c>
      <c r="C9" s="3"/>
      <c r="D9" s="1">
        <f t="shared" si="0"/>
        <v>0</v>
      </c>
      <c r="E9" t="s">
        <v>688</v>
      </c>
      <c r="F9" s="4" t="s">
        <v>16</v>
      </c>
      <c r="G9" s="4">
        <v>31000</v>
      </c>
      <c r="J9" s="146"/>
      <c r="L9" s="1" t="s">
        <v>744</v>
      </c>
      <c r="M9" s="1"/>
      <c r="O9" s="10"/>
    </row>
    <row r="10" spans="1:19" x14ac:dyDescent="0.25">
      <c r="A10" s="198" t="s">
        <v>240</v>
      </c>
      <c r="B10" s="6">
        <v>15988</v>
      </c>
      <c r="C10" s="3">
        <v>15988</v>
      </c>
      <c r="D10" s="1">
        <f t="shared" si="0"/>
        <v>0</v>
      </c>
      <c r="E10" s="133"/>
      <c r="I10" s="78"/>
      <c r="J10" s="199"/>
      <c r="L10" s="89" t="s">
        <v>735</v>
      </c>
      <c r="M10" s="1">
        <v>26800</v>
      </c>
      <c r="O10" s="10"/>
    </row>
    <row r="11" spans="1:19" x14ac:dyDescent="0.25">
      <c r="A11" s="198" t="s">
        <v>591</v>
      </c>
      <c r="B11" s="6">
        <v>25000</v>
      </c>
      <c r="C11" s="3">
        <f>15580+9420</f>
        <v>25000</v>
      </c>
      <c r="D11" s="1">
        <f t="shared" si="0"/>
        <v>0</v>
      </c>
      <c r="E11" s="5" t="s">
        <v>451</v>
      </c>
      <c r="F11" s="64" t="s">
        <v>639</v>
      </c>
      <c r="G11" s="44">
        <f>259000-40000</f>
        <v>219000</v>
      </c>
      <c r="H11" s="4"/>
      <c r="L11" s="96" t="s">
        <v>82</v>
      </c>
      <c r="M11" s="157">
        <f>-509+11020</f>
        <v>10511</v>
      </c>
      <c r="O11" s="10" t="s">
        <v>65</v>
      </c>
      <c r="P11">
        <f>SUM(P2:P10)</f>
        <v>0</v>
      </c>
    </row>
    <row r="12" spans="1:19" x14ac:dyDescent="0.25">
      <c r="A12" s="198" t="s">
        <v>161</v>
      </c>
      <c r="B12" s="7">
        <v>25000</v>
      </c>
      <c r="C12" s="9">
        <f>8000+17000</f>
        <v>25000</v>
      </c>
      <c r="D12" s="1">
        <f t="shared" si="0"/>
        <v>0</v>
      </c>
      <c r="E12" s="5" t="s">
        <v>451</v>
      </c>
      <c r="F12" s="67" t="s">
        <v>75</v>
      </c>
      <c r="G12" s="13">
        <f>-42132-28000-28000-28000-28000+89468-28000-28000+89468-30000-30000-32000-32000-32000+181032-32000</f>
        <v>-38164</v>
      </c>
      <c r="H12" s="4" t="s">
        <v>683</v>
      </c>
      <c r="L12" s="89" t="s">
        <v>85</v>
      </c>
      <c r="M12" s="89">
        <v>19560</v>
      </c>
    </row>
    <row r="13" spans="1:19" ht="15.75" thickBot="1" x14ac:dyDescent="0.3">
      <c r="A13" s="198" t="s">
        <v>42</v>
      </c>
      <c r="B13" s="6">
        <v>77327</v>
      </c>
      <c r="C13" s="3">
        <f>5830+6661+4236+45400+15200</f>
        <v>77327</v>
      </c>
      <c r="D13" s="1">
        <f t="shared" si="0"/>
        <v>0</v>
      </c>
      <c r="E13" s="5" t="s">
        <v>492</v>
      </c>
      <c r="F13" s="4" t="s">
        <v>738</v>
      </c>
      <c r="G13" s="13">
        <f>-756989-42228</f>
        <v>-799217</v>
      </c>
      <c r="H13" s="4"/>
      <c r="L13" s="149" t="s">
        <v>65</v>
      </c>
      <c r="M13" s="150">
        <f>SUM(M2:M12)</f>
        <v>208806</v>
      </c>
      <c r="O13" s="61" t="s">
        <v>259</v>
      </c>
      <c r="P13" s="76">
        <v>444440</v>
      </c>
      <c r="Q13" t="s">
        <v>95</v>
      </c>
      <c r="R13" t="s">
        <v>272</v>
      </c>
      <c r="S13" t="s">
        <v>530</v>
      </c>
    </row>
    <row r="14" spans="1:19" x14ac:dyDescent="0.25">
      <c r="A14" s="198" t="s">
        <v>572</v>
      </c>
      <c r="B14" s="6">
        <v>0</v>
      </c>
      <c r="C14" s="3"/>
      <c r="D14" s="1">
        <f t="shared" si="0"/>
        <v>0</v>
      </c>
      <c r="E14" s="5" t="s">
        <v>592</v>
      </c>
      <c r="F14" s="4" t="s">
        <v>121</v>
      </c>
      <c r="G14" s="13">
        <v>0</v>
      </c>
      <c r="H14" s="10"/>
      <c r="J14" s="13"/>
      <c r="O14" s="1" t="s">
        <v>241</v>
      </c>
      <c r="P14" s="75" t="s">
        <v>76</v>
      </c>
      <c r="Q14" s="56" t="s">
        <v>76</v>
      </c>
      <c r="R14" t="s">
        <v>392</v>
      </c>
      <c r="S14" t="s">
        <v>55</v>
      </c>
    </row>
    <row r="15" spans="1:19" x14ac:dyDescent="0.25">
      <c r="A15" s="198" t="s">
        <v>739</v>
      </c>
      <c r="B15" s="7">
        <v>100000</v>
      </c>
      <c r="C15" s="3">
        <f>7619+5181+18680+2980+1790+63485-1190+1163+292</f>
        <v>100000</v>
      </c>
      <c r="D15" s="1">
        <f t="shared" si="0"/>
        <v>0</v>
      </c>
      <c r="E15" s="5" t="s">
        <v>663</v>
      </c>
      <c r="F15" s="4" t="s">
        <v>416</v>
      </c>
      <c r="G15" s="88">
        <f>-8000-8000-8000-8000-8000-8000-8000-8000-8000-15000-15000-15000-15000</f>
        <v>-132000</v>
      </c>
      <c r="H15" s="4"/>
      <c r="L15" s="61" t="s">
        <v>131</v>
      </c>
      <c r="M15" s="76" t="s">
        <v>132</v>
      </c>
      <c r="O15" s="1" t="s">
        <v>260</v>
      </c>
      <c r="P15" s="75">
        <v>35920</v>
      </c>
      <c r="Q15" s="58" t="s">
        <v>511</v>
      </c>
      <c r="R15" t="s">
        <v>543</v>
      </c>
      <c r="S15" s="78" t="s">
        <v>544</v>
      </c>
    </row>
    <row r="16" spans="1:19" ht="15.75" thickBot="1" x14ac:dyDescent="0.3">
      <c r="A16" s="198" t="s">
        <v>3</v>
      </c>
      <c r="B16" s="6">
        <v>77772</v>
      </c>
      <c r="C16" s="3">
        <f>49054+17733+10985</f>
        <v>77772</v>
      </c>
      <c r="D16" s="1">
        <f t="shared" si="0"/>
        <v>0</v>
      </c>
      <c r="E16" s="5">
        <v>140000</v>
      </c>
      <c r="F16" s="4" t="s">
        <v>129</v>
      </c>
      <c r="G16" s="87">
        <f>-82010-30000-40000-40000-40000-40000</f>
        <v>-272010</v>
      </c>
      <c r="H16" s="4"/>
      <c r="J16" s="13"/>
      <c r="L16" s="67" t="s">
        <v>468</v>
      </c>
      <c r="M16" s="120">
        <v>25000</v>
      </c>
      <c r="O16" s="1" t="s">
        <v>261</v>
      </c>
      <c r="P16" s="75">
        <v>19990</v>
      </c>
      <c r="Q16" s="58" t="s">
        <v>511</v>
      </c>
      <c r="R16" t="s">
        <v>518</v>
      </c>
      <c r="S16" t="s">
        <v>55</v>
      </c>
    </row>
    <row r="17" spans="1:19" ht="15.75" thickBot="1" x14ac:dyDescent="0.3">
      <c r="A17" s="198" t="s">
        <v>676</v>
      </c>
      <c r="B17" s="6">
        <v>20000</v>
      </c>
      <c r="C17" s="3">
        <v>20000</v>
      </c>
      <c r="D17" s="1">
        <f t="shared" si="0"/>
        <v>0</v>
      </c>
      <c r="E17" s="5"/>
      <c r="F17" s="71" t="s">
        <v>12</v>
      </c>
      <c r="G17" s="72">
        <f>SUM(G1:G16)</f>
        <v>0</v>
      </c>
      <c r="H17" s="16"/>
      <c r="J17" s="13"/>
      <c r="L17" s="8"/>
      <c r="M17" s="89"/>
      <c r="O17" s="1" t="s">
        <v>262</v>
      </c>
      <c r="P17" s="75">
        <v>39980</v>
      </c>
      <c r="Q17" s="58" t="s">
        <v>513</v>
      </c>
      <c r="R17" t="s">
        <v>524</v>
      </c>
      <c r="S17" t="s">
        <v>55</v>
      </c>
    </row>
    <row r="18" spans="1:19" x14ac:dyDescent="0.25">
      <c r="A18" s="198" t="s">
        <v>736</v>
      </c>
      <c r="B18" s="1">
        <v>240000</v>
      </c>
      <c r="C18" s="9">
        <f>2700+3000+1400+8650+12700+81180+10400+12469+36520+1200+3000+17107+360+8100+8550+9990+5020+10071+7583</f>
        <v>240000</v>
      </c>
      <c r="D18" s="1">
        <f t="shared" ref="D18:D36" si="1">B18-C18</f>
        <v>0</v>
      </c>
      <c r="E18" s="5"/>
      <c r="F18" s="201" t="s">
        <v>13</v>
      </c>
      <c r="G18" s="202"/>
      <c r="H18" s="203"/>
      <c r="J18" s="13"/>
      <c r="L18" s="96"/>
      <c r="M18" s="156"/>
      <c r="O18" s="1" t="s">
        <v>263</v>
      </c>
      <c r="P18" s="75">
        <f>25990</f>
        <v>25990</v>
      </c>
      <c r="Q18" s="58" t="s">
        <v>513</v>
      </c>
      <c r="R18" t="s">
        <v>531</v>
      </c>
      <c r="S18" t="s">
        <v>55</v>
      </c>
    </row>
    <row r="19" spans="1:19" x14ac:dyDescent="0.25">
      <c r="A19" s="198" t="s">
        <v>673</v>
      </c>
      <c r="B19" s="182">
        <v>59990</v>
      </c>
      <c r="C19" s="3">
        <f>59990</f>
        <v>59990</v>
      </c>
      <c r="D19" s="1">
        <f t="shared" si="1"/>
        <v>0</v>
      </c>
      <c r="E19" s="5"/>
      <c r="F19" s="8" t="s">
        <v>7</v>
      </c>
      <c r="G19" s="8" t="s">
        <v>8</v>
      </c>
      <c r="H19" s="8" t="s">
        <v>9</v>
      </c>
      <c r="J19" s="13">
        <f>H20-G17</f>
        <v>0</v>
      </c>
      <c r="L19" s="96" t="s">
        <v>294</v>
      </c>
      <c r="M19" s="156">
        <f>M41</f>
        <v>264665</v>
      </c>
      <c r="O19" s="1" t="s">
        <v>43</v>
      </c>
      <c r="P19" s="75">
        <v>37791</v>
      </c>
      <c r="Q19" s="58" t="s">
        <v>513</v>
      </c>
      <c r="R19" t="s">
        <v>522</v>
      </c>
      <c r="S19" t="s">
        <v>55</v>
      </c>
    </row>
    <row r="20" spans="1:19" x14ac:dyDescent="0.25">
      <c r="A20" s="1" t="s">
        <v>62</v>
      </c>
      <c r="B20" s="6">
        <v>650850</v>
      </c>
      <c r="C20" s="3">
        <v>650850</v>
      </c>
      <c r="D20" s="1">
        <f t="shared" si="1"/>
        <v>0</v>
      </c>
      <c r="E20" s="4" t="s">
        <v>697</v>
      </c>
      <c r="F20" s="183">
        <f>SUM(D3:D38)+B40</f>
        <v>0</v>
      </c>
      <c r="G20" s="8">
        <v>0</v>
      </c>
      <c r="H20" s="18">
        <f>F20+G20</f>
        <v>0</v>
      </c>
      <c r="J20" s="13"/>
      <c r="O20" s="1" t="s">
        <v>264</v>
      </c>
      <c r="P20" s="75">
        <v>19990</v>
      </c>
      <c r="Q20" s="58" t="s">
        <v>513</v>
      </c>
      <c r="R20" t="s">
        <v>358</v>
      </c>
      <c r="S20" t="s">
        <v>545</v>
      </c>
    </row>
    <row r="21" spans="1:19" x14ac:dyDescent="0.25">
      <c r="A21" s="1" t="s">
        <v>733</v>
      </c>
      <c r="B21" s="6">
        <v>45000</v>
      </c>
      <c r="C21" s="3">
        <f>30382+14618</f>
        <v>45000</v>
      </c>
      <c r="D21" s="1">
        <f t="shared" si="1"/>
        <v>0</v>
      </c>
      <c r="E21" s="144"/>
      <c r="F21" s="5"/>
      <c r="G21" s="5"/>
      <c r="H21" s="5"/>
      <c r="L21" s="96"/>
      <c r="M21" s="157"/>
      <c r="O21" s="1" t="s">
        <v>265</v>
      </c>
      <c r="P21" s="75">
        <v>41990</v>
      </c>
      <c r="Q21" s="58" t="s">
        <v>513</v>
      </c>
      <c r="R21" t="s">
        <v>512</v>
      </c>
      <c r="S21" t="s">
        <v>55</v>
      </c>
    </row>
    <row r="22" spans="1:19" x14ac:dyDescent="0.25">
      <c r="A22" s="1" t="s">
        <v>462</v>
      </c>
      <c r="B22" s="7">
        <v>120000</v>
      </c>
      <c r="C22" s="3">
        <v>120000</v>
      </c>
      <c r="D22" s="1">
        <f t="shared" si="1"/>
        <v>0</v>
      </c>
      <c r="E22" s="25" t="s">
        <v>359</v>
      </c>
      <c r="F22" s="5"/>
      <c r="G22" s="5"/>
      <c r="H22" s="5"/>
      <c r="J22" s="12"/>
      <c r="L22" s="171"/>
      <c r="O22" s="1" t="s">
        <v>266</v>
      </c>
      <c r="P22" s="75"/>
      <c r="Q22" s="58"/>
      <c r="S22" s="78"/>
    </row>
    <row r="23" spans="1:19" ht="15.75" thickBot="1" x14ac:dyDescent="0.3">
      <c r="A23" s="8" t="s">
        <v>684</v>
      </c>
      <c r="B23" s="7">
        <v>35500</v>
      </c>
      <c r="C23" s="9">
        <f>1220+1000+610+610+1000+610+1000+510+3260+610+3000+1610+460+2000+610+1000+510+610+510+5000+2000+610+610+610+510+3000+1120+610+690</f>
        <v>35500</v>
      </c>
      <c r="D23" s="1">
        <f t="shared" si="1"/>
        <v>0</v>
      </c>
      <c r="E23" s="5"/>
      <c r="F23" s="44"/>
      <c r="G23" s="43"/>
      <c r="H23" s="5"/>
      <c r="I23" t="s">
        <v>31</v>
      </c>
      <c r="J23" s="13">
        <f>G17-SUM(D20,D4,D5,D6,D7,D22,D9,D10,D24,D12,D25,D26,D13,D27,D14,D28,D16,D33,D34,D37,D19)</f>
        <v>0</v>
      </c>
      <c r="L23" s="147" t="s">
        <v>65</v>
      </c>
      <c r="M23" s="148">
        <f>SUM(M16:M22)</f>
        <v>289665</v>
      </c>
      <c r="N23" s="10"/>
      <c r="O23" s="1" t="s">
        <v>267</v>
      </c>
      <c r="P23" s="75">
        <v>20990</v>
      </c>
      <c r="Q23" s="58" t="s">
        <v>513</v>
      </c>
      <c r="R23" t="s">
        <v>536</v>
      </c>
      <c r="S23" t="s">
        <v>76</v>
      </c>
    </row>
    <row r="24" spans="1:19" x14ac:dyDescent="0.25">
      <c r="A24" s="1" t="s">
        <v>689</v>
      </c>
      <c r="B24" s="6">
        <v>50000</v>
      </c>
      <c r="C24" s="3">
        <f>43920+6080</f>
        <v>50000</v>
      </c>
      <c r="D24" s="1">
        <f t="shared" si="1"/>
        <v>0</v>
      </c>
      <c r="E24" s="5" t="s">
        <v>727</v>
      </c>
      <c r="F24" s="5"/>
      <c r="G24" s="5"/>
      <c r="H24" s="5"/>
      <c r="M24" s="95"/>
      <c r="O24" s="1" t="s">
        <v>270</v>
      </c>
      <c r="P24" s="75"/>
      <c r="Q24" s="58"/>
    </row>
    <row r="25" spans="1:19" x14ac:dyDescent="0.25">
      <c r="A25" s="6" t="s">
        <v>156</v>
      </c>
      <c r="B25" s="1">
        <v>40000</v>
      </c>
      <c r="C25" s="3">
        <v>40000</v>
      </c>
      <c r="D25" s="1">
        <f t="shared" si="1"/>
        <v>0</v>
      </c>
      <c r="E25" s="5" t="s">
        <v>575</v>
      </c>
      <c r="F25" s="62" t="s">
        <v>89</v>
      </c>
      <c r="G25" s="85">
        <f>SUM(G26:G28)</f>
        <v>5636408</v>
      </c>
      <c r="H25" s="61"/>
      <c r="L25" s="189" t="s">
        <v>694</v>
      </c>
      <c r="O25" s="1" t="s">
        <v>271</v>
      </c>
      <c r="P25" s="75">
        <v>17990</v>
      </c>
      <c r="Q25" s="58" t="s">
        <v>513</v>
      </c>
      <c r="R25" t="s">
        <v>535</v>
      </c>
      <c r="S25" t="s">
        <v>76</v>
      </c>
    </row>
    <row r="26" spans="1:19" x14ac:dyDescent="0.25">
      <c r="A26" s="6" t="s">
        <v>331</v>
      </c>
      <c r="B26" s="6">
        <v>1000000</v>
      </c>
      <c r="C26" s="3">
        <v>1000000</v>
      </c>
      <c r="D26" s="1">
        <f t="shared" si="1"/>
        <v>0</v>
      </c>
      <c r="E26" s="5" t="s">
        <v>647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L26" s="1" t="s">
        <v>704</v>
      </c>
      <c r="M26" s="200">
        <v>-20000</v>
      </c>
      <c r="O26" s="1" t="s">
        <v>268</v>
      </c>
      <c r="P26" s="75">
        <f>25390+3990</f>
        <v>29380</v>
      </c>
      <c r="Q26" s="58" t="s">
        <v>513</v>
      </c>
      <c r="R26" t="s">
        <v>519</v>
      </c>
      <c r="S26" s="44" t="s">
        <v>76</v>
      </c>
    </row>
    <row r="27" spans="1:19" x14ac:dyDescent="0.25">
      <c r="A27" s="3" t="s">
        <v>288</v>
      </c>
      <c r="B27" s="6">
        <v>55000</v>
      </c>
      <c r="C27" s="3">
        <f>15000+40000</f>
        <v>55000</v>
      </c>
      <c r="D27" s="1">
        <f t="shared" si="1"/>
        <v>0</v>
      </c>
      <c r="E27" s="5" t="s">
        <v>636</v>
      </c>
      <c r="F27" s="8" t="s">
        <v>97</v>
      </c>
      <c r="G27" s="89">
        <f>AHRROS!B9</f>
        <v>5636408</v>
      </c>
      <c r="H27" s="8"/>
      <c r="I27" t="s">
        <v>105</v>
      </c>
      <c r="J27" s="74">
        <f>'Colegio Agus'!K7-G25</f>
        <v>602221.37200000044</v>
      </c>
      <c r="L27" s="1" t="s">
        <v>728</v>
      </c>
      <c r="M27" s="200">
        <v>1435</v>
      </c>
      <c r="O27" s="1" t="s">
        <v>269</v>
      </c>
      <c r="P27" s="75">
        <v>24490</v>
      </c>
      <c r="Q27" s="58" t="s">
        <v>513</v>
      </c>
      <c r="R27" t="s">
        <v>520</v>
      </c>
      <c r="S27" t="s">
        <v>55</v>
      </c>
    </row>
    <row r="28" spans="1:19" x14ac:dyDescent="0.25">
      <c r="A28" s="1" t="s">
        <v>426</v>
      </c>
      <c r="B28" s="7">
        <v>40000</v>
      </c>
      <c r="C28" s="3">
        <f>40000</f>
        <v>40000</v>
      </c>
      <c r="D28" s="1">
        <f t="shared" si="1"/>
        <v>0</v>
      </c>
      <c r="E28" s="5"/>
      <c r="F28" s="8" t="s">
        <v>91</v>
      </c>
      <c r="G28" s="89">
        <v>0</v>
      </c>
      <c r="H28" s="8"/>
      <c r="I28" t="s">
        <v>106</v>
      </c>
      <c r="J28">
        <v>7</v>
      </c>
      <c r="K28" t="s">
        <v>662</v>
      </c>
      <c r="L28" s="1" t="s">
        <v>729</v>
      </c>
      <c r="M28" s="200">
        <v>8400</v>
      </c>
      <c r="O28" s="1" t="s">
        <v>273</v>
      </c>
      <c r="P28" s="75"/>
      <c r="Q28" s="58"/>
      <c r="S28" t="s">
        <v>76</v>
      </c>
    </row>
    <row r="29" spans="1:19" x14ac:dyDescent="0.25">
      <c r="A29" s="1" t="s">
        <v>687</v>
      </c>
      <c r="B29" s="7">
        <v>40000</v>
      </c>
      <c r="C29" s="3">
        <f>8400+5000+26600</f>
        <v>40000</v>
      </c>
      <c r="D29" s="1">
        <f t="shared" si="1"/>
        <v>0</v>
      </c>
      <c r="E29" s="5" t="s">
        <v>657</v>
      </c>
      <c r="F29" s="5"/>
      <c r="G29" s="5"/>
      <c r="H29" s="5"/>
      <c r="I29" t="s">
        <v>107</v>
      </c>
      <c r="J29" s="74">
        <f>J27/J28</f>
        <v>86031.624571428634</v>
      </c>
      <c r="L29" s="1" t="s">
        <v>730</v>
      </c>
      <c r="M29" s="200">
        <v>209850</v>
      </c>
      <c r="O29" s="1" t="s">
        <v>274</v>
      </c>
      <c r="P29" s="75">
        <f>11992+1459</f>
        <v>13451</v>
      </c>
      <c r="Q29" s="58" t="s">
        <v>511</v>
      </c>
      <c r="R29" t="s">
        <v>541</v>
      </c>
      <c r="S29" t="s">
        <v>542</v>
      </c>
    </row>
    <row r="30" spans="1:19" x14ac:dyDescent="0.25">
      <c r="A30" s="1" t="s">
        <v>63</v>
      </c>
      <c r="B30" s="7">
        <f>120000+12929</f>
        <v>132929</v>
      </c>
      <c r="C30" s="3">
        <f>4077+520+3000+1890+6716+2700+16075+13000+42781+15976+6579+382+6304+12929</f>
        <v>132929</v>
      </c>
      <c r="D30" s="1">
        <f t="shared" si="1"/>
        <v>0</v>
      </c>
      <c r="E30" s="5">
        <v>85000</v>
      </c>
      <c r="F30" s="5"/>
      <c r="G30" s="5"/>
      <c r="H30" s="5"/>
      <c r="L30" s="1" t="s">
        <v>731</v>
      </c>
      <c r="M30" s="200">
        <v>1400</v>
      </c>
      <c r="O30" s="1" t="s">
        <v>278</v>
      </c>
      <c r="P30" s="75"/>
      <c r="Q30" s="58"/>
      <c r="S30" t="s">
        <v>76</v>
      </c>
    </row>
    <row r="31" spans="1:19" x14ac:dyDescent="0.25">
      <c r="A31" s="1" t="s">
        <v>27</v>
      </c>
      <c r="B31" s="7">
        <f>8800</f>
        <v>8800</v>
      </c>
      <c r="C31" s="3">
        <v>8800</v>
      </c>
      <c r="D31" s="1">
        <f t="shared" si="1"/>
        <v>0</v>
      </c>
      <c r="E31" s="5">
        <v>8800</v>
      </c>
      <c r="F31" s="5"/>
      <c r="G31" s="5"/>
      <c r="H31" s="5"/>
      <c r="L31" s="1" t="s">
        <v>732</v>
      </c>
      <c r="M31" s="200">
        <v>9600</v>
      </c>
      <c r="O31" s="1" t="s">
        <v>521</v>
      </c>
      <c r="P31" s="75"/>
      <c r="Q31" s="58"/>
    </row>
    <row r="32" spans="1:19" x14ac:dyDescent="0.25">
      <c r="A32" s="6" t="s">
        <v>659</v>
      </c>
      <c r="B32" s="6">
        <v>0</v>
      </c>
      <c r="C32" s="3"/>
      <c r="D32" s="1">
        <f t="shared" si="1"/>
        <v>0</v>
      </c>
      <c r="E32" s="5"/>
      <c r="F32" s="5"/>
      <c r="G32" s="5"/>
      <c r="H32" s="5"/>
      <c r="L32" s="1" t="s">
        <v>734</v>
      </c>
      <c r="M32" s="200">
        <v>73980</v>
      </c>
      <c r="O32" s="47" t="s">
        <v>509</v>
      </c>
      <c r="P32" s="75">
        <f>18890+7990</f>
        <v>26880</v>
      </c>
      <c r="Q32" t="s">
        <v>513</v>
      </c>
      <c r="R32" s="58" t="s">
        <v>517</v>
      </c>
      <c r="S32" t="s">
        <v>55</v>
      </c>
    </row>
    <row r="33" spans="1:19" x14ac:dyDescent="0.25">
      <c r="A33" s="61" t="s">
        <v>413</v>
      </c>
      <c r="B33" s="6">
        <v>15000</v>
      </c>
      <c r="C33" s="3">
        <v>15000</v>
      </c>
      <c r="D33" s="1">
        <f t="shared" si="1"/>
        <v>0</v>
      </c>
      <c r="E33" s="5" t="s">
        <v>577</v>
      </c>
      <c r="F33" s="5"/>
      <c r="G33" s="5"/>
      <c r="H33" s="5"/>
      <c r="L33" s="1" t="s">
        <v>258</v>
      </c>
      <c r="M33" s="200">
        <v>-20000</v>
      </c>
      <c r="O33" s="47" t="s">
        <v>538</v>
      </c>
      <c r="P33" s="75">
        <f>7992+1460</f>
        <v>9452</v>
      </c>
      <c r="Q33" s="58" t="s">
        <v>511</v>
      </c>
      <c r="R33" t="s">
        <v>539</v>
      </c>
      <c r="S33" t="s">
        <v>540</v>
      </c>
    </row>
    <row r="34" spans="1:19" x14ac:dyDescent="0.25">
      <c r="A34" s="1" t="s">
        <v>79</v>
      </c>
      <c r="B34" s="6">
        <v>32000</v>
      </c>
      <c r="C34" s="3">
        <v>32000</v>
      </c>
      <c r="D34" s="1">
        <f t="shared" si="1"/>
        <v>0</v>
      </c>
      <c r="E34" t="s">
        <v>582</v>
      </c>
      <c r="F34" s="5"/>
      <c r="G34" s="5"/>
      <c r="H34" s="5"/>
      <c r="L34" s="1"/>
      <c r="M34" s="1"/>
      <c r="O34" s="47"/>
    </row>
    <row r="35" spans="1:19" ht="15.75" thickBot="1" x14ac:dyDescent="0.3">
      <c r="A35" s="1" t="s">
        <v>640</v>
      </c>
      <c r="B35" s="6"/>
      <c r="C35" s="3"/>
      <c r="D35" s="1">
        <f t="shared" si="1"/>
        <v>0</v>
      </c>
      <c r="E35" t="s">
        <v>328</v>
      </c>
      <c r="F35" s="5"/>
      <c r="G35" s="5"/>
      <c r="H35" s="5"/>
      <c r="L35" s="1"/>
      <c r="M35" s="1"/>
      <c r="O35" s="47"/>
    </row>
    <row r="36" spans="1:19" ht="15.75" thickBot="1" x14ac:dyDescent="0.3">
      <c r="A36" s="96" t="s">
        <v>690</v>
      </c>
      <c r="B36" s="6">
        <v>0</v>
      </c>
      <c r="C36" s="3"/>
      <c r="D36" s="1">
        <f t="shared" si="1"/>
        <v>0</v>
      </c>
      <c r="E36" s="5" t="s">
        <v>313</v>
      </c>
      <c r="F36" s="5"/>
      <c r="G36" s="17"/>
      <c r="H36" s="5" t="s">
        <v>26</v>
      </c>
      <c r="L36" s="1"/>
      <c r="M36" s="1"/>
      <c r="O36" s="1" t="s">
        <v>65</v>
      </c>
      <c r="P36" s="75">
        <f>SUM(P14:P33)</f>
        <v>364284</v>
      </c>
    </row>
    <row r="37" spans="1:19" x14ac:dyDescent="0.25">
      <c r="A37" s="1" t="s">
        <v>745</v>
      </c>
      <c r="B37" s="47">
        <f>42228</f>
        <v>42228</v>
      </c>
      <c r="C37" s="3">
        <v>42228</v>
      </c>
      <c r="D37" s="1">
        <f>B36-C36</f>
        <v>0</v>
      </c>
      <c r="E37" s="5"/>
      <c r="F37" s="5"/>
      <c r="G37" s="5"/>
      <c r="H37" s="5"/>
      <c r="L37" s="1"/>
      <c r="M37" s="1"/>
      <c r="O37" s="84"/>
      <c r="P37" s="74"/>
    </row>
    <row r="38" spans="1:19" ht="15.75" thickBot="1" x14ac:dyDescent="0.3">
      <c r="A38" s="1"/>
      <c r="B38" s="47"/>
      <c r="C38" s="3"/>
      <c r="D38" s="1"/>
      <c r="E38" s="5"/>
      <c r="F38" s="5"/>
      <c r="G38" s="5"/>
      <c r="H38" s="5"/>
      <c r="J38">
        <f>2752586</f>
        <v>2752586</v>
      </c>
      <c r="L38" s="1"/>
      <c r="M38" s="1"/>
      <c r="O38" s="47"/>
      <c r="P38" s="74"/>
    </row>
    <row r="39" spans="1:19" x14ac:dyDescent="0.25">
      <c r="A39" s="2" t="s">
        <v>1</v>
      </c>
      <c r="B39" s="2">
        <f>SUM(B3:B38)</f>
        <v>3556069</v>
      </c>
      <c r="C39" s="2">
        <f>SUM(C3:C18)</f>
        <v>1188772</v>
      </c>
      <c r="D39" s="2">
        <f>SUM(D3:D38)</f>
        <v>0</v>
      </c>
      <c r="E39" s="5"/>
      <c r="F39" s="5"/>
      <c r="G39" s="5"/>
      <c r="H39" s="5"/>
      <c r="J39">
        <f>574857</f>
        <v>574857</v>
      </c>
      <c r="L39" s="1"/>
      <c r="M39" s="1"/>
      <c r="O39" s="83" t="s">
        <v>279</v>
      </c>
      <c r="P39" s="79"/>
    </row>
    <row r="40" spans="1:19" x14ac:dyDescent="0.25">
      <c r="A40" s="2" t="s">
        <v>2</v>
      </c>
      <c r="B40" s="181">
        <f>B2-B39</f>
        <v>0</v>
      </c>
      <c r="C40" s="2">
        <f>C2-C39</f>
        <v>2367297</v>
      </c>
      <c r="D40" s="2"/>
      <c r="E40" s="5"/>
      <c r="F40" s="5"/>
      <c r="G40" s="5"/>
      <c r="H40" s="5"/>
      <c r="J40">
        <f>J38-J39</f>
        <v>2177729</v>
      </c>
      <c r="L40" s="2"/>
      <c r="M40" s="2"/>
      <c r="O40" s="80" t="s">
        <v>507</v>
      </c>
      <c r="P40" s="81">
        <v>29990</v>
      </c>
    </row>
    <row r="41" spans="1:19" x14ac:dyDescent="0.25">
      <c r="D41">
        <f>SUM(D3:D38)</f>
        <v>0</v>
      </c>
      <c r="E41" s="5"/>
      <c r="L41" s="149" t="s">
        <v>9</v>
      </c>
      <c r="M41" s="149">
        <f>SUM(M26:M40)</f>
        <v>264665</v>
      </c>
      <c r="O41" s="1" t="s">
        <v>277</v>
      </c>
      <c r="P41" s="81">
        <f>7490*2</f>
        <v>14980</v>
      </c>
      <c r="Q41" t="s">
        <v>515</v>
      </c>
      <c r="S41" t="s">
        <v>516</v>
      </c>
    </row>
    <row r="42" spans="1:19" x14ac:dyDescent="0.25">
      <c r="E42" s="204" t="s">
        <v>696</v>
      </c>
      <c r="F42" s="204"/>
      <c r="G42" s="204"/>
      <c r="O42" s="1"/>
      <c r="P42" s="81"/>
    </row>
    <row r="43" spans="1:19" x14ac:dyDescent="0.25">
      <c r="E43" s="193" t="s">
        <v>651</v>
      </c>
      <c r="F43" s="194" t="s">
        <v>109</v>
      </c>
      <c r="G43" s="194" t="s">
        <v>652</v>
      </c>
      <c r="O43" s="80" t="s">
        <v>523</v>
      </c>
      <c r="P43" s="81">
        <f>40000</f>
        <v>40000</v>
      </c>
      <c r="Q43" t="s">
        <v>525</v>
      </c>
      <c r="S43" t="s">
        <v>526</v>
      </c>
    </row>
    <row r="44" spans="1:19" x14ac:dyDescent="0.25">
      <c r="E44" s="1" t="str">
        <f>A3</f>
        <v>Supermercado</v>
      </c>
      <c r="F44" s="137">
        <f t="shared" ref="F44:G44" si="2">B3</f>
        <v>250000</v>
      </c>
      <c r="G44" s="137">
        <f t="shared" si="2"/>
        <v>250000</v>
      </c>
      <c r="O44" s="80" t="s">
        <v>534</v>
      </c>
      <c r="P44" s="81">
        <v>12490</v>
      </c>
      <c r="Q44" t="s">
        <v>532</v>
      </c>
    </row>
    <row r="45" spans="1:19" x14ac:dyDescent="0.25">
      <c r="E45" s="1" t="str">
        <f t="shared" ref="E45:E60" si="3">A4</f>
        <v xml:space="preserve">luz </v>
      </c>
      <c r="F45" s="137">
        <f t="shared" ref="F45:F60" si="4">B4</f>
        <v>24700</v>
      </c>
      <c r="G45" s="137">
        <f t="shared" ref="G45:G60" si="5">C4</f>
        <v>24700</v>
      </c>
      <c r="O45" s="80"/>
      <c r="P45" s="81"/>
    </row>
    <row r="46" spans="1:19" x14ac:dyDescent="0.25">
      <c r="E46" s="1" t="str">
        <f t="shared" si="3"/>
        <v>agua</v>
      </c>
      <c r="F46" s="137">
        <f t="shared" si="4"/>
        <v>7460</v>
      </c>
      <c r="G46" s="137">
        <f t="shared" si="5"/>
        <v>7460</v>
      </c>
      <c r="O46" s="80"/>
      <c r="P46" s="81"/>
    </row>
    <row r="47" spans="1:19" x14ac:dyDescent="0.25">
      <c r="E47" s="1" t="str">
        <f t="shared" si="3"/>
        <v>GG.CC + agua caliente</v>
      </c>
      <c r="F47" s="137">
        <f t="shared" si="4"/>
        <v>166232</v>
      </c>
      <c r="G47" s="137">
        <f t="shared" si="5"/>
        <v>166232</v>
      </c>
      <c r="O47" s="139" t="s">
        <v>9</v>
      </c>
      <c r="P47" s="140">
        <f>SUM(P40:P46)</f>
        <v>97460</v>
      </c>
    </row>
    <row r="48" spans="1:19" x14ac:dyDescent="0.25">
      <c r="E48" s="1" t="str">
        <f t="shared" si="3"/>
        <v xml:space="preserve">seguro </v>
      </c>
      <c r="F48" s="137">
        <f t="shared" si="4"/>
        <v>79293</v>
      </c>
      <c r="G48" s="137">
        <f t="shared" si="5"/>
        <v>79293</v>
      </c>
      <c r="O48" s="57" t="s">
        <v>510</v>
      </c>
      <c r="P48" s="81">
        <f>SUMIF(Q14:Q33,"EFECTIVO",P14:P33)</f>
        <v>78813</v>
      </c>
    </row>
    <row r="49" spans="5:16" ht="15.75" thickBot="1" x14ac:dyDescent="0.3">
      <c r="E49" s="1" t="str">
        <f t="shared" si="3"/>
        <v>Agustina</v>
      </c>
      <c r="F49" s="137">
        <f t="shared" si="4"/>
        <v>80000</v>
      </c>
      <c r="G49" s="137">
        <f t="shared" si="5"/>
        <v>80000</v>
      </c>
      <c r="O49" s="59"/>
      <c r="P49" s="82"/>
    </row>
    <row r="50" spans="5:16" x14ac:dyDescent="0.25">
      <c r="E50" s="1" t="str">
        <f t="shared" si="3"/>
        <v xml:space="preserve">cuota curso agus </v>
      </c>
      <c r="F50" s="137">
        <f t="shared" si="4"/>
        <v>0</v>
      </c>
      <c r="G50" s="137">
        <f t="shared" si="5"/>
        <v>0</v>
      </c>
      <c r="P50" s="74"/>
    </row>
    <row r="51" spans="5:16" x14ac:dyDescent="0.25">
      <c r="E51" s="1" t="str">
        <f t="shared" si="3"/>
        <v>Teléfono</v>
      </c>
      <c r="F51" s="137">
        <f t="shared" si="4"/>
        <v>15988</v>
      </c>
      <c r="G51" s="137">
        <f t="shared" si="5"/>
        <v>15988</v>
      </c>
      <c r="O51" s="10" t="s">
        <v>92</v>
      </c>
      <c r="P51" s="77">
        <f>SUM(P14:P33)</f>
        <v>364284</v>
      </c>
    </row>
    <row r="52" spans="5:16" x14ac:dyDescent="0.25">
      <c r="E52" s="1" t="str">
        <f t="shared" si="3"/>
        <v>Feria/huevos/frutos secos</v>
      </c>
      <c r="F52" s="137">
        <f t="shared" si="4"/>
        <v>25000</v>
      </c>
      <c r="G52" s="137">
        <f t="shared" si="5"/>
        <v>25000</v>
      </c>
      <c r="O52" s="10"/>
      <c r="P52" s="77"/>
    </row>
    <row r="53" spans="5:16" x14ac:dyDescent="0.25">
      <c r="E53" s="1" t="str">
        <f t="shared" si="3"/>
        <v>frenillos agus</v>
      </c>
      <c r="F53" s="137">
        <f t="shared" si="4"/>
        <v>25000</v>
      </c>
      <c r="G53" s="137">
        <f t="shared" si="5"/>
        <v>25000</v>
      </c>
      <c r="O53" s="10" t="s">
        <v>93</v>
      </c>
      <c r="P53" s="77">
        <f>P13-P51</f>
        <v>80156</v>
      </c>
    </row>
    <row r="54" spans="5:16" x14ac:dyDescent="0.25">
      <c r="E54" s="1" t="str">
        <f t="shared" si="3"/>
        <v>TAG</v>
      </c>
      <c r="F54" s="137">
        <f t="shared" si="4"/>
        <v>77327</v>
      </c>
      <c r="G54" s="137">
        <f t="shared" si="5"/>
        <v>77327</v>
      </c>
      <c r="O54" s="10"/>
      <c r="P54" s="77"/>
    </row>
    <row r="55" spans="5:16" x14ac:dyDescent="0.25">
      <c r="E55" s="1" t="str">
        <f t="shared" si="3"/>
        <v>cumple agus (sep) / rev tecnica (AGO)</v>
      </c>
      <c r="F55" s="137">
        <f t="shared" si="4"/>
        <v>0</v>
      </c>
      <c r="G55" s="137">
        <f t="shared" si="5"/>
        <v>0</v>
      </c>
      <c r="O55" s="10" t="s">
        <v>94</v>
      </c>
      <c r="P55" s="77">
        <f>P13-SUMIF(Q14:Q33,"GIFTCARD",P14:P33)-SUM(P40:P46)</f>
        <v>61509</v>
      </c>
    </row>
    <row r="56" spans="5:16" x14ac:dyDescent="0.25">
      <c r="E56" s="1" t="str">
        <f t="shared" si="3"/>
        <v xml:space="preserve">viajes - paseos - salidas  </v>
      </c>
      <c r="F56" s="137">
        <f t="shared" si="4"/>
        <v>100000</v>
      </c>
      <c r="G56" s="137">
        <f t="shared" si="5"/>
        <v>100000</v>
      </c>
    </row>
    <row r="57" spans="5:16" x14ac:dyDescent="0.25">
      <c r="E57" s="1" t="str">
        <f t="shared" si="3"/>
        <v>Bencina</v>
      </c>
      <c r="F57" s="137">
        <f t="shared" si="4"/>
        <v>77772</v>
      </c>
      <c r="G57" s="137">
        <f t="shared" si="5"/>
        <v>77772</v>
      </c>
      <c r="O57" t="s">
        <v>99</v>
      </c>
      <c r="P57" s="78">
        <f>P55-G6</f>
        <v>60319</v>
      </c>
    </row>
    <row r="58" spans="5:16" x14ac:dyDescent="0.25">
      <c r="E58" s="1" t="str">
        <f t="shared" si="3"/>
        <v>carga metro - movilizacion-agus</v>
      </c>
      <c r="F58" s="137">
        <f t="shared" si="4"/>
        <v>20000</v>
      </c>
      <c r="G58" s="137">
        <f t="shared" si="5"/>
        <v>20000</v>
      </c>
    </row>
    <row r="59" spans="5:16" x14ac:dyDescent="0.25">
      <c r="E59" s="1" t="str">
        <f t="shared" si="3"/>
        <v>extras (pedidos-salidas- etc)</v>
      </c>
      <c r="F59" s="137">
        <f t="shared" si="4"/>
        <v>240000</v>
      </c>
      <c r="G59" s="137">
        <f t="shared" si="5"/>
        <v>240000</v>
      </c>
    </row>
    <row r="60" spans="5:16" x14ac:dyDescent="0.25">
      <c r="E60" s="1" t="str">
        <f t="shared" si="3"/>
        <v>Casa (cyber)</v>
      </c>
      <c r="F60" s="137">
        <f t="shared" si="4"/>
        <v>59990</v>
      </c>
      <c r="G60" s="137">
        <f t="shared" si="5"/>
        <v>59990</v>
      </c>
    </row>
    <row r="61" spans="5:16" x14ac:dyDescent="0.25">
      <c r="E61" s="1" t="s">
        <v>606</v>
      </c>
      <c r="F61" s="137">
        <v>38000</v>
      </c>
      <c r="G61" s="137">
        <v>38000</v>
      </c>
    </row>
    <row r="62" spans="5:16" x14ac:dyDescent="0.25">
      <c r="E62" s="2" t="s">
        <v>645</v>
      </c>
      <c r="F62" s="90">
        <f>SUM(F44:F60)</f>
        <v>1248762</v>
      </c>
      <c r="G62" s="90">
        <f>SUM(G44:G61)</f>
        <v>1286762</v>
      </c>
    </row>
    <row r="63" spans="5:16" x14ac:dyDescent="0.25">
      <c r="E63" s="1"/>
      <c r="F63" s="137"/>
      <c r="G63" s="137"/>
    </row>
    <row r="64" spans="5:16" x14ac:dyDescent="0.25">
      <c r="E64" s="149" t="s">
        <v>666</v>
      </c>
      <c r="F64" s="150">
        <f>F62/2</f>
        <v>624381</v>
      </c>
      <c r="G64" s="150">
        <f>G62/2</f>
        <v>643381</v>
      </c>
    </row>
    <row r="66" spans="5:7" x14ac:dyDescent="0.25">
      <c r="E66" s="1" t="s">
        <v>665</v>
      </c>
      <c r="F66" s="137"/>
      <c r="G66" s="137"/>
    </row>
    <row r="67" spans="5:7" x14ac:dyDescent="0.25">
      <c r="E67" s="1"/>
      <c r="F67" s="137"/>
      <c r="G67" s="137"/>
    </row>
    <row r="68" spans="5:7" x14ac:dyDescent="0.25">
      <c r="E68" t="s">
        <v>669</v>
      </c>
      <c r="F68" s="111"/>
      <c r="G68" s="111">
        <f>M41</f>
        <v>264665</v>
      </c>
    </row>
    <row r="70" spans="5:7" x14ac:dyDescent="0.25">
      <c r="E70" s="149" t="s">
        <v>667</v>
      </c>
      <c r="F70" s="150"/>
      <c r="G70" s="150">
        <f>G64+SUM(G67:G69)</f>
        <v>908046</v>
      </c>
    </row>
  </sheetData>
  <mergeCells count="2">
    <mergeCell ref="F18:H18"/>
    <mergeCell ref="E42:G42"/>
  </mergeCells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Y70"/>
  <sheetViews>
    <sheetView tabSelected="1" topLeftCell="A16" zoomScale="80" zoomScaleNormal="80" workbookViewId="0">
      <selection activeCell="L25" sqref="L25:M41"/>
    </sheetView>
  </sheetViews>
  <sheetFormatPr baseColWidth="10" defaultColWidth="27" defaultRowHeight="15" x14ac:dyDescent="0.25"/>
  <cols>
    <col min="1" max="1" width="43.140625" bestFit="1" customWidth="1"/>
    <col min="2" max="2" width="12.140625" bestFit="1" customWidth="1"/>
    <col min="3" max="3" width="12" bestFit="1" customWidth="1"/>
    <col min="4" max="4" width="8.7109375" bestFit="1" customWidth="1"/>
    <col min="5" max="5" width="22.42578125" customWidth="1"/>
    <col min="6" max="6" width="25.5703125" bestFit="1" customWidth="1"/>
    <col min="7" max="7" width="12.28515625" bestFit="1" customWidth="1"/>
    <col min="8" max="8" width="20" bestFit="1" customWidth="1"/>
    <col min="9" max="9" width="10.5703125" customWidth="1"/>
    <col min="10" max="10" width="12.85546875" customWidth="1"/>
    <col min="11" max="11" width="8.5703125" bestFit="1" customWidth="1"/>
    <col min="12" max="12" width="28" bestFit="1" customWidth="1"/>
    <col min="13" max="13" width="10.28515625" bestFit="1" customWidth="1"/>
    <col min="14" max="14" width="5.5703125" customWidth="1"/>
    <col min="15" max="15" width="24.5703125" bestFit="1" customWidth="1"/>
    <col min="16" max="16" width="10.7109375" bestFit="1" customWidth="1"/>
    <col min="17" max="17" width="28" bestFit="1" customWidth="1"/>
    <col min="18" max="18" width="23.42578125" bestFit="1" customWidth="1"/>
    <col min="19" max="19" width="19.85546875" bestFit="1" customWidth="1"/>
    <col min="20" max="20" width="19.85546875" customWidth="1"/>
  </cols>
  <sheetData>
    <row r="1" spans="1:25" x14ac:dyDescent="0.25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f>820066-5000</f>
        <v>815066</v>
      </c>
      <c r="H1" s="11"/>
      <c r="I1" s="10"/>
      <c r="L1" s="168" t="s">
        <v>83</v>
      </c>
      <c r="M1" s="168"/>
      <c r="O1" s="10" t="s">
        <v>72</v>
      </c>
      <c r="T1">
        <v>1</v>
      </c>
      <c r="U1" t="s">
        <v>262</v>
      </c>
      <c r="V1" t="s">
        <v>749</v>
      </c>
      <c r="X1" t="s">
        <v>763</v>
      </c>
      <c r="Y1" t="s">
        <v>766</v>
      </c>
    </row>
    <row r="2" spans="1:25" x14ac:dyDescent="0.25">
      <c r="A2" s="2"/>
      <c r="B2" s="90">
        <f>3556920</f>
        <v>3556920</v>
      </c>
      <c r="C2" s="90">
        <f>3556920</f>
        <v>3556920</v>
      </c>
      <c r="D2" s="2"/>
      <c r="E2" s="4"/>
      <c r="F2" s="63" t="s">
        <v>73</v>
      </c>
      <c r="G2" s="88">
        <f>M13</f>
        <v>150307</v>
      </c>
      <c r="I2" s="132"/>
      <c r="L2" s="89" t="s">
        <v>81</v>
      </c>
      <c r="M2" s="89">
        <v>12150</v>
      </c>
      <c r="O2" s="10" t="s">
        <v>797</v>
      </c>
      <c r="P2">
        <v>36534</v>
      </c>
      <c r="T2">
        <v>2</v>
      </c>
      <c r="U2" t="s">
        <v>263</v>
      </c>
      <c r="V2" t="s">
        <v>750</v>
      </c>
      <c r="Y2" t="s">
        <v>767</v>
      </c>
    </row>
    <row r="3" spans="1:25" x14ac:dyDescent="0.25">
      <c r="A3" s="198" t="s">
        <v>0</v>
      </c>
      <c r="B3" s="6">
        <v>250000</v>
      </c>
      <c r="C3" s="3">
        <f>40490+19114+2790+7106+45045+25542+45500+12740+41990+9683</f>
        <v>250000</v>
      </c>
      <c r="D3" s="1">
        <f>B3-C3</f>
        <v>0</v>
      </c>
      <c r="E3" s="97">
        <v>230000</v>
      </c>
      <c r="F3" s="63" t="s">
        <v>130</v>
      </c>
      <c r="G3">
        <f>P11</f>
        <v>36534</v>
      </c>
      <c r="I3" s="74"/>
      <c r="L3" s="89" t="s">
        <v>128</v>
      </c>
      <c r="M3" s="89" t="s">
        <v>76</v>
      </c>
      <c r="O3" s="10"/>
      <c r="T3">
        <v>3</v>
      </c>
      <c r="U3" t="s">
        <v>751</v>
      </c>
      <c r="V3" t="s">
        <v>770</v>
      </c>
      <c r="X3" t="s">
        <v>764</v>
      </c>
      <c r="Y3" t="s">
        <v>768</v>
      </c>
    </row>
    <row r="4" spans="1:25" x14ac:dyDescent="0.25">
      <c r="A4" s="198" t="s">
        <v>128</v>
      </c>
      <c r="B4" s="6">
        <v>30200</v>
      </c>
      <c r="C4" s="3">
        <v>30200</v>
      </c>
      <c r="D4" s="1">
        <f t="shared" ref="D4:D37" si="0">B4-C4</f>
        <v>0</v>
      </c>
      <c r="E4" s="4"/>
      <c r="G4" s="121"/>
      <c r="H4" s="170"/>
      <c r="I4" s="78"/>
      <c r="L4" s="89" t="s">
        <v>287</v>
      </c>
      <c r="M4" s="89" t="s">
        <v>76</v>
      </c>
      <c r="O4" s="10"/>
      <c r="T4">
        <v>4</v>
      </c>
      <c r="U4" t="s">
        <v>752</v>
      </c>
      <c r="V4" t="s">
        <v>770</v>
      </c>
    </row>
    <row r="5" spans="1:25" x14ac:dyDescent="0.25">
      <c r="A5" s="198" t="s">
        <v>81</v>
      </c>
      <c r="B5" s="6">
        <v>9360</v>
      </c>
      <c r="C5" s="3">
        <v>9360</v>
      </c>
      <c r="D5" s="1">
        <f t="shared" si="0"/>
        <v>0</v>
      </c>
      <c r="E5" s="4"/>
      <c r="F5" s="4"/>
      <c r="G5" s="4"/>
      <c r="I5" s="78"/>
      <c r="J5" s="88">
        <v>161990</v>
      </c>
      <c r="L5" s="89" t="s">
        <v>427</v>
      </c>
      <c r="M5" s="89" t="s">
        <v>76</v>
      </c>
      <c r="O5" s="10"/>
      <c r="T5">
        <v>5</v>
      </c>
      <c r="U5" t="s">
        <v>241</v>
      </c>
      <c r="V5" t="s">
        <v>771</v>
      </c>
      <c r="X5" t="s">
        <v>765</v>
      </c>
      <c r="Y5" t="s">
        <v>749</v>
      </c>
    </row>
    <row r="6" spans="1:25" x14ac:dyDescent="0.25">
      <c r="A6" s="198" t="s">
        <v>86</v>
      </c>
      <c r="B6" s="7">
        <v>178238</v>
      </c>
      <c r="C6" s="3">
        <v>178238</v>
      </c>
      <c r="D6" s="1">
        <f t="shared" si="0"/>
        <v>0</v>
      </c>
      <c r="E6" s="4" t="s">
        <v>691</v>
      </c>
      <c r="G6" s="13"/>
      <c r="J6" s="145"/>
      <c r="L6" s="89" t="s">
        <v>681</v>
      </c>
      <c r="M6" s="89"/>
      <c r="O6" s="10"/>
      <c r="T6">
        <v>6</v>
      </c>
      <c r="U6" t="s">
        <v>753</v>
      </c>
      <c r="V6" t="s">
        <v>773</v>
      </c>
      <c r="Y6" t="s">
        <v>750</v>
      </c>
    </row>
    <row r="7" spans="1:25" x14ac:dyDescent="0.25">
      <c r="A7" s="198" t="s">
        <v>316</v>
      </c>
      <c r="B7" s="7">
        <v>80263</v>
      </c>
      <c r="C7" s="9">
        <v>80263</v>
      </c>
      <c r="D7" s="1">
        <f t="shared" si="0"/>
        <v>0</v>
      </c>
      <c r="E7" s="4"/>
      <c r="F7" s="63" t="s">
        <v>242</v>
      </c>
      <c r="G7" s="98">
        <f>M23</f>
        <v>426065</v>
      </c>
      <c r="J7" s="164"/>
      <c r="L7" s="89" t="s">
        <v>682</v>
      </c>
      <c r="M7" s="89">
        <v>137645</v>
      </c>
      <c r="N7" t="s">
        <v>747</v>
      </c>
      <c r="O7" s="10"/>
      <c r="T7">
        <v>7</v>
      </c>
      <c r="U7" t="s">
        <v>754</v>
      </c>
      <c r="V7" t="s">
        <v>774</v>
      </c>
      <c r="Y7" t="s">
        <v>770</v>
      </c>
    </row>
    <row r="8" spans="1:25" x14ac:dyDescent="0.25">
      <c r="A8" s="198" t="s">
        <v>11</v>
      </c>
      <c r="B8" s="7">
        <v>80000</v>
      </c>
      <c r="C8" s="3">
        <f>10484+1200+9000+12780+4422+10487+4000+19573+8054</f>
        <v>80000</v>
      </c>
      <c r="D8" s="1">
        <f t="shared" si="0"/>
        <v>0</v>
      </c>
      <c r="E8" s="5"/>
      <c r="F8" s="63"/>
      <c r="G8" s="195"/>
      <c r="I8" s="13"/>
      <c r="J8" s="177"/>
      <c r="L8" s="89" t="s">
        <v>791</v>
      </c>
      <c r="M8" s="137">
        <v>-26</v>
      </c>
      <c r="O8" s="10"/>
      <c r="T8">
        <v>8</v>
      </c>
      <c r="U8" t="s">
        <v>755</v>
      </c>
      <c r="V8" t="s">
        <v>756</v>
      </c>
      <c r="Y8" t="s">
        <v>770</v>
      </c>
    </row>
    <row r="9" spans="1:25" x14ac:dyDescent="0.25">
      <c r="A9" s="198" t="s">
        <v>498</v>
      </c>
      <c r="B9" s="7">
        <v>0</v>
      </c>
      <c r="C9" s="3"/>
      <c r="D9" s="1">
        <f t="shared" si="0"/>
        <v>0</v>
      </c>
      <c r="E9" t="s">
        <v>688</v>
      </c>
      <c r="F9" s="4" t="s">
        <v>16</v>
      </c>
      <c r="G9" s="4">
        <f>42000-25000</f>
        <v>17000</v>
      </c>
      <c r="J9" s="146"/>
      <c r="L9" s="1" t="s">
        <v>295</v>
      </c>
      <c r="M9" s="1" t="s">
        <v>76</v>
      </c>
      <c r="O9" s="10"/>
      <c r="T9">
        <v>9</v>
      </c>
      <c r="U9" t="s">
        <v>757</v>
      </c>
      <c r="V9" t="s">
        <v>758</v>
      </c>
      <c r="Y9" t="s">
        <v>771</v>
      </c>
    </row>
    <row r="10" spans="1:25" x14ac:dyDescent="0.25">
      <c r="A10" s="198" t="s">
        <v>240</v>
      </c>
      <c r="B10" s="6">
        <v>15988</v>
      </c>
      <c r="C10" s="3">
        <v>15988</v>
      </c>
      <c r="D10" s="1">
        <f t="shared" si="0"/>
        <v>0</v>
      </c>
      <c r="E10" s="133"/>
      <c r="I10" s="78"/>
      <c r="J10" s="199"/>
      <c r="L10" s="89" t="s">
        <v>798</v>
      </c>
      <c r="M10" s="1">
        <f>-11995-427</f>
        <v>-12422</v>
      </c>
      <c r="O10" s="10"/>
      <c r="T10">
        <v>10</v>
      </c>
      <c r="U10" t="s">
        <v>759</v>
      </c>
      <c r="V10" t="s">
        <v>769</v>
      </c>
      <c r="Y10" t="s">
        <v>773</v>
      </c>
    </row>
    <row r="11" spans="1:25" x14ac:dyDescent="0.25">
      <c r="A11" s="198" t="s">
        <v>591</v>
      </c>
      <c r="B11" s="6">
        <v>25000</v>
      </c>
      <c r="C11" s="3">
        <f>3354+4122+17302+222</f>
        <v>25000</v>
      </c>
      <c r="D11" s="1">
        <f t="shared" si="0"/>
        <v>0</v>
      </c>
      <c r="E11" s="5" t="s">
        <v>451</v>
      </c>
      <c r="F11" s="64" t="s">
        <v>639</v>
      </c>
      <c r="G11" s="44">
        <f>259000-40000-40000</f>
        <v>179000</v>
      </c>
      <c r="H11" s="4"/>
      <c r="L11" s="96" t="s">
        <v>800</v>
      </c>
      <c r="M11" s="157">
        <f>6480*2</f>
        <v>12960</v>
      </c>
      <c r="O11" s="10" t="s">
        <v>65</v>
      </c>
      <c r="P11">
        <f>SUM(P2:P10)</f>
        <v>36534</v>
      </c>
      <c r="T11">
        <v>11</v>
      </c>
      <c r="U11" t="s">
        <v>760</v>
      </c>
      <c r="V11" t="s">
        <v>761</v>
      </c>
      <c r="Y11" t="s">
        <v>774</v>
      </c>
    </row>
    <row r="12" spans="1:25" x14ac:dyDescent="0.25">
      <c r="A12" s="198" t="s">
        <v>161</v>
      </c>
      <c r="B12" s="7">
        <v>25000</v>
      </c>
      <c r="C12" s="9">
        <f>25000</f>
        <v>25000</v>
      </c>
      <c r="D12" s="1">
        <f t="shared" si="0"/>
        <v>0</v>
      </c>
      <c r="E12" s="5" t="s">
        <v>451</v>
      </c>
      <c r="F12" s="67" t="s">
        <v>75</v>
      </c>
      <c r="G12" s="13">
        <f>-42132-28000-28000-28000-28000+89468-28000-28000+89468-30000-30000-32000-32000-32000+181032-32000-32000</f>
        <v>-70164</v>
      </c>
      <c r="H12" s="4" t="s">
        <v>683</v>
      </c>
      <c r="L12" s="89"/>
      <c r="M12" s="89"/>
      <c r="Y12" t="s">
        <v>756</v>
      </c>
    </row>
    <row r="13" spans="1:25" ht="15.75" thickBot="1" x14ac:dyDescent="0.3">
      <c r="A13" s="198" t="s">
        <v>42</v>
      </c>
      <c r="B13" s="6">
        <v>60000</v>
      </c>
      <c r="C13" s="3">
        <f>3223+1316+15339+10000</f>
        <v>29878</v>
      </c>
      <c r="D13" s="1">
        <f t="shared" si="0"/>
        <v>30122</v>
      </c>
      <c r="E13" s="5" t="s">
        <v>492</v>
      </c>
      <c r="F13" s="4" t="s">
        <v>738</v>
      </c>
      <c r="G13" s="13">
        <f>-799217-643381-1000000-52701+1500000+48880+181110+911200+917396-1500000+1349863-500000+24106-780000-500000</f>
        <v>-842744</v>
      </c>
      <c r="H13" s="4"/>
      <c r="L13" s="149" t="s">
        <v>65</v>
      </c>
      <c r="M13" s="150">
        <f>SUM(M2:M12)</f>
        <v>150307</v>
      </c>
      <c r="O13" s="61" t="s">
        <v>259</v>
      </c>
      <c r="P13" s="76">
        <v>444440</v>
      </c>
      <c r="Q13" t="s">
        <v>95</v>
      </c>
      <c r="R13" t="s">
        <v>272</v>
      </c>
      <c r="S13" t="s">
        <v>530</v>
      </c>
      <c r="U13" t="s">
        <v>762</v>
      </c>
      <c r="Y13" t="s">
        <v>758</v>
      </c>
    </row>
    <row r="14" spans="1:25" x14ac:dyDescent="0.25">
      <c r="A14" s="198" t="s">
        <v>572</v>
      </c>
      <c r="B14" s="6">
        <v>0</v>
      </c>
      <c r="C14" s="3"/>
      <c r="D14" s="1">
        <f t="shared" si="0"/>
        <v>0</v>
      </c>
      <c r="E14" s="5" t="s">
        <v>592</v>
      </c>
      <c r="F14" s="4" t="s">
        <v>121</v>
      </c>
      <c r="G14" s="13">
        <v>0</v>
      </c>
      <c r="H14" s="10"/>
      <c r="J14" s="13"/>
      <c r="O14" s="1" t="s">
        <v>241</v>
      </c>
      <c r="P14" s="75" t="s">
        <v>76</v>
      </c>
      <c r="Q14" s="56" t="s">
        <v>76</v>
      </c>
      <c r="R14" t="s">
        <v>392</v>
      </c>
      <c r="S14" t="s">
        <v>55</v>
      </c>
      <c r="Y14" t="s">
        <v>769</v>
      </c>
    </row>
    <row r="15" spans="1:25" x14ac:dyDescent="0.25">
      <c r="A15" s="198" t="s">
        <v>802</v>
      </c>
      <c r="B15" s="7">
        <v>90000</v>
      </c>
      <c r="C15" s="3">
        <f>45245+40000+4755</f>
        <v>90000</v>
      </c>
      <c r="D15" s="1">
        <f t="shared" si="0"/>
        <v>0</v>
      </c>
      <c r="E15" s="5" t="s">
        <v>663</v>
      </c>
      <c r="F15" s="4" t="s">
        <v>416</v>
      </c>
      <c r="G15" s="88">
        <f>-8000-8000-8000-8000-8000-8000-8000-8000-8000-15000-15000-15000-15000-15000</f>
        <v>-147000</v>
      </c>
      <c r="H15" s="4"/>
      <c r="L15" s="61" t="s">
        <v>131</v>
      </c>
      <c r="M15" s="76" t="s">
        <v>132</v>
      </c>
      <c r="O15" s="1" t="s">
        <v>260</v>
      </c>
      <c r="P15" s="75">
        <v>35920</v>
      </c>
      <c r="Q15" s="58" t="s">
        <v>511</v>
      </c>
      <c r="R15" t="s">
        <v>543</v>
      </c>
      <c r="S15" s="78" t="s">
        <v>544</v>
      </c>
      <c r="T15" s="78"/>
      <c r="Y15" t="s">
        <v>761</v>
      </c>
    </row>
    <row r="16" spans="1:25" ht="15.75" thickBot="1" x14ac:dyDescent="0.3">
      <c r="A16" s="198" t="s">
        <v>3</v>
      </c>
      <c r="B16" s="6">
        <v>120000</v>
      </c>
      <c r="C16" s="3">
        <f>55857+64143</f>
        <v>120000</v>
      </c>
      <c r="D16" s="1">
        <f t="shared" si="0"/>
        <v>0</v>
      </c>
      <c r="E16" s="5">
        <v>140000</v>
      </c>
      <c r="F16" s="4" t="s">
        <v>129</v>
      </c>
      <c r="G16" s="87">
        <f>-82010-30000-40000-40000-40000-40000-40000</f>
        <v>-312010</v>
      </c>
      <c r="H16" s="4"/>
      <c r="J16" s="13"/>
      <c r="L16" s="67" t="s">
        <v>792</v>
      </c>
      <c r="M16" s="120">
        <f>48210/2</f>
        <v>24105</v>
      </c>
      <c r="O16" s="1" t="s">
        <v>261</v>
      </c>
      <c r="P16" s="75">
        <v>19990</v>
      </c>
      <c r="Q16" s="58" t="s">
        <v>511</v>
      </c>
      <c r="R16" t="s">
        <v>518</v>
      </c>
      <c r="S16" t="s">
        <v>55</v>
      </c>
    </row>
    <row r="17" spans="1:24" ht="15.75" thickBot="1" x14ac:dyDescent="0.3">
      <c r="A17" s="198" t="s">
        <v>676</v>
      </c>
      <c r="B17" s="6">
        <v>21000</v>
      </c>
      <c r="C17" s="3">
        <v>21000</v>
      </c>
      <c r="D17" s="1">
        <f t="shared" si="0"/>
        <v>0</v>
      </c>
      <c r="E17" s="5"/>
      <c r="F17" s="71" t="s">
        <v>12</v>
      </c>
      <c r="G17" s="72">
        <f>SUM(G1:G16)</f>
        <v>252054</v>
      </c>
      <c r="H17" s="16"/>
      <c r="J17" s="13"/>
      <c r="L17" s="8" t="s">
        <v>794</v>
      </c>
      <c r="M17" s="89">
        <f>780000-400000</f>
        <v>380000</v>
      </c>
      <c r="O17" s="1" t="s">
        <v>262</v>
      </c>
      <c r="P17" s="75">
        <v>39980</v>
      </c>
      <c r="Q17" s="58" t="s">
        <v>513</v>
      </c>
      <c r="R17" t="s">
        <v>524</v>
      </c>
      <c r="S17" t="s">
        <v>55</v>
      </c>
      <c r="X17" t="s">
        <v>772</v>
      </c>
    </row>
    <row r="18" spans="1:24" x14ac:dyDescent="0.25">
      <c r="A18" s="198" t="s">
        <v>736</v>
      </c>
      <c r="B18" s="1">
        <v>240000</v>
      </c>
      <c r="C18" s="9">
        <f>2800+5400+2780+22413+4080+7718-4731+9922+468+1500+10000+1000+6162+26500+7870+1450+6400+1363+19440+14000+93465</f>
        <v>240000</v>
      </c>
      <c r="D18" s="1">
        <f t="shared" si="0"/>
        <v>0</v>
      </c>
      <c r="E18" s="5"/>
      <c r="F18" s="201" t="s">
        <v>13</v>
      </c>
      <c r="G18" s="202"/>
      <c r="H18" s="203"/>
      <c r="J18" s="13"/>
      <c r="L18" s="96" t="s">
        <v>799</v>
      </c>
      <c r="M18" s="156">
        <f>6480*2</f>
        <v>12960</v>
      </c>
      <c r="O18" s="1" t="s">
        <v>263</v>
      </c>
      <c r="P18" s="75">
        <f>25990</f>
        <v>25990</v>
      </c>
      <c r="Q18" s="58" t="s">
        <v>513</v>
      </c>
      <c r="R18" t="s">
        <v>531</v>
      </c>
      <c r="S18" t="s">
        <v>55</v>
      </c>
    </row>
    <row r="19" spans="1:24" x14ac:dyDescent="0.25">
      <c r="A19" s="198" t="s">
        <v>673</v>
      </c>
      <c r="B19" s="182">
        <v>60000</v>
      </c>
      <c r="C19" s="3">
        <f>900+5382+6291+11980+12981+22466</f>
        <v>60000</v>
      </c>
      <c r="D19" s="1">
        <f t="shared" si="0"/>
        <v>0</v>
      </c>
      <c r="E19" s="5"/>
      <c r="F19" s="8" t="s">
        <v>7</v>
      </c>
      <c r="G19" s="8" t="s">
        <v>8</v>
      </c>
      <c r="H19" s="8" t="s">
        <v>9</v>
      </c>
      <c r="J19" s="13">
        <f>H20-G17</f>
        <v>0</v>
      </c>
      <c r="L19" s="96" t="s">
        <v>294</v>
      </c>
      <c r="M19" s="156">
        <f>M41</f>
        <v>9000</v>
      </c>
      <c r="O19" s="1" t="s">
        <v>43</v>
      </c>
      <c r="P19" s="75">
        <v>37791</v>
      </c>
      <c r="Q19" s="58" t="s">
        <v>513</v>
      </c>
      <c r="R19" t="s">
        <v>522</v>
      </c>
      <c r="S19" t="s">
        <v>55</v>
      </c>
    </row>
    <row r="20" spans="1:24" x14ac:dyDescent="0.25">
      <c r="A20" s="1" t="s">
        <v>62</v>
      </c>
      <c r="B20" s="6">
        <v>657732</v>
      </c>
      <c r="C20" s="3">
        <v>657732</v>
      </c>
      <c r="D20" s="1">
        <f t="shared" si="0"/>
        <v>0</v>
      </c>
      <c r="E20" s="4" t="s">
        <v>746</v>
      </c>
      <c r="F20" s="183">
        <f>SUM(D3:D38)+B40</f>
        <v>252054</v>
      </c>
      <c r="G20" s="8">
        <v>0</v>
      </c>
      <c r="H20" s="18">
        <f>F20+G20</f>
        <v>252054</v>
      </c>
      <c r="J20" s="13"/>
      <c r="O20" s="1" t="s">
        <v>264</v>
      </c>
      <c r="P20" s="75">
        <v>19990</v>
      </c>
      <c r="Q20" s="58" t="s">
        <v>513</v>
      </c>
      <c r="R20" t="s">
        <v>358</v>
      </c>
      <c r="S20" t="s">
        <v>545</v>
      </c>
    </row>
    <row r="21" spans="1:24" x14ac:dyDescent="0.25">
      <c r="A21" s="1" t="s">
        <v>740</v>
      </c>
      <c r="B21" s="6">
        <v>52792</v>
      </c>
      <c r="C21" s="3">
        <v>52792</v>
      </c>
      <c r="D21" s="1">
        <f t="shared" si="0"/>
        <v>0</v>
      </c>
      <c r="E21" s="144"/>
      <c r="F21" s="5"/>
      <c r="G21" s="5"/>
      <c r="H21" s="5"/>
      <c r="L21" s="96"/>
      <c r="M21" s="157"/>
      <c r="O21" s="1" t="s">
        <v>265</v>
      </c>
      <c r="P21" s="75">
        <v>41990</v>
      </c>
      <c r="Q21" s="58" t="s">
        <v>513</v>
      </c>
      <c r="R21" t="s">
        <v>512</v>
      </c>
      <c r="S21" t="s">
        <v>55</v>
      </c>
    </row>
    <row r="22" spans="1:24" x14ac:dyDescent="0.25">
      <c r="A22" s="1" t="s">
        <v>462</v>
      </c>
      <c r="B22" s="7">
        <v>120000</v>
      </c>
      <c r="C22" s="3">
        <v>120000</v>
      </c>
      <c r="D22" s="1">
        <f t="shared" si="0"/>
        <v>0</v>
      </c>
      <c r="E22" s="25" t="s">
        <v>359</v>
      </c>
      <c r="F22" s="5"/>
      <c r="G22" s="5"/>
      <c r="H22" s="5"/>
      <c r="J22" s="12"/>
      <c r="L22" s="171"/>
      <c r="O22" s="1" t="s">
        <v>266</v>
      </c>
      <c r="P22" s="75"/>
      <c r="Q22" s="58"/>
      <c r="S22" s="78"/>
      <c r="T22" s="78"/>
    </row>
    <row r="23" spans="1:24" ht="15.75" thickBot="1" x14ac:dyDescent="0.3">
      <c r="A23" s="8" t="s">
        <v>684</v>
      </c>
      <c r="B23" s="7">
        <v>33000</v>
      </c>
      <c r="C23" s="9">
        <f>510+610+610+1500+510+610+510+510+1000+610+610+6000+510+510+610+510+610+2000+610+610+510+1220</f>
        <v>21290</v>
      </c>
      <c r="D23" s="1">
        <f t="shared" si="0"/>
        <v>11710</v>
      </c>
      <c r="E23" s="5"/>
      <c r="F23" s="44"/>
      <c r="G23" s="43"/>
      <c r="H23" s="5"/>
      <c r="I23" t="s">
        <v>31</v>
      </c>
      <c r="J23" s="13">
        <f>G17-SUM(D20,D4,D5,D6,D7,D22,D9,D10,D24,D12,D25,D26,D13,D27,D14,D28,D16,D33,D34,D36,D19)</f>
        <v>221932</v>
      </c>
      <c r="L23" s="147" t="s">
        <v>65</v>
      </c>
      <c r="M23" s="148">
        <f>SUM(M16:M22)</f>
        <v>426065</v>
      </c>
      <c r="N23" s="10"/>
      <c r="O23" s="1" t="s">
        <v>267</v>
      </c>
      <c r="P23" s="75">
        <v>20990</v>
      </c>
      <c r="Q23" s="58" t="s">
        <v>513</v>
      </c>
      <c r="R23" t="s">
        <v>536</v>
      </c>
      <c r="S23" t="s">
        <v>76</v>
      </c>
    </row>
    <row r="24" spans="1:24" x14ac:dyDescent="0.25">
      <c r="A24" s="1" t="s">
        <v>741</v>
      </c>
      <c r="B24" s="6">
        <v>0</v>
      </c>
      <c r="C24" s="3"/>
      <c r="D24" s="1">
        <f t="shared" si="0"/>
        <v>0</v>
      </c>
      <c r="E24" s="5"/>
      <c r="F24" s="5"/>
      <c r="G24" s="5"/>
      <c r="H24" s="5"/>
      <c r="M24" s="95"/>
      <c r="O24" s="1" t="s">
        <v>270</v>
      </c>
      <c r="P24" s="75"/>
      <c r="Q24" s="58"/>
    </row>
    <row r="25" spans="1:24" x14ac:dyDescent="0.25">
      <c r="A25" s="6" t="s">
        <v>156</v>
      </c>
      <c r="B25" s="1">
        <v>40000</v>
      </c>
      <c r="C25" s="3">
        <v>40000</v>
      </c>
      <c r="D25" s="1">
        <f t="shared" si="0"/>
        <v>0</v>
      </c>
      <c r="E25" s="5" t="s">
        <v>575</v>
      </c>
      <c r="F25" s="62" t="s">
        <v>89</v>
      </c>
      <c r="G25" s="85">
        <f>SUM(G26:G28)</f>
        <v>5636408</v>
      </c>
      <c r="H25" s="61"/>
      <c r="L25" s="189" t="s">
        <v>694</v>
      </c>
      <c r="O25" s="1" t="s">
        <v>271</v>
      </c>
      <c r="P25" s="75">
        <v>17990</v>
      </c>
      <c r="Q25" s="58" t="s">
        <v>513</v>
      </c>
      <c r="R25" t="s">
        <v>535</v>
      </c>
      <c r="S25" t="s">
        <v>76</v>
      </c>
    </row>
    <row r="26" spans="1:24" x14ac:dyDescent="0.25">
      <c r="A26" s="6" t="s">
        <v>331</v>
      </c>
      <c r="B26" s="6">
        <v>1000000</v>
      </c>
      <c r="C26" s="3">
        <v>1000000</v>
      </c>
      <c r="D26" s="1">
        <f t="shared" si="0"/>
        <v>0</v>
      </c>
      <c r="E26" s="5" t="s">
        <v>647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L26" s="1" t="s">
        <v>795</v>
      </c>
      <c r="M26" s="1">
        <v>9000</v>
      </c>
      <c r="O26" s="1" t="s">
        <v>268</v>
      </c>
      <c r="P26" s="75">
        <f>25390+3990</f>
        <v>29380</v>
      </c>
      <c r="Q26" s="58" t="s">
        <v>513</v>
      </c>
      <c r="R26" t="s">
        <v>519</v>
      </c>
      <c r="S26" s="44" t="s">
        <v>76</v>
      </c>
      <c r="T26" s="44"/>
    </row>
    <row r="27" spans="1:24" x14ac:dyDescent="0.25">
      <c r="A27" s="3" t="s">
        <v>288</v>
      </c>
      <c r="B27" s="6">
        <v>55000</v>
      </c>
      <c r="C27" s="3">
        <f>40000+15000</f>
        <v>55000</v>
      </c>
      <c r="D27" s="1">
        <f t="shared" si="0"/>
        <v>0</v>
      </c>
      <c r="E27" s="5" t="s">
        <v>636</v>
      </c>
      <c r="F27" s="8" t="s">
        <v>97</v>
      </c>
      <c r="G27" s="89">
        <f>AHRROS!B9</f>
        <v>5636408</v>
      </c>
      <c r="H27" s="8"/>
      <c r="I27" t="s">
        <v>105</v>
      </c>
      <c r="J27" s="74">
        <f>'Colegio Agus'!K7-G25</f>
        <v>602221.37200000044</v>
      </c>
      <c r="L27" s="1"/>
      <c r="M27" s="1"/>
      <c r="O27" s="1" t="s">
        <v>269</v>
      </c>
      <c r="P27" s="75">
        <v>24490</v>
      </c>
      <c r="Q27" s="58" t="s">
        <v>513</v>
      </c>
      <c r="R27" t="s">
        <v>520</v>
      </c>
      <c r="S27" t="s">
        <v>55</v>
      </c>
    </row>
    <row r="28" spans="1:24" x14ac:dyDescent="0.25">
      <c r="A28" s="1" t="s">
        <v>426</v>
      </c>
      <c r="B28" s="7">
        <v>40000</v>
      </c>
      <c r="C28" s="3">
        <v>40000</v>
      </c>
      <c r="D28" s="1">
        <f t="shared" si="0"/>
        <v>0</v>
      </c>
      <c r="E28" s="5"/>
      <c r="F28" s="8" t="s">
        <v>91</v>
      </c>
      <c r="G28" s="89">
        <v>0</v>
      </c>
      <c r="H28" s="8"/>
      <c r="I28" t="s">
        <v>106</v>
      </c>
      <c r="J28">
        <v>6</v>
      </c>
      <c r="K28" t="s">
        <v>748</v>
      </c>
      <c r="L28" s="1"/>
      <c r="M28" s="1"/>
      <c r="O28" s="1" t="s">
        <v>273</v>
      </c>
      <c r="P28" s="75"/>
      <c r="Q28" s="58"/>
      <c r="S28" t="s">
        <v>76</v>
      </c>
    </row>
    <row r="29" spans="1:24" x14ac:dyDescent="0.25">
      <c r="A29" s="1" t="s">
        <v>742</v>
      </c>
      <c r="B29" s="7">
        <v>40000</v>
      </c>
      <c r="C29" s="3">
        <v>0</v>
      </c>
      <c r="D29" s="1">
        <f t="shared" si="0"/>
        <v>40000</v>
      </c>
      <c r="E29" s="5" t="s">
        <v>657</v>
      </c>
      <c r="F29" s="5"/>
      <c r="G29" s="5"/>
      <c r="H29" s="5"/>
      <c r="I29" t="s">
        <v>107</v>
      </c>
      <c r="J29" s="74">
        <f>J27/J28</f>
        <v>100370.22866666674</v>
      </c>
      <c r="L29" s="1"/>
      <c r="M29" s="1"/>
      <c r="O29" s="1" t="s">
        <v>274</v>
      </c>
      <c r="P29" s="75">
        <f>11992+1459</f>
        <v>13451</v>
      </c>
      <c r="Q29" s="58" t="s">
        <v>511</v>
      </c>
      <c r="R29" t="s">
        <v>541</v>
      </c>
      <c r="S29" t="s">
        <v>542</v>
      </c>
    </row>
    <row r="30" spans="1:24" x14ac:dyDescent="0.25">
      <c r="A30" s="1" t="s">
        <v>63</v>
      </c>
      <c r="B30" s="7">
        <v>124535</v>
      </c>
      <c r="C30" s="3">
        <f>26125-10000</f>
        <v>16125</v>
      </c>
      <c r="D30" s="1">
        <f t="shared" si="0"/>
        <v>108410</v>
      </c>
      <c r="E30" s="5">
        <v>85000</v>
      </c>
      <c r="F30" s="5"/>
      <c r="G30" s="5"/>
      <c r="H30" s="5"/>
      <c r="L30" s="1"/>
      <c r="M30" s="1"/>
      <c r="O30" s="1" t="s">
        <v>278</v>
      </c>
      <c r="P30" s="75"/>
      <c r="Q30" s="58"/>
      <c r="S30" t="s">
        <v>76</v>
      </c>
    </row>
    <row r="31" spans="1:24" x14ac:dyDescent="0.25">
      <c r="A31" s="1" t="s">
        <v>27</v>
      </c>
      <c r="B31" s="7">
        <f>8800</f>
        <v>8800</v>
      </c>
      <c r="C31" s="3">
        <v>0</v>
      </c>
      <c r="D31" s="1">
        <f t="shared" si="0"/>
        <v>8800</v>
      </c>
      <c r="E31" s="5">
        <v>8800</v>
      </c>
      <c r="F31" s="5"/>
      <c r="G31" s="5"/>
      <c r="H31" s="5"/>
      <c r="L31" s="1"/>
      <c r="M31" s="1"/>
      <c r="O31" s="1" t="s">
        <v>521</v>
      </c>
      <c r="P31" s="75"/>
      <c r="Q31" s="58"/>
    </row>
    <row r="32" spans="1:24" x14ac:dyDescent="0.25">
      <c r="A32" s="6" t="s">
        <v>659</v>
      </c>
      <c r="B32" s="6">
        <v>0</v>
      </c>
      <c r="C32" s="3"/>
      <c r="D32" s="1">
        <f t="shared" si="0"/>
        <v>0</v>
      </c>
      <c r="E32" s="5"/>
      <c r="F32" s="5"/>
      <c r="G32" s="5"/>
      <c r="H32" s="5"/>
      <c r="L32" s="1"/>
      <c r="M32" s="1"/>
      <c r="O32" s="47" t="s">
        <v>509</v>
      </c>
      <c r="P32" s="75">
        <f>18890+7990</f>
        <v>26880</v>
      </c>
      <c r="Q32" t="s">
        <v>513</v>
      </c>
      <c r="R32" s="58" t="s">
        <v>517</v>
      </c>
      <c r="S32" t="s">
        <v>55</v>
      </c>
    </row>
    <row r="33" spans="1:19" x14ac:dyDescent="0.25">
      <c r="A33" s="61" t="s">
        <v>413</v>
      </c>
      <c r="B33" s="6">
        <v>15000</v>
      </c>
      <c r="C33" s="3">
        <v>15000</v>
      </c>
      <c r="D33" s="1">
        <f t="shared" si="0"/>
        <v>0</v>
      </c>
      <c r="E33" s="5" t="s">
        <v>577</v>
      </c>
      <c r="F33" s="5"/>
      <c r="G33" s="5"/>
      <c r="H33" s="5"/>
      <c r="L33" s="1"/>
      <c r="M33" s="1"/>
      <c r="O33" s="47" t="s">
        <v>538</v>
      </c>
      <c r="P33" s="75">
        <f>7992+1460</f>
        <v>9452</v>
      </c>
      <c r="Q33" s="58" t="s">
        <v>511</v>
      </c>
      <c r="R33" t="s">
        <v>539</v>
      </c>
      <c r="S33" t="s">
        <v>540</v>
      </c>
    </row>
    <row r="34" spans="1:19" x14ac:dyDescent="0.25">
      <c r="A34" s="1" t="s">
        <v>79</v>
      </c>
      <c r="B34" s="6">
        <v>32000</v>
      </c>
      <c r="C34" s="3">
        <v>32000</v>
      </c>
      <c r="D34" s="1">
        <f t="shared" si="0"/>
        <v>0</v>
      </c>
      <c r="E34" t="s">
        <v>582</v>
      </c>
      <c r="F34" s="5"/>
      <c r="G34" s="5"/>
      <c r="H34" s="5"/>
      <c r="L34" s="1"/>
      <c r="M34" s="1"/>
      <c r="O34" s="47"/>
    </row>
    <row r="35" spans="1:19" ht="15.75" thickBot="1" x14ac:dyDescent="0.3">
      <c r="A35" s="1" t="s">
        <v>640</v>
      </c>
      <c r="B35" s="6"/>
      <c r="C35" s="3"/>
      <c r="D35" s="1">
        <f t="shared" si="0"/>
        <v>0</v>
      </c>
      <c r="E35" t="s">
        <v>328</v>
      </c>
      <c r="F35" s="5"/>
      <c r="G35" s="5"/>
      <c r="H35" s="5"/>
      <c r="L35" s="1"/>
      <c r="M35" s="1"/>
      <c r="O35" s="47"/>
    </row>
    <row r="36" spans="1:19" ht="15.75" thickBot="1" x14ac:dyDescent="0.3">
      <c r="A36" s="96" t="s">
        <v>690</v>
      </c>
      <c r="B36" s="6">
        <v>0</v>
      </c>
      <c r="C36" s="3"/>
      <c r="D36" s="1">
        <f t="shared" si="0"/>
        <v>0</v>
      </c>
      <c r="E36" s="5" t="s">
        <v>313</v>
      </c>
      <c r="F36" s="5"/>
      <c r="G36" s="17"/>
      <c r="H36" s="5" t="s">
        <v>26</v>
      </c>
      <c r="L36" s="1"/>
      <c r="M36" s="1"/>
      <c r="O36" s="1" t="s">
        <v>65</v>
      </c>
      <c r="P36" s="75">
        <f>SUM(P14:P33)</f>
        <v>364284</v>
      </c>
    </row>
    <row r="37" spans="1:19" x14ac:dyDescent="0.25">
      <c r="A37" s="1" t="s">
        <v>808</v>
      </c>
      <c r="B37" s="47">
        <v>50000</v>
      </c>
      <c r="C37" s="3">
        <v>0</v>
      </c>
      <c r="D37" s="1">
        <f t="shared" si="0"/>
        <v>50000</v>
      </c>
      <c r="E37" s="5"/>
      <c r="F37" s="5"/>
      <c r="G37" s="5"/>
      <c r="H37" s="5"/>
      <c r="L37" s="1"/>
      <c r="M37" s="1"/>
      <c r="O37" s="84"/>
      <c r="P37" s="74"/>
    </row>
    <row r="38" spans="1:19" ht="15.75" thickBot="1" x14ac:dyDescent="0.3">
      <c r="A38" s="1"/>
      <c r="B38" s="47"/>
      <c r="C38" s="3"/>
      <c r="D38" s="1"/>
      <c r="E38" s="5"/>
      <c r="F38" s="5"/>
      <c r="G38" s="5"/>
      <c r="H38" s="5"/>
      <c r="J38">
        <f>2752586</f>
        <v>2752586</v>
      </c>
      <c r="L38" s="1"/>
      <c r="M38" s="1"/>
      <c r="O38" s="47"/>
      <c r="P38" s="74"/>
    </row>
    <row r="39" spans="1:19" x14ac:dyDescent="0.25">
      <c r="A39" s="2" t="s">
        <v>1</v>
      </c>
      <c r="B39" s="2">
        <f>SUM(B3:B38)</f>
        <v>3553908</v>
      </c>
      <c r="C39" s="2">
        <f>SUM(C3:C18)</f>
        <v>1194927</v>
      </c>
      <c r="D39" s="2">
        <f>SUM(D3:D38)</f>
        <v>249042</v>
      </c>
      <c r="E39" s="5"/>
      <c r="F39" s="5"/>
      <c r="G39" s="5"/>
      <c r="H39" s="5"/>
      <c r="J39">
        <f>574857</f>
        <v>574857</v>
      </c>
      <c r="L39" s="1"/>
      <c r="M39" s="1"/>
      <c r="O39" s="83" t="s">
        <v>279</v>
      </c>
      <c r="P39" s="79"/>
    </row>
    <row r="40" spans="1:19" x14ac:dyDescent="0.25">
      <c r="A40" s="2" t="s">
        <v>2</v>
      </c>
      <c r="B40" s="181">
        <f>B2-B39</f>
        <v>3012</v>
      </c>
      <c r="C40" s="2">
        <f>C2-C39</f>
        <v>2361993</v>
      </c>
      <c r="D40" s="2"/>
      <c r="E40" s="5"/>
      <c r="F40" s="5"/>
      <c r="G40" s="5"/>
      <c r="H40" s="5"/>
      <c r="J40">
        <f>J38-J39</f>
        <v>2177729</v>
      </c>
      <c r="L40" s="2"/>
      <c r="M40" s="2"/>
      <c r="O40" s="80" t="s">
        <v>507</v>
      </c>
      <c r="P40" s="81">
        <v>29990</v>
      </c>
    </row>
    <row r="41" spans="1:19" x14ac:dyDescent="0.25">
      <c r="D41">
        <f>SUM(D3:D38)</f>
        <v>249042</v>
      </c>
      <c r="E41" s="5"/>
      <c r="L41" s="149" t="s">
        <v>9</v>
      </c>
      <c r="M41" s="149">
        <f>SUM(M26:M40)</f>
        <v>9000</v>
      </c>
      <c r="O41" s="1" t="s">
        <v>277</v>
      </c>
      <c r="P41" s="81">
        <f>7490*2</f>
        <v>14980</v>
      </c>
      <c r="Q41" t="s">
        <v>515</v>
      </c>
      <c r="S41" t="s">
        <v>516</v>
      </c>
    </row>
    <row r="42" spans="1:19" x14ac:dyDescent="0.25">
      <c r="E42" s="204" t="s">
        <v>696</v>
      </c>
      <c r="F42" s="204"/>
      <c r="G42" s="204"/>
      <c r="O42" s="1"/>
      <c r="P42" s="81"/>
    </row>
    <row r="43" spans="1:19" x14ac:dyDescent="0.25">
      <c r="E43" s="193" t="s">
        <v>651</v>
      </c>
      <c r="F43" s="194" t="s">
        <v>109</v>
      </c>
      <c r="G43" s="194" t="s">
        <v>652</v>
      </c>
      <c r="O43" s="80" t="s">
        <v>523</v>
      </c>
      <c r="P43" s="81">
        <f>40000</f>
        <v>40000</v>
      </c>
      <c r="Q43" t="s">
        <v>525</v>
      </c>
      <c r="S43" t="s">
        <v>526</v>
      </c>
    </row>
    <row r="44" spans="1:19" x14ac:dyDescent="0.25">
      <c r="E44" s="1" t="str">
        <f>A3</f>
        <v>Supermercado</v>
      </c>
      <c r="F44" s="1">
        <f t="shared" ref="F44:G59" si="1">B3</f>
        <v>250000</v>
      </c>
      <c r="G44" s="1">
        <f t="shared" si="1"/>
        <v>250000</v>
      </c>
      <c r="O44" s="80" t="s">
        <v>534</v>
      </c>
      <c r="P44" s="81">
        <v>12490</v>
      </c>
      <c r="Q44" t="s">
        <v>532</v>
      </c>
    </row>
    <row r="45" spans="1:19" x14ac:dyDescent="0.25">
      <c r="E45" s="1" t="str">
        <f t="shared" ref="E45:G60" si="2">A4</f>
        <v xml:space="preserve">luz </v>
      </c>
      <c r="F45" s="1">
        <f t="shared" si="1"/>
        <v>30200</v>
      </c>
      <c r="G45" s="1">
        <f t="shared" si="1"/>
        <v>30200</v>
      </c>
      <c r="O45" s="80"/>
      <c r="P45" s="81"/>
    </row>
    <row r="46" spans="1:19" x14ac:dyDescent="0.25">
      <c r="E46" s="1" t="str">
        <f t="shared" si="2"/>
        <v>agua</v>
      </c>
      <c r="F46" s="1">
        <f t="shared" si="1"/>
        <v>9360</v>
      </c>
      <c r="G46" s="1">
        <f t="shared" si="1"/>
        <v>9360</v>
      </c>
      <c r="O46" s="80"/>
      <c r="P46" s="81"/>
    </row>
    <row r="47" spans="1:19" x14ac:dyDescent="0.25">
      <c r="E47" s="1" t="str">
        <f t="shared" si="2"/>
        <v>GG.CC + agua caliente</v>
      </c>
      <c r="F47" s="1">
        <f t="shared" si="1"/>
        <v>178238</v>
      </c>
      <c r="G47" s="1">
        <f t="shared" si="1"/>
        <v>178238</v>
      </c>
      <c r="O47" s="139" t="s">
        <v>9</v>
      </c>
      <c r="P47" s="140">
        <f>SUM(P40:P46)</f>
        <v>97460</v>
      </c>
    </row>
    <row r="48" spans="1:19" x14ac:dyDescent="0.25">
      <c r="E48" s="1" t="str">
        <f t="shared" si="2"/>
        <v xml:space="preserve">seguro </v>
      </c>
      <c r="F48" s="1">
        <f t="shared" si="1"/>
        <v>80263</v>
      </c>
      <c r="G48" s="1">
        <f t="shared" si="1"/>
        <v>80263</v>
      </c>
      <c r="O48" s="57" t="s">
        <v>510</v>
      </c>
      <c r="P48" s="81">
        <f>SUMIF(Q14:Q33,"EFECTIVO",P14:P33)</f>
        <v>78813</v>
      </c>
    </row>
    <row r="49" spans="5:16" ht="15.75" thickBot="1" x14ac:dyDescent="0.3">
      <c r="E49" s="1" t="str">
        <f t="shared" si="2"/>
        <v>Agustina</v>
      </c>
      <c r="F49" s="1">
        <f t="shared" si="1"/>
        <v>80000</v>
      </c>
      <c r="G49" s="1">
        <f t="shared" si="1"/>
        <v>80000</v>
      </c>
      <c r="O49" s="59"/>
      <c r="P49" s="82"/>
    </row>
    <row r="50" spans="5:16" x14ac:dyDescent="0.25">
      <c r="E50" s="1" t="str">
        <f t="shared" si="2"/>
        <v xml:space="preserve">cuota curso agus </v>
      </c>
      <c r="F50" s="1">
        <f t="shared" si="1"/>
        <v>0</v>
      </c>
      <c r="G50" s="1">
        <f t="shared" si="1"/>
        <v>0</v>
      </c>
      <c r="P50" s="74"/>
    </row>
    <row r="51" spans="5:16" x14ac:dyDescent="0.25">
      <c r="E51" s="1" t="str">
        <f t="shared" si="2"/>
        <v>Teléfono</v>
      </c>
      <c r="F51" s="1">
        <f t="shared" si="1"/>
        <v>15988</v>
      </c>
      <c r="G51" s="1">
        <f t="shared" si="1"/>
        <v>15988</v>
      </c>
      <c r="O51" s="10" t="s">
        <v>92</v>
      </c>
      <c r="P51" s="77">
        <f>SUM(P14:P33)</f>
        <v>364284</v>
      </c>
    </row>
    <row r="52" spans="5:16" x14ac:dyDescent="0.25">
      <c r="E52" s="1" t="str">
        <f t="shared" si="2"/>
        <v>Feria/huevos/frutos secos</v>
      </c>
      <c r="F52" s="1">
        <f t="shared" si="1"/>
        <v>25000</v>
      </c>
      <c r="G52" s="1">
        <f t="shared" si="1"/>
        <v>25000</v>
      </c>
      <c r="O52" s="10"/>
      <c r="P52" s="77"/>
    </row>
    <row r="53" spans="5:16" x14ac:dyDescent="0.25">
      <c r="E53" s="1" t="str">
        <f t="shared" si="2"/>
        <v>frenillos agus</v>
      </c>
      <c r="F53" s="1">
        <f t="shared" si="1"/>
        <v>25000</v>
      </c>
      <c r="G53" s="1">
        <f t="shared" si="1"/>
        <v>25000</v>
      </c>
      <c r="O53" s="10" t="s">
        <v>93</v>
      </c>
      <c r="P53" s="77">
        <f>P13-P51</f>
        <v>80156</v>
      </c>
    </row>
    <row r="54" spans="5:16" x14ac:dyDescent="0.25">
      <c r="E54" s="1" t="str">
        <f t="shared" si="2"/>
        <v>TAG</v>
      </c>
      <c r="F54" s="1">
        <f t="shared" si="1"/>
        <v>60000</v>
      </c>
      <c r="G54" s="1">
        <f t="shared" si="1"/>
        <v>29878</v>
      </c>
      <c r="O54" s="10"/>
      <c r="P54" s="77"/>
    </row>
    <row r="55" spans="5:16" x14ac:dyDescent="0.25">
      <c r="E55" s="1" t="str">
        <f t="shared" si="2"/>
        <v>cumple agus (sep) / rev tecnica (AGO)</v>
      </c>
      <c r="F55" s="1">
        <f t="shared" si="1"/>
        <v>0</v>
      </c>
      <c r="G55" s="1">
        <f t="shared" si="1"/>
        <v>0</v>
      </c>
      <c r="O55" s="10" t="s">
        <v>94</v>
      </c>
      <c r="P55" s="77">
        <f>P13-SUMIF(Q14:Q33,"GIFTCARD",P14:P33)-SUM(P40:P46)</f>
        <v>61509</v>
      </c>
    </row>
    <row r="56" spans="5:16" x14ac:dyDescent="0.25">
      <c r="E56" s="1" t="str">
        <f t="shared" si="2"/>
        <v xml:space="preserve">Varios Ocio (viajes - paseos - salidas)  </v>
      </c>
      <c r="F56" s="1">
        <f t="shared" si="1"/>
        <v>90000</v>
      </c>
      <c r="G56" s="1">
        <f t="shared" si="1"/>
        <v>90000</v>
      </c>
    </row>
    <row r="57" spans="5:16" x14ac:dyDescent="0.25">
      <c r="E57" s="1" t="str">
        <f t="shared" si="2"/>
        <v>Bencina</v>
      </c>
      <c r="F57" s="1">
        <f t="shared" si="1"/>
        <v>120000</v>
      </c>
      <c r="G57" s="1">
        <f t="shared" si="1"/>
        <v>120000</v>
      </c>
      <c r="O57" t="s">
        <v>99</v>
      </c>
      <c r="P57" s="78" t="e">
        <f>P55-#REF!</f>
        <v>#REF!</v>
      </c>
    </row>
    <row r="58" spans="5:16" x14ac:dyDescent="0.25">
      <c r="E58" s="1" t="str">
        <f t="shared" si="2"/>
        <v>carga metro - movilizacion-agus</v>
      </c>
      <c r="F58" s="1">
        <f t="shared" si="1"/>
        <v>21000</v>
      </c>
      <c r="G58" s="1">
        <f t="shared" si="1"/>
        <v>21000</v>
      </c>
    </row>
    <row r="59" spans="5:16" x14ac:dyDescent="0.25">
      <c r="E59" s="1" t="str">
        <f t="shared" si="2"/>
        <v>extras (pedidos-salidas- etc)</v>
      </c>
      <c r="F59" s="1">
        <f t="shared" si="1"/>
        <v>240000</v>
      </c>
      <c r="G59" s="1">
        <f t="shared" si="1"/>
        <v>240000</v>
      </c>
    </row>
    <row r="60" spans="5:16" x14ac:dyDescent="0.25">
      <c r="E60" s="1" t="str">
        <f t="shared" si="2"/>
        <v>Casa (cyber)</v>
      </c>
      <c r="F60" s="1">
        <f t="shared" si="2"/>
        <v>60000</v>
      </c>
      <c r="G60" s="1">
        <f t="shared" si="2"/>
        <v>60000</v>
      </c>
    </row>
    <row r="61" spans="5:16" x14ac:dyDescent="0.25">
      <c r="E61" s="1" t="s">
        <v>606</v>
      </c>
      <c r="F61" s="137">
        <v>38000</v>
      </c>
      <c r="G61" s="137">
        <v>38000</v>
      </c>
    </row>
    <row r="62" spans="5:16" x14ac:dyDescent="0.25">
      <c r="E62" s="2" t="s">
        <v>645</v>
      </c>
      <c r="F62" s="90">
        <f>SUM(F44:F60)</f>
        <v>1285049</v>
      </c>
      <c r="G62" s="90">
        <f>SUM(G44:G61)</f>
        <v>1292927</v>
      </c>
    </row>
    <row r="63" spans="5:16" x14ac:dyDescent="0.25">
      <c r="E63" s="1"/>
      <c r="F63" s="137"/>
      <c r="G63" s="137"/>
    </row>
    <row r="64" spans="5:16" x14ac:dyDescent="0.25">
      <c r="E64" s="149" t="s">
        <v>666</v>
      </c>
      <c r="F64" s="150">
        <f>F62/2</f>
        <v>642524.5</v>
      </c>
      <c r="G64" s="150">
        <f>G62/2</f>
        <v>646463.5</v>
      </c>
    </row>
    <row r="66" spans="5:7" x14ac:dyDescent="0.25">
      <c r="E66" s="1" t="s">
        <v>665</v>
      </c>
      <c r="F66" s="137"/>
      <c r="G66" s="137"/>
    </row>
    <row r="67" spans="5:7" x14ac:dyDescent="0.25">
      <c r="E67" s="1"/>
      <c r="F67" s="137"/>
      <c r="G67" s="137"/>
    </row>
    <row r="68" spans="5:7" x14ac:dyDescent="0.25">
      <c r="E68" t="s">
        <v>669</v>
      </c>
      <c r="F68" s="111"/>
      <c r="G68" s="111">
        <f>M41</f>
        <v>9000</v>
      </c>
    </row>
    <row r="70" spans="5:7" x14ac:dyDescent="0.25">
      <c r="E70" s="149" t="s">
        <v>667</v>
      </c>
      <c r="F70" s="150"/>
      <c r="G70" s="150">
        <f>G64+SUM(G67:G69)</f>
        <v>655463.5</v>
      </c>
    </row>
  </sheetData>
  <mergeCells count="2">
    <mergeCell ref="F18:H18"/>
    <mergeCell ref="E42:G42"/>
  </mergeCells>
  <pageMargins left="0.7" right="0.7" top="0.75" bottom="0.75" header="0.3" footer="0.3"/>
  <pageSetup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7D88B8-3457-4501-99E2-949C4470B8A9}">
  <dimension ref="A1:Y70"/>
  <sheetViews>
    <sheetView zoomScale="80" zoomScaleNormal="80" workbookViewId="0">
      <selection activeCell="J5" sqref="J5"/>
    </sheetView>
  </sheetViews>
  <sheetFormatPr baseColWidth="10" defaultColWidth="27" defaultRowHeight="15" x14ac:dyDescent="0.25"/>
  <cols>
    <col min="1" max="1" width="43.140625" bestFit="1" customWidth="1"/>
    <col min="2" max="2" width="12.140625" bestFit="1" customWidth="1"/>
    <col min="3" max="3" width="12" bestFit="1" customWidth="1"/>
    <col min="4" max="4" width="8.7109375" bestFit="1" customWidth="1"/>
    <col min="5" max="5" width="22.42578125" customWidth="1"/>
    <col min="6" max="6" width="25.5703125" bestFit="1" customWidth="1"/>
    <col min="7" max="7" width="12.28515625" bestFit="1" customWidth="1"/>
    <col min="8" max="8" width="20" bestFit="1" customWidth="1"/>
    <col min="9" max="9" width="10.5703125" customWidth="1"/>
    <col min="10" max="10" width="12.85546875" customWidth="1"/>
    <col min="11" max="11" width="8.5703125" bestFit="1" customWidth="1"/>
    <col min="12" max="12" width="28" bestFit="1" customWidth="1"/>
    <col min="13" max="13" width="10.28515625" bestFit="1" customWidth="1"/>
    <col min="14" max="14" width="5.5703125" customWidth="1"/>
    <col min="15" max="15" width="24.5703125" bestFit="1" customWidth="1"/>
    <col min="16" max="16" width="10.7109375" bestFit="1" customWidth="1"/>
    <col min="17" max="17" width="28" bestFit="1" customWidth="1"/>
    <col min="18" max="18" width="23.42578125" bestFit="1" customWidth="1"/>
    <col min="19" max="19" width="19.85546875" bestFit="1" customWidth="1"/>
    <col min="20" max="20" width="19.85546875" customWidth="1"/>
  </cols>
  <sheetData>
    <row r="1" spans="1:25" x14ac:dyDescent="0.25">
      <c r="A1" s="2"/>
      <c r="B1" s="2" t="s">
        <v>4</v>
      </c>
      <c r="C1" s="2" t="s">
        <v>5</v>
      </c>
      <c r="D1" s="2" t="s">
        <v>6</v>
      </c>
      <c r="E1" s="4"/>
      <c r="F1" s="4" t="s">
        <v>10</v>
      </c>
      <c r="G1" s="11">
        <v>826773</v>
      </c>
      <c r="H1" s="11"/>
      <c r="I1" s="10"/>
      <c r="L1" s="168" t="s">
        <v>83</v>
      </c>
      <c r="M1" s="168"/>
      <c r="O1" s="10" t="s">
        <v>72</v>
      </c>
      <c r="T1">
        <v>1</v>
      </c>
      <c r="U1" t="s">
        <v>262</v>
      </c>
      <c r="V1" t="s">
        <v>749</v>
      </c>
      <c r="X1" t="s">
        <v>763</v>
      </c>
      <c r="Y1" t="s">
        <v>766</v>
      </c>
    </row>
    <row r="2" spans="1:25" x14ac:dyDescent="0.25">
      <c r="A2" s="2"/>
      <c r="B2" s="90">
        <f>3607430</f>
        <v>3607430</v>
      </c>
      <c r="C2" s="90">
        <f>3607430</f>
        <v>3607430</v>
      </c>
      <c r="D2" s="2"/>
      <c r="E2" s="4"/>
      <c r="F2" s="63" t="s">
        <v>73</v>
      </c>
      <c r="G2" s="88">
        <f>M13</f>
        <v>150734</v>
      </c>
      <c r="I2" s="132"/>
      <c r="L2" s="89" t="s">
        <v>81</v>
      </c>
      <c r="M2" s="89">
        <v>12150</v>
      </c>
      <c r="O2" s="10"/>
      <c r="T2">
        <v>2</v>
      </c>
      <c r="U2" t="s">
        <v>263</v>
      </c>
      <c r="V2" t="s">
        <v>750</v>
      </c>
      <c r="Y2" t="s">
        <v>767</v>
      </c>
    </row>
    <row r="3" spans="1:25" x14ac:dyDescent="0.25">
      <c r="A3" s="198" t="s">
        <v>0</v>
      </c>
      <c r="B3" s="6">
        <v>250000</v>
      </c>
      <c r="C3" s="3"/>
      <c r="D3" s="1">
        <f>B3-C3</f>
        <v>250000</v>
      </c>
      <c r="E3" s="97">
        <v>230000</v>
      </c>
      <c r="F3" s="63" t="s">
        <v>130</v>
      </c>
      <c r="G3">
        <f>P11</f>
        <v>0</v>
      </c>
      <c r="I3" s="74"/>
      <c r="L3" s="89" t="s">
        <v>128</v>
      </c>
      <c r="M3" s="89" t="s">
        <v>76</v>
      </c>
      <c r="O3" s="10"/>
      <c r="T3">
        <v>3</v>
      </c>
      <c r="U3" t="s">
        <v>751</v>
      </c>
      <c r="V3" t="s">
        <v>770</v>
      </c>
      <c r="X3" t="s">
        <v>764</v>
      </c>
      <c r="Y3" t="s">
        <v>768</v>
      </c>
    </row>
    <row r="4" spans="1:25" x14ac:dyDescent="0.25">
      <c r="A4" s="198" t="s">
        <v>128</v>
      </c>
      <c r="B4" s="6">
        <v>32000</v>
      </c>
      <c r="C4" s="3"/>
      <c r="D4" s="1">
        <f t="shared" ref="D4:D37" si="0">B4-C4</f>
        <v>32000</v>
      </c>
      <c r="E4" s="4"/>
      <c r="G4" s="121"/>
      <c r="H4" s="170"/>
      <c r="I4" s="78"/>
      <c r="L4" s="89" t="s">
        <v>287</v>
      </c>
      <c r="M4" s="89" t="s">
        <v>76</v>
      </c>
      <c r="O4" s="10"/>
      <c r="T4">
        <v>4</v>
      </c>
      <c r="U4" t="s">
        <v>752</v>
      </c>
      <c r="V4" t="s">
        <v>770</v>
      </c>
    </row>
    <row r="5" spans="1:25" x14ac:dyDescent="0.25">
      <c r="A5" s="198" t="s">
        <v>81</v>
      </c>
      <c r="B5" s="6">
        <v>10000</v>
      </c>
      <c r="C5" s="3"/>
      <c r="D5" s="1">
        <f t="shared" si="0"/>
        <v>10000</v>
      </c>
      <c r="E5" s="4"/>
      <c r="F5" s="4"/>
      <c r="G5" s="4"/>
      <c r="I5" s="78"/>
      <c r="J5" s="88"/>
      <c r="L5" s="89" t="s">
        <v>427</v>
      </c>
      <c r="M5" s="89" t="s">
        <v>76</v>
      </c>
      <c r="O5" s="10"/>
      <c r="T5">
        <v>5</v>
      </c>
      <c r="U5" t="s">
        <v>241</v>
      </c>
      <c r="V5" t="s">
        <v>771</v>
      </c>
      <c r="X5" t="s">
        <v>765</v>
      </c>
      <c r="Y5" t="s">
        <v>749</v>
      </c>
    </row>
    <row r="6" spans="1:25" x14ac:dyDescent="0.25">
      <c r="A6" s="198" t="s">
        <v>86</v>
      </c>
      <c r="B6" s="7">
        <v>191251</v>
      </c>
      <c r="C6" s="3"/>
      <c r="D6" s="1">
        <f t="shared" si="0"/>
        <v>191251</v>
      </c>
      <c r="E6" s="4" t="s">
        <v>807</v>
      </c>
      <c r="G6" s="13"/>
      <c r="J6" s="145"/>
      <c r="L6" s="89" t="s">
        <v>681</v>
      </c>
      <c r="M6" s="89"/>
      <c r="O6" s="10"/>
      <c r="T6">
        <v>6</v>
      </c>
      <c r="U6" t="s">
        <v>753</v>
      </c>
      <c r="V6" t="s">
        <v>773</v>
      </c>
      <c r="Y6" t="s">
        <v>750</v>
      </c>
    </row>
    <row r="7" spans="1:25" x14ac:dyDescent="0.25">
      <c r="A7" s="198" t="s">
        <v>316</v>
      </c>
      <c r="B7" s="7">
        <v>82000</v>
      </c>
      <c r="C7" s="9"/>
      <c r="D7" s="1">
        <f t="shared" si="0"/>
        <v>82000</v>
      </c>
      <c r="E7" s="4"/>
      <c r="F7" s="63" t="s">
        <v>242</v>
      </c>
      <c r="G7" s="98">
        <f>M23</f>
        <v>444638</v>
      </c>
      <c r="J7" s="164"/>
      <c r="L7" s="89" t="s">
        <v>682</v>
      </c>
      <c r="M7" s="89">
        <v>137645</v>
      </c>
      <c r="N7" t="s">
        <v>747</v>
      </c>
      <c r="O7" s="10"/>
      <c r="T7">
        <v>7</v>
      </c>
      <c r="U7" t="s">
        <v>754</v>
      </c>
      <c r="V7" t="s">
        <v>774</v>
      </c>
      <c r="Y7" t="s">
        <v>770</v>
      </c>
    </row>
    <row r="8" spans="1:25" x14ac:dyDescent="0.25">
      <c r="A8" s="198" t="s">
        <v>11</v>
      </c>
      <c r="B8" s="7">
        <v>80000</v>
      </c>
      <c r="C8" s="3"/>
      <c r="D8" s="1">
        <f t="shared" si="0"/>
        <v>80000</v>
      </c>
      <c r="E8" s="5"/>
      <c r="F8" s="63" t="s">
        <v>803</v>
      </c>
      <c r="G8" s="195">
        <v>-53440</v>
      </c>
      <c r="I8" s="13"/>
      <c r="J8" s="177"/>
      <c r="L8" s="89" t="s">
        <v>791</v>
      </c>
      <c r="M8" s="137">
        <v>-26</v>
      </c>
      <c r="O8" s="10"/>
      <c r="T8">
        <v>8</v>
      </c>
      <c r="U8" t="s">
        <v>755</v>
      </c>
      <c r="V8" t="s">
        <v>756</v>
      </c>
      <c r="Y8" t="s">
        <v>770</v>
      </c>
    </row>
    <row r="9" spans="1:25" x14ac:dyDescent="0.25">
      <c r="A9" s="198" t="s">
        <v>498</v>
      </c>
      <c r="B9" s="7">
        <v>0</v>
      </c>
      <c r="C9" s="3"/>
      <c r="D9" s="1">
        <f t="shared" si="0"/>
        <v>0</v>
      </c>
      <c r="E9" t="s">
        <v>688</v>
      </c>
      <c r="F9" s="4" t="s">
        <v>16</v>
      </c>
      <c r="G9" s="4">
        <v>42000</v>
      </c>
      <c r="J9" s="146"/>
      <c r="L9" s="1" t="s">
        <v>295</v>
      </c>
      <c r="M9" s="1" t="s">
        <v>76</v>
      </c>
      <c r="O9" s="10"/>
      <c r="T9">
        <v>9</v>
      </c>
      <c r="U9" t="s">
        <v>757</v>
      </c>
      <c r="V9" t="s">
        <v>758</v>
      </c>
      <c r="Y9" t="s">
        <v>771</v>
      </c>
    </row>
    <row r="10" spans="1:25" x14ac:dyDescent="0.25">
      <c r="A10" s="198" t="s">
        <v>240</v>
      </c>
      <c r="B10" s="6">
        <v>15988</v>
      </c>
      <c r="C10" s="3"/>
      <c r="D10" s="1">
        <f t="shared" si="0"/>
        <v>15988</v>
      </c>
      <c r="E10" s="133"/>
      <c r="I10" s="78"/>
      <c r="J10" s="199"/>
      <c r="L10" s="89" t="s">
        <v>798</v>
      </c>
      <c r="M10" s="1">
        <v>-11995</v>
      </c>
      <c r="O10" s="10"/>
      <c r="T10">
        <v>10</v>
      </c>
      <c r="U10" t="s">
        <v>759</v>
      </c>
      <c r="V10" t="s">
        <v>769</v>
      </c>
      <c r="Y10" t="s">
        <v>773</v>
      </c>
    </row>
    <row r="11" spans="1:25" x14ac:dyDescent="0.25">
      <c r="A11" s="198" t="s">
        <v>591</v>
      </c>
      <c r="B11" s="6">
        <v>25000</v>
      </c>
      <c r="C11" s="3"/>
      <c r="D11" s="1">
        <f t="shared" si="0"/>
        <v>25000</v>
      </c>
      <c r="E11" s="5" t="s">
        <v>451</v>
      </c>
      <c r="F11" s="64" t="s">
        <v>639</v>
      </c>
      <c r="G11" s="44">
        <f>259000-40000-40000</f>
        <v>179000</v>
      </c>
      <c r="H11" s="4"/>
      <c r="L11" s="96" t="s">
        <v>800</v>
      </c>
      <c r="M11" s="157">
        <f>6480*2</f>
        <v>12960</v>
      </c>
      <c r="O11" s="10" t="s">
        <v>65</v>
      </c>
      <c r="P11">
        <f>SUM(P2:P10)</f>
        <v>0</v>
      </c>
      <c r="T11">
        <v>11</v>
      </c>
      <c r="U11" t="s">
        <v>760</v>
      </c>
      <c r="V11" t="s">
        <v>761</v>
      </c>
      <c r="Y11" t="s">
        <v>774</v>
      </c>
    </row>
    <row r="12" spans="1:25" x14ac:dyDescent="0.25">
      <c r="A12" s="198" t="s">
        <v>161</v>
      </c>
      <c r="B12" s="7">
        <v>25000</v>
      </c>
      <c r="C12" s="9"/>
      <c r="D12" s="1">
        <f t="shared" si="0"/>
        <v>25000</v>
      </c>
      <c r="E12" s="5" t="s">
        <v>451</v>
      </c>
      <c r="F12" s="67" t="s">
        <v>75</v>
      </c>
      <c r="G12" s="13">
        <f>-42132-28000-28000-28000-28000+89468-28000-28000+89468-30000-30000-32000-32000-32000+181032-32000-32000</f>
        <v>-70164</v>
      </c>
      <c r="H12" s="4" t="s">
        <v>683</v>
      </c>
      <c r="L12" s="89"/>
      <c r="M12" s="89"/>
      <c r="Y12" t="s">
        <v>756</v>
      </c>
    </row>
    <row r="13" spans="1:25" ht="15.75" thickBot="1" x14ac:dyDescent="0.3">
      <c r="A13" s="198" t="s">
        <v>42</v>
      </c>
      <c r="B13" s="6">
        <v>60000</v>
      </c>
      <c r="C13" s="3"/>
      <c r="D13" s="1">
        <f t="shared" si="0"/>
        <v>60000</v>
      </c>
      <c r="E13" s="5" t="s">
        <v>492</v>
      </c>
      <c r="F13" s="4" t="s">
        <v>738</v>
      </c>
      <c r="G13" s="13">
        <f>-799217-643381-1000000-52701+1500000+48880+181110+911200+917396-1500000+1349863-500000+24106-780000-500000</f>
        <v>-842744</v>
      </c>
      <c r="H13" s="4"/>
      <c r="L13" s="149" t="s">
        <v>65</v>
      </c>
      <c r="M13" s="150">
        <f>SUM(M2:M12)</f>
        <v>150734</v>
      </c>
      <c r="O13" s="61" t="s">
        <v>259</v>
      </c>
      <c r="P13" s="76">
        <v>444440</v>
      </c>
      <c r="Q13" t="s">
        <v>95</v>
      </c>
      <c r="R13" t="s">
        <v>272</v>
      </c>
      <c r="S13" t="s">
        <v>530</v>
      </c>
      <c r="U13" t="s">
        <v>762</v>
      </c>
      <c r="Y13" t="s">
        <v>758</v>
      </c>
    </row>
    <row r="14" spans="1:25" x14ac:dyDescent="0.25">
      <c r="A14" s="198" t="s">
        <v>572</v>
      </c>
      <c r="B14" s="6">
        <v>0</v>
      </c>
      <c r="C14" s="3"/>
      <c r="D14" s="1">
        <f t="shared" si="0"/>
        <v>0</v>
      </c>
      <c r="E14" s="5" t="s">
        <v>592</v>
      </c>
      <c r="F14" s="4" t="s">
        <v>121</v>
      </c>
      <c r="G14" s="13">
        <v>0</v>
      </c>
      <c r="H14" s="10"/>
      <c r="J14" s="13"/>
      <c r="O14" s="1" t="s">
        <v>241</v>
      </c>
      <c r="P14" s="75" t="s">
        <v>76</v>
      </c>
      <c r="Q14" s="56" t="s">
        <v>76</v>
      </c>
      <c r="R14" t="s">
        <v>392</v>
      </c>
      <c r="S14" t="s">
        <v>55</v>
      </c>
      <c r="Y14" t="s">
        <v>769</v>
      </c>
    </row>
    <row r="15" spans="1:25" x14ac:dyDescent="0.25">
      <c r="A15" s="198" t="s">
        <v>802</v>
      </c>
      <c r="B15" s="7">
        <v>90000</v>
      </c>
      <c r="C15" s="3"/>
      <c r="D15" s="1">
        <f t="shared" si="0"/>
        <v>90000</v>
      </c>
      <c r="E15" s="5" t="s">
        <v>663</v>
      </c>
      <c r="F15" s="4" t="s">
        <v>416</v>
      </c>
      <c r="G15" s="88">
        <f>-8000-8000-8000-8000-8000-8000-8000-8000-8000-15000-15000-15000-15000-15000</f>
        <v>-147000</v>
      </c>
      <c r="H15" s="4"/>
      <c r="L15" s="61" t="s">
        <v>131</v>
      </c>
      <c r="M15" s="76" t="s">
        <v>132</v>
      </c>
      <c r="O15" s="1" t="s">
        <v>260</v>
      </c>
      <c r="P15" s="75">
        <v>35920</v>
      </c>
      <c r="Q15" s="58" t="s">
        <v>511</v>
      </c>
      <c r="R15" t="s">
        <v>543</v>
      </c>
      <c r="S15" s="78" t="s">
        <v>544</v>
      </c>
      <c r="T15" s="78"/>
      <c r="Y15" t="s">
        <v>761</v>
      </c>
    </row>
    <row r="16" spans="1:25" ht="15.75" thickBot="1" x14ac:dyDescent="0.3">
      <c r="A16" s="198" t="s">
        <v>3</v>
      </c>
      <c r="B16" s="6">
        <v>130000</v>
      </c>
      <c r="C16" s="3"/>
      <c r="D16" s="1">
        <f t="shared" si="0"/>
        <v>130000</v>
      </c>
      <c r="E16" s="5">
        <v>140000</v>
      </c>
      <c r="F16" s="4" t="s">
        <v>129</v>
      </c>
      <c r="G16" s="87">
        <f>-82010-30000-40000-40000-40000-40000-40000</f>
        <v>-312010</v>
      </c>
      <c r="H16" s="4"/>
      <c r="J16" s="13"/>
      <c r="L16" s="67" t="s">
        <v>792</v>
      </c>
      <c r="M16" s="120">
        <f>48210/2</f>
        <v>24105</v>
      </c>
      <c r="O16" s="1" t="s">
        <v>261</v>
      </c>
      <c r="P16" s="75">
        <v>19990</v>
      </c>
      <c r="Q16" s="58" t="s">
        <v>511</v>
      </c>
      <c r="R16" t="s">
        <v>518</v>
      </c>
      <c r="S16" t="s">
        <v>55</v>
      </c>
    </row>
    <row r="17" spans="1:24" ht="15.75" thickBot="1" x14ac:dyDescent="0.3">
      <c r="A17" s="198" t="s">
        <v>676</v>
      </c>
      <c r="B17" s="6">
        <v>25000</v>
      </c>
      <c r="C17" s="3"/>
      <c r="D17" s="1">
        <f t="shared" si="0"/>
        <v>25000</v>
      </c>
      <c r="E17" s="5"/>
      <c r="F17" s="71" t="s">
        <v>12</v>
      </c>
      <c r="G17" s="72">
        <f>SUM(G1:G16)</f>
        <v>217787</v>
      </c>
      <c r="H17" s="16"/>
      <c r="J17" s="13"/>
      <c r="L17" s="8" t="s">
        <v>794</v>
      </c>
      <c r="M17" s="89">
        <f>780000-400000</f>
        <v>380000</v>
      </c>
      <c r="O17" s="1" t="s">
        <v>262</v>
      </c>
      <c r="P17" s="75">
        <v>39980</v>
      </c>
      <c r="Q17" s="58" t="s">
        <v>513</v>
      </c>
      <c r="R17" t="s">
        <v>524</v>
      </c>
      <c r="S17" t="s">
        <v>55</v>
      </c>
      <c r="X17" t="s">
        <v>772</v>
      </c>
    </row>
    <row r="18" spans="1:24" x14ac:dyDescent="0.25">
      <c r="A18" s="198" t="s">
        <v>736</v>
      </c>
      <c r="B18" s="1">
        <v>240000</v>
      </c>
      <c r="C18" s="9"/>
      <c r="D18" s="1">
        <f t="shared" si="0"/>
        <v>240000</v>
      </c>
      <c r="E18" s="5"/>
      <c r="F18" s="201" t="s">
        <v>13</v>
      </c>
      <c r="G18" s="202"/>
      <c r="H18" s="203"/>
      <c r="J18" s="13"/>
      <c r="L18" s="96" t="s">
        <v>799</v>
      </c>
      <c r="M18" s="156">
        <f>6480*2</f>
        <v>12960</v>
      </c>
      <c r="O18" s="1" t="s">
        <v>263</v>
      </c>
      <c r="P18" s="75">
        <f>25990</f>
        <v>25990</v>
      </c>
      <c r="Q18" s="58" t="s">
        <v>513</v>
      </c>
      <c r="R18" t="s">
        <v>531</v>
      </c>
      <c r="S18" t="s">
        <v>55</v>
      </c>
    </row>
    <row r="19" spans="1:24" x14ac:dyDescent="0.25">
      <c r="A19" s="198" t="s">
        <v>804</v>
      </c>
      <c r="B19" s="182">
        <v>60000</v>
      </c>
      <c r="C19" s="3"/>
      <c r="D19" s="1">
        <f t="shared" si="0"/>
        <v>60000</v>
      </c>
      <c r="E19" s="5"/>
      <c r="F19" s="8" t="s">
        <v>7</v>
      </c>
      <c r="G19" s="8" t="s">
        <v>8</v>
      </c>
      <c r="H19" s="8" t="s">
        <v>9</v>
      </c>
      <c r="J19" s="13">
        <f>H20-G17</f>
        <v>3389643</v>
      </c>
      <c r="L19" s="96" t="s">
        <v>294</v>
      </c>
      <c r="M19" s="156">
        <f>M41</f>
        <v>9000</v>
      </c>
      <c r="O19" s="1" t="s">
        <v>43</v>
      </c>
      <c r="P19" s="75">
        <v>37791</v>
      </c>
      <c r="Q19" s="58" t="s">
        <v>513</v>
      </c>
      <c r="R19" t="s">
        <v>522</v>
      </c>
      <c r="S19" t="s">
        <v>55</v>
      </c>
    </row>
    <row r="20" spans="1:24" x14ac:dyDescent="0.25">
      <c r="A20" s="1" t="s">
        <v>62</v>
      </c>
      <c r="B20" s="6">
        <v>660000</v>
      </c>
      <c r="C20" s="3"/>
      <c r="D20" s="1">
        <f t="shared" si="0"/>
        <v>660000</v>
      </c>
      <c r="E20" s="4" t="s">
        <v>805</v>
      </c>
      <c r="F20" s="183">
        <f>SUM(D3:D38)+B40</f>
        <v>3607430</v>
      </c>
      <c r="G20" s="8">
        <v>0</v>
      </c>
      <c r="H20" s="18">
        <f>F20+G20</f>
        <v>3607430</v>
      </c>
      <c r="J20" s="13"/>
      <c r="L20" t="s">
        <v>801</v>
      </c>
      <c r="M20">
        <v>18573</v>
      </c>
      <c r="O20" s="1" t="s">
        <v>264</v>
      </c>
      <c r="P20" s="75">
        <v>19990</v>
      </c>
      <c r="Q20" s="58" t="s">
        <v>513</v>
      </c>
      <c r="R20" t="s">
        <v>358</v>
      </c>
      <c r="S20" t="s">
        <v>545</v>
      </c>
    </row>
    <row r="21" spans="1:24" x14ac:dyDescent="0.25">
      <c r="A21" s="1" t="s">
        <v>310</v>
      </c>
      <c r="B21" s="6">
        <v>0</v>
      </c>
      <c r="C21" s="3"/>
      <c r="D21" s="1">
        <f t="shared" si="0"/>
        <v>0</v>
      </c>
      <c r="E21" s="144"/>
      <c r="F21" s="5"/>
      <c r="G21" s="5"/>
      <c r="H21" s="5"/>
      <c r="L21" s="96"/>
      <c r="M21" s="157"/>
      <c r="O21" s="1" t="s">
        <v>265</v>
      </c>
      <c r="P21" s="75">
        <v>41990</v>
      </c>
      <c r="Q21" s="58" t="s">
        <v>513</v>
      </c>
      <c r="R21" t="s">
        <v>512</v>
      </c>
      <c r="S21" t="s">
        <v>55</v>
      </c>
    </row>
    <row r="22" spans="1:24" x14ac:dyDescent="0.25">
      <c r="A22" s="1" t="s">
        <v>462</v>
      </c>
      <c r="B22" s="7">
        <v>120000</v>
      </c>
      <c r="C22" s="3"/>
      <c r="D22" s="1">
        <f t="shared" si="0"/>
        <v>120000</v>
      </c>
      <c r="E22" s="25" t="s">
        <v>359</v>
      </c>
      <c r="F22" s="5"/>
      <c r="G22" s="5"/>
      <c r="H22" s="5"/>
      <c r="J22" s="12"/>
      <c r="L22" s="171"/>
      <c r="O22" s="1" t="s">
        <v>266</v>
      </c>
      <c r="P22" s="75"/>
      <c r="Q22" s="58"/>
      <c r="S22" s="78"/>
      <c r="T22" s="78"/>
    </row>
    <row r="23" spans="1:24" ht="15.75" thickBot="1" x14ac:dyDescent="0.3">
      <c r="A23" s="8" t="s">
        <v>684</v>
      </c>
      <c r="B23" s="7">
        <v>33000</v>
      </c>
      <c r="C23" s="9"/>
      <c r="D23" s="1">
        <f t="shared" si="0"/>
        <v>33000</v>
      </c>
      <c r="E23" s="5"/>
      <c r="F23" s="44"/>
      <c r="G23" s="43"/>
      <c r="H23" s="5"/>
      <c r="I23" t="s">
        <v>31</v>
      </c>
      <c r="J23" s="13">
        <f>G17-SUM(D20,D4,D5,D6,D7,D22,D9,D10,D24,D12,D25,D26,D13,D27,D14,D28,D16,D33,D34,D36,D19)</f>
        <v>-2350452</v>
      </c>
      <c r="L23" s="147" t="s">
        <v>65</v>
      </c>
      <c r="M23" s="148">
        <f>SUM(M16:M22)</f>
        <v>444638</v>
      </c>
      <c r="N23" s="10"/>
      <c r="O23" s="1" t="s">
        <v>267</v>
      </c>
      <c r="P23" s="75">
        <v>20990</v>
      </c>
      <c r="Q23" s="58" t="s">
        <v>513</v>
      </c>
      <c r="R23" t="s">
        <v>536</v>
      </c>
      <c r="S23" t="s">
        <v>76</v>
      </c>
    </row>
    <row r="24" spans="1:24" x14ac:dyDescent="0.25">
      <c r="A24" s="1" t="s">
        <v>741</v>
      </c>
      <c r="B24" s="6">
        <v>0</v>
      </c>
      <c r="C24" s="3"/>
      <c r="D24" s="1">
        <f t="shared" si="0"/>
        <v>0</v>
      </c>
      <c r="E24" s="5"/>
      <c r="F24" s="5"/>
      <c r="G24" s="5"/>
      <c r="H24" s="5"/>
      <c r="M24" s="95"/>
      <c r="O24" s="1" t="s">
        <v>270</v>
      </c>
      <c r="P24" s="75"/>
      <c r="Q24" s="58"/>
    </row>
    <row r="25" spans="1:24" x14ac:dyDescent="0.25">
      <c r="A25" s="6" t="s">
        <v>156</v>
      </c>
      <c r="B25" s="1">
        <v>40000</v>
      </c>
      <c r="C25" s="3"/>
      <c r="D25" s="1">
        <f t="shared" si="0"/>
        <v>40000</v>
      </c>
      <c r="E25" s="5" t="s">
        <v>575</v>
      </c>
      <c r="F25" s="62" t="s">
        <v>89</v>
      </c>
      <c r="G25" s="85">
        <f>SUM(G26:G28)</f>
        <v>5636408</v>
      </c>
      <c r="H25" s="61"/>
      <c r="L25" s="189" t="s">
        <v>694</v>
      </c>
      <c r="O25" s="1" t="s">
        <v>271</v>
      </c>
      <c r="P25" s="75">
        <v>17990</v>
      </c>
      <c r="Q25" s="58" t="s">
        <v>513</v>
      </c>
      <c r="R25" t="s">
        <v>535</v>
      </c>
      <c r="S25" t="s">
        <v>76</v>
      </c>
    </row>
    <row r="26" spans="1:24" x14ac:dyDescent="0.25">
      <c r="A26" s="6" t="s">
        <v>331</v>
      </c>
      <c r="B26" s="6">
        <v>1000000</v>
      </c>
      <c r="C26" s="3"/>
      <c r="D26" s="1">
        <f t="shared" si="0"/>
        <v>1000000</v>
      </c>
      <c r="E26" s="5" t="s">
        <v>647</v>
      </c>
      <c r="F26" s="8" t="s">
        <v>90</v>
      </c>
      <c r="G26" s="86">
        <f>G14*-1</f>
        <v>0</v>
      </c>
      <c r="H26" s="8"/>
      <c r="I26" t="s">
        <v>96</v>
      </c>
      <c r="J26">
        <f>ROUNDUP(12-(G25/'Colegio Agus'!K7),0)</f>
        <v>12</v>
      </c>
      <c r="L26" s="1" t="s">
        <v>795</v>
      </c>
      <c r="M26" s="1">
        <v>9000</v>
      </c>
      <c r="O26" s="1" t="s">
        <v>268</v>
      </c>
      <c r="P26" s="75">
        <f>25390+3990</f>
        <v>29380</v>
      </c>
      <c r="Q26" s="58" t="s">
        <v>513</v>
      </c>
      <c r="R26" t="s">
        <v>519</v>
      </c>
      <c r="S26" s="44" t="s">
        <v>76</v>
      </c>
      <c r="T26" s="44"/>
    </row>
    <row r="27" spans="1:24" x14ac:dyDescent="0.25">
      <c r="A27" s="3" t="s">
        <v>288</v>
      </c>
      <c r="B27" s="6">
        <v>55000</v>
      </c>
      <c r="C27" s="3"/>
      <c r="D27" s="1">
        <f t="shared" si="0"/>
        <v>55000</v>
      </c>
      <c r="E27" s="5" t="s">
        <v>636</v>
      </c>
      <c r="F27" s="8" t="s">
        <v>97</v>
      </c>
      <c r="G27" s="89">
        <f>AHRROS!B9</f>
        <v>5636408</v>
      </c>
      <c r="H27" s="8"/>
      <c r="I27" t="s">
        <v>105</v>
      </c>
      <c r="J27" s="74">
        <f>'Colegio Agus'!K7-G25</f>
        <v>602221.37200000044</v>
      </c>
      <c r="L27" s="1"/>
      <c r="M27" s="1"/>
      <c r="O27" s="1" t="s">
        <v>269</v>
      </c>
      <c r="P27" s="75">
        <v>24490</v>
      </c>
      <c r="Q27" s="58" t="s">
        <v>513</v>
      </c>
      <c r="R27" t="s">
        <v>520</v>
      </c>
      <c r="S27" t="s">
        <v>55</v>
      </c>
    </row>
    <row r="28" spans="1:24" x14ac:dyDescent="0.25">
      <c r="A28" s="1" t="s">
        <v>426</v>
      </c>
      <c r="B28" s="7">
        <v>40000</v>
      </c>
      <c r="C28" s="3"/>
      <c r="D28" s="1">
        <f t="shared" si="0"/>
        <v>40000</v>
      </c>
      <c r="E28" s="5"/>
      <c r="F28" s="8" t="s">
        <v>91</v>
      </c>
      <c r="G28" s="89">
        <v>0</v>
      </c>
      <c r="H28" s="8"/>
      <c r="I28" t="s">
        <v>106</v>
      </c>
      <c r="J28">
        <v>6</v>
      </c>
      <c r="K28" t="s">
        <v>748</v>
      </c>
      <c r="L28" s="1"/>
      <c r="M28" s="1"/>
      <c r="O28" s="1" t="s">
        <v>273</v>
      </c>
      <c r="P28" s="75"/>
      <c r="Q28" s="58"/>
      <c r="S28" t="s">
        <v>76</v>
      </c>
    </row>
    <row r="29" spans="1:24" x14ac:dyDescent="0.25">
      <c r="A29" s="1" t="s">
        <v>806</v>
      </c>
      <c r="B29" s="7">
        <v>40000</v>
      </c>
      <c r="C29" s="3"/>
      <c r="D29" s="1">
        <f t="shared" si="0"/>
        <v>40000</v>
      </c>
      <c r="E29" s="5" t="s">
        <v>657</v>
      </c>
      <c r="F29" s="5"/>
      <c r="G29" s="5"/>
      <c r="H29" s="5"/>
      <c r="I29" t="s">
        <v>107</v>
      </c>
      <c r="J29" s="74">
        <f>J27/J28</f>
        <v>100370.22866666674</v>
      </c>
      <c r="L29" s="1"/>
      <c r="M29" s="1"/>
      <c r="O29" s="1" t="s">
        <v>274</v>
      </c>
      <c r="P29" s="75">
        <f>11992+1459</f>
        <v>13451</v>
      </c>
      <c r="Q29" s="58" t="s">
        <v>511</v>
      </c>
      <c r="R29" t="s">
        <v>541</v>
      </c>
      <c r="S29" t="s">
        <v>542</v>
      </c>
    </row>
    <row r="30" spans="1:24" x14ac:dyDescent="0.25">
      <c r="A30" s="1" t="s">
        <v>63</v>
      </c>
      <c r="B30" s="7">
        <v>120000</v>
      </c>
      <c r="C30" s="3"/>
      <c r="D30" s="1">
        <f t="shared" si="0"/>
        <v>120000</v>
      </c>
      <c r="E30" s="5">
        <v>85000</v>
      </c>
      <c r="F30" s="5"/>
      <c r="G30" s="5"/>
      <c r="H30" s="5"/>
      <c r="L30" s="1"/>
      <c r="M30" s="1"/>
      <c r="O30" s="1" t="s">
        <v>278</v>
      </c>
      <c r="P30" s="75"/>
      <c r="Q30" s="58"/>
      <c r="S30" t="s">
        <v>76</v>
      </c>
    </row>
    <row r="31" spans="1:24" x14ac:dyDescent="0.25">
      <c r="A31" s="1" t="s">
        <v>27</v>
      </c>
      <c r="B31" s="7">
        <f>8800</f>
        <v>8800</v>
      </c>
      <c r="C31" s="3"/>
      <c r="D31" s="1">
        <f t="shared" si="0"/>
        <v>8800</v>
      </c>
      <c r="E31" s="5">
        <v>8800</v>
      </c>
      <c r="F31" s="5"/>
      <c r="G31" s="5"/>
      <c r="H31" s="5"/>
      <c r="L31" s="1"/>
      <c r="M31" s="1"/>
      <c r="O31" s="1" t="s">
        <v>521</v>
      </c>
      <c r="P31" s="75"/>
      <c r="Q31" s="58"/>
    </row>
    <row r="32" spans="1:24" x14ac:dyDescent="0.25">
      <c r="A32" s="6" t="s">
        <v>659</v>
      </c>
      <c r="B32" s="6">
        <v>0</v>
      </c>
      <c r="C32" s="3"/>
      <c r="D32" s="1">
        <f t="shared" si="0"/>
        <v>0</v>
      </c>
      <c r="E32" s="5"/>
      <c r="F32" s="5"/>
      <c r="G32" s="5"/>
      <c r="H32" s="5"/>
      <c r="L32" s="1"/>
      <c r="M32" s="1"/>
      <c r="O32" s="47" t="s">
        <v>509</v>
      </c>
      <c r="P32" s="75">
        <f>18890+7990</f>
        <v>26880</v>
      </c>
      <c r="Q32" t="s">
        <v>513</v>
      </c>
      <c r="R32" s="58" t="s">
        <v>517</v>
      </c>
      <c r="S32" t="s">
        <v>55</v>
      </c>
    </row>
    <row r="33" spans="1:19" x14ac:dyDescent="0.25">
      <c r="A33" s="61" t="s">
        <v>413</v>
      </c>
      <c r="B33" s="6">
        <v>15000</v>
      </c>
      <c r="C33" s="3"/>
      <c r="D33" s="1">
        <f t="shared" si="0"/>
        <v>15000</v>
      </c>
      <c r="E33" s="5" t="s">
        <v>577</v>
      </c>
      <c r="F33" s="5"/>
      <c r="G33" s="5"/>
      <c r="H33" s="5"/>
      <c r="L33" s="1"/>
      <c r="M33" s="1"/>
      <c r="O33" s="47" t="s">
        <v>538</v>
      </c>
      <c r="P33" s="75">
        <f>7992+1460</f>
        <v>9452</v>
      </c>
      <c r="Q33" s="58" t="s">
        <v>511</v>
      </c>
      <c r="R33" t="s">
        <v>539</v>
      </c>
      <c r="S33" t="s">
        <v>540</v>
      </c>
    </row>
    <row r="34" spans="1:19" x14ac:dyDescent="0.25">
      <c r="A34" s="1" t="s">
        <v>79</v>
      </c>
      <c r="B34" s="6">
        <v>32000</v>
      </c>
      <c r="C34" s="3"/>
      <c r="D34" s="1">
        <f t="shared" si="0"/>
        <v>32000</v>
      </c>
      <c r="E34" t="s">
        <v>582</v>
      </c>
      <c r="F34" s="5"/>
      <c r="G34" s="5"/>
      <c r="H34" s="5"/>
      <c r="L34" s="1"/>
      <c r="M34" s="1"/>
      <c r="O34" s="47"/>
    </row>
    <row r="35" spans="1:19" ht="15.75" thickBot="1" x14ac:dyDescent="0.3">
      <c r="A35" s="1" t="s">
        <v>640</v>
      </c>
      <c r="B35" s="6">
        <v>0</v>
      </c>
      <c r="C35" s="3"/>
      <c r="D35" s="1">
        <f t="shared" si="0"/>
        <v>0</v>
      </c>
      <c r="E35" t="s">
        <v>328</v>
      </c>
      <c r="F35" s="5"/>
      <c r="G35" s="5"/>
      <c r="H35" s="5"/>
      <c r="L35" s="1"/>
      <c r="M35" s="1"/>
      <c r="O35" s="47"/>
    </row>
    <row r="36" spans="1:19" ht="15.75" thickBot="1" x14ac:dyDescent="0.3">
      <c r="A36" s="96" t="s">
        <v>690</v>
      </c>
      <c r="B36" s="6">
        <v>0</v>
      </c>
      <c r="C36" s="3"/>
      <c r="D36" s="1">
        <f t="shared" si="0"/>
        <v>0</v>
      </c>
      <c r="E36" s="5" t="s">
        <v>313</v>
      </c>
      <c r="F36" s="5"/>
      <c r="G36" s="17"/>
      <c r="H36" s="5" t="s">
        <v>26</v>
      </c>
      <c r="L36" s="1"/>
      <c r="M36" s="1"/>
      <c r="O36" s="1" t="s">
        <v>65</v>
      </c>
      <c r="P36" s="75">
        <f>SUM(P14:P33)</f>
        <v>364284</v>
      </c>
    </row>
    <row r="37" spans="1:19" x14ac:dyDescent="0.25">
      <c r="A37" s="1" t="s">
        <v>796</v>
      </c>
      <c r="B37" s="47">
        <v>0</v>
      </c>
      <c r="C37" s="3"/>
      <c r="D37" s="1">
        <f t="shared" si="0"/>
        <v>0</v>
      </c>
      <c r="E37" s="5"/>
      <c r="F37" s="5"/>
      <c r="G37" s="5"/>
      <c r="H37" s="5"/>
      <c r="L37" s="1"/>
      <c r="M37" s="1"/>
      <c r="O37" s="84"/>
      <c r="P37" s="74"/>
    </row>
    <row r="38" spans="1:19" ht="15.75" thickBot="1" x14ac:dyDescent="0.3">
      <c r="A38" s="1"/>
      <c r="B38" s="47"/>
      <c r="C38" s="3"/>
      <c r="D38" s="1"/>
      <c r="E38" s="5"/>
      <c r="F38" s="5"/>
      <c r="G38" s="5"/>
      <c r="H38" s="5"/>
      <c r="J38">
        <f>2752586</f>
        <v>2752586</v>
      </c>
      <c r="L38" s="1"/>
      <c r="M38" s="1"/>
      <c r="O38" s="47"/>
      <c r="P38" s="74"/>
    </row>
    <row r="39" spans="1:19" x14ac:dyDescent="0.25">
      <c r="A39" s="2" t="s">
        <v>1</v>
      </c>
      <c r="B39" s="2">
        <f>SUM(B3:B38)</f>
        <v>3480039</v>
      </c>
      <c r="C39" s="2">
        <f>SUM(C3:C18)</f>
        <v>0</v>
      </c>
      <c r="D39" s="2">
        <f>SUM(D3:D38)</f>
        <v>3480039</v>
      </c>
      <c r="E39" s="5"/>
      <c r="F39" s="5"/>
      <c r="G39" s="5"/>
      <c r="H39" s="5"/>
      <c r="J39">
        <f>574857</f>
        <v>574857</v>
      </c>
      <c r="L39" s="1"/>
      <c r="M39" s="1"/>
      <c r="O39" s="83" t="s">
        <v>279</v>
      </c>
      <c r="P39" s="79"/>
    </row>
    <row r="40" spans="1:19" x14ac:dyDescent="0.25">
      <c r="A40" s="2" t="s">
        <v>2</v>
      </c>
      <c r="B40" s="181">
        <f>B2-B39</f>
        <v>127391</v>
      </c>
      <c r="C40" s="2">
        <f>C2-C39</f>
        <v>3607430</v>
      </c>
      <c r="D40" s="2"/>
      <c r="E40" s="5"/>
      <c r="F40" s="5"/>
      <c r="G40" s="5"/>
      <c r="H40" s="5"/>
      <c r="J40">
        <f>J38-J39</f>
        <v>2177729</v>
      </c>
      <c r="L40" s="2"/>
      <c r="M40" s="2"/>
      <c r="O40" s="80" t="s">
        <v>507</v>
      </c>
      <c r="P40" s="81">
        <v>29990</v>
      </c>
    </row>
    <row r="41" spans="1:19" x14ac:dyDescent="0.25">
      <c r="D41">
        <f>SUM(D3:D38)</f>
        <v>3480039</v>
      </c>
      <c r="E41" s="5"/>
      <c r="L41" s="149" t="s">
        <v>9</v>
      </c>
      <c r="M41" s="149">
        <f>SUM(M26:M40)</f>
        <v>9000</v>
      </c>
      <c r="O41" s="1" t="s">
        <v>277</v>
      </c>
      <c r="P41" s="81">
        <f>7490*2</f>
        <v>14980</v>
      </c>
      <c r="Q41" t="s">
        <v>515</v>
      </c>
      <c r="S41" t="s">
        <v>516</v>
      </c>
    </row>
    <row r="42" spans="1:19" x14ac:dyDescent="0.25">
      <c r="E42" s="204" t="s">
        <v>696</v>
      </c>
      <c r="F42" s="204"/>
      <c r="G42" s="204"/>
      <c r="O42" s="1"/>
      <c r="P42" s="81"/>
    </row>
    <row r="43" spans="1:19" x14ac:dyDescent="0.25">
      <c r="E43" s="193" t="s">
        <v>651</v>
      </c>
      <c r="F43" s="194" t="s">
        <v>109</v>
      </c>
      <c r="G43" s="194" t="s">
        <v>652</v>
      </c>
      <c r="O43" s="80" t="s">
        <v>523</v>
      </c>
      <c r="P43" s="81">
        <f>40000</f>
        <v>40000</v>
      </c>
      <c r="Q43" t="s">
        <v>525</v>
      </c>
      <c r="S43" t="s">
        <v>526</v>
      </c>
    </row>
    <row r="44" spans="1:19" x14ac:dyDescent="0.25">
      <c r="E44" s="1" t="str">
        <f>A3</f>
        <v>Supermercado</v>
      </c>
      <c r="F44" s="1">
        <f t="shared" ref="F44:G59" si="1">B3</f>
        <v>250000</v>
      </c>
      <c r="G44" s="1">
        <f t="shared" si="1"/>
        <v>0</v>
      </c>
      <c r="O44" s="80" t="s">
        <v>534</v>
      </c>
      <c r="P44" s="81">
        <v>12490</v>
      </c>
      <c r="Q44" t="s">
        <v>532</v>
      </c>
    </row>
    <row r="45" spans="1:19" x14ac:dyDescent="0.25">
      <c r="E45" s="1" t="str">
        <f t="shared" ref="E45:G60" si="2">A4</f>
        <v xml:space="preserve">luz </v>
      </c>
      <c r="F45" s="1">
        <f t="shared" si="1"/>
        <v>32000</v>
      </c>
      <c r="G45" s="1">
        <f t="shared" si="1"/>
        <v>0</v>
      </c>
      <c r="O45" s="80"/>
      <c r="P45" s="81"/>
    </row>
    <row r="46" spans="1:19" x14ac:dyDescent="0.25">
      <c r="E46" s="1" t="str">
        <f t="shared" si="2"/>
        <v>agua</v>
      </c>
      <c r="F46" s="1">
        <f t="shared" si="1"/>
        <v>10000</v>
      </c>
      <c r="G46" s="1">
        <f t="shared" si="1"/>
        <v>0</v>
      </c>
      <c r="O46" s="80"/>
      <c r="P46" s="81"/>
    </row>
    <row r="47" spans="1:19" x14ac:dyDescent="0.25">
      <c r="E47" s="1" t="str">
        <f t="shared" si="2"/>
        <v>GG.CC + agua caliente</v>
      </c>
      <c r="F47" s="1">
        <f t="shared" si="1"/>
        <v>191251</v>
      </c>
      <c r="G47" s="1">
        <f t="shared" si="1"/>
        <v>0</v>
      </c>
      <c r="O47" s="139" t="s">
        <v>9</v>
      </c>
      <c r="P47" s="140">
        <f>SUM(P40:P46)</f>
        <v>97460</v>
      </c>
    </row>
    <row r="48" spans="1:19" x14ac:dyDescent="0.25">
      <c r="E48" s="1" t="str">
        <f t="shared" si="2"/>
        <v xml:space="preserve">seguro </v>
      </c>
      <c r="F48" s="1">
        <f t="shared" si="1"/>
        <v>82000</v>
      </c>
      <c r="G48" s="1">
        <f t="shared" si="1"/>
        <v>0</v>
      </c>
      <c r="O48" s="57" t="s">
        <v>510</v>
      </c>
      <c r="P48" s="81">
        <f>SUMIF(Q14:Q33,"EFECTIVO",P14:P33)</f>
        <v>78813</v>
      </c>
    </row>
    <row r="49" spans="5:16" ht="15.75" thickBot="1" x14ac:dyDescent="0.3">
      <c r="E49" s="1" t="str">
        <f t="shared" si="2"/>
        <v>Agustina</v>
      </c>
      <c r="F49" s="1">
        <f t="shared" si="1"/>
        <v>80000</v>
      </c>
      <c r="G49" s="1">
        <f t="shared" si="1"/>
        <v>0</v>
      </c>
      <c r="O49" s="59"/>
      <c r="P49" s="82"/>
    </row>
    <row r="50" spans="5:16" x14ac:dyDescent="0.25">
      <c r="E50" s="1" t="str">
        <f t="shared" si="2"/>
        <v xml:space="preserve">cuota curso agus </v>
      </c>
      <c r="F50" s="1">
        <f t="shared" si="1"/>
        <v>0</v>
      </c>
      <c r="G50" s="1">
        <f t="shared" si="1"/>
        <v>0</v>
      </c>
      <c r="P50" s="74"/>
    </row>
    <row r="51" spans="5:16" x14ac:dyDescent="0.25">
      <c r="E51" s="1" t="str">
        <f t="shared" si="2"/>
        <v>Teléfono</v>
      </c>
      <c r="F51" s="1">
        <f t="shared" si="1"/>
        <v>15988</v>
      </c>
      <c r="G51" s="1">
        <f t="shared" si="1"/>
        <v>0</v>
      </c>
      <c r="O51" s="10" t="s">
        <v>92</v>
      </c>
      <c r="P51" s="77">
        <f>SUM(P14:P33)</f>
        <v>364284</v>
      </c>
    </row>
    <row r="52" spans="5:16" x14ac:dyDescent="0.25">
      <c r="E52" s="1" t="str">
        <f t="shared" si="2"/>
        <v>Feria/huevos/frutos secos</v>
      </c>
      <c r="F52" s="1">
        <f t="shared" si="1"/>
        <v>25000</v>
      </c>
      <c r="G52" s="1">
        <f t="shared" si="1"/>
        <v>0</v>
      </c>
      <c r="O52" s="10"/>
      <c r="P52" s="77"/>
    </row>
    <row r="53" spans="5:16" x14ac:dyDescent="0.25">
      <c r="E53" s="1" t="str">
        <f t="shared" si="2"/>
        <v>frenillos agus</v>
      </c>
      <c r="F53" s="1">
        <f t="shared" si="1"/>
        <v>25000</v>
      </c>
      <c r="G53" s="1">
        <f t="shared" si="1"/>
        <v>0</v>
      </c>
      <c r="O53" s="10" t="s">
        <v>93</v>
      </c>
      <c r="P53" s="77">
        <f>P13-P51</f>
        <v>80156</v>
      </c>
    </row>
    <row r="54" spans="5:16" x14ac:dyDescent="0.25">
      <c r="E54" s="1" t="str">
        <f t="shared" si="2"/>
        <v>TAG</v>
      </c>
      <c r="F54" s="1">
        <f t="shared" si="1"/>
        <v>60000</v>
      </c>
      <c r="G54" s="1">
        <f t="shared" si="1"/>
        <v>0</v>
      </c>
      <c r="O54" s="10"/>
      <c r="P54" s="77"/>
    </row>
    <row r="55" spans="5:16" x14ac:dyDescent="0.25">
      <c r="E55" s="1" t="str">
        <f t="shared" si="2"/>
        <v>cumple agus (sep) / rev tecnica (AGO)</v>
      </c>
      <c r="F55" s="1">
        <f t="shared" si="1"/>
        <v>0</v>
      </c>
      <c r="G55" s="1">
        <f t="shared" si="1"/>
        <v>0</v>
      </c>
      <c r="O55" s="10" t="s">
        <v>94</v>
      </c>
      <c r="P55" s="77">
        <f>P13-SUMIF(Q14:Q33,"GIFTCARD",P14:P33)-SUM(P40:P46)</f>
        <v>61509</v>
      </c>
    </row>
    <row r="56" spans="5:16" x14ac:dyDescent="0.25">
      <c r="E56" s="1" t="str">
        <f t="shared" si="2"/>
        <v xml:space="preserve">Varios Ocio (viajes - paseos - salidas)  </v>
      </c>
      <c r="F56" s="1">
        <f t="shared" si="1"/>
        <v>90000</v>
      </c>
      <c r="G56" s="1">
        <f t="shared" si="1"/>
        <v>0</v>
      </c>
    </row>
    <row r="57" spans="5:16" x14ac:dyDescent="0.25">
      <c r="E57" s="1" t="str">
        <f t="shared" si="2"/>
        <v>Bencina</v>
      </c>
      <c r="F57" s="1">
        <f t="shared" si="1"/>
        <v>130000</v>
      </c>
      <c r="G57" s="1">
        <f t="shared" si="1"/>
        <v>0</v>
      </c>
      <c r="O57" t="s">
        <v>99</v>
      </c>
      <c r="P57" s="78" t="e">
        <f>P55-#REF!</f>
        <v>#REF!</v>
      </c>
    </row>
    <row r="58" spans="5:16" x14ac:dyDescent="0.25">
      <c r="E58" s="1" t="str">
        <f t="shared" si="2"/>
        <v>carga metro - movilizacion-agus</v>
      </c>
      <c r="F58" s="1">
        <f t="shared" si="1"/>
        <v>25000</v>
      </c>
      <c r="G58" s="1">
        <f t="shared" si="1"/>
        <v>0</v>
      </c>
    </row>
    <row r="59" spans="5:16" x14ac:dyDescent="0.25">
      <c r="E59" s="1" t="str">
        <f t="shared" si="2"/>
        <v>extras (pedidos-salidas- etc)</v>
      </c>
      <c r="F59" s="1">
        <f t="shared" si="1"/>
        <v>240000</v>
      </c>
      <c r="G59" s="1">
        <f t="shared" si="1"/>
        <v>0</v>
      </c>
    </row>
    <row r="60" spans="5:16" x14ac:dyDescent="0.25">
      <c r="E60" s="1" t="str">
        <f t="shared" si="2"/>
        <v>Casa - ARREGLOS</v>
      </c>
      <c r="F60" s="1">
        <f t="shared" si="2"/>
        <v>60000</v>
      </c>
      <c r="G60" s="1">
        <f t="shared" si="2"/>
        <v>0</v>
      </c>
    </row>
    <row r="61" spans="5:16" x14ac:dyDescent="0.25">
      <c r="E61" s="1" t="s">
        <v>606</v>
      </c>
      <c r="F61" s="137">
        <v>38000</v>
      </c>
      <c r="G61" s="137">
        <v>38000</v>
      </c>
    </row>
    <row r="62" spans="5:16" x14ac:dyDescent="0.25">
      <c r="E62" s="2" t="s">
        <v>645</v>
      </c>
      <c r="F62" s="90">
        <f>SUM(F44:F60)</f>
        <v>1316239</v>
      </c>
      <c r="G62" s="90">
        <f>SUM(G44:G61)</f>
        <v>38000</v>
      </c>
    </row>
    <row r="63" spans="5:16" x14ac:dyDescent="0.25">
      <c r="E63" s="1"/>
      <c r="F63" s="137"/>
      <c r="G63" s="137"/>
    </row>
    <row r="64" spans="5:16" x14ac:dyDescent="0.25">
      <c r="E64" s="149" t="s">
        <v>666</v>
      </c>
      <c r="F64" s="150">
        <f>F62/2</f>
        <v>658119.5</v>
      </c>
      <c r="G64" s="150">
        <f>G62/2</f>
        <v>19000</v>
      </c>
    </row>
    <row r="66" spans="5:7" x14ac:dyDescent="0.25">
      <c r="E66" s="1" t="s">
        <v>665</v>
      </c>
      <c r="F66" s="137"/>
      <c r="G66" s="137"/>
    </row>
    <row r="67" spans="5:7" x14ac:dyDescent="0.25">
      <c r="E67" s="1"/>
      <c r="F67" s="137"/>
      <c r="G67" s="137"/>
    </row>
    <row r="68" spans="5:7" x14ac:dyDescent="0.25">
      <c r="E68" t="s">
        <v>669</v>
      </c>
      <c r="F68" s="111"/>
      <c r="G68" s="111">
        <f>M41</f>
        <v>9000</v>
      </c>
    </row>
    <row r="70" spans="5:7" x14ac:dyDescent="0.25">
      <c r="E70" s="149" t="s">
        <v>667</v>
      </c>
      <c r="F70" s="150"/>
      <c r="G70" s="150">
        <f>G64+SUM(G67:G69)</f>
        <v>28000</v>
      </c>
    </row>
  </sheetData>
  <mergeCells count="2">
    <mergeCell ref="F18:H18"/>
    <mergeCell ref="E42:G42"/>
  </mergeCell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18"/>
  <dimension ref="A1:M15"/>
  <sheetViews>
    <sheetView topLeftCell="A5" zoomScaleNormal="100" workbookViewId="0">
      <selection activeCell="A17" sqref="A17:XFD23"/>
    </sheetView>
  </sheetViews>
  <sheetFormatPr baseColWidth="10" defaultRowHeight="15" x14ac:dyDescent="0.25"/>
  <cols>
    <col min="1" max="1" width="20.7109375" bestFit="1" customWidth="1"/>
    <col min="3" max="3" width="19.85546875" customWidth="1"/>
    <col min="4" max="4" width="18.28515625" customWidth="1"/>
    <col min="5" max="5" width="13.7109375" bestFit="1" customWidth="1"/>
    <col min="6" max="6" width="17.85546875" customWidth="1"/>
    <col min="7" max="7" width="15.85546875" customWidth="1"/>
    <col min="11" max="11" width="13.7109375" customWidth="1"/>
  </cols>
  <sheetData>
    <row r="1" spans="1:13" x14ac:dyDescent="0.25">
      <c r="A1" s="205" t="s">
        <v>339</v>
      </c>
      <c r="B1" s="205"/>
      <c r="C1" s="205"/>
      <c r="D1" s="205"/>
      <c r="I1" s="205" t="s">
        <v>506</v>
      </c>
      <c r="J1" s="205"/>
      <c r="K1" s="205"/>
      <c r="L1" s="205"/>
    </row>
    <row r="2" spans="1:13" x14ac:dyDescent="0.25">
      <c r="A2" t="s">
        <v>239</v>
      </c>
      <c r="B2">
        <v>39651.25</v>
      </c>
      <c r="I2" t="s">
        <v>337</v>
      </c>
      <c r="J2">
        <v>39700</v>
      </c>
    </row>
    <row r="3" spans="1:13" x14ac:dyDescent="0.25">
      <c r="B3">
        <f>142.77</f>
        <v>142.77000000000001</v>
      </c>
      <c r="C3" s="93">
        <f>B3*B2</f>
        <v>5661008.9625000004</v>
      </c>
      <c r="D3" t="s">
        <v>150</v>
      </c>
      <c r="I3" s="70" t="s">
        <v>338</v>
      </c>
      <c r="J3">
        <f>B3*(1+I4)</f>
        <v>148.48080000000002</v>
      </c>
      <c r="K3">
        <f>J3*J2*0.95</f>
        <v>5599953.3720000004</v>
      </c>
      <c r="L3" t="s">
        <v>150</v>
      </c>
    </row>
    <row r="4" spans="1:13" x14ac:dyDescent="0.25">
      <c r="A4" t="s">
        <v>546</v>
      </c>
      <c r="B4">
        <f>B3*0.95</f>
        <v>135.63150000000002</v>
      </c>
      <c r="C4">
        <f>ROUND(B4*B2,0)</f>
        <v>5377959</v>
      </c>
      <c r="D4" t="s">
        <v>547</v>
      </c>
      <c r="I4" s="161">
        <v>0.04</v>
      </c>
      <c r="J4">
        <f>B5*(1+I4)</f>
        <v>15.08</v>
      </c>
      <c r="K4">
        <f>J4*J2</f>
        <v>598676</v>
      </c>
      <c r="L4" t="s">
        <v>148</v>
      </c>
    </row>
    <row r="5" spans="1:13" x14ac:dyDescent="0.25">
      <c r="B5" s="179">
        <v>14.5</v>
      </c>
      <c r="C5" s="180">
        <f>ROUND(B2*B5,0)</f>
        <v>574943</v>
      </c>
      <c r="D5" t="s">
        <v>148</v>
      </c>
      <c r="J5" s="160"/>
      <c r="K5">
        <v>40000</v>
      </c>
      <c r="L5" t="s">
        <v>149</v>
      </c>
    </row>
    <row r="6" spans="1:13" x14ac:dyDescent="0.25">
      <c r="C6">
        <v>35000</v>
      </c>
      <c r="D6" t="s">
        <v>149</v>
      </c>
    </row>
    <row r="7" spans="1:13" x14ac:dyDescent="0.25">
      <c r="F7" t="s">
        <v>336</v>
      </c>
      <c r="G7" s="87">
        <f>AHRROS!B9</f>
        <v>5636408</v>
      </c>
      <c r="K7">
        <f>SUM(K2:K5)</f>
        <v>6238629.3720000004</v>
      </c>
      <c r="L7" t="s">
        <v>527</v>
      </c>
    </row>
    <row r="8" spans="1:13" x14ac:dyDescent="0.25">
      <c r="C8" s="87">
        <f>C4+C5+C6</f>
        <v>5987902</v>
      </c>
      <c r="D8" t="s">
        <v>340</v>
      </c>
      <c r="F8" t="s">
        <v>340</v>
      </c>
      <c r="G8" s="88">
        <f>C8</f>
        <v>5987902</v>
      </c>
    </row>
    <row r="9" spans="1:13" x14ac:dyDescent="0.25">
      <c r="C9" s="88">
        <f>C8/12</f>
        <v>498991.83333333331</v>
      </c>
      <c r="F9" t="s">
        <v>343</v>
      </c>
      <c r="G9" s="87">
        <f>G8-G7</f>
        <v>351494</v>
      </c>
      <c r="J9" t="s">
        <v>345</v>
      </c>
      <c r="K9">
        <v>2461727</v>
      </c>
      <c r="L9" t="s">
        <v>549</v>
      </c>
    </row>
    <row r="10" spans="1:13" x14ac:dyDescent="0.25">
      <c r="F10" t="s">
        <v>341</v>
      </c>
      <c r="G10">
        <f>'NOV25'!G14*-1</f>
        <v>0</v>
      </c>
      <c r="K10" s="87">
        <f>120000*12</f>
        <v>1440000</v>
      </c>
      <c r="L10" t="s">
        <v>152</v>
      </c>
      <c r="M10" t="s">
        <v>344</v>
      </c>
    </row>
    <row r="11" spans="1:13" x14ac:dyDescent="0.25">
      <c r="F11" t="s">
        <v>342</v>
      </c>
      <c r="G11" s="88">
        <f>G8-G10</f>
        <v>5987902</v>
      </c>
      <c r="K11">
        <v>0</v>
      </c>
      <c r="L11" t="s">
        <v>528</v>
      </c>
    </row>
    <row r="12" spans="1:13" x14ac:dyDescent="0.25">
      <c r="C12" s="88"/>
      <c r="K12" s="88">
        <f>K7-K10-K9-K11</f>
        <v>2336902.3720000004</v>
      </c>
      <c r="L12" t="s">
        <v>151</v>
      </c>
    </row>
    <row r="13" spans="1:13" x14ac:dyDescent="0.25">
      <c r="F13" t="s">
        <v>105</v>
      </c>
      <c r="G13" s="88">
        <f>G11-G7</f>
        <v>351494</v>
      </c>
    </row>
    <row r="15" spans="1:13" x14ac:dyDescent="0.25">
      <c r="C15" s="88"/>
    </row>
  </sheetData>
  <mergeCells count="2">
    <mergeCell ref="A1:D1"/>
    <mergeCell ref="I1:L1"/>
  </mergeCells>
  <phoneticPr fontId="9" type="noConversion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9"/>
  <dimension ref="A1:X301"/>
  <sheetViews>
    <sheetView topLeftCell="A248" zoomScale="90" zoomScaleNormal="90" workbookViewId="0">
      <selection activeCell="C271" sqref="C271"/>
    </sheetView>
  </sheetViews>
  <sheetFormatPr baseColWidth="10" defaultRowHeight="15" x14ac:dyDescent="0.25"/>
  <cols>
    <col min="1" max="1" width="32.7109375" bestFit="1" customWidth="1"/>
    <col min="2" max="2" width="11.85546875" bestFit="1" customWidth="1"/>
    <col min="5" max="5" width="13" bestFit="1" customWidth="1"/>
    <col min="11" max="11" width="14.28515625" customWidth="1"/>
    <col min="12" max="12" width="8.140625" customWidth="1"/>
    <col min="13" max="13" width="8.28515625" bestFit="1" customWidth="1"/>
    <col min="14" max="14" width="9.42578125" bestFit="1" customWidth="1"/>
    <col min="15" max="15" width="10" bestFit="1" customWidth="1"/>
    <col min="16" max="16" width="15" bestFit="1" customWidth="1"/>
  </cols>
  <sheetData>
    <row r="1" spans="1:18" x14ac:dyDescent="0.25">
      <c r="A1" t="s">
        <v>493</v>
      </c>
      <c r="B1" t="s">
        <v>494</v>
      </c>
    </row>
    <row r="2" spans="1:18" x14ac:dyDescent="0.25">
      <c r="A2" t="s">
        <v>495</v>
      </c>
      <c r="B2" s="88">
        <f>B48</f>
        <v>1750861</v>
      </c>
    </row>
    <row r="3" spans="1:18" x14ac:dyDescent="0.25">
      <c r="A3" t="s">
        <v>280</v>
      </c>
      <c r="B3" s="88">
        <f>B98/2</f>
        <v>1593881</v>
      </c>
    </row>
    <row r="4" spans="1:18" x14ac:dyDescent="0.25">
      <c r="A4" t="s">
        <v>496</v>
      </c>
      <c r="B4" s="88">
        <f>B147</f>
        <v>4014046</v>
      </c>
    </row>
    <row r="5" spans="1:18" x14ac:dyDescent="0.25">
      <c r="A5" t="s">
        <v>346</v>
      </c>
      <c r="B5" s="88">
        <f>B202/3</f>
        <v>2484715.4333333331</v>
      </c>
    </row>
    <row r="6" spans="1:18" x14ac:dyDescent="0.25">
      <c r="A6" t="s">
        <v>417</v>
      </c>
    </row>
    <row r="7" spans="1:18" x14ac:dyDescent="0.25">
      <c r="A7" t="s">
        <v>497</v>
      </c>
    </row>
    <row r="9" spans="1:18" x14ac:dyDescent="0.25">
      <c r="A9" t="s">
        <v>15</v>
      </c>
      <c r="B9">
        <f>SUM(B2:B8)</f>
        <v>9843503.4333333336</v>
      </c>
    </row>
    <row r="10" spans="1:18" ht="15.75" thickBot="1" x14ac:dyDescent="0.3"/>
    <row r="11" spans="1:18" x14ac:dyDescent="0.25">
      <c r="A11" s="104" t="s">
        <v>4</v>
      </c>
      <c r="B11" s="110"/>
      <c r="C11" s="56"/>
      <c r="D11" t="s">
        <v>110</v>
      </c>
      <c r="E11">
        <v>840</v>
      </c>
      <c r="H11" s="206" t="s">
        <v>172</v>
      </c>
      <c r="I11" s="206"/>
      <c r="J11" s="206"/>
      <c r="K11" s="206"/>
      <c r="L11" s="206"/>
      <c r="M11" t="s">
        <v>163</v>
      </c>
      <c r="N11" t="s">
        <v>164</v>
      </c>
      <c r="O11" t="s">
        <v>165</v>
      </c>
      <c r="Q11" t="s">
        <v>166</v>
      </c>
      <c r="R11" t="s">
        <v>167</v>
      </c>
    </row>
    <row r="12" spans="1:18" x14ac:dyDescent="0.25">
      <c r="A12" s="57"/>
      <c r="B12" t="s">
        <v>5</v>
      </c>
      <c r="C12" s="58"/>
      <c r="D12" t="s">
        <v>115</v>
      </c>
      <c r="H12" t="s">
        <v>168</v>
      </c>
      <c r="I12" t="s">
        <v>119</v>
      </c>
      <c r="J12" t="s">
        <v>123</v>
      </c>
      <c r="K12" t="s">
        <v>124</v>
      </c>
      <c r="Q12" t="s">
        <v>166</v>
      </c>
      <c r="R12" t="s">
        <v>170</v>
      </c>
    </row>
    <row r="13" spans="1:18" x14ac:dyDescent="0.25">
      <c r="A13" s="57" t="s">
        <v>135</v>
      </c>
      <c r="B13" s="111">
        <v>496620</v>
      </c>
      <c r="C13" s="58" t="s">
        <v>55</v>
      </c>
      <c r="H13" s="102">
        <f>I13/1.61</f>
        <v>0.6211180124223602</v>
      </c>
      <c r="I13" s="5">
        <v>1</v>
      </c>
      <c r="J13" s="73">
        <v>2.9513888888888888E-3</v>
      </c>
      <c r="K13" s="69">
        <f>J13</f>
        <v>2.9513888888888888E-3</v>
      </c>
      <c r="M13">
        <v>0</v>
      </c>
      <c r="N13">
        <v>39</v>
      </c>
      <c r="O13">
        <f>M13-N13</f>
        <v>-39</v>
      </c>
    </row>
    <row r="14" spans="1:18" x14ac:dyDescent="0.25">
      <c r="A14" s="57" t="s">
        <v>136</v>
      </c>
      <c r="B14" s="111">
        <v>104237</v>
      </c>
      <c r="C14" s="58" t="s">
        <v>55</v>
      </c>
      <c r="H14" s="102">
        <f t="shared" ref="H14:H55" si="0">I14/1.61</f>
        <v>1.2422360248447204</v>
      </c>
      <c r="I14" s="5">
        <v>2</v>
      </c>
      <c r="J14" s="73">
        <v>2.9513888888888888E-3</v>
      </c>
      <c r="K14" s="69">
        <f>J14*(I14-I13)+K13</f>
        <v>5.9027777777777776E-3</v>
      </c>
      <c r="M14">
        <v>6</v>
      </c>
      <c r="N14">
        <v>9</v>
      </c>
      <c r="O14">
        <f t="shared" ref="O14:O55" si="1">M14-N14</f>
        <v>-3</v>
      </c>
    </row>
    <row r="15" spans="1:18" x14ac:dyDescent="0.25">
      <c r="A15" s="57" t="s">
        <v>100</v>
      </c>
      <c r="B15" s="111">
        <v>0</v>
      </c>
      <c r="C15" s="58" t="s">
        <v>55</v>
      </c>
      <c r="H15" s="102">
        <f t="shared" si="0"/>
        <v>1.8633540372670807</v>
      </c>
      <c r="I15" s="5">
        <v>3</v>
      </c>
      <c r="J15" s="73">
        <v>2.9513888888888888E-3</v>
      </c>
      <c r="K15" s="69">
        <f t="shared" ref="K15:K55" si="2">J15*(I15-I14)+K14</f>
        <v>8.8541666666666664E-3</v>
      </c>
      <c r="M15">
        <v>0</v>
      </c>
      <c r="N15">
        <v>0</v>
      </c>
      <c r="O15">
        <f t="shared" si="1"/>
        <v>0</v>
      </c>
    </row>
    <row r="16" spans="1:18" ht="15.75" thickBot="1" x14ac:dyDescent="0.3">
      <c r="A16" s="57" t="s">
        <v>102</v>
      </c>
      <c r="B16" s="112">
        <v>15659</v>
      </c>
      <c r="C16" s="58" t="s">
        <v>76</v>
      </c>
      <c r="H16" s="102">
        <f t="shared" si="0"/>
        <v>2.4844720496894408</v>
      </c>
      <c r="I16" s="5">
        <v>4</v>
      </c>
      <c r="J16" s="73">
        <v>2.9513888888888888E-3</v>
      </c>
      <c r="K16" s="69">
        <f t="shared" si="2"/>
        <v>1.1805555555555555E-2</v>
      </c>
      <c r="M16">
        <v>0</v>
      </c>
      <c r="N16">
        <v>8</v>
      </c>
      <c r="O16">
        <f t="shared" si="1"/>
        <v>-8</v>
      </c>
    </row>
    <row r="17" spans="1:19" ht="15.75" thickBot="1" x14ac:dyDescent="0.3">
      <c r="A17" s="57" t="s">
        <v>134</v>
      </c>
      <c r="B17" s="111">
        <f>250*E11</f>
        <v>210000</v>
      </c>
      <c r="C17" s="58" t="s">
        <v>55</v>
      </c>
      <c r="H17" s="102">
        <f t="shared" si="0"/>
        <v>3.1055900621118009</v>
      </c>
      <c r="I17" s="99">
        <v>5</v>
      </c>
      <c r="J17" s="73">
        <v>2.9513888888888901E-3</v>
      </c>
      <c r="K17" s="94">
        <f t="shared" si="2"/>
        <v>1.4756944444444446E-2</v>
      </c>
      <c r="M17">
        <v>0</v>
      </c>
      <c r="N17">
        <v>17</v>
      </c>
      <c r="O17">
        <f t="shared" si="1"/>
        <v>-17</v>
      </c>
      <c r="P17" s="103" t="s">
        <v>173</v>
      </c>
      <c r="Q17" s="103" t="s">
        <v>171</v>
      </c>
      <c r="R17" s="103"/>
    </row>
    <row r="18" spans="1:19" x14ac:dyDescent="0.25">
      <c r="A18" s="57" t="s">
        <v>103</v>
      </c>
      <c r="B18" s="112">
        <v>476436</v>
      </c>
      <c r="C18" s="58" t="s">
        <v>76</v>
      </c>
      <c r="D18" t="s">
        <v>138</v>
      </c>
      <c r="E18" t="s">
        <v>160</v>
      </c>
      <c r="H18" s="102">
        <f t="shared" si="0"/>
        <v>3.7267080745341614</v>
      </c>
      <c r="I18" s="5">
        <v>6</v>
      </c>
      <c r="J18" s="73">
        <v>2.9513888888888901E-3</v>
      </c>
      <c r="K18" s="69">
        <f t="shared" si="2"/>
        <v>1.7708333333333336E-2</v>
      </c>
      <c r="M18">
        <v>0</v>
      </c>
      <c r="N18">
        <v>14</v>
      </c>
      <c r="O18">
        <f t="shared" si="1"/>
        <v>-14</v>
      </c>
    </row>
    <row r="19" spans="1:19" x14ac:dyDescent="0.25">
      <c r="A19" s="57" t="s">
        <v>108</v>
      </c>
      <c r="B19" s="112">
        <v>0</v>
      </c>
      <c r="C19" s="58" t="s">
        <v>76</v>
      </c>
      <c r="H19" s="102">
        <f t="shared" si="0"/>
        <v>4.3478260869565215</v>
      </c>
      <c r="I19" s="5">
        <v>7</v>
      </c>
      <c r="J19" s="73">
        <v>2.9513888888888901E-3</v>
      </c>
      <c r="K19" s="69">
        <f t="shared" si="2"/>
        <v>2.0659722222222225E-2</v>
      </c>
      <c r="M19">
        <v>0</v>
      </c>
      <c r="N19">
        <v>0</v>
      </c>
      <c r="O19">
        <f t="shared" si="1"/>
        <v>0</v>
      </c>
    </row>
    <row r="20" spans="1:19" x14ac:dyDescent="0.25">
      <c r="A20" s="57"/>
      <c r="B20" s="111"/>
      <c r="C20" s="58"/>
      <c r="H20" s="102">
        <f t="shared" si="0"/>
        <v>4.9689440993788816</v>
      </c>
      <c r="I20" s="5">
        <v>8</v>
      </c>
      <c r="J20" s="73">
        <v>2.9513888888888888E-3</v>
      </c>
      <c r="K20" s="69">
        <f t="shared" si="2"/>
        <v>2.3611111111111114E-2</v>
      </c>
      <c r="M20">
        <v>10</v>
      </c>
      <c r="N20">
        <v>0</v>
      </c>
      <c r="O20">
        <f t="shared" si="1"/>
        <v>10</v>
      </c>
    </row>
    <row r="21" spans="1:19" ht="15.75" thickBot="1" x14ac:dyDescent="0.3">
      <c r="A21" s="57" t="s">
        <v>217</v>
      </c>
      <c r="B21" s="111">
        <v>73404</v>
      </c>
      <c r="C21" s="58" t="s">
        <v>76</v>
      </c>
      <c r="H21" s="102">
        <f t="shared" si="0"/>
        <v>5.5900621118012417</v>
      </c>
      <c r="I21" s="5">
        <v>9</v>
      </c>
      <c r="J21" s="73">
        <v>2.9513888888888901E-3</v>
      </c>
      <c r="K21" s="69">
        <f t="shared" si="2"/>
        <v>2.6562500000000003E-2</v>
      </c>
      <c r="M21">
        <v>0</v>
      </c>
      <c r="N21">
        <v>9</v>
      </c>
      <c r="O21">
        <f t="shared" si="1"/>
        <v>-9</v>
      </c>
    </row>
    <row r="22" spans="1:19" ht="15.75" thickBot="1" x14ac:dyDescent="0.3">
      <c r="A22" s="57"/>
      <c r="B22" s="111"/>
      <c r="C22" s="58"/>
      <c r="H22" s="102">
        <f t="shared" si="0"/>
        <v>6.2111801242236018</v>
      </c>
      <c r="I22" s="99">
        <v>10</v>
      </c>
      <c r="J22" s="73">
        <v>2.9513888888888901E-3</v>
      </c>
      <c r="K22" s="94">
        <f t="shared" si="2"/>
        <v>2.9513888888888892E-2</v>
      </c>
      <c r="M22">
        <v>0</v>
      </c>
      <c r="N22">
        <v>3</v>
      </c>
      <c r="O22">
        <f t="shared" si="1"/>
        <v>-3</v>
      </c>
      <c r="P22" s="103" t="s">
        <v>174</v>
      </c>
      <c r="Q22" s="103" t="s">
        <v>166</v>
      </c>
      <c r="R22" s="68" t="s">
        <v>169</v>
      </c>
    </row>
    <row r="23" spans="1:19" x14ac:dyDescent="0.25">
      <c r="A23" s="57"/>
      <c r="B23" s="111"/>
      <c r="C23" s="58"/>
      <c r="H23" s="102">
        <f t="shared" si="0"/>
        <v>6.8322981366459627</v>
      </c>
      <c r="I23" s="5">
        <v>11</v>
      </c>
      <c r="J23" s="73">
        <v>2.9513888888888901E-3</v>
      </c>
      <c r="K23" s="69">
        <f t="shared" si="2"/>
        <v>3.246527777777778E-2</v>
      </c>
      <c r="M23">
        <v>0</v>
      </c>
      <c r="N23">
        <v>2</v>
      </c>
      <c r="O23">
        <f t="shared" si="1"/>
        <v>-2</v>
      </c>
    </row>
    <row r="24" spans="1:19" x14ac:dyDescent="0.25">
      <c r="A24" s="57" t="s">
        <v>213</v>
      </c>
      <c r="B24" s="111">
        <v>80568</v>
      </c>
      <c r="C24" s="58" t="s">
        <v>76</v>
      </c>
      <c r="H24" s="102">
        <f t="shared" si="0"/>
        <v>7.4534161490683228</v>
      </c>
      <c r="I24" s="5">
        <v>12</v>
      </c>
      <c r="J24" s="73">
        <v>2.9513888888888901E-3</v>
      </c>
      <c r="K24" s="69">
        <f t="shared" si="2"/>
        <v>3.5416666666666673E-2</v>
      </c>
      <c r="M24">
        <v>0</v>
      </c>
      <c r="N24">
        <v>1</v>
      </c>
      <c r="O24">
        <f t="shared" si="1"/>
        <v>-1</v>
      </c>
    </row>
    <row r="25" spans="1:19" x14ac:dyDescent="0.25">
      <c r="A25" s="57" t="s">
        <v>219</v>
      </c>
      <c r="B25" s="111">
        <v>201537</v>
      </c>
      <c r="C25" s="58" t="s">
        <v>76</v>
      </c>
      <c r="H25" s="102">
        <f t="shared" si="0"/>
        <v>8.074534161490682</v>
      </c>
      <c r="I25" s="5">
        <v>13</v>
      </c>
      <c r="J25" s="73">
        <v>2.9513888888888901E-3</v>
      </c>
      <c r="K25" s="69">
        <f t="shared" si="2"/>
        <v>3.8368055555555565E-2</v>
      </c>
      <c r="M25">
        <v>11</v>
      </c>
      <c r="N25">
        <v>12</v>
      </c>
      <c r="O25">
        <f t="shared" si="1"/>
        <v>-1</v>
      </c>
    </row>
    <row r="26" spans="1:19" ht="15.75" thickBot="1" x14ac:dyDescent="0.3">
      <c r="A26" s="57" t="s">
        <v>220</v>
      </c>
      <c r="B26" s="111">
        <v>92400</v>
      </c>
      <c r="C26" s="58" t="s">
        <v>76</v>
      </c>
      <c r="H26" s="102">
        <f t="shared" si="0"/>
        <v>8.695652173913043</v>
      </c>
      <c r="I26" s="5">
        <v>14</v>
      </c>
      <c r="J26" s="73">
        <v>2.9513888888888901E-3</v>
      </c>
      <c r="K26" s="69">
        <f t="shared" si="2"/>
        <v>4.1319444444444457E-2</v>
      </c>
      <c r="M26">
        <v>0</v>
      </c>
      <c r="N26">
        <v>0</v>
      </c>
      <c r="O26">
        <f t="shared" si="1"/>
        <v>0</v>
      </c>
    </row>
    <row r="27" spans="1:19" ht="15.75" thickBot="1" x14ac:dyDescent="0.3">
      <c r="A27" s="107" t="s">
        <v>5</v>
      </c>
      <c r="B27" s="113">
        <f>SUMIF(C13:C26,"OK",B13:B26)</f>
        <v>1750861</v>
      </c>
      <c r="C27" s="58"/>
      <c r="H27" s="102">
        <f t="shared" si="0"/>
        <v>9.316770186335404</v>
      </c>
      <c r="I27" s="99">
        <v>15</v>
      </c>
      <c r="J27" s="73">
        <v>2.9513888888888901E-3</v>
      </c>
      <c r="K27" s="94">
        <f t="shared" si="2"/>
        <v>4.427083333333335E-2</v>
      </c>
      <c r="M27">
        <v>3</v>
      </c>
      <c r="N27">
        <v>6</v>
      </c>
      <c r="O27">
        <f t="shared" si="1"/>
        <v>-3</v>
      </c>
      <c r="P27" s="103" t="s">
        <v>175</v>
      </c>
      <c r="Q27" s="103" t="s">
        <v>166</v>
      </c>
      <c r="R27" s="103"/>
    </row>
    <row r="28" spans="1:19" ht="15.75" thickBot="1" x14ac:dyDescent="0.3">
      <c r="A28" s="114" t="s">
        <v>137</v>
      </c>
      <c r="B28" s="115">
        <f>SUMIF(C13:C24,"",B13:B25)</f>
        <v>0</v>
      </c>
      <c r="C28" s="60"/>
      <c r="H28" s="102">
        <f t="shared" si="0"/>
        <v>9.9378881987577632</v>
      </c>
      <c r="I28" s="5">
        <v>16</v>
      </c>
      <c r="J28" s="73">
        <v>2.9513888888888901E-3</v>
      </c>
      <c r="K28" s="69">
        <f t="shared" si="2"/>
        <v>4.7222222222222242E-2</v>
      </c>
      <c r="M28">
        <v>7</v>
      </c>
      <c r="N28">
        <v>2</v>
      </c>
      <c r="O28">
        <f t="shared" si="1"/>
        <v>5</v>
      </c>
    </row>
    <row r="29" spans="1:19" x14ac:dyDescent="0.25">
      <c r="A29" s="116"/>
      <c r="B29" s="117"/>
      <c r="H29" s="102">
        <f t="shared" si="0"/>
        <v>10.559006211180124</v>
      </c>
      <c r="I29" s="5">
        <v>17</v>
      </c>
      <c r="J29" s="73">
        <v>2.9513888888888901E-3</v>
      </c>
      <c r="K29" s="69">
        <f t="shared" si="2"/>
        <v>5.0173611111111134E-2</v>
      </c>
      <c r="M29">
        <v>5</v>
      </c>
      <c r="N29">
        <v>0</v>
      </c>
      <c r="O29">
        <f t="shared" si="1"/>
        <v>5</v>
      </c>
    </row>
    <row r="30" spans="1:19" ht="15.75" thickBot="1" x14ac:dyDescent="0.3">
      <c r="A30" s="108" t="s">
        <v>65</v>
      </c>
      <c r="B30" s="109">
        <f>B27+B28</f>
        <v>1750861</v>
      </c>
      <c r="H30" s="102">
        <f t="shared" si="0"/>
        <v>11.180124223602483</v>
      </c>
      <c r="I30" s="5">
        <v>18</v>
      </c>
      <c r="J30" s="73">
        <v>2.9513888888888901E-3</v>
      </c>
      <c r="K30" s="69">
        <f t="shared" si="2"/>
        <v>5.3125000000000026E-2</v>
      </c>
      <c r="M30">
        <v>0</v>
      </c>
      <c r="N30">
        <v>0</v>
      </c>
      <c r="O30">
        <f t="shared" si="1"/>
        <v>0</v>
      </c>
      <c r="P30" s="70" t="s">
        <v>177</v>
      </c>
      <c r="Q30" s="103" t="s">
        <v>166</v>
      </c>
      <c r="R30" s="68" t="s">
        <v>170</v>
      </c>
    </row>
    <row r="31" spans="1:19" ht="15.75" thickBot="1" x14ac:dyDescent="0.3">
      <c r="H31" s="102">
        <f t="shared" si="0"/>
        <v>11.801242236024844</v>
      </c>
      <c r="I31" s="5">
        <v>19</v>
      </c>
      <c r="J31" s="73">
        <v>2.9513888888888901E-3</v>
      </c>
      <c r="K31" s="69">
        <f t="shared" si="2"/>
        <v>5.6076388888888919E-2</v>
      </c>
      <c r="M31">
        <v>0</v>
      </c>
      <c r="N31">
        <v>7</v>
      </c>
      <c r="O31">
        <f t="shared" si="1"/>
        <v>-7</v>
      </c>
      <c r="S31" t="s">
        <v>185</v>
      </c>
    </row>
    <row r="32" spans="1:19" ht="15.75" thickBot="1" x14ac:dyDescent="0.3">
      <c r="A32" s="104" t="s">
        <v>215</v>
      </c>
      <c r="B32" s="56"/>
      <c r="H32" s="102">
        <f t="shared" si="0"/>
        <v>12.422360248447204</v>
      </c>
      <c r="I32" s="99">
        <v>20</v>
      </c>
      <c r="J32" s="73">
        <v>2.9513888888888901E-3</v>
      </c>
      <c r="K32" s="94">
        <f t="shared" si="2"/>
        <v>5.9027777777777811E-2</v>
      </c>
      <c r="M32">
        <v>7</v>
      </c>
      <c r="N32">
        <v>12</v>
      </c>
      <c r="O32">
        <f t="shared" si="1"/>
        <v>-5</v>
      </c>
    </row>
    <row r="33" spans="1:19" x14ac:dyDescent="0.25">
      <c r="A33" s="57"/>
      <c r="B33" s="58" t="s">
        <v>5</v>
      </c>
      <c r="H33" s="102">
        <f t="shared" si="0"/>
        <v>13.043478260869565</v>
      </c>
      <c r="I33" s="5">
        <v>21</v>
      </c>
      <c r="J33" s="73">
        <v>2.9513888888888901E-3</v>
      </c>
      <c r="K33" s="69">
        <f t="shared" si="2"/>
        <v>6.1979166666666703E-2</v>
      </c>
      <c r="M33">
        <v>0</v>
      </c>
      <c r="N33">
        <v>3</v>
      </c>
      <c r="O33">
        <f t="shared" si="1"/>
        <v>-3</v>
      </c>
      <c r="P33" t="s">
        <v>178</v>
      </c>
      <c r="Q33" t="s">
        <v>166</v>
      </c>
    </row>
    <row r="34" spans="1:19" x14ac:dyDescent="0.25">
      <c r="A34" s="57" t="s">
        <v>135</v>
      </c>
      <c r="B34" s="105">
        <v>496620</v>
      </c>
      <c r="H34" s="102">
        <f t="shared" si="0"/>
        <v>13.664596273291925</v>
      </c>
      <c r="I34" s="5">
        <v>22</v>
      </c>
      <c r="J34" s="73">
        <v>2.9513888888888901E-3</v>
      </c>
      <c r="K34" s="69">
        <f t="shared" si="2"/>
        <v>6.4930555555555589E-2</v>
      </c>
      <c r="M34">
        <v>6</v>
      </c>
      <c r="N34">
        <v>6</v>
      </c>
      <c r="O34">
        <f t="shared" si="1"/>
        <v>0</v>
      </c>
    </row>
    <row r="35" spans="1:19" x14ac:dyDescent="0.25">
      <c r="A35" s="57" t="s">
        <v>136</v>
      </c>
      <c r="B35" s="105">
        <v>104237</v>
      </c>
      <c r="H35" s="102">
        <f t="shared" si="0"/>
        <v>14.285714285714285</v>
      </c>
      <c r="I35" s="5">
        <v>23</v>
      </c>
      <c r="J35" s="73">
        <v>2.9513888888888901E-3</v>
      </c>
      <c r="K35" s="69">
        <f t="shared" si="2"/>
        <v>6.7881944444444481E-2</v>
      </c>
      <c r="M35">
        <v>0</v>
      </c>
      <c r="N35">
        <v>0</v>
      </c>
      <c r="O35">
        <f t="shared" si="1"/>
        <v>0</v>
      </c>
      <c r="P35" s="103"/>
      <c r="Q35" s="103"/>
      <c r="R35" s="103"/>
      <c r="S35" t="s">
        <v>185</v>
      </c>
    </row>
    <row r="36" spans="1:19" ht="15.75" thickBot="1" x14ac:dyDescent="0.3">
      <c r="A36" s="57" t="s">
        <v>100</v>
      </c>
      <c r="B36" s="105">
        <v>0</v>
      </c>
      <c r="H36" s="102">
        <f t="shared" si="0"/>
        <v>14.906832298136646</v>
      </c>
      <c r="I36" s="5">
        <v>24</v>
      </c>
      <c r="J36" s="73">
        <v>2.9513888888888901E-3</v>
      </c>
      <c r="K36" s="69">
        <f t="shared" si="2"/>
        <v>7.0833333333333373E-2</v>
      </c>
      <c r="M36">
        <v>5</v>
      </c>
      <c r="N36">
        <v>0</v>
      </c>
      <c r="O36">
        <f t="shared" si="1"/>
        <v>5</v>
      </c>
      <c r="P36" t="s">
        <v>179</v>
      </c>
      <c r="Q36" s="103" t="s">
        <v>166</v>
      </c>
      <c r="R36" s="68" t="s">
        <v>169</v>
      </c>
    </row>
    <row r="37" spans="1:19" ht="15.75" thickBot="1" x14ac:dyDescent="0.3">
      <c r="A37" s="57" t="s">
        <v>102</v>
      </c>
      <c r="B37" s="106">
        <v>15659</v>
      </c>
      <c r="H37" s="102">
        <f t="shared" si="0"/>
        <v>15.527950310559005</v>
      </c>
      <c r="I37" s="99">
        <v>25</v>
      </c>
      <c r="J37" s="73">
        <v>2.9513888888888901E-3</v>
      </c>
      <c r="K37" s="94">
        <f t="shared" si="2"/>
        <v>7.3784722222222265E-2</v>
      </c>
      <c r="M37">
        <v>5</v>
      </c>
      <c r="N37">
        <v>0</v>
      </c>
      <c r="O37">
        <f t="shared" si="1"/>
        <v>5</v>
      </c>
    </row>
    <row r="38" spans="1:19" x14ac:dyDescent="0.25">
      <c r="A38" s="57" t="s">
        <v>134</v>
      </c>
      <c r="B38" s="105">
        <v>210000</v>
      </c>
      <c r="H38" s="102">
        <f t="shared" si="0"/>
        <v>16.149068322981364</v>
      </c>
      <c r="I38" s="5">
        <v>26</v>
      </c>
      <c r="J38" s="73">
        <v>2.9513888888888888E-3</v>
      </c>
      <c r="K38" s="69">
        <f t="shared" si="2"/>
        <v>7.6736111111111158E-2</v>
      </c>
      <c r="M38">
        <v>9</v>
      </c>
      <c r="N38">
        <v>32</v>
      </c>
      <c r="O38">
        <f t="shared" si="1"/>
        <v>-23</v>
      </c>
      <c r="P38" s="103"/>
    </row>
    <row r="39" spans="1:19" x14ac:dyDescent="0.25">
      <c r="A39" s="57" t="s">
        <v>103</v>
      </c>
      <c r="B39" s="106">
        <v>476436</v>
      </c>
      <c r="H39" s="102">
        <f t="shared" si="0"/>
        <v>16.770186335403725</v>
      </c>
      <c r="I39" s="5">
        <v>27</v>
      </c>
      <c r="J39" s="101">
        <v>3.0671296296296297E-3</v>
      </c>
      <c r="K39" s="69">
        <f t="shared" si="2"/>
        <v>7.9803240740740786E-2</v>
      </c>
      <c r="M39">
        <v>17</v>
      </c>
      <c r="N39">
        <v>0</v>
      </c>
      <c r="O39">
        <f t="shared" si="1"/>
        <v>17</v>
      </c>
      <c r="P39" s="103" t="s">
        <v>180</v>
      </c>
      <c r="Q39" s="103" t="s">
        <v>166</v>
      </c>
      <c r="R39" s="103"/>
    </row>
    <row r="40" spans="1:19" x14ac:dyDescent="0.25">
      <c r="A40" s="57" t="s">
        <v>108</v>
      </c>
      <c r="B40" s="106">
        <v>0</v>
      </c>
      <c r="H40" s="102">
        <f t="shared" si="0"/>
        <v>17.391304347826086</v>
      </c>
      <c r="I40" s="5">
        <v>28</v>
      </c>
      <c r="J40" s="101">
        <v>3.0671296296296302E-3</v>
      </c>
      <c r="K40" s="69">
        <f t="shared" si="2"/>
        <v>8.2870370370370414E-2</v>
      </c>
      <c r="M40">
        <v>0</v>
      </c>
      <c r="N40">
        <v>3</v>
      </c>
      <c r="O40">
        <f t="shared" si="1"/>
        <v>-3</v>
      </c>
    </row>
    <row r="41" spans="1:19" x14ac:dyDescent="0.25">
      <c r="A41" s="57" t="s">
        <v>218</v>
      </c>
      <c r="B41" s="105">
        <v>201537</v>
      </c>
      <c r="H41" s="102">
        <f t="shared" si="0"/>
        <v>18.012422360248447</v>
      </c>
      <c r="I41" s="5">
        <v>29</v>
      </c>
      <c r="J41" s="101">
        <v>3.0671296296296302E-3</v>
      </c>
      <c r="K41" s="69">
        <f t="shared" si="2"/>
        <v>8.5937500000000042E-2</v>
      </c>
      <c r="M41">
        <v>19</v>
      </c>
      <c r="N41">
        <v>5</v>
      </c>
      <c r="O41">
        <f t="shared" si="1"/>
        <v>14</v>
      </c>
    </row>
    <row r="42" spans="1:19" ht="15.75" thickBot="1" x14ac:dyDescent="0.3">
      <c r="A42" s="57" t="s">
        <v>217</v>
      </c>
      <c r="B42" s="105">
        <v>73404</v>
      </c>
      <c r="H42" s="102">
        <f t="shared" si="0"/>
        <v>18.633540372670808</v>
      </c>
      <c r="I42" s="5">
        <v>30</v>
      </c>
      <c r="J42" s="101">
        <v>3.0671296296296302E-3</v>
      </c>
      <c r="K42" s="69">
        <f t="shared" si="2"/>
        <v>8.900462962962967E-2</v>
      </c>
      <c r="M42">
        <v>0</v>
      </c>
      <c r="N42">
        <v>4</v>
      </c>
      <c r="O42">
        <f t="shared" si="1"/>
        <v>-4</v>
      </c>
      <c r="P42" t="s">
        <v>181</v>
      </c>
      <c r="Q42" s="103" t="s">
        <v>166</v>
      </c>
      <c r="R42" s="68" t="s">
        <v>170</v>
      </c>
    </row>
    <row r="43" spans="1:19" ht="15.75" thickBot="1" x14ac:dyDescent="0.3">
      <c r="A43" s="57"/>
      <c r="B43" s="105"/>
      <c r="H43" s="102">
        <f t="shared" si="0"/>
        <v>19.254658385093165</v>
      </c>
      <c r="I43" s="99">
        <v>31</v>
      </c>
      <c r="J43" s="101">
        <v>3.0671296296296302E-3</v>
      </c>
      <c r="K43" s="94">
        <f t="shared" si="2"/>
        <v>9.2071759259259298E-2</v>
      </c>
      <c r="M43">
        <v>0</v>
      </c>
      <c r="N43">
        <v>11</v>
      </c>
      <c r="O43">
        <f t="shared" si="1"/>
        <v>-11</v>
      </c>
    </row>
    <row r="44" spans="1:19" x14ac:dyDescent="0.25">
      <c r="A44" s="57" t="s">
        <v>214</v>
      </c>
      <c r="B44" s="105">
        <v>92400</v>
      </c>
      <c r="C44" t="s">
        <v>216</v>
      </c>
      <c r="H44" s="102">
        <f t="shared" si="0"/>
        <v>19.875776397515526</v>
      </c>
      <c r="I44" s="5">
        <v>32</v>
      </c>
      <c r="J44" s="101">
        <v>3.0671296296296302E-3</v>
      </c>
      <c r="K44" s="69">
        <f t="shared" si="2"/>
        <v>9.5138888888888926E-2</v>
      </c>
      <c r="M44">
        <v>13</v>
      </c>
      <c r="N44">
        <v>0</v>
      </c>
      <c r="O44">
        <f t="shared" si="1"/>
        <v>13</v>
      </c>
      <c r="P44" s="103"/>
    </row>
    <row r="45" spans="1:19" x14ac:dyDescent="0.25">
      <c r="A45" s="57" t="s">
        <v>213</v>
      </c>
      <c r="B45" s="105">
        <v>80568</v>
      </c>
      <c r="H45" s="102">
        <f t="shared" si="0"/>
        <v>20.496894409937887</v>
      </c>
      <c r="I45" s="5">
        <v>33</v>
      </c>
      <c r="J45" s="101">
        <v>3.0671296296296302E-3</v>
      </c>
      <c r="K45" s="69">
        <f t="shared" si="2"/>
        <v>9.8206018518518554E-2</v>
      </c>
      <c r="M45">
        <v>0</v>
      </c>
      <c r="N45">
        <v>0</v>
      </c>
      <c r="O45">
        <f t="shared" si="1"/>
        <v>0</v>
      </c>
    </row>
    <row r="46" spans="1:19" x14ac:dyDescent="0.25">
      <c r="A46" s="57" t="s">
        <v>114</v>
      </c>
      <c r="B46" s="105"/>
      <c r="H46" s="102">
        <f t="shared" si="0"/>
        <v>21.118012422360248</v>
      </c>
      <c r="I46" s="5">
        <v>34</v>
      </c>
      <c r="J46" s="101">
        <v>3.0671296296296302E-3</v>
      </c>
      <c r="K46" s="69">
        <f t="shared" si="2"/>
        <v>0.10127314814814818</v>
      </c>
      <c r="M46">
        <v>25</v>
      </c>
      <c r="N46">
        <v>0</v>
      </c>
      <c r="O46">
        <f t="shared" si="1"/>
        <v>25</v>
      </c>
      <c r="P46" s="103" t="s">
        <v>182</v>
      </c>
      <c r="Q46" s="103" t="s">
        <v>166</v>
      </c>
      <c r="R46" s="103"/>
    </row>
    <row r="47" spans="1:19" ht="15.75" thickBot="1" x14ac:dyDescent="0.3">
      <c r="A47" s="57"/>
      <c r="B47" s="105"/>
      <c r="H47" s="102">
        <f t="shared" si="0"/>
        <v>21.739130434782606</v>
      </c>
      <c r="I47" s="5">
        <v>35</v>
      </c>
      <c r="J47" s="73">
        <v>2.9513888888888888E-3</v>
      </c>
      <c r="K47" s="69">
        <f t="shared" si="2"/>
        <v>0.10422453703703707</v>
      </c>
      <c r="M47">
        <v>0</v>
      </c>
      <c r="N47">
        <v>23</v>
      </c>
      <c r="O47">
        <f t="shared" si="1"/>
        <v>-23</v>
      </c>
      <c r="S47" t="s">
        <v>185</v>
      </c>
    </row>
    <row r="48" spans="1:19" ht="15.75" thickBot="1" x14ac:dyDescent="0.3">
      <c r="A48" s="118" t="s">
        <v>5</v>
      </c>
      <c r="B48" s="119">
        <f>SUM(B34:B46)</f>
        <v>1750861</v>
      </c>
      <c r="H48" s="102">
        <f t="shared" si="0"/>
        <v>22.360248447204967</v>
      </c>
      <c r="I48" s="99">
        <v>36</v>
      </c>
      <c r="J48" s="73">
        <v>2.9513888888888888E-3</v>
      </c>
      <c r="K48" s="94">
        <f t="shared" si="2"/>
        <v>0.10717592592592597</v>
      </c>
      <c r="M48">
        <v>0</v>
      </c>
      <c r="N48">
        <v>4</v>
      </c>
      <c r="O48">
        <f t="shared" si="1"/>
        <v>-4</v>
      </c>
      <c r="P48" t="s">
        <v>183</v>
      </c>
      <c r="Q48" s="103" t="s">
        <v>166</v>
      </c>
      <c r="R48" s="68" t="s">
        <v>169</v>
      </c>
    </row>
    <row r="49" spans="1:22" x14ac:dyDescent="0.25">
      <c r="H49" s="102">
        <f t="shared" si="0"/>
        <v>22.981366459627328</v>
      </c>
      <c r="I49" s="5">
        <v>37</v>
      </c>
      <c r="J49" s="73">
        <v>2.9513888888888888E-3</v>
      </c>
      <c r="K49" s="69">
        <f t="shared" si="2"/>
        <v>0.11012731481481486</v>
      </c>
      <c r="M49">
        <v>0</v>
      </c>
      <c r="N49">
        <v>15</v>
      </c>
      <c r="O49">
        <f t="shared" si="1"/>
        <v>-15</v>
      </c>
    </row>
    <row r="50" spans="1:22" x14ac:dyDescent="0.25">
      <c r="H50" s="102">
        <f t="shared" si="0"/>
        <v>23.602484472049689</v>
      </c>
      <c r="I50" s="5">
        <v>38</v>
      </c>
      <c r="J50" s="73">
        <v>2.9513888888888888E-3</v>
      </c>
      <c r="K50" s="69">
        <f t="shared" si="2"/>
        <v>0.11307870370370375</v>
      </c>
      <c r="M50">
        <v>8</v>
      </c>
      <c r="N50">
        <v>8</v>
      </c>
      <c r="O50">
        <f t="shared" si="1"/>
        <v>0</v>
      </c>
    </row>
    <row r="51" spans="1:22" x14ac:dyDescent="0.25">
      <c r="H51" s="102">
        <f t="shared" si="0"/>
        <v>24.22360248447205</v>
      </c>
      <c r="I51" s="5">
        <v>39</v>
      </c>
      <c r="J51" s="73">
        <v>2.9513888888888888E-3</v>
      </c>
      <c r="K51" s="69">
        <f t="shared" si="2"/>
        <v>0.11603009259259264</v>
      </c>
      <c r="M51">
        <v>0</v>
      </c>
      <c r="N51">
        <v>16</v>
      </c>
      <c r="O51">
        <f t="shared" si="1"/>
        <v>-16</v>
      </c>
      <c r="P51" s="103" t="s">
        <v>176</v>
      </c>
      <c r="Q51" s="103" t="s">
        <v>184</v>
      </c>
    </row>
    <row r="52" spans="1:22" x14ac:dyDescent="0.25">
      <c r="H52" s="102">
        <f t="shared" si="0"/>
        <v>24.844720496894407</v>
      </c>
      <c r="I52" s="5">
        <v>40</v>
      </c>
      <c r="J52" s="73">
        <v>2.9513888888888888E-3</v>
      </c>
      <c r="K52" s="69">
        <f t="shared" si="2"/>
        <v>0.11898148148148154</v>
      </c>
      <c r="M52">
        <v>0</v>
      </c>
      <c r="N52">
        <v>6</v>
      </c>
      <c r="O52">
        <f t="shared" si="1"/>
        <v>-6</v>
      </c>
    </row>
    <row r="53" spans="1:22" ht="15.75" thickBot="1" x14ac:dyDescent="0.3">
      <c r="H53" s="102">
        <f t="shared" si="0"/>
        <v>25.465838509316768</v>
      </c>
      <c r="I53" s="5">
        <v>41</v>
      </c>
      <c r="J53" s="73">
        <v>2.9513888888888888E-3</v>
      </c>
      <c r="K53" s="69">
        <f t="shared" si="2"/>
        <v>0.12193287037037043</v>
      </c>
      <c r="M53">
        <v>0</v>
      </c>
      <c r="N53">
        <v>2</v>
      </c>
      <c r="O53">
        <f t="shared" si="1"/>
        <v>-2</v>
      </c>
    </row>
    <row r="54" spans="1:22" ht="15.75" thickBot="1" x14ac:dyDescent="0.3">
      <c r="H54" s="102">
        <f t="shared" si="0"/>
        <v>26.086956521739129</v>
      </c>
      <c r="I54" s="99">
        <v>42</v>
      </c>
      <c r="J54" s="73">
        <v>2.9513888888888888E-3</v>
      </c>
      <c r="K54" s="94">
        <f t="shared" si="2"/>
        <v>0.12488425925925932</v>
      </c>
      <c r="M54">
        <v>0</v>
      </c>
      <c r="N54">
        <v>0</v>
      </c>
      <c r="O54">
        <f t="shared" si="1"/>
        <v>0</v>
      </c>
    </row>
    <row r="55" spans="1:22" ht="15.75" thickBot="1" x14ac:dyDescent="0.3">
      <c r="H55" s="102">
        <f t="shared" si="0"/>
        <v>26.211180124223603</v>
      </c>
      <c r="I55" s="5">
        <v>42.2</v>
      </c>
      <c r="J55" s="73">
        <v>2.9513888888888888E-3</v>
      </c>
      <c r="K55" s="100">
        <f t="shared" si="2"/>
        <v>0.12547453703703709</v>
      </c>
      <c r="L55" t="s">
        <v>147</v>
      </c>
      <c r="M55">
        <v>0</v>
      </c>
      <c r="N55">
        <v>0</v>
      </c>
      <c r="O55">
        <f t="shared" si="1"/>
        <v>0</v>
      </c>
    </row>
    <row r="57" spans="1:22" x14ac:dyDescent="0.25">
      <c r="K57" t="s">
        <v>125</v>
      </c>
      <c r="L57" s="69">
        <f>K55/I55</f>
        <v>2.973330261541163E-3</v>
      </c>
    </row>
    <row r="58" spans="1:22" ht="27" thickBot="1" x14ac:dyDescent="0.45">
      <c r="A58" s="143" t="s">
        <v>280</v>
      </c>
    </row>
    <row r="59" spans="1:22" x14ac:dyDescent="0.25">
      <c r="A59" s="104" t="s">
        <v>4</v>
      </c>
      <c r="B59" s="110"/>
      <c r="C59" s="56"/>
      <c r="D59" t="s">
        <v>110</v>
      </c>
      <c r="E59">
        <v>950</v>
      </c>
      <c r="H59" s="206" t="s">
        <v>281</v>
      </c>
      <c r="I59" s="206"/>
      <c r="J59" s="206"/>
      <c r="K59" s="206"/>
      <c r="L59" s="206"/>
      <c r="M59" t="s">
        <v>163</v>
      </c>
      <c r="N59" t="s">
        <v>164</v>
      </c>
      <c r="O59" t="s">
        <v>165</v>
      </c>
      <c r="Q59" t="s">
        <v>166</v>
      </c>
      <c r="R59" t="s">
        <v>167</v>
      </c>
    </row>
    <row r="60" spans="1:22" x14ac:dyDescent="0.25">
      <c r="A60" s="57"/>
      <c r="B60" t="s">
        <v>5</v>
      </c>
      <c r="C60" s="58"/>
      <c r="D60" t="s">
        <v>115</v>
      </c>
      <c r="H60" t="s">
        <v>168</v>
      </c>
      <c r="I60" t="s">
        <v>119</v>
      </c>
      <c r="J60" t="s">
        <v>123</v>
      </c>
      <c r="K60" t="s">
        <v>124</v>
      </c>
      <c r="Q60" t="s">
        <v>166</v>
      </c>
      <c r="R60" t="s">
        <v>170</v>
      </c>
      <c r="T60" t="s">
        <v>168</v>
      </c>
      <c r="U60" t="s">
        <v>248</v>
      </c>
      <c r="V60" t="s">
        <v>324</v>
      </c>
    </row>
    <row r="61" spans="1:22" x14ac:dyDescent="0.25">
      <c r="A61" s="57" t="s">
        <v>282</v>
      </c>
      <c r="B61" s="207">
        <v>1267184</v>
      </c>
      <c r="C61" s="208" t="s">
        <v>55</v>
      </c>
      <c r="H61" s="102">
        <f>I61/1.61</f>
        <v>0.6211180124223602</v>
      </c>
      <c r="I61" s="5">
        <v>1</v>
      </c>
      <c r="J61" s="73">
        <v>3.0671296296296297E-3</v>
      </c>
      <c r="K61" s="69">
        <f>J61</f>
        <v>3.0671296296296297E-3</v>
      </c>
      <c r="M61">
        <v>0</v>
      </c>
      <c r="N61">
        <v>39</v>
      </c>
      <c r="O61">
        <f>M61-N61</f>
        <v>-39</v>
      </c>
      <c r="T61">
        <v>1</v>
      </c>
      <c r="U61">
        <f>CONVERT(T61,"mi","km")</f>
        <v>1.6093440000000001</v>
      </c>
      <c r="V61" s="69">
        <f>J61*U61</f>
        <v>4.9360666666666674E-3</v>
      </c>
    </row>
    <row r="62" spans="1:22" x14ac:dyDescent="0.25">
      <c r="A62" s="57" t="s">
        <v>283</v>
      </c>
      <c r="B62" s="207"/>
      <c r="C62" s="208"/>
      <c r="H62" s="102">
        <f t="shared" ref="H62:H103" si="3">I62/1.61</f>
        <v>1.2422360248447204</v>
      </c>
      <c r="I62" s="5">
        <v>2</v>
      </c>
      <c r="J62" s="73">
        <v>3.0092592592592588E-3</v>
      </c>
      <c r="K62" s="69">
        <f>J62*(I62-I61)+K61</f>
        <v>6.0763888888888881E-3</v>
      </c>
      <c r="M62">
        <v>6</v>
      </c>
      <c r="N62">
        <v>9</v>
      </c>
      <c r="O62">
        <f t="shared" ref="O62:O103" si="4">M62-N62</f>
        <v>-3</v>
      </c>
      <c r="T62">
        <v>2</v>
      </c>
      <c r="U62">
        <f t="shared" ref="U62:U103" si="5">CONVERT(T62,"mi","km")</f>
        <v>3.2186880000000002</v>
      </c>
      <c r="V62" s="69">
        <f>J63*U62/T62</f>
        <v>4.6566666666666675E-3</v>
      </c>
    </row>
    <row r="63" spans="1:22" x14ac:dyDescent="0.25">
      <c r="A63" s="57" t="s">
        <v>100</v>
      </c>
      <c r="B63" s="111">
        <v>0</v>
      </c>
      <c r="C63" s="58" t="s">
        <v>55</v>
      </c>
      <c r="H63" s="102">
        <f t="shared" si="3"/>
        <v>1.8633540372670807</v>
      </c>
      <c r="I63" s="5">
        <v>3</v>
      </c>
      <c r="J63" s="73">
        <v>2.8935185185185188E-3</v>
      </c>
      <c r="K63" s="69">
        <f t="shared" ref="K63:K103" si="6">J63*(I63-I62)+K62</f>
        <v>8.9699074074074073E-3</v>
      </c>
      <c r="M63">
        <v>0</v>
      </c>
      <c r="N63">
        <v>0</v>
      </c>
      <c r="O63">
        <f t="shared" si="4"/>
        <v>0</v>
      </c>
      <c r="T63">
        <v>3</v>
      </c>
      <c r="U63">
        <f t="shared" si="5"/>
        <v>4.8280320000000003</v>
      </c>
    </row>
    <row r="64" spans="1:22" ht="15.75" thickBot="1" x14ac:dyDescent="0.3">
      <c r="A64" s="57" t="s">
        <v>102</v>
      </c>
      <c r="B64" s="112">
        <v>34512</v>
      </c>
      <c r="C64" s="58" t="s">
        <v>76</v>
      </c>
      <c r="H64" s="102">
        <f t="shared" si="3"/>
        <v>2.4844720496894408</v>
      </c>
      <c r="I64" s="5">
        <v>4</v>
      </c>
      <c r="J64" s="73">
        <v>2.8935185185185188E-3</v>
      </c>
      <c r="K64" s="69">
        <f t="shared" si="6"/>
        <v>1.1863425925925927E-2</v>
      </c>
      <c r="M64">
        <v>0</v>
      </c>
      <c r="N64">
        <v>8</v>
      </c>
      <c r="O64">
        <f t="shared" si="4"/>
        <v>-8</v>
      </c>
      <c r="T64">
        <v>4</v>
      </c>
      <c r="U64">
        <f t="shared" si="5"/>
        <v>6.4373760000000004</v>
      </c>
    </row>
    <row r="65" spans="1:21" ht="15.75" thickBot="1" x14ac:dyDescent="0.3">
      <c r="A65" s="57" t="s">
        <v>284</v>
      </c>
      <c r="B65" s="111">
        <f>308.98*E59</f>
        <v>293531</v>
      </c>
      <c r="C65" s="58" t="s">
        <v>76</v>
      </c>
      <c r="H65" s="102">
        <f t="shared" si="3"/>
        <v>3.1055900621118009</v>
      </c>
      <c r="I65" s="99">
        <v>5</v>
      </c>
      <c r="J65" s="73">
        <v>2.8935185185185201E-3</v>
      </c>
      <c r="K65" s="94">
        <f t="shared" si="6"/>
        <v>1.4756944444444448E-2</v>
      </c>
      <c r="M65">
        <v>0</v>
      </c>
      <c r="N65">
        <v>17</v>
      </c>
      <c r="O65">
        <f t="shared" si="4"/>
        <v>-17</v>
      </c>
      <c r="P65" s="103" t="s">
        <v>173</v>
      </c>
      <c r="Q65" s="103" t="s">
        <v>171</v>
      </c>
      <c r="R65" s="103"/>
      <c r="T65">
        <v>5</v>
      </c>
      <c r="U65">
        <f t="shared" si="5"/>
        <v>8.0467200000000005</v>
      </c>
    </row>
    <row r="66" spans="1:21" x14ac:dyDescent="0.25">
      <c r="A66" s="57" t="s">
        <v>103</v>
      </c>
      <c r="B66" s="112">
        <v>1516000</v>
      </c>
      <c r="C66" s="141" t="s">
        <v>76</v>
      </c>
      <c r="E66" t="s">
        <v>160</v>
      </c>
      <c r="H66" s="102">
        <f t="shared" si="3"/>
        <v>3.7267080745341614</v>
      </c>
      <c r="I66" s="5">
        <v>6</v>
      </c>
      <c r="J66" s="73">
        <v>2.8935185185185201E-3</v>
      </c>
      <c r="K66" s="69">
        <f t="shared" si="6"/>
        <v>1.7650462962962968E-2</v>
      </c>
      <c r="M66">
        <v>0</v>
      </c>
      <c r="N66">
        <v>14</v>
      </c>
      <c r="O66">
        <f t="shared" si="4"/>
        <v>-14</v>
      </c>
      <c r="T66">
        <v>6</v>
      </c>
      <c r="U66">
        <f t="shared" si="5"/>
        <v>9.6560640000000006</v>
      </c>
    </row>
    <row r="67" spans="1:21" x14ac:dyDescent="0.25">
      <c r="A67" s="57" t="s">
        <v>108</v>
      </c>
      <c r="B67" s="112">
        <v>0</v>
      </c>
      <c r="C67" s="58" t="s">
        <v>76</v>
      </c>
      <c r="H67" s="102">
        <f t="shared" si="3"/>
        <v>4.3478260869565215</v>
      </c>
      <c r="I67" s="5">
        <v>7</v>
      </c>
      <c r="J67" s="73">
        <v>2.8935185185185201E-3</v>
      </c>
      <c r="K67" s="69">
        <f t="shared" si="6"/>
        <v>2.0543981481481489E-2</v>
      </c>
      <c r="M67">
        <v>0</v>
      </c>
      <c r="N67">
        <v>0</v>
      </c>
      <c r="O67">
        <f t="shared" si="4"/>
        <v>0</v>
      </c>
      <c r="T67">
        <v>7</v>
      </c>
      <c r="U67">
        <f t="shared" si="5"/>
        <v>11.265407999999999</v>
      </c>
    </row>
    <row r="68" spans="1:21" x14ac:dyDescent="0.25">
      <c r="A68" s="57" t="s">
        <v>285</v>
      </c>
      <c r="B68" s="111">
        <v>0</v>
      </c>
      <c r="C68" s="142" t="s">
        <v>76</v>
      </c>
      <c r="H68" s="102">
        <f t="shared" si="3"/>
        <v>4.9689440993788816</v>
      </c>
      <c r="I68" s="5">
        <v>8</v>
      </c>
      <c r="J68" s="73">
        <v>2.8935185185185201E-3</v>
      </c>
      <c r="K68" s="69">
        <f t="shared" si="6"/>
        <v>2.343750000000001E-2</v>
      </c>
      <c r="M68">
        <v>10</v>
      </c>
      <c r="N68">
        <v>0</v>
      </c>
      <c r="O68">
        <f t="shared" si="4"/>
        <v>10</v>
      </c>
      <c r="T68">
        <v>8</v>
      </c>
      <c r="U68">
        <f t="shared" si="5"/>
        <v>12.874752000000001</v>
      </c>
    </row>
    <row r="69" spans="1:21" ht="15.75" thickBot="1" x14ac:dyDescent="0.3">
      <c r="A69" s="57" t="s">
        <v>217</v>
      </c>
      <c r="B69" s="111">
        <v>70935</v>
      </c>
      <c r="C69" s="58" t="s">
        <v>76</v>
      </c>
      <c r="H69" s="102">
        <f t="shared" si="3"/>
        <v>5.5900621118012417</v>
      </c>
      <c r="I69" s="5">
        <v>9</v>
      </c>
      <c r="J69" s="73">
        <v>2.8935185185185201E-3</v>
      </c>
      <c r="K69" s="69">
        <f t="shared" si="6"/>
        <v>2.6331018518518531E-2</v>
      </c>
      <c r="M69">
        <v>0</v>
      </c>
      <c r="N69">
        <v>9</v>
      </c>
      <c r="O69">
        <f t="shared" si="4"/>
        <v>-9</v>
      </c>
      <c r="T69">
        <v>9</v>
      </c>
      <c r="U69">
        <f t="shared" si="5"/>
        <v>14.484095999999999</v>
      </c>
    </row>
    <row r="70" spans="1:21" ht="15.75" thickBot="1" x14ac:dyDescent="0.3">
      <c r="A70" s="57" t="s">
        <v>323</v>
      </c>
      <c r="B70" s="111">
        <v>5600</v>
      </c>
      <c r="C70" s="58" t="s">
        <v>76</v>
      </c>
      <c r="H70" s="102">
        <f t="shared" si="3"/>
        <v>6.2111801242236018</v>
      </c>
      <c r="I70" s="99">
        <v>10</v>
      </c>
      <c r="J70" s="73">
        <v>2.8935185185185201E-3</v>
      </c>
      <c r="K70" s="94">
        <f t="shared" si="6"/>
        <v>2.9224537037037052E-2</v>
      </c>
      <c r="M70">
        <v>0</v>
      </c>
      <c r="N70">
        <v>3</v>
      </c>
      <c r="O70">
        <f t="shared" si="4"/>
        <v>-3</v>
      </c>
      <c r="P70" s="103" t="s">
        <v>174</v>
      </c>
      <c r="Q70" s="103" t="s">
        <v>166</v>
      </c>
      <c r="R70" s="68" t="s">
        <v>169</v>
      </c>
      <c r="T70">
        <v>10</v>
      </c>
      <c r="U70">
        <f t="shared" si="5"/>
        <v>16.093440000000001</v>
      </c>
    </row>
    <row r="71" spans="1:21" x14ac:dyDescent="0.25">
      <c r="A71" s="57" t="s">
        <v>325</v>
      </c>
      <c r="B71" s="111">
        <v>267731</v>
      </c>
      <c r="C71" s="58" t="s">
        <v>76</v>
      </c>
      <c r="H71" s="102">
        <f t="shared" si="3"/>
        <v>6.8322981366459627</v>
      </c>
      <c r="I71" s="5">
        <v>11</v>
      </c>
      <c r="J71" s="73">
        <v>2.8935185185185201E-3</v>
      </c>
      <c r="K71" s="69">
        <f t="shared" si="6"/>
        <v>3.2118055555555573E-2</v>
      </c>
      <c r="M71">
        <v>0</v>
      </c>
      <c r="N71">
        <v>2</v>
      </c>
      <c r="O71">
        <f t="shared" si="4"/>
        <v>-2</v>
      </c>
      <c r="T71">
        <v>11</v>
      </c>
      <c r="U71">
        <f t="shared" si="5"/>
        <v>17.702784000000001</v>
      </c>
    </row>
    <row r="72" spans="1:21" x14ac:dyDescent="0.25">
      <c r="A72" s="57" t="s">
        <v>326</v>
      </c>
      <c r="B72" s="111">
        <v>0</v>
      </c>
      <c r="C72" s="58" t="s">
        <v>76</v>
      </c>
      <c r="H72" s="102">
        <f t="shared" si="3"/>
        <v>7.4534161490683228</v>
      </c>
      <c r="I72" s="5">
        <v>12</v>
      </c>
      <c r="J72" s="73">
        <v>2.8935185185185201E-3</v>
      </c>
      <c r="K72" s="69">
        <f t="shared" si="6"/>
        <v>3.5011574074074091E-2</v>
      </c>
      <c r="M72">
        <v>0</v>
      </c>
      <c r="N72">
        <v>1</v>
      </c>
      <c r="O72">
        <f t="shared" si="4"/>
        <v>-1</v>
      </c>
      <c r="T72">
        <v>12</v>
      </c>
      <c r="U72">
        <f t="shared" si="5"/>
        <v>19.312128000000001</v>
      </c>
    </row>
    <row r="73" spans="1:21" x14ac:dyDescent="0.25">
      <c r="A73" s="57" t="s">
        <v>329</v>
      </c>
      <c r="B73" s="111">
        <v>260603</v>
      </c>
      <c r="C73" s="58" t="s">
        <v>76</v>
      </c>
      <c r="H73" s="102">
        <f t="shared" si="3"/>
        <v>8.074534161490682</v>
      </c>
      <c r="I73" s="5">
        <v>13</v>
      </c>
      <c r="J73" s="73">
        <v>2.8935185185185201E-3</v>
      </c>
      <c r="K73" s="69">
        <f t="shared" si="6"/>
        <v>3.7905092592592608E-2</v>
      </c>
      <c r="M73">
        <v>11</v>
      </c>
      <c r="N73">
        <v>12</v>
      </c>
      <c r="O73">
        <f t="shared" si="4"/>
        <v>-1</v>
      </c>
      <c r="T73">
        <v>13</v>
      </c>
      <c r="U73">
        <f t="shared" si="5"/>
        <v>20.921472000000001</v>
      </c>
    </row>
    <row r="74" spans="1:21" ht="15.75" thickBot="1" x14ac:dyDescent="0.3">
      <c r="A74" s="57" t="s">
        <v>213</v>
      </c>
      <c r="B74" s="111">
        <v>0</v>
      </c>
      <c r="C74" s="58" t="s">
        <v>76</v>
      </c>
      <c r="H74" s="102">
        <f t="shared" si="3"/>
        <v>8.695652173913043</v>
      </c>
      <c r="I74" s="5">
        <v>14</v>
      </c>
      <c r="J74" s="73">
        <v>2.8935185185185201E-3</v>
      </c>
      <c r="K74" s="69">
        <f t="shared" si="6"/>
        <v>4.0798611111111126E-2</v>
      </c>
      <c r="M74">
        <v>0</v>
      </c>
      <c r="N74">
        <v>0</v>
      </c>
      <c r="O74">
        <f t="shared" si="4"/>
        <v>0</v>
      </c>
      <c r="T74">
        <v>14</v>
      </c>
      <c r="U74">
        <f t="shared" si="5"/>
        <v>22.530815999999998</v>
      </c>
    </row>
    <row r="75" spans="1:21" ht="15.75" thickBot="1" x14ac:dyDescent="0.3">
      <c r="A75" s="57" t="s">
        <v>219</v>
      </c>
      <c r="B75" s="111">
        <v>469524</v>
      </c>
      <c r="C75" s="58" t="s">
        <v>76</v>
      </c>
      <c r="H75" s="102">
        <f t="shared" si="3"/>
        <v>9.316770186335404</v>
      </c>
      <c r="I75" s="99">
        <v>15</v>
      </c>
      <c r="J75" s="73">
        <v>2.8935185185185201E-3</v>
      </c>
      <c r="K75" s="94">
        <f t="shared" si="6"/>
        <v>4.3692129629629643E-2</v>
      </c>
      <c r="M75">
        <v>3</v>
      </c>
      <c r="N75">
        <v>6</v>
      </c>
      <c r="O75">
        <f t="shared" si="4"/>
        <v>-3</v>
      </c>
      <c r="P75" s="103" t="s">
        <v>175</v>
      </c>
      <c r="Q75" s="103" t="s">
        <v>166</v>
      </c>
      <c r="R75" s="103"/>
      <c r="T75">
        <v>15</v>
      </c>
      <c r="U75">
        <f t="shared" si="5"/>
        <v>24.140160000000002</v>
      </c>
    </row>
    <row r="76" spans="1:21" x14ac:dyDescent="0.25">
      <c r="A76" s="57" t="s">
        <v>220</v>
      </c>
      <c r="B76" s="111">
        <f>500*E59</f>
        <v>475000</v>
      </c>
      <c r="C76" s="58" t="s">
        <v>76</v>
      </c>
      <c r="H76" s="102">
        <f t="shared" si="3"/>
        <v>9.9378881987577632</v>
      </c>
      <c r="I76" s="5">
        <v>16</v>
      </c>
      <c r="J76" s="73">
        <v>2.8935185185185201E-3</v>
      </c>
      <c r="K76" s="69">
        <f t="shared" si="6"/>
        <v>4.6585648148148161E-2</v>
      </c>
      <c r="M76">
        <v>7</v>
      </c>
      <c r="N76">
        <v>2</v>
      </c>
      <c r="O76">
        <f t="shared" si="4"/>
        <v>5</v>
      </c>
      <c r="T76">
        <v>16</v>
      </c>
      <c r="U76">
        <f t="shared" si="5"/>
        <v>25.749504000000002</v>
      </c>
    </row>
    <row r="77" spans="1:21" x14ac:dyDescent="0.25">
      <c r="A77" s="107" t="s">
        <v>5</v>
      </c>
      <c r="B77" s="113">
        <f>SUMIF(C61:C76,"OK",B61:B76)</f>
        <v>4660620</v>
      </c>
      <c r="C77" s="58"/>
      <c r="H77" s="102">
        <f t="shared" si="3"/>
        <v>10.559006211180124</v>
      </c>
      <c r="I77" s="5">
        <v>17</v>
      </c>
      <c r="J77" s="73">
        <v>2.8935185185185201E-3</v>
      </c>
      <c r="K77" s="69">
        <f t="shared" si="6"/>
        <v>4.9479166666666678E-2</v>
      </c>
      <c r="M77">
        <v>5</v>
      </c>
      <c r="N77">
        <v>0</v>
      </c>
      <c r="O77">
        <f t="shared" si="4"/>
        <v>5</v>
      </c>
      <c r="T77">
        <v>17</v>
      </c>
      <c r="U77">
        <f t="shared" si="5"/>
        <v>27.358848000000002</v>
      </c>
    </row>
    <row r="78" spans="1:21" ht="15.75" thickBot="1" x14ac:dyDescent="0.3">
      <c r="A78" s="114" t="s">
        <v>137</v>
      </c>
      <c r="B78" s="115">
        <f>SUMIF(C61:C76,"",B61:B76)</f>
        <v>0</v>
      </c>
      <c r="C78" s="60"/>
      <c r="H78" s="102">
        <f t="shared" si="3"/>
        <v>11.180124223602483</v>
      </c>
      <c r="I78" s="5">
        <v>18</v>
      </c>
      <c r="J78" s="73">
        <v>2.8935185185185201E-3</v>
      </c>
      <c r="K78" s="69">
        <f t="shared" si="6"/>
        <v>5.2372685185185196E-2</v>
      </c>
      <c r="M78">
        <v>0</v>
      </c>
      <c r="N78">
        <v>0</v>
      </c>
      <c r="O78">
        <f t="shared" si="4"/>
        <v>0</v>
      </c>
      <c r="P78" s="70" t="s">
        <v>177</v>
      </c>
      <c r="Q78" s="103" t="s">
        <v>166</v>
      </c>
      <c r="R78" s="68" t="s">
        <v>170</v>
      </c>
      <c r="T78">
        <v>18</v>
      </c>
      <c r="U78">
        <f t="shared" si="5"/>
        <v>28.968191999999998</v>
      </c>
    </row>
    <row r="79" spans="1:21" ht="15.75" thickBot="1" x14ac:dyDescent="0.3">
      <c r="A79" s="116" t="s">
        <v>330</v>
      </c>
      <c r="B79" s="158">
        <f>(B61+B66)/B80</f>
        <v>0.59717033356077087</v>
      </c>
      <c r="H79" s="102">
        <f t="shared" si="3"/>
        <v>11.801242236024844</v>
      </c>
      <c r="I79" s="5">
        <v>19</v>
      </c>
      <c r="J79" s="73">
        <v>2.8935185185185201E-3</v>
      </c>
      <c r="K79" s="69">
        <f t="shared" si="6"/>
        <v>5.5266203703703713E-2</v>
      </c>
      <c r="M79">
        <v>0</v>
      </c>
      <c r="N79">
        <v>7</v>
      </c>
      <c r="O79">
        <f t="shared" si="4"/>
        <v>-7</v>
      </c>
      <c r="S79" t="s">
        <v>185</v>
      </c>
      <c r="T79">
        <v>19</v>
      </c>
      <c r="U79">
        <f t="shared" si="5"/>
        <v>30.577536000000002</v>
      </c>
    </row>
    <row r="80" spans="1:21" ht="15.75" thickBot="1" x14ac:dyDescent="0.3">
      <c r="A80" s="108" t="s">
        <v>65</v>
      </c>
      <c r="B80" s="109">
        <f>B77+B78</f>
        <v>4660620</v>
      </c>
      <c r="H80" s="102">
        <f t="shared" si="3"/>
        <v>12.422360248447204</v>
      </c>
      <c r="I80" s="99">
        <v>20</v>
      </c>
      <c r="J80" s="73">
        <v>2.8935185185185201E-3</v>
      </c>
      <c r="K80" s="94">
        <f t="shared" si="6"/>
        <v>5.8159722222222231E-2</v>
      </c>
      <c r="M80">
        <v>7</v>
      </c>
      <c r="N80">
        <v>12</v>
      </c>
      <c r="O80">
        <f t="shared" si="4"/>
        <v>-5</v>
      </c>
      <c r="T80">
        <v>20</v>
      </c>
      <c r="U80">
        <f t="shared" si="5"/>
        <v>32.186880000000002</v>
      </c>
    </row>
    <row r="81" spans="1:21" ht="15.75" thickBot="1" x14ac:dyDescent="0.3">
      <c r="H81" s="102">
        <f t="shared" si="3"/>
        <v>13.043478260869565</v>
      </c>
      <c r="I81" s="5">
        <v>21</v>
      </c>
      <c r="J81" s="73">
        <v>2.8935185185185201E-3</v>
      </c>
      <c r="K81" s="69">
        <f t="shared" si="6"/>
        <v>6.1053240740740748E-2</v>
      </c>
      <c r="M81">
        <v>0</v>
      </c>
      <c r="N81">
        <v>3</v>
      </c>
      <c r="O81">
        <f t="shared" si="4"/>
        <v>-3</v>
      </c>
      <c r="P81" t="s">
        <v>178</v>
      </c>
      <c r="Q81" t="s">
        <v>166</v>
      </c>
      <c r="T81">
        <v>21</v>
      </c>
      <c r="U81">
        <f t="shared" si="5"/>
        <v>33.796224000000002</v>
      </c>
    </row>
    <row r="82" spans="1:21" x14ac:dyDescent="0.25">
      <c r="A82" s="104" t="s">
        <v>215</v>
      </c>
      <c r="B82" s="56"/>
      <c r="H82" s="102">
        <f t="shared" si="3"/>
        <v>13.664596273291925</v>
      </c>
      <c r="I82" s="5">
        <v>22</v>
      </c>
      <c r="J82" s="73">
        <v>2.8935185185185201E-3</v>
      </c>
      <c r="K82" s="69">
        <f t="shared" si="6"/>
        <v>6.3946759259259273E-2</v>
      </c>
      <c r="M82">
        <v>6</v>
      </c>
      <c r="N82">
        <v>6</v>
      </c>
      <c r="O82">
        <f t="shared" si="4"/>
        <v>0</v>
      </c>
      <c r="T82">
        <v>22</v>
      </c>
      <c r="U82">
        <f t="shared" si="5"/>
        <v>35.405568000000002</v>
      </c>
    </row>
    <row r="83" spans="1:21" x14ac:dyDescent="0.25">
      <c r="A83" s="57"/>
      <c r="B83" s="58" t="s">
        <v>5</v>
      </c>
      <c r="H83" s="102">
        <f t="shared" si="3"/>
        <v>14.285714285714285</v>
      </c>
      <c r="I83" s="5">
        <v>23</v>
      </c>
      <c r="J83" s="73">
        <v>2.8935185185185201E-3</v>
      </c>
      <c r="K83" s="69">
        <f t="shared" si="6"/>
        <v>6.684027777777779E-2</v>
      </c>
      <c r="M83">
        <v>0</v>
      </c>
      <c r="N83">
        <v>0</v>
      </c>
      <c r="O83">
        <f t="shared" si="4"/>
        <v>0</v>
      </c>
      <c r="P83" s="103"/>
      <c r="Q83" s="103"/>
      <c r="R83" s="103"/>
      <c r="S83" t="s">
        <v>185</v>
      </c>
      <c r="T83">
        <v>23</v>
      </c>
      <c r="U83">
        <f t="shared" si="5"/>
        <v>37.014911999999995</v>
      </c>
    </row>
    <row r="84" spans="1:21" ht="15.75" thickBot="1" x14ac:dyDescent="0.3">
      <c r="A84" s="57" t="s">
        <v>135</v>
      </c>
      <c r="B84" s="209">
        <f>IF(C61="ok",B61,0)</f>
        <v>1267184</v>
      </c>
      <c r="H84" s="102">
        <f t="shared" si="3"/>
        <v>14.906832298136646</v>
      </c>
      <c r="I84" s="5">
        <v>24</v>
      </c>
      <c r="J84" s="73">
        <v>2.8935185185185201E-3</v>
      </c>
      <c r="K84" s="69">
        <f t="shared" si="6"/>
        <v>6.9733796296296308E-2</v>
      </c>
      <c r="M84">
        <v>5</v>
      </c>
      <c r="N84">
        <v>0</v>
      </c>
      <c r="O84">
        <f t="shared" si="4"/>
        <v>5</v>
      </c>
      <c r="P84" t="s">
        <v>179</v>
      </c>
      <c r="Q84" s="103" t="s">
        <v>166</v>
      </c>
      <c r="R84" s="68" t="s">
        <v>169</v>
      </c>
      <c r="T84">
        <v>24</v>
      </c>
      <c r="U84">
        <f t="shared" si="5"/>
        <v>38.624256000000003</v>
      </c>
    </row>
    <row r="85" spans="1:21" ht="15.75" thickBot="1" x14ac:dyDescent="0.3">
      <c r="A85" s="57" t="s">
        <v>136</v>
      </c>
      <c r="B85" s="209"/>
      <c r="H85" s="102">
        <f t="shared" si="3"/>
        <v>15.527950310559005</v>
      </c>
      <c r="I85" s="99">
        <v>25</v>
      </c>
      <c r="J85" s="73">
        <v>2.8935185185185201E-3</v>
      </c>
      <c r="K85" s="94">
        <f t="shared" si="6"/>
        <v>7.2627314814814825E-2</v>
      </c>
      <c r="M85">
        <v>5</v>
      </c>
      <c r="N85">
        <v>0</v>
      </c>
      <c r="O85">
        <f t="shared" si="4"/>
        <v>5</v>
      </c>
      <c r="T85">
        <v>25</v>
      </c>
      <c r="U85">
        <f t="shared" si="5"/>
        <v>40.233600000000003</v>
      </c>
    </row>
    <row r="86" spans="1:21" x14ac:dyDescent="0.25">
      <c r="A86" s="57" t="s">
        <v>100</v>
      </c>
      <c r="B86" s="105">
        <f t="shared" ref="B86:B92" si="7">IF(C63="ok",B63,0)</f>
        <v>0</v>
      </c>
      <c r="H86" s="102">
        <f t="shared" si="3"/>
        <v>16.149068322981364</v>
      </c>
      <c r="I86" s="5">
        <v>26</v>
      </c>
      <c r="J86" s="73">
        <v>2.8935185185185201E-3</v>
      </c>
      <c r="K86" s="69">
        <f t="shared" si="6"/>
        <v>7.5520833333333343E-2</v>
      </c>
      <c r="M86">
        <v>9</v>
      </c>
      <c r="N86">
        <v>32</v>
      </c>
      <c r="O86">
        <f t="shared" si="4"/>
        <v>-23</v>
      </c>
      <c r="P86" s="103"/>
      <c r="T86">
        <v>26</v>
      </c>
      <c r="U86">
        <f t="shared" si="5"/>
        <v>41.842944000000003</v>
      </c>
    </row>
    <row r="87" spans="1:21" x14ac:dyDescent="0.25">
      <c r="A87" s="57" t="s">
        <v>102</v>
      </c>
      <c r="B87" s="105">
        <f t="shared" si="7"/>
        <v>34512</v>
      </c>
      <c r="H87" s="102">
        <f t="shared" si="3"/>
        <v>16.770186335403725</v>
      </c>
      <c r="I87" s="5">
        <v>27</v>
      </c>
      <c r="J87" s="73">
        <v>2.8935185185185201E-3</v>
      </c>
      <c r="K87" s="69">
        <f t="shared" si="6"/>
        <v>7.841435185185186E-2</v>
      </c>
      <c r="M87">
        <v>17</v>
      </c>
      <c r="N87">
        <v>0</v>
      </c>
      <c r="O87">
        <f t="shared" si="4"/>
        <v>17</v>
      </c>
      <c r="P87" s="103" t="s">
        <v>180</v>
      </c>
      <c r="Q87" s="103" t="s">
        <v>166</v>
      </c>
      <c r="R87" s="103"/>
      <c r="T87">
        <v>26.2</v>
      </c>
      <c r="U87">
        <f t="shared" si="5"/>
        <v>42.1648128</v>
      </c>
    </row>
    <row r="88" spans="1:21" x14ac:dyDescent="0.25">
      <c r="A88" s="57" t="s">
        <v>134</v>
      </c>
      <c r="B88" s="105">
        <f t="shared" si="7"/>
        <v>293531</v>
      </c>
      <c r="H88" s="102">
        <f t="shared" si="3"/>
        <v>17.391304347826086</v>
      </c>
      <c r="I88" s="5">
        <v>28</v>
      </c>
      <c r="J88" s="73">
        <v>2.8935185185185201E-3</v>
      </c>
      <c r="K88" s="69">
        <f t="shared" si="6"/>
        <v>8.1307870370370378E-2</v>
      </c>
      <c r="M88">
        <v>0</v>
      </c>
      <c r="N88">
        <v>3</v>
      </c>
      <c r="O88">
        <f t="shared" si="4"/>
        <v>-3</v>
      </c>
      <c r="U88">
        <f t="shared" si="5"/>
        <v>0</v>
      </c>
    </row>
    <row r="89" spans="1:21" x14ac:dyDescent="0.25">
      <c r="A89" s="57" t="s">
        <v>103</v>
      </c>
      <c r="B89" s="105">
        <f t="shared" si="7"/>
        <v>1516000</v>
      </c>
      <c r="H89" s="102">
        <f t="shared" si="3"/>
        <v>18.012422360248447</v>
      </c>
      <c r="I89" s="5">
        <v>29</v>
      </c>
      <c r="J89" s="73">
        <v>2.8935185185185201E-3</v>
      </c>
      <c r="K89" s="69">
        <f t="shared" si="6"/>
        <v>8.4201388888888895E-2</v>
      </c>
      <c r="M89">
        <v>19</v>
      </c>
      <c r="N89">
        <v>5</v>
      </c>
      <c r="O89">
        <f t="shared" si="4"/>
        <v>14</v>
      </c>
      <c r="U89">
        <f t="shared" si="5"/>
        <v>0</v>
      </c>
    </row>
    <row r="90" spans="1:21" ht="15.75" thickBot="1" x14ac:dyDescent="0.3">
      <c r="A90" s="57" t="s">
        <v>108</v>
      </c>
      <c r="B90" s="105">
        <f t="shared" si="7"/>
        <v>0</v>
      </c>
      <c r="H90" s="102">
        <f t="shared" si="3"/>
        <v>18.633540372670808</v>
      </c>
      <c r="I90" s="5">
        <v>30</v>
      </c>
      <c r="J90" s="73">
        <v>2.8935185185185201E-3</v>
      </c>
      <c r="K90" s="69">
        <f t="shared" si="6"/>
        <v>8.7094907407407413E-2</v>
      </c>
      <c r="M90">
        <v>0</v>
      </c>
      <c r="N90">
        <v>4</v>
      </c>
      <c r="O90">
        <f t="shared" si="4"/>
        <v>-4</v>
      </c>
      <c r="P90" t="s">
        <v>181</v>
      </c>
      <c r="Q90" s="103" t="s">
        <v>166</v>
      </c>
      <c r="R90" s="68" t="s">
        <v>170</v>
      </c>
      <c r="U90">
        <f t="shared" si="5"/>
        <v>0</v>
      </c>
    </row>
    <row r="91" spans="1:21" ht="15.75" thickBot="1" x14ac:dyDescent="0.3">
      <c r="A91" s="57" t="s">
        <v>218</v>
      </c>
      <c r="B91" s="105">
        <f t="shared" si="7"/>
        <v>0</v>
      </c>
      <c r="H91" s="102">
        <f t="shared" si="3"/>
        <v>19.254658385093165</v>
      </c>
      <c r="I91" s="99">
        <v>31</v>
      </c>
      <c r="J91" s="73">
        <v>2.8935185185185201E-3</v>
      </c>
      <c r="K91" s="94">
        <f t="shared" si="6"/>
        <v>8.998842592592593E-2</v>
      </c>
      <c r="M91">
        <v>0</v>
      </c>
      <c r="N91">
        <v>11</v>
      </c>
      <c r="O91">
        <f t="shared" si="4"/>
        <v>-11</v>
      </c>
      <c r="U91">
        <f t="shared" si="5"/>
        <v>0</v>
      </c>
    </row>
    <row r="92" spans="1:21" x14ac:dyDescent="0.25">
      <c r="A92" s="57" t="s">
        <v>217</v>
      </c>
      <c r="B92" s="105">
        <f t="shared" si="7"/>
        <v>70935</v>
      </c>
      <c r="H92" s="102">
        <f t="shared" si="3"/>
        <v>19.875776397515526</v>
      </c>
      <c r="I92" s="5">
        <v>32</v>
      </c>
      <c r="J92" s="73">
        <v>2.8935185185185201E-3</v>
      </c>
      <c r="K92" s="69">
        <f t="shared" si="6"/>
        <v>9.2881944444444448E-2</v>
      </c>
      <c r="M92">
        <v>13</v>
      </c>
      <c r="N92">
        <v>0</v>
      </c>
      <c r="O92">
        <f t="shared" si="4"/>
        <v>13</v>
      </c>
      <c r="P92" s="103"/>
      <c r="U92">
        <f t="shared" si="5"/>
        <v>0</v>
      </c>
    </row>
    <row r="93" spans="1:21" x14ac:dyDescent="0.25">
      <c r="A93" s="57" t="s">
        <v>323</v>
      </c>
      <c r="B93" s="105">
        <v>5600</v>
      </c>
      <c r="H93" s="102">
        <f t="shared" si="3"/>
        <v>20.496894409937887</v>
      </c>
      <c r="I93" s="5">
        <v>33</v>
      </c>
      <c r="J93" s="73">
        <v>2.8935185185185201E-3</v>
      </c>
      <c r="K93" s="69">
        <f t="shared" si="6"/>
        <v>9.5775462962962965E-2</v>
      </c>
      <c r="M93">
        <v>0</v>
      </c>
      <c r="N93">
        <v>0</v>
      </c>
      <c r="O93">
        <f t="shared" si="4"/>
        <v>0</v>
      </c>
      <c r="U93">
        <f t="shared" si="5"/>
        <v>0</v>
      </c>
    </row>
    <row r="94" spans="1:21" x14ac:dyDescent="0.25">
      <c r="A94" s="57" t="s">
        <v>214</v>
      </c>
      <c r="B94" s="105"/>
      <c r="C94" t="s">
        <v>286</v>
      </c>
      <c r="H94" s="102">
        <f t="shared" si="3"/>
        <v>21.118012422360248</v>
      </c>
      <c r="I94" s="5">
        <v>34</v>
      </c>
      <c r="J94" s="73">
        <v>2.8935185185185201E-3</v>
      </c>
      <c r="K94" s="69">
        <f t="shared" si="6"/>
        <v>9.8668981481481483E-2</v>
      </c>
      <c r="M94">
        <v>25</v>
      </c>
      <c r="N94">
        <v>0</v>
      </c>
      <c r="O94">
        <f t="shared" si="4"/>
        <v>25</v>
      </c>
      <c r="P94" s="103" t="s">
        <v>182</v>
      </c>
      <c r="Q94" s="103" t="s">
        <v>166</v>
      </c>
      <c r="R94" s="103"/>
      <c r="U94">
        <f t="shared" si="5"/>
        <v>0</v>
      </c>
    </row>
    <row r="95" spans="1:21" ht="15.75" thickBot="1" x14ac:dyDescent="0.3">
      <c r="A95" s="57" t="s">
        <v>213</v>
      </c>
      <c r="B95" s="105"/>
      <c r="H95" s="102">
        <f t="shared" si="3"/>
        <v>21.739130434782606</v>
      </c>
      <c r="I95" s="5">
        <v>35</v>
      </c>
      <c r="J95" s="73">
        <v>2.8935185185185201E-3</v>
      </c>
      <c r="K95" s="69">
        <f t="shared" si="6"/>
        <v>0.1015625</v>
      </c>
      <c r="M95">
        <v>0</v>
      </c>
      <c r="N95">
        <v>23</v>
      </c>
      <c r="O95">
        <f t="shared" si="4"/>
        <v>-23</v>
      </c>
      <c r="S95" t="s">
        <v>185</v>
      </c>
      <c r="U95">
        <f t="shared" si="5"/>
        <v>0</v>
      </c>
    </row>
    <row r="96" spans="1:21" ht="15.75" thickBot="1" x14ac:dyDescent="0.3">
      <c r="A96" s="57" t="s">
        <v>114</v>
      </c>
      <c r="B96" s="105"/>
      <c r="H96" s="102">
        <f t="shared" si="3"/>
        <v>22.360248447204967</v>
      </c>
      <c r="I96" s="99">
        <v>36</v>
      </c>
      <c r="J96" s="73">
        <v>2.8935185185185201E-3</v>
      </c>
      <c r="K96" s="94">
        <f t="shared" si="6"/>
        <v>0.10445601851851852</v>
      </c>
      <c r="M96">
        <v>0</v>
      </c>
      <c r="N96">
        <v>4</v>
      </c>
      <c r="O96">
        <f t="shared" si="4"/>
        <v>-4</v>
      </c>
      <c r="P96" t="s">
        <v>183</v>
      </c>
      <c r="Q96" s="103" t="s">
        <v>166</v>
      </c>
      <c r="R96" s="68" t="s">
        <v>169</v>
      </c>
      <c r="U96">
        <f t="shared" si="5"/>
        <v>0</v>
      </c>
    </row>
    <row r="97" spans="1:24" x14ac:dyDescent="0.25">
      <c r="A97" s="57"/>
      <c r="B97" s="105"/>
      <c r="H97" s="102">
        <f t="shared" si="3"/>
        <v>22.981366459627328</v>
      </c>
      <c r="I97" s="5">
        <v>37</v>
      </c>
      <c r="J97" s="73">
        <v>2.8935185185185201E-3</v>
      </c>
      <c r="K97" s="69">
        <f t="shared" si="6"/>
        <v>0.10734953703703703</v>
      </c>
      <c r="M97">
        <v>0</v>
      </c>
      <c r="N97">
        <v>15</v>
      </c>
      <c r="O97">
        <f t="shared" si="4"/>
        <v>-15</v>
      </c>
      <c r="U97">
        <f t="shared" si="5"/>
        <v>0</v>
      </c>
    </row>
    <row r="98" spans="1:24" x14ac:dyDescent="0.25">
      <c r="A98" s="118" t="s">
        <v>5</v>
      </c>
      <c r="B98" s="119">
        <f>SUM(B84:B96)</f>
        <v>3187762</v>
      </c>
      <c r="H98" s="102">
        <f t="shared" si="3"/>
        <v>23.602484472049689</v>
      </c>
      <c r="I98" s="5">
        <v>38</v>
      </c>
      <c r="J98" s="73">
        <v>2.8935185185185201E-3</v>
      </c>
      <c r="K98" s="69">
        <f t="shared" si="6"/>
        <v>0.11024305555555555</v>
      </c>
      <c r="M98">
        <v>8</v>
      </c>
      <c r="N98">
        <v>8</v>
      </c>
      <c r="O98">
        <f t="shared" si="4"/>
        <v>0</v>
      </c>
      <c r="U98">
        <f t="shared" si="5"/>
        <v>0</v>
      </c>
    </row>
    <row r="99" spans="1:24" x14ac:dyDescent="0.25">
      <c r="H99" s="102">
        <f t="shared" si="3"/>
        <v>24.22360248447205</v>
      </c>
      <c r="I99" s="5">
        <v>39</v>
      </c>
      <c r="J99" s="73">
        <v>2.8935185185185201E-3</v>
      </c>
      <c r="K99" s="69">
        <f t="shared" si="6"/>
        <v>0.11313657407407407</v>
      </c>
      <c r="M99">
        <v>0</v>
      </c>
      <c r="N99">
        <v>16</v>
      </c>
      <c r="O99">
        <f t="shared" si="4"/>
        <v>-16</v>
      </c>
      <c r="P99" s="103" t="s">
        <v>176</v>
      </c>
      <c r="Q99" s="103" t="s">
        <v>184</v>
      </c>
      <c r="U99">
        <f t="shared" si="5"/>
        <v>0</v>
      </c>
    </row>
    <row r="100" spans="1:24" x14ac:dyDescent="0.25">
      <c r="H100" s="102">
        <f t="shared" si="3"/>
        <v>24.844720496894407</v>
      </c>
      <c r="I100" s="5">
        <v>40</v>
      </c>
      <c r="J100" s="73">
        <v>2.8935185185185201E-3</v>
      </c>
      <c r="K100" s="69">
        <f t="shared" si="6"/>
        <v>0.11603009259259259</v>
      </c>
      <c r="M100">
        <v>0</v>
      </c>
      <c r="N100">
        <v>6</v>
      </c>
      <c r="O100">
        <f t="shared" si="4"/>
        <v>-6</v>
      </c>
      <c r="U100">
        <f t="shared" si="5"/>
        <v>0</v>
      </c>
    </row>
    <row r="101" spans="1:24" ht="15.75" thickBot="1" x14ac:dyDescent="0.3">
      <c r="H101" s="102">
        <f t="shared" si="3"/>
        <v>25.465838509316768</v>
      </c>
      <c r="I101" s="5">
        <v>41</v>
      </c>
      <c r="J101" s="73">
        <v>2.8935185185185201E-3</v>
      </c>
      <c r="K101" s="69">
        <f t="shared" si="6"/>
        <v>0.1189236111111111</v>
      </c>
      <c r="M101">
        <v>0</v>
      </c>
      <c r="N101">
        <v>2</v>
      </c>
      <c r="O101">
        <f t="shared" si="4"/>
        <v>-2</v>
      </c>
      <c r="U101">
        <f t="shared" si="5"/>
        <v>0</v>
      </c>
    </row>
    <row r="102" spans="1:24" ht="15.75" thickBot="1" x14ac:dyDescent="0.3">
      <c r="H102" s="102">
        <f t="shared" si="3"/>
        <v>26.086956521739129</v>
      </c>
      <c r="I102" s="99">
        <v>42</v>
      </c>
      <c r="J102" s="73">
        <v>2.8935185185185201E-3</v>
      </c>
      <c r="K102" s="94">
        <f t="shared" si="6"/>
        <v>0.12181712962962962</v>
      </c>
      <c r="M102">
        <v>0</v>
      </c>
      <c r="N102">
        <v>0</v>
      </c>
      <c r="O102">
        <f t="shared" si="4"/>
        <v>0</v>
      </c>
      <c r="U102">
        <f t="shared" si="5"/>
        <v>0</v>
      </c>
    </row>
    <row r="103" spans="1:24" ht="15.75" thickBot="1" x14ac:dyDescent="0.3">
      <c r="H103" s="102">
        <f t="shared" si="3"/>
        <v>26.211180124223603</v>
      </c>
      <c r="I103" s="5">
        <v>42.2</v>
      </c>
      <c r="J103" s="73">
        <v>2.8935185185185201E-3</v>
      </c>
      <c r="K103" s="100">
        <f t="shared" si="6"/>
        <v>0.12239583333333333</v>
      </c>
      <c r="L103" t="s">
        <v>147</v>
      </c>
      <c r="M103">
        <v>0</v>
      </c>
      <c r="N103">
        <v>0</v>
      </c>
      <c r="O103">
        <f t="shared" si="4"/>
        <v>0</v>
      </c>
      <c r="U103">
        <f t="shared" si="5"/>
        <v>0</v>
      </c>
    </row>
    <row r="105" spans="1:24" x14ac:dyDescent="0.25">
      <c r="K105" t="s">
        <v>125</v>
      </c>
      <c r="L105" s="69">
        <f>K103/I103</f>
        <v>2.9003751974723537E-3</v>
      </c>
    </row>
    <row r="108" spans="1:24" x14ac:dyDescent="0.25">
      <c r="H108" s="206" t="s">
        <v>372</v>
      </c>
      <c r="I108" s="206"/>
      <c r="J108" s="206"/>
      <c r="K108" s="206"/>
      <c r="L108" s="206"/>
      <c r="M108" t="s">
        <v>163</v>
      </c>
      <c r="N108" t="s">
        <v>164</v>
      </c>
      <c r="O108" t="s">
        <v>165</v>
      </c>
      <c r="Q108" t="s">
        <v>166</v>
      </c>
      <c r="R108" t="s">
        <v>167</v>
      </c>
    </row>
    <row r="109" spans="1:24" ht="27" thickBot="1" x14ac:dyDescent="0.45">
      <c r="A109" s="143" t="s">
        <v>318</v>
      </c>
      <c r="F109" t="s">
        <v>166</v>
      </c>
      <c r="H109" t="s">
        <v>168</v>
      </c>
      <c r="I109" t="s">
        <v>119</v>
      </c>
      <c r="J109" t="s">
        <v>123</v>
      </c>
      <c r="K109" t="s">
        <v>124</v>
      </c>
      <c r="Q109" t="s">
        <v>166</v>
      </c>
      <c r="R109" t="s">
        <v>170</v>
      </c>
      <c r="T109" t="s">
        <v>168</v>
      </c>
      <c r="U109" t="s">
        <v>119</v>
      </c>
      <c r="V109" t="s">
        <v>123</v>
      </c>
      <c r="W109" t="s">
        <v>124</v>
      </c>
    </row>
    <row r="110" spans="1:24" x14ac:dyDescent="0.25">
      <c r="A110" s="104" t="s">
        <v>4</v>
      </c>
      <c r="B110" s="110"/>
      <c r="C110" s="56"/>
      <c r="D110" t="s">
        <v>110</v>
      </c>
      <c r="E110">
        <v>980</v>
      </c>
      <c r="F110" t="s">
        <v>168</v>
      </c>
      <c r="G110" t="s">
        <v>248</v>
      </c>
      <c r="H110" s="102">
        <f>I110/1.61</f>
        <v>0.6211180124223602</v>
      </c>
      <c r="I110" s="5">
        <v>1</v>
      </c>
      <c r="J110" s="73">
        <v>2.8356481481481501E-3</v>
      </c>
      <c r="K110" s="69">
        <f>J110</f>
        <v>2.8356481481481501E-3</v>
      </c>
      <c r="L110" s="68"/>
      <c r="M110">
        <v>0</v>
      </c>
      <c r="N110">
        <v>39</v>
      </c>
      <c r="O110">
        <f>M110-N110</f>
        <v>-39</v>
      </c>
      <c r="T110" s="102">
        <f>U110/1.61</f>
        <v>0.6211180124223602</v>
      </c>
      <c r="U110" s="5">
        <v>1</v>
      </c>
      <c r="V110" s="73">
        <v>2.8356481481481479E-3</v>
      </c>
      <c r="W110" s="69">
        <f>V110</f>
        <v>2.8356481481481479E-3</v>
      </c>
      <c r="X110" s="68"/>
    </row>
    <row r="111" spans="1:24" x14ac:dyDescent="0.25">
      <c r="A111" s="57"/>
      <c r="B111" t="s">
        <v>319</v>
      </c>
      <c r="C111" s="58" t="s">
        <v>320</v>
      </c>
      <c r="D111" t="s">
        <v>115</v>
      </c>
      <c r="H111" s="102">
        <f t="shared" ref="H111:H152" si="8">I111/1.61</f>
        <v>1.2422360248447204</v>
      </c>
      <c r="I111" s="5">
        <v>2</v>
      </c>
      <c r="J111" s="73">
        <v>2.8356481481481501E-3</v>
      </c>
      <c r="K111" s="69">
        <f>J111*(I111-I110)+K110</f>
        <v>5.6712962962963001E-3</v>
      </c>
      <c r="L111" s="68"/>
      <c r="M111">
        <v>6</v>
      </c>
      <c r="N111">
        <v>9</v>
      </c>
      <c r="O111">
        <f t="shared" ref="O111:O152" si="9">M111-N111</f>
        <v>-3</v>
      </c>
      <c r="T111" s="102">
        <f t="shared" ref="T111:T152" si="10">U111/1.61</f>
        <v>1.2422360248447204</v>
      </c>
      <c r="U111" s="5">
        <v>2</v>
      </c>
      <c r="V111" s="73">
        <v>2.8356481481481479E-3</v>
      </c>
      <c r="W111" s="69">
        <f>V111*(U111-U110)+W110</f>
        <v>5.6712962962962958E-3</v>
      </c>
      <c r="X111" s="68"/>
    </row>
    <row r="112" spans="1:24" x14ac:dyDescent="0.25">
      <c r="A112" s="57" t="s">
        <v>282</v>
      </c>
      <c r="B112" s="207">
        <v>828061</v>
      </c>
      <c r="C112" s="208" t="s">
        <v>55</v>
      </c>
      <c r="H112" s="102">
        <f t="shared" si="8"/>
        <v>1.8633540372670807</v>
      </c>
      <c r="I112" s="5">
        <v>3</v>
      </c>
      <c r="J112" s="73">
        <v>2.8356481481481501E-3</v>
      </c>
      <c r="K112" s="69">
        <f t="shared" ref="K112:K152" si="11">J112*(I112-I111)+K111</f>
        <v>8.5069444444444507E-3</v>
      </c>
      <c r="L112" s="68"/>
      <c r="M112">
        <v>0</v>
      </c>
      <c r="N112">
        <v>0</v>
      </c>
      <c r="O112">
        <f t="shared" si="9"/>
        <v>0</v>
      </c>
      <c r="T112" s="102">
        <f t="shared" si="10"/>
        <v>1.8633540372670807</v>
      </c>
      <c r="U112" s="5">
        <v>3</v>
      </c>
      <c r="V112" s="73">
        <v>2.8356481481481501E-3</v>
      </c>
      <c r="W112" s="69">
        <f t="shared" ref="W112:W152" si="12">V112*(U112-U111)+W111</f>
        <v>8.5069444444444454E-3</v>
      </c>
      <c r="X112" s="68"/>
    </row>
    <row r="113" spans="1:24" ht="15.75" thickBot="1" x14ac:dyDescent="0.3">
      <c r="A113" s="57" t="s">
        <v>283</v>
      </c>
      <c r="B113" s="207"/>
      <c r="C113" s="208"/>
      <c r="F113">
        <v>3</v>
      </c>
      <c r="G113">
        <f>CONVERT(F113,"mi","m")/1000</f>
        <v>4.8280320000000003</v>
      </c>
      <c r="H113" s="102">
        <f t="shared" si="8"/>
        <v>3</v>
      </c>
      <c r="I113" s="5">
        <v>4.83</v>
      </c>
      <c r="J113" s="73">
        <v>2.8356481481481479E-3</v>
      </c>
      <c r="K113" s="69">
        <f t="shared" si="11"/>
        <v>1.3696180555555562E-2</v>
      </c>
      <c r="L113" s="93"/>
      <c r="M113">
        <v>0</v>
      </c>
      <c r="N113">
        <v>8</v>
      </c>
      <c r="O113">
        <f t="shared" si="9"/>
        <v>-8</v>
      </c>
      <c r="T113" s="102">
        <f t="shared" si="10"/>
        <v>2.4844720496894408</v>
      </c>
      <c r="U113" s="5">
        <v>4</v>
      </c>
      <c r="V113" s="73">
        <v>2.8356481481481501E-3</v>
      </c>
      <c r="W113" s="69">
        <f t="shared" si="12"/>
        <v>1.1342592592592595E-2</v>
      </c>
      <c r="X113" s="93"/>
    </row>
    <row r="114" spans="1:24" ht="15.75" thickBot="1" x14ac:dyDescent="0.3">
      <c r="A114" s="57" t="s">
        <v>100</v>
      </c>
      <c r="B114" s="111">
        <v>0</v>
      </c>
      <c r="C114" s="58" t="s">
        <v>55</v>
      </c>
      <c r="G114">
        <f t="shared" ref="G114:G149" si="13">CONVERT(F114,"mi","m")/1000</f>
        <v>0</v>
      </c>
      <c r="H114" s="102">
        <f t="shared" si="8"/>
        <v>3.1055900621118009</v>
      </c>
      <c r="I114" s="99">
        <v>5</v>
      </c>
      <c r="J114" s="73">
        <v>2.8356481481481479E-3</v>
      </c>
      <c r="K114" s="94">
        <f t="shared" si="11"/>
        <v>1.4178240740740746E-2</v>
      </c>
      <c r="L114" s="93"/>
      <c r="M114">
        <v>0</v>
      </c>
      <c r="N114">
        <v>17</v>
      </c>
      <c r="O114">
        <f t="shared" si="9"/>
        <v>-17</v>
      </c>
      <c r="P114" s="103" t="s">
        <v>173</v>
      </c>
      <c r="Q114" s="103" t="s">
        <v>171</v>
      </c>
      <c r="R114" s="103"/>
      <c r="T114" s="102">
        <f t="shared" si="10"/>
        <v>3.1055900621118009</v>
      </c>
      <c r="U114" s="99">
        <v>5</v>
      </c>
      <c r="V114" s="73">
        <v>2.8356481481481501E-3</v>
      </c>
      <c r="W114" s="94">
        <f t="shared" si="12"/>
        <v>1.4178240740740745E-2</v>
      </c>
      <c r="X114" s="93"/>
    </row>
    <row r="115" spans="1:24" x14ac:dyDescent="0.25">
      <c r="A115" s="57" t="s">
        <v>102</v>
      </c>
      <c r="B115" s="112" t="s">
        <v>349</v>
      </c>
      <c r="C115" s="58" t="s">
        <v>55</v>
      </c>
      <c r="G115">
        <f t="shared" si="13"/>
        <v>0</v>
      </c>
      <c r="H115" s="102">
        <f t="shared" si="8"/>
        <v>3.7267080745341614</v>
      </c>
      <c r="I115" s="5">
        <v>6</v>
      </c>
      <c r="J115" s="73">
        <v>2.8356481481481501E-3</v>
      </c>
      <c r="K115" s="69">
        <f t="shared" si="11"/>
        <v>1.7013888888888898E-2</v>
      </c>
      <c r="L115" s="93"/>
      <c r="M115">
        <v>0</v>
      </c>
      <c r="N115">
        <v>14</v>
      </c>
      <c r="O115">
        <f t="shared" si="9"/>
        <v>-14</v>
      </c>
      <c r="T115" s="102">
        <f t="shared" si="10"/>
        <v>3.7267080745341614</v>
      </c>
      <c r="U115" s="5">
        <v>6</v>
      </c>
      <c r="V115" s="73">
        <v>2.8356481481481501E-3</v>
      </c>
      <c r="W115" s="69">
        <f t="shared" si="12"/>
        <v>1.7013888888888894E-2</v>
      </c>
      <c r="X115" s="93"/>
    </row>
    <row r="116" spans="1:24" x14ac:dyDescent="0.25">
      <c r="A116" s="57" t="s">
        <v>322</v>
      </c>
      <c r="B116" s="111">
        <f>1292517</f>
        <v>1292517</v>
      </c>
      <c r="C116" s="58" t="s">
        <v>76</v>
      </c>
      <c r="G116">
        <f t="shared" si="13"/>
        <v>0</v>
      </c>
      <c r="H116" s="102">
        <f t="shared" si="8"/>
        <v>4.3478260869565215</v>
      </c>
      <c r="I116" s="5">
        <v>7</v>
      </c>
      <c r="J116" s="73">
        <v>2.8356481481481501E-3</v>
      </c>
      <c r="K116" s="69">
        <f t="shared" si="11"/>
        <v>1.9849537037037047E-2</v>
      </c>
      <c r="M116">
        <v>0</v>
      </c>
      <c r="N116">
        <v>0</v>
      </c>
      <c r="O116">
        <f t="shared" si="9"/>
        <v>0</v>
      </c>
      <c r="T116" s="102">
        <f t="shared" si="10"/>
        <v>4.3478260869565215</v>
      </c>
      <c r="U116" s="5">
        <v>7</v>
      </c>
      <c r="V116" s="73">
        <v>2.8356481481481501E-3</v>
      </c>
      <c r="W116" s="69">
        <f t="shared" si="12"/>
        <v>1.9849537037037044E-2</v>
      </c>
    </row>
    <row r="117" spans="1:24" x14ac:dyDescent="0.25">
      <c r="A117" s="57" t="s">
        <v>321</v>
      </c>
      <c r="B117" s="112">
        <v>1306272</v>
      </c>
      <c r="C117" s="141" t="s">
        <v>76</v>
      </c>
      <c r="E117" t="s">
        <v>160</v>
      </c>
      <c r="G117">
        <f t="shared" si="13"/>
        <v>0</v>
      </c>
      <c r="H117" s="102">
        <f t="shared" si="8"/>
        <v>4.9689440993788816</v>
      </c>
      <c r="I117" s="5">
        <v>8</v>
      </c>
      <c r="J117" s="73">
        <v>2.8356481481481501E-3</v>
      </c>
      <c r="K117" s="69">
        <f t="shared" si="11"/>
        <v>2.2685185185185197E-2</v>
      </c>
      <c r="M117">
        <v>10</v>
      </c>
      <c r="N117">
        <v>0</v>
      </c>
      <c r="O117">
        <f t="shared" si="9"/>
        <v>10</v>
      </c>
      <c r="T117" s="102">
        <f t="shared" si="10"/>
        <v>4.9689440993788816</v>
      </c>
      <c r="U117" s="5">
        <v>8</v>
      </c>
      <c r="V117" s="73">
        <v>2.8356481481481501E-3</v>
      </c>
      <c r="W117" s="69">
        <f t="shared" si="12"/>
        <v>2.2685185185185194E-2</v>
      </c>
    </row>
    <row r="118" spans="1:24" ht="15.75" thickBot="1" x14ac:dyDescent="0.3">
      <c r="A118" s="57" t="s">
        <v>361</v>
      </c>
      <c r="B118" s="112">
        <v>13048</v>
      </c>
      <c r="C118" s="58" t="s">
        <v>76</v>
      </c>
      <c r="F118">
        <v>6</v>
      </c>
      <c r="G118">
        <f t="shared" si="13"/>
        <v>9.6560640000000006</v>
      </c>
      <c r="H118" s="102">
        <f t="shared" si="8"/>
        <v>6</v>
      </c>
      <c r="I118" s="5">
        <v>9.66</v>
      </c>
      <c r="J118" s="73">
        <v>2.8356481481481501E-3</v>
      </c>
      <c r="K118" s="69">
        <f t="shared" si="11"/>
        <v>2.7392361111111128E-2</v>
      </c>
      <c r="M118">
        <v>0</v>
      </c>
      <c r="N118">
        <v>9</v>
      </c>
      <c r="O118">
        <f t="shared" si="9"/>
        <v>-9</v>
      </c>
      <c r="T118" s="102">
        <f t="shared" si="10"/>
        <v>5.5900621118012417</v>
      </c>
      <c r="U118" s="5">
        <v>9</v>
      </c>
      <c r="V118" s="73">
        <v>2.8356481481481501E-3</v>
      </c>
      <c r="W118" s="69">
        <f t="shared" si="12"/>
        <v>2.5520833333333343E-2</v>
      </c>
    </row>
    <row r="119" spans="1:24" ht="15.75" thickBot="1" x14ac:dyDescent="0.3">
      <c r="A119" s="57" t="s">
        <v>285</v>
      </c>
      <c r="B119" s="111"/>
      <c r="C119" s="142"/>
      <c r="G119">
        <f t="shared" si="13"/>
        <v>0</v>
      </c>
      <c r="H119" s="102">
        <f t="shared" si="8"/>
        <v>6.2111801242236018</v>
      </c>
      <c r="I119" s="99">
        <v>10</v>
      </c>
      <c r="J119" s="73">
        <v>2.8356481481481501E-3</v>
      </c>
      <c r="K119" s="94">
        <f t="shared" si="11"/>
        <v>2.83564814814815E-2</v>
      </c>
      <c r="M119">
        <v>0</v>
      </c>
      <c r="N119">
        <v>3</v>
      </c>
      <c r="O119">
        <f t="shared" si="9"/>
        <v>-3</v>
      </c>
      <c r="P119" s="103" t="s">
        <v>174</v>
      </c>
      <c r="Q119" s="103" t="s">
        <v>166</v>
      </c>
      <c r="R119" s="68" t="s">
        <v>169</v>
      </c>
      <c r="T119" s="102">
        <f t="shared" si="10"/>
        <v>6.2111801242236018</v>
      </c>
      <c r="U119" s="99">
        <v>10</v>
      </c>
      <c r="V119" s="73">
        <v>2.8356481481481501E-3</v>
      </c>
      <c r="W119" s="94">
        <f t="shared" si="12"/>
        <v>2.8356481481481493E-2</v>
      </c>
    </row>
    <row r="120" spans="1:24" x14ac:dyDescent="0.25">
      <c r="A120" s="57" t="s">
        <v>217</v>
      </c>
      <c r="B120" s="111">
        <v>38285</v>
      </c>
      <c r="C120" s="58" t="s">
        <v>76</v>
      </c>
      <c r="G120">
        <f t="shared" si="13"/>
        <v>0</v>
      </c>
      <c r="H120" s="102">
        <f t="shared" si="8"/>
        <v>6.8322981366459627</v>
      </c>
      <c r="I120" s="5">
        <v>11</v>
      </c>
      <c r="J120" s="73">
        <v>2.8356481481481501E-3</v>
      </c>
      <c r="K120" s="69">
        <f t="shared" si="11"/>
        <v>3.1192129629629649E-2</v>
      </c>
      <c r="M120">
        <v>0</v>
      </c>
      <c r="N120">
        <v>2</v>
      </c>
      <c r="O120">
        <f t="shared" si="9"/>
        <v>-2</v>
      </c>
      <c r="T120" s="102">
        <f t="shared" si="10"/>
        <v>6.8322981366459627</v>
      </c>
      <c r="U120" s="5">
        <v>11</v>
      </c>
      <c r="V120" s="73">
        <v>2.8356481481481501E-3</v>
      </c>
      <c r="W120" s="69">
        <f t="shared" si="12"/>
        <v>3.1192129629629643E-2</v>
      </c>
    </row>
    <row r="121" spans="1:24" x14ac:dyDescent="0.25">
      <c r="A121" s="57" t="s">
        <v>362</v>
      </c>
      <c r="B121" s="111">
        <v>51165</v>
      </c>
      <c r="C121" s="58" t="s">
        <v>76</v>
      </c>
      <c r="G121">
        <f t="shared" si="13"/>
        <v>0</v>
      </c>
      <c r="H121" s="102">
        <f t="shared" si="8"/>
        <v>7.4534161490683228</v>
      </c>
      <c r="I121" s="5">
        <v>12</v>
      </c>
      <c r="J121" s="73">
        <v>2.8356481481481501E-3</v>
      </c>
      <c r="K121" s="69">
        <f t="shared" si="11"/>
        <v>3.4027777777777803E-2</v>
      </c>
      <c r="M121">
        <v>0</v>
      </c>
      <c r="N121">
        <v>1</v>
      </c>
      <c r="O121">
        <f t="shared" si="9"/>
        <v>-1</v>
      </c>
      <c r="T121" s="102">
        <f t="shared" si="10"/>
        <v>7.4534161490683228</v>
      </c>
      <c r="U121" s="5">
        <v>12</v>
      </c>
      <c r="V121" s="73">
        <v>2.8356481481481501E-3</v>
      </c>
      <c r="W121" s="69">
        <f t="shared" si="12"/>
        <v>3.4027777777777796E-2</v>
      </c>
    </row>
    <row r="122" spans="1:24" x14ac:dyDescent="0.25">
      <c r="A122" s="57"/>
      <c r="B122" s="111"/>
      <c r="C122" s="58"/>
      <c r="G122">
        <f t="shared" si="13"/>
        <v>0</v>
      </c>
      <c r="H122" s="102">
        <f t="shared" si="8"/>
        <v>8.074534161490682</v>
      </c>
      <c r="I122" s="5">
        <v>13</v>
      </c>
      <c r="J122" s="73">
        <v>2.8356481481481501E-3</v>
      </c>
      <c r="K122" s="69">
        <f t="shared" si="11"/>
        <v>3.6863425925925952E-2</v>
      </c>
      <c r="M122">
        <v>11</v>
      </c>
      <c r="N122">
        <v>12</v>
      </c>
      <c r="O122">
        <f t="shared" si="9"/>
        <v>-1</v>
      </c>
      <c r="T122" s="102">
        <f t="shared" si="10"/>
        <v>8.074534161490682</v>
      </c>
      <c r="U122" s="5">
        <v>13</v>
      </c>
      <c r="V122" s="73">
        <v>2.8356481481481501E-3</v>
      </c>
      <c r="W122" s="69">
        <f t="shared" si="12"/>
        <v>3.6863425925925945E-2</v>
      </c>
    </row>
    <row r="123" spans="1:24" ht="15.75" thickBot="1" x14ac:dyDescent="0.3">
      <c r="A123" s="57" t="s">
        <v>213</v>
      </c>
      <c r="B123" s="111">
        <v>155310</v>
      </c>
      <c r="C123" s="58" t="s">
        <v>55</v>
      </c>
      <c r="F123">
        <v>9</v>
      </c>
      <c r="G123">
        <f t="shared" si="13"/>
        <v>14.484095999999999</v>
      </c>
      <c r="H123" s="102">
        <f t="shared" si="8"/>
        <v>8.9751552795031042</v>
      </c>
      <c r="I123" s="5">
        <v>14.45</v>
      </c>
      <c r="J123" s="73">
        <v>2.8356481481481501E-3</v>
      </c>
      <c r="K123" s="69">
        <f t="shared" si="11"/>
        <v>4.0975115740740767E-2</v>
      </c>
      <c r="M123">
        <v>0</v>
      </c>
      <c r="N123">
        <v>0</v>
      </c>
      <c r="O123">
        <f t="shared" si="9"/>
        <v>0</v>
      </c>
      <c r="T123" s="102">
        <f t="shared" si="10"/>
        <v>8.695652173913043</v>
      </c>
      <c r="U123" s="5">
        <v>14</v>
      </c>
      <c r="V123" s="73">
        <v>2.8356481481481501E-3</v>
      </c>
      <c r="W123" s="69">
        <f t="shared" si="12"/>
        <v>3.9699074074074095E-2</v>
      </c>
    </row>
    <row r="124" spans="1:24" ht="15.75" thickBot="1" x14ac:dyDescent="0.3">
      <c r="A124" s="57" t="s">
        <v>219</v>
      </c>
      <c r="B124" s="111">
        <v>329388</v>
      </c>
      <c r="C124" s="58" t="s">
        <v>55</v>
      </c>
      <c r="G124">
        <f t="shared" si="13"/>
        <v>0</v>
      </c>
      <c r="H124" s="102">
        <f t="shared" si="8"/>
        <v>9.316770186335404</v>
      </c>
      <c r="I124" s="99">
        <v>15</v>
      </c>
      <c r="J124" s="73">
        <v>2.8356481481481501E-3</v>
      </c>
      <c r="K124" s="94">
        <f t="shared" si="11"/>
        <v>4.2534722222222252E-2</v>
      </c>
      <c r="M124">
        <v>3</v>
      </c>
      <c r="N124">
        <v>6</v>
      </c>
      <c r="O124">
        <f t="shared" si="9"/>
        <v>-3</v>
      </c>
      <c r="P124" s="103" t="s">
        <v>175</v>
      </c>
      <c r="Q124" s="103" t="s">
        <v>166</v>
      </c>
      <c r="R124" s="103"/>
      <c r="T124" s="102">
        <f t="shared" si="10"/>
        <v>9.316770186335404</v>
      </c>
      <c r="U124" s="99">
        <v>15</v>
      </c>
      <c r="V124" s="73">
        <v>2.8356481481481501E-3</v>
      </c>
      <c r="W124" s="94">
        <f t="shared" si="12"/>
        <v>4.2534722222222245E-2</v>
      </c>
    </row>
    <row r="125" spans="1:24" x14ac:dyDescent="0.25">
      <c r="A125" s="57" t="s">
        <v>220</v>
      </c>
      <c r="B125" s="111"/>
      <c r="C125" s="58"/>
      <c r="G125">
        <f t="shared" si="13"/>
        <v>0</v>
      </c>
      <c r="H125" s="102">
        <f t="shared" si="8"/>
        <v>9.9378881987577632</v>
      </c>
      <c r="I125" s="5">
        <v>16</v>
      </c>
      <c r="J125" s="73">
        <v>2.8356481481481501E-3</v>
      </c>
      <c r="K125" s="69">
        <f t="shared" si="11"/>
        <v>4.5370370370370401E-2</v>
      </c>
      <c r="M125">
        <v>7</v>
      </c>
      <c r="N125">
        <v>2</v>
      </c>
      <c r="O125">
        <f t="shared" si="9"/>
        <v>5</v>
      </c>
      <c r="T125" s="102">
        <f t="shared" si="10"/>
        <v>9.9378881987577632</v>
      </c>
      <c r="U125" s="5">
        <v>16</v>
      </c>
      <c r="V125" s="73">
        <v>2.8356481481481501E-3</v>
      </c>
      <c r="W125" s="69">
        <f t="shared" si="12"/>
        <v>4.5370370370370394E-2</v>
      </c>
    </row>
    <row r="126" spans="1:24" x14ac:dyDescent="0.25">
      <c r="A126" s="107" t="s">
        <v>5</v>
      </c>
      <c r="B126" s="113">
        <f>SUMIF(C112:C125,"OK",B112:B125)</f>
        <v>4014046</v>
      </c>
      <c r="C126" s="58"/>
      <c r="G126">
        <f t="shared" si="13"/>
        <v>0</v>
      </c>
      <c r="H126" s="102">
        <f t="shared" si="8"/>
        <v>10.559006211180124</v>
      </c>
      <c r="I126" s="5">
        <v>17</v>
      </c>
      <c r="J126" s="73">
        <v>2.8356481481481501E-3</v>
      </c>
      <c r="K126" s="69">
        <f t="shared" si="11"/>
        <v>4.8206018518518551E-2</v>
      </c>
      <c r="M126">
        <v>5</v>
      </c>
      <c r="N126">
        <v>0</v>
      </c>
      <c r="O126">
        <f t="shared" si="9"/>
        <v>5</v>
      </c>
      <c r="T126" s="102">
        <f t="shared" si="10"/>
        <v>10.559006211180124</v>
      </c>
      <c r="U126" s="5">
        <v>17</v>
      </c>
      <c r="V126" s="73">
        <v>2.8356481481481501E-3</v>
      </c>
      <c r="W126" s="69">
        <f t="shared" si="12"/>
        <v>4.8206018518518544E-2</v>
      </c>
    </row>
    <row r="127" spans="1:24" ht="15.75" thickBot="1" x14ac:dyDescent="0.3">
      <c r="A127" s="114" t="s">
        <v>137</v>
      </c>
      <c r="B127" s="115">
        <f>SUMIF(C112:C125,"",B112:B125)</f>
        <v>0</v>
      </c>
      <c r="C127" s="60"/>
      <c r="G127">
        <f t="shared" si="13"/>
        <v>0</v>
      </c>
      <c r="H127" s="102">
        <f t="shared" si="8"/>
        <v>11.180124223602483</v>
      </c>
      <c r="I127" s="5">
        <v>18</v>
      </c>
      <c r="J127" s="73">
        <v>2.8356481481481501E-3</v>
      </c>
      <c r="K127" s="69">
        <f t="shared" si="11"/>
        <v>5.10416666666667E-2</v>
      </c>
      <c r="M127">
        <v>0</v>
      </c>
      <c r="N127">
        <v>0</v>
      </c>
      <c r="O127">
        <f t="shared" si="9"/>
        <v>0</v>
      </c>
      <c r="P127" s="70" t="s">
        <v>177</v>
      </c>
      <c r="Q127" s="103" t="s">
        <v>166</v>
      </c>
      <c r="R127" s="68" t="s">
        <v>170</v>
      </c>
      <c r="T127" s="102">
        <f t="shared" si="10"/>
        <v>11.180124223602483</v>
      </c>
      <c r="U127" s="5">
        <v>18</v>
      </c>
      <c r="V127" s="73">
        <v>2.8356481481481501E-3</v>
      </c>
      <c r="W127" s="69">
        <f t="shared" si="12"/>
        <v>5.1041666666666693E-2</v>
      </c>
    </row>
    <row r="128" spans="1:24" ht="15.75" thickBot="1" x14ac:dyDescent="0.3">
      <c r="A128" s="116"/>
      <c r="B128" s="117"/>
      <c r="F128">
        <v>12</v>
      </c>
      <c r="G128">
        <f t="shared" si="13"/>
        <v>19.312128000000001</v>
      </c>
      <c r="H128" s="102">
        <f t="shared" si="8"/>
        <v>11.987577639751553</v>
      </c>
      <c r="I128" s="5">
        <v>19.3</v>
      </c>
      <c r="J128" s="73">
        <v>2.8356481481481501E-3</v>
      </c>
      <c r="K128" s="69">
        <f t="shared" si="11"/>
        <v>5.4728009259259296E-2</v>
      </c>
      <c r="L128" s="68"/>
      <c r="M128">
        <v>0</v>
      </c>
      <c r="N128">
        <v>7</v>
      </c>
      <c r="O128">
        <f t="shared" si="9"/>
        <v>-7</v>
      </c>
      <c r="S128" t="s">
        <v>185</v>
      </c>
      <c r="T128" s="102">
        <f t="shared" si="10"/>
        <v>11.801242236024844</v>
      </c>
      <c r="U128" s="5">
        <v>19</v>
      </c>
      <c r="V128" s="73">
        <v>2.8356481481481501E-3</v>
      </c>
      <c r="W128" s="69">
        <f t="shared" si="12"/>
        <v>5.3877314814814843E-2</v>
      </c>
      <c r="X128" s="68"/>
    </row>
    <row r="129" spans="1:24" ht="15.75" thickBot="1" x14ac:dyDescent="0.3">
      <c r="A129" s="108" t="s">
        <v>65</v>
      </c>
      <c r="B129" s="109">
        <f>B126+B127</f>
        <v>4014046</v>
      </c>
      <c r="G129">
        <f t="shared" si="13"/>
        <v>0</v>
      </c>
      <c r="H129" s="102">
        <f t="shared" si="8"/>
        <v>12.422360248447204</v>
      </c>
      <c r="I129" s="99">
        <v>20</v>
      </c>
      <c r="J129" s="73">
        <v>2.8356481481481501E-3</v>
      </c>
      <c r="K129" s="94">
        <f t="shared" si="11"/>
        <v>5.6712962962963E-2</v>
      </c>
      <c r="L129" s="93"/>
      <c r="M129">
        <v>7</v>
      </c>
      <c r="N129">
        <v>12</v>
      </c>
      <c r="O129">
        <f t="shared" si="9"/>
        <v>-5</v>
      </c>
      <c r="T129" s="102">
        <f t="shared" si="10"/>
        <v>12.422360248447204</v>
      </c>
      <c r="U129" s="99">
        <v>20</v>
      </c>
      <c r="V129" s="73">
        <v>2.8356481481481501E-3</v>
      </c>
      <c r="W129" s="94">
        <f t="shared" si="12"/>
        <v>5.6712962962962993E-2</v>
      </c>
      <c r="X129" s="93"/>
    </row>
    <row r="130" spans="1:24" ht="15.75" thickBot="1" x14ac:dyDescent="0.3">
      <c r="G130">
        <f t="shared" si="13"/>
        <v>0</v>
      </c>
      <c r="H130" s="102">
        <f t="shared" si="8"/>
        <v>13.105590062111801</v>
      </c>
      <c r="I130" s="5">
        <v>21.1</v>
      </c>
      <c r="J130" s="73">
        <v>2.8356481481481501E-3</v>
      </c>
      <c r="K130" s="69">
        <f t="shared" si="11"/>
        <v>5.9832175925925969E-2</v>
      </c>
      <c r="L130" s="93"/>
      <c r="M130">
        <v>0</v>
      </c>
      <c r="N130">
        <v>3</v>
      </c>
      <c r="O130">
        <f t="shared" si="9"/>
        <v>-3</v>
      </c>
      <c r="P130" t="s">
        <v>178</v>
      </c>
      <c r="Q130" t="s">
        <v>166</v>
      </c>
      <c r="T130" s="102">
        <f t="shared" si="10"/>
        <v>13.043478260869565</v>
      </c>
      <c r="U130" s="5">
        <v>21</v>
      </c>
      <c r="V130" s="73">
        <v>2.8356481481481501E-3</v>
      </c>
      <c r="W130" s="69">
        <f t="shared" si="12"/>
        <v>5.9548611111111142E-2</v>
      </c>
      <c r="X130" s="93"/>
    </row>
    <row r="131" spans="1:24" x14ac:dyDescent="0.25">
      <c r="A131" s="104" t="s">
        <v>215</v>
      </c>
      <c r="B131" s="56"/>
      <c r="G131">
        <f t="shared" si="13"/>
        <v>0</v>
      </c>
      <c r="H131" s="102">
        <f t="shared" si="8"/>
        <v>13.664596273291925</v>
      </c>
      <c r="I131" s="5">
        <v>22</v>
      </c>
      <c r="J131" s="73">
        <v>2.8356481481481501E-3</v>
      </c>
      <c r="K131" s="69">
        <f t="shared" si="11"/>
        <v>6.2384259259259299E-2</v>
      </c>
      <c r="L131" s="93"/>
      <c r="M131">
        <v>6</v>
      </c>
      <c r="N131">
        <v>6</v>
      </c>
      <c r="O131">
        <f t="shared" si="9"/>
        <v>0</v>
      </c>
      <c r="T131" s="102">
        <f t="shared" si="10"/>
        <v>13.664596273291925</v>
      </c>
      <c r="U131" s="5">
        <v>22</v>
      </c>
      <c r="V131" s="73">
        <v>2.8356481481481501E-3</v>
      </c>
      <c r="W131" s="69">
        <f t="shared" si="12"/>
        <v>6.2384259259259292E-2</v>
      </c>
      <c r="X131" s="93"/>
    </row>
    <row r="132" spans="1:24" x14ac:dyDescent="0.25">
      <c r="A132" s="57"/>
      <c r="B132" s="58" t="s">
        <v>5</v>
      </c>
      <c r="G132">
        <f t="shared" si="13"/>
        <v>0</v>
      </c>
      <c r="H132" s="102">
        <f t="shared" si="8"/>
        <v>14.285714285714285</v>
      </c>
      <c r="I132" s="5">
        <v>23</v>
      </c>
      <c r="J132" s="73">
        <v>2.8356481481481501E-3</v>
      </c>
      <c r="K132" s="69">
        <f t="shared" si="11"/>
        <v>6.5219907407407449E-2</v>
      </c>
      <c r="L132" s="93"/>
      <c r="M132">
        <v>0</v>
      </c>
      <c r="N132">
        <v>0</v>
      </c>
      <c r="O132">
        <f t="shared" si="9"/>
        <v>0</v>
      </c>
      <c r="P132" s="103"/>
      <c r="Q132" s="103"/>
      <c r="R132" s="103"/>
      <c r="S132" t="s">
        <v>185</v>
      </c>
      <c r="T132" s="102">
        <f t="shared" si="10"/>
        <v>14.285714285714285</v>
      </c>
      <c r="U132" s="5">
        <v>23</v>
      </c>
      <c r="V132" s="73">
        <v>2.8356481481481501E-3</v>
      </c>
      <c r="W132" s="69">
        <f t="shared" si="12"/>
        <v>6.5219907407407449E-2</v>
      </c>
      <c r="X132" s="93"/>
    </row>
    <row r="133" spans="1:24" ht="15.75" thickBot="1" x14ac:dyDescent="0.3">
      <c r="A133" s="57" t="s">
        <v>135</v>
      </c>
      <c r="B133" s="209">
        <f>IF(C112="ok",B112,0)</f>
        <v>828061</v>
      </c>
      <c r="F133">
        <v>15</v>
      </c>
      <c r="G133">
        <f t="shared" si="13"/>
        <v>24.140160000000002</v>
      </c>
      <c r="H133" s="102">
        <f t="shared" si="8"/>
        <v>14.968944099378882</v>
      </c>
      <c r="I133" s="5">
        <v>24.1</v>
      </c>
      <c r="J133" s="73">
        <v>2.8356481481481501E-3</v>
      </c>
      <c r="K133" s="69">
        <f t="shared" si="11"/>
        <v>6.8339120370370418E-2</v>
      </c>
      <c r="M133">
        <v>5</v>
      </c>
      <c r="N133">
        <v>0</v>
      </c>
      <c r="O133">
        <f t="shared" si="9"/>
        <v>5</v>
      </c>
      <c r="P133" t="s">
        <v>179</v>
      </c>
      <c r="Q133" s="103" t="s">
        <v>166</v>
      </c>
      <c r="R133" s="68" t="s">
        <v>169</v>
      </c>
      <c r="T133" s="102">
        <f t="shared" si="10"/>
        <v>14.906832298136646</v>
      </c>
      <c r="U133" s="5">
        <v>24</v>
      </c>
      <c r="V133" s="73">
        <v>2.8356481481481501E-3</v>
      </c>
      <c r="W133" s="69">
        <f t="shared" si="12"/>
        <v>6.8055555555555605E-2</v>
      </c>
    </row>
    <row r="134" spans="1:24" ht="15.75" thickBot="1" x14ac:dyDescent="0.3">
      <c r="A134" s="57" t="s">
        <v>136</v>
      </c>
      <c r="B134" s="209"/>
      <c r="G134">
        <f t="shared" si="13"/>
        <v>0</v>
      </c>
      <c r="H134" s="102">
        <f t="shared" si="8"/>
        <v>15.527950310559005</v>
      </c>
      <c r="I134" s="99">
        <v>25</v>
      </c>
      <c r="J134" s="73">
        <v>2.8356481481481501E-3</v>
      </c>
      <c r="K134" s="94">
        <f t="shared" si="11"/>
        <v>7.0891203703703748E-2</v>
      </c>
      <c r="M134">
        <v>5</v>
      </c>
      <c r="N134">
        <v>0</v>
      </c>
      <c r="O134">
        <f t="shared" si="9"/>
        <v>5</v>
      </c>
      <c r="T134" s="102">
        <f t="shared" si="10"/>
        <v>15.527950310559005</v>
      </c>
      <c r="U134" s="99">
        <v>25</v>
      </c>
      <c r="V134" s="73">
        <v>2.8356481481481501E-3</v>
      </c>
      <c r="W134" s="94">
        <f t="shared" si="12"/>
        <v>7.0891203703703762E-2</v>
      </c>
    </row>
    <row r="135" spans="1:24" x14ac:dyDescent="0.25">
      <c r="A135" s="57" t="s">
        <v>100</v>
      </c>
      <c r="B135" s="105">
        <f>IF(C114="ok",B114,0)</f>
        <v>0</v>
      </c>
      <c r="G135">
        <f t="shared" si="13"/>
        <v>0</v>
      </c>
      <c r="H135" s="102">
        <f t="shared" si="8"/>
        <v>16.149068322981364</v>
      </c>
      <c r="I135" s="5">
        <v>26</v>
      </c>
      <c r="J135" s="73">
        <v>2.8356481481481501E-3</v>
      </c>
      <c r="K135" s="69">
        <f t="shared" si="11"/>
        <v>7.3726851851851904E-2</v>
      </c>
      <c r="M135">
        <v>9</v>
      </c>
      <c r="N135">
        <v>32</v>
      </c>
      <c r="O135">
        <f t="shared" si="9"/>
        <v>-23</v>
      </c>
      <c r="P135" s="103"/>
      <c r="T135" s="102">
        <f t="shared" si="10"/>
        <v>16.149068322981364</v>
      </c>
      <c r="U135" s="5">
        <v>26</v>
      </c>
      <c r="V135" s="73">
        <v>2.8356481481481501E-3</v>
      </c>
      <c r="W135" s="69">
        <f t="shared" si="12"/>
        <v>7.3726851851851918E-2</v>
      </c>
    </row>
    <row r="136" spans="1:24" x14ac:dyDescent="0.25">
      <c r="A136" s="57" t="s">
        <v>102</v>
      </c>
      <c r="B136" s="105" t="str">
        <f t="shared" ref="B136:B145" si="14">IF(C115="ok",B115,0)</f>
        <v>CON TC??</v>
      </c>
      <c r="F136">
        <v>17</v>
      </c>
      <c r="G136">
        <f t="shared" si="13"/>
        <v>27.358848000000002</v>
      </c>
      <c r="H136" s="102">
        <f t="shared" si="8"/>
        <v>17.018633540372669</v>
      </c>
      <c r="I136" s="5">
        <v>27.4</v>
      </c>
      <c r="J136" s="73">
        <v>2.8356481481481501E-3</v>
      </c>
      <c r="K136" s="69">
        <f t="shared" si="11"/>
        <v>7.7696759259259313E-2</v>
      </c>
      <c r="M136">
        <v>17</v>
      </c>
      <c r="N136">
        <v>0</v>
      </c>
      <c r="O136">
        <f t="shared" si="9"/>
        <v>17</v>
      </c>
      <c r="P136" s="103" t="s">
        <v>180</v>
      </c>
      <c r="Q136" s="103" t="s">
        <v>166</v>
      </c>
      <c r="R136" s="103"/>
      <c r="T136" s="102">
        <f t="shared" si="10"/>
        <v>16.770186335403725</v>
      </c>
      <c r="U136" s="5">
        <v>27</v>
      </c>
      <c r="V136" s="73">
        <v>2.8356481481481501E-3</v>
      </c>
      <c r="W136" s="69">
        <f t="shared" si="12"/>
        <v>7.6562500000000075E-2</v>
      </c>
    </row>
    <row r="137" spans="1:24" x14ac:dyDescent="0.25">
      <c r="A137" s="57" t="s">
        <v>322</v>
      </c>
      <c r="B137" s="105">
        <f t="shared" si="14"/>
        <v>1292517</v>
      </c>
      <c r="G137">
        <f t="shared" si="13"/>
        <v>0</v>
      </c>
      <c r="H137" s="102">
        <f t="shared" si="8"/>
        <v>17.391304347826086</v>
      </c>
      <c r="I137" s="5">
        <v>28</v>
      </c>
      <c r="J137" s="73">
        <v>2.8356481481481501E-3</v>
      </c>
      <c r="K137" s="69">
        <f t="shared" si="11"/>
        <v>7.9398148148148204E-2</v>
      </c>
      <c r="M137">
        <v>0</v>
      </c>
      <c r="N137">
        <v>3</v>
      </c>
      <c r="O137">
        <f t="shared" si="9"/>
        <v>-3</v>
      </c>
      <c r="T137" s="102">
        <f t="shared" si="10"/>
        <v>17.391304347826086</v>
      </c>
      <c r="U137" s="5">
        <v>28</v>
      </c>
      <c r="V137" s="73">
        <v>2.8356481481481501E-3</v>
      </c>
      <c r="W137" s="69">
        <f t="shared" si="12"/>
        <v>7.9398148148148232E-2</v>
      </c>
    </row>
    <row r="138" spans="1:24" x14ac:dyDescent="0.25">
      <c r="A138" s="57" t="s">
        <v>321</v>
      </c>
      <c r="B138" s="105">
        <f t="shared" si="14"/>
        <v>1306272</v>
      </c>
      <c r="G138">
        <f t="shared" si="13"/>
        <v>0</v>
      </c>
      <c r="H138" s="102">
        <f t="shared" si="8"/>
        <v>18.012422360248447</v>
      </c>
      <c r="I138" s="5">
        <v>29</v>
      </c>
      <c r="J138" s="73">
        <v>2.8356481481481501E-3</v>
      </c>
      <c r="K138" s="69">
        <f t="shared" si="11"/>
        <v>8.223379629629636E-2</v>
      </c>
      <c r="L138" s="68"/>
      <c r="M138">
        <v>19</v>
      </c>
      <c r="N138">
        <v>5</v>
      </c>
      <c r="O138">
        <f t="shared" si="9"/>
        <v>14</v>
      </c>
      <c r="T138" s="102">
        <f t="shared" si="10"/>
        <v>18.012422360248447</v>
      </c>
      <c r="U138" s="5">
        <v>29</v>
      </c>
      <c r="V138" s="73">
        <v>2.8356481481481501E-3</v>
      </c>
      <c r="W138" s="69">
        <f t="shared" si="12"/>
        <v>8.2233796296296388E-2</v>
      </c>
      <c r="X138" s="68"/>
    </row>
    <row r="139" spans="1:24" ht="15.75" thickBot="1" x14ac:dyDescent="0.3">
      <c r="A139" s="57" t="s">
        <v>361</v>
      </c>
      <c r="B139" s="105">
        <f t="shared" si="14"/>
        <v>13048</v>
      </c>
      <c r="F139">
        <v>19</v>
      </c>
      <c r="G139">
        <f t="shared" si="13"/>
        <v>30.577535999999998</v>
      </c>
      <c r="H139" s="102">
        <f t="shared" si="8"/>
        <v>18.633540372670808</v>
      </c>
      <c r="I139" s="5">
        <v>30</v>
      </c>
      <c r="J139" s="73">
        <v>2.8356481481481501E-3</v>
      </c>
      <c r="K139" s="69">
        <f t="shared" si="11"/>
        <v>8.5069444444444517E-2</v>
      </c>
      <c r="L139" s="68"/>
      <c r="M139">
        <v>0</v>
      </c>
      <c r="N139">
        <v>4</v>
      </c>
      <c r="O139">
        <f t="shared" si="9"/>
        <v>-4</v>
      </c>
      <c r="P139" t="s">
        <v>181</v>
      </c>
      <c r="Q139" s="103" t="s">
        <v>166</v>
      </c>
      <c r="R139" s="68" t="s">
        <v>170</v>
      </c>
      <c r="T139" s="102">
        <f t="shared" si="10"/>
        <v>18.633540372670808</v>
      </c>
      <c r="U139" s="5">
        <v>30</v>
      </c>
      <c r="V139" s="73">
        <v>2.8356481481481501E-3</v>
      </c>
      <c r="W139" s="69">
        <f t="shared" si="12"/>
        <v>8.5069444444444545E-2</v>
      </c>
      <c r="X139" s="68"/>
    </row>
    <row r="140" spans="1:24" ht="15.75" thickBot="1" x14ac:dyDescent="0.3">
      <c r="A140" s="57" t="s">
        <v>218</v>
      </c>
      <c r="B140" s="105">
        <f t="shared" si="14"/>
        <v>0</v>
      </c>
      <c r="G140">
        <f t="shared" si="13"/>
        <v>0</v>
      </c>
      <c r="H140" s="102">
        <f t="shared" si="8"/>
        <v>19.006211180124222</v>
      </c>
      <c r="I140" s="99">
        <v>30.6</v>
      </c>
      <c r="J140" s="73">
        <v>2.8356481481481501E-3</v>
      </c>
      <c r="K140" s="94">
        <f t="shared" si="11"/>
        <v>8.6770833333333408E-2</v>
      </c>
      <c r="L140" s="93"/>
      <c r="M140">
        <v>0</v>
      </c>
      <c r="N140">
        <v>11</v>
      </c>
      <c r="O140">
        <f t="shared" si="9"/>
        <v>-11</v>
      </c>
      <c r="T140" s="102">
        <f t="shared" si="10"/>
        <v>19.254658385093165</v>
      </c>
      <c r="U140" s="99">
        <v>31</v>
      </c>
      <c r="V140" s="73">
        <v>2.8356481481481501E-3</v>
      </c>
      <c r="W140" s="94">
        <f t="shared" si="12"/>
        <v>8.7905092592592701E-2</v>
      </c>
      <c r="X140" s="93"/>
    </row>
    <row r="141" spans="1:24" x14ac:dyDescent="0.25">
      <c r="A141" s="57" t="s">
        <v>217</v>
      </c>
      <c r="B141" s="105">
        <f t="shared" si="14"/>
        <v>38285</v>
      </c>
      <c r="G141">
        <f t="shared" si="13"/>
        <v>0</v>
      </c>
      <c r="H141" s="102">
        <f t="shared" si="8"/>
        <v>19.875776397515526</v>
      </c>
      <c r="I141" s="5">
        <v>32</v>
      </c>
      <c r="J141" s="73">
        <v>2.8356481481481501E-3</v>
      </c>
      <c r="K141" s="69">
        <f t="shared" si="11"/>
        <v>9.0740740740740816E-2</v>
      </c>
      <c r="L141" s="68"/>
      <c r="M141">
        <v>13</v>
      </c>
      <c r="N141">
        <v>0</v>
      </c>
      <c r="O141">
        <f t="shared" si="9"/>
        <v>13</v>
      </c>
      <c r="P141" s="103"/>
      <c r="T141" s="102">
        <f t="shared" si="10"/>
        <v>19.875776397515526</v>
      </c>
      <c r="U141" s="5">
        <v>32</v>
      </c>
      <c r="V141" s="73">
        <v>2.8356481481481501E-3</v>
      </c>
      <c r="W141" s="69">
        <f t="shared" si="12"/>
        <v>9.0740740740740858E-2</v>
      </c>
      <c r="X141" s="68"/>
    </row>
    <row r="142" spans="1:24" x14ac:dyDescent="0.25">
      <c r="A142" s="57"/>
      <c r="B142" s="105">
        <f t="shared" si="14"/>
        <v>51165</v>
      </c>
      <c r="F142">
        <v>21</v>
      </c>
      <c r="G142">
        <f t="shared" si="13"/>
        <v>33.796224000000002</v>
      </c>
      <c r="H142" s="102">
        <f t="shared" si="8"/>
        <v>20.993788819875775</v>
      </c>
      <c r="I142" s="5">
        <v>33.799999999999997</v>
      </c>
      <c r="J142" s="73">
        <v>2.8356481481481501E-3</v>
      </c>
      <c r="K142" s="69">
        <f t="shared" si="11"/>
        <v>9.5844907407407476E-2</v>
      </c>
      <c r="L142" s="68"/>
      <c r="M142">
        <v>0</v>
      </c>
      <c r="N142">
        <v>0</v>
      </c>
      <c r="O142">
        <f t="shared" si="9"/>
        <v>0</v>
      </c>
      <c r="T142" s="102">
        <f t="shared" si="10"/>
        <v>20.496894409937887</v>
      </c>
      <c r="U142" s="5">
        <v>33</v>
      </c>
      <c r="V142" s="73">
        <v>2.8356481481481501E-3</v>
      </c>
      <c r="W142" s="69">
        <f t="shared" si="12"/>
        <v>9.3576388888889014E-2</v>
      </c>
      <c r="X142" s="68"/>
    </row>
    <row r="143" spans="1:24" x14ac:dyDescent="0.25">
      <c r="A143" s="57" t="s">
        <v>214</v>
      </c>
      <c r="B143" s="105">
        <f t="shared" si="14"/>
        <v>0</v>
      </c>
      <c r="C143" t="s">
        <v>286</v>
      </c>
      <c r="G143">
        <f t="shared" si="13"/>
        <v>0</v>
      </c>
      <c r="H143" s="102">
        <f t="shared" si="8"/>
        <v>21.118012422360248</v>
      </c>
      <c r="I143" s="5">
        <v>34</v>
      </c>
      <c r="J143" s="73">
        <v>2.8356481481481501E-3</v>
      </c>
      <c r="K143" s="69">
        <f t="shared" si="11"/>
        <v>9.6412037037037115E-2</v>
      </c>
      <c r="L143" s="68"/>
      <c r="M143">
        <v>25</v>
      </c>
      <c r="N143">
        <v>0</v>
      </c>
      <c r="O143">
        <f t="shared" si="9"/>
        <v>25</v>
      </c>
      <c r="P143" s="103" t="s">
        <v>182</v>
      </c>
      <c r="Q143" s="103" t="s">
        <v>166</v>
      </c>
      <c r="R143" s="103"/>
      <c r="T143" s="102">
        <f t="shared" si="10"/>
        <v>21.118012422360248</v>
      </c>
      <c r="U143" s="5">
        <v>34</v>
      </c>
      <c r="V143" s="73">
        <v>2.8356481481481501E-3</v>
      </c>
      <c r="W143" s="69">
        <f t="shared" si="12"/>
        <v>9.6412037037037171E-2</v>
      </c>
      <c r="X143" s="68"/>
    </row>
    <row r="144" spans="1:24" ht="15.75" thickBot="1" x14ac:dyDescent="0.3">
      <c r="A144" s="57" t="s">
        <v>213</v>
      </c>
      <c r="B144" s="105">
        <f t="shared" si="14"/>
        <v>155310</v>
      </c>
      <c r="G144">
        <f t="shared" si="13"/>
        <v>0</v>
      </c>
      <c r="H144" s="102">
        <f t="shared" si="8"/>
        <v>21.739130434782606</v>
      </c>
      <c r="I144" s="5">
        <v>35</v>
      </c>
      <c r="J144" s="73">
        <v>2.8356481481481501E-3</v>
      </c>
      <c r="K144" s="69">
        <f t="shared" si="11"/>
        <v>9.9247685185185272E-2</v>
      </c>
      <c r="L144" s="68"/>
      <c r="M144">
        <v>0</v>
      </c>
      <c r="N144">
        <v>23</v>
      </c>
      <c r="O144">
        <f t="shared" si="9"/>
        <v>-23</v>
      </c>
      <c r="S144" t="s">
        <v>185</v>
      </c>
      <c r="T144" s="102">
        <f t="shared" si="10"/>
        <v>21.739130434782606</v>
      </c>
      <c r="U144" s="5">
        <v>35</v>
      </c>
      <c r="V144" s="73">
        <v>2.8356481481481501E-3</v>
      </c>
      <c r="W144" s="69">
        <f t="shared" si="12"/>
        <v>9.9247685185185328E-2</v>
      </c>
      <c r="X144" s="68"/>
    </row>
    <row r="145" spans="1:24" ht="15.75" thickBot="1" x14ac:dyDescent="0.3">
      <c r="A145" s="57" t="s">
        <v>114</v>
      </c>
      <c r="B145" s="105">
        <f t="shared" si="14"/>
        <v>329388</v>
      </c>
      <c r="G145">
        <f t="shared" si="13"/>
        <v>0</v>
      </c>
      <c r="H145" s="102">
        <f t="shared" si="8"/>
        <v>22.360248447204967</v>
      </c>
      <c r="I145" s="99">
        <v>36</v>
      </c>
      <c r="J145" s="73">
        <v>2.8356481481481501E-3</v>
      </c>
      <c r="K145" s="94">
        <f t="shared" si="11"/>
        <v>0.10208333333333343</v>
      </c>
      <c r="L145" s="68"/>
      <c r="M145">
        <v>0</v>
      </c>
      <c r="N145">
        <v>4</v>
      </c>
      <c r="O145">
        <f t="shared" si="9"/>
        <v>-4</v>
      </c>
      <c r="P145" t="s">
        <v>183</v>
      </c>
      <c r="Q145" s="103" t="s">
        <v>166</v>
      </c>
      <c r="R145" s="68" t="s">
        <v>169</v>
      </c>
      <c r="T145" s="102">
        <f t="shared" si="10"/>
        <v>22.360248447204967</v>
      </c>
      <c r="U145" s="99">
        <v>36</v>
      </c>
      <c r="V145" s="73">
        <v>2.8356481481481501E-3</v>
      </c>
      <c r="W145" s="94">
        <f t="shared" si="12"/>
        <v>0.10208333333333348</v>
      </c>
      <c r="X145" s="68"/>
    </row>
    <row r="146" spans="1:24" x14ac:dyDescent="0.25">
      <c r="A146" s="57"/>
      <c r="B146" s="105"/>
      <c r="G146">
        <f t="shared" si="13"/>
        <v>0</v>
      </c>
      <c r="H146" s="102">
        <f t="shared" si="8"/>
        <v>22.981366459627328</v>
      </c>
      <c r="I146" s="5">
        <v>37</v>
      </c>
      <c r="J146" s="73">
        <v>2.8356481481481501E-3</v>
      </c>
      <c r="K146" s="69">
        <f t="shared" si="11"/>
        <v>0.10491898148148159</v>
      </c>
      <c r="L146" s="68"/>
      <c r="M146">
        <v>0</v>
      </c>
      <c r="N146">
        <v>15</v>
      </c>
      <c r="O146">
        <f t="shared" si="9"/>
        <v>-15</v>
      </c>
      <c r="T146" s="102">
        <f t="shared" si="10"/>
        <v>22.981366459627328</v>
      </c>
      <c r="U146" s="5">
        <v>37</v>
      </c>
      <c r="V146" s="73">
        <v>2.8356481481481501E-3</v>
      </c>
      <c r="W146" s="69">
        <f t="shared" si="12"/>
        <v>0.10491898148148164</v>
      </c>
      <c r="X146" s="68"/>
    </row>
    <row r="147" spans="1:24" x14ac:dyDescent="0.25">
      <c r="A147" s="118" t="s">
        <v>5</v>
      </c>
      <c r="B147" s="119">
        <f>SUM(B133:B145)</f>
        <v>4014046</v>
      </c>
      <c r="F147">
        <v>24</v>
      </c>
      <c r="G147">
        <f t="shared" si="13"/>
        <v>38.624256000000003</v>
      </c>
      <c r="H147" s="102">
        <f t="shared" si="8"/>
        <v>23.975155279503106</v>
      </c>
      <c r="I147" s="5">
        <v>38.6</v>
      </c>
      <c r="J147" s="73">
        <v>2.8356481481481501E-3</v>
      </c>
      <c r="K147" s="69">
        <f t="shared" si="11"/>
        <v>0.10945601851851863</v>
      </c>
      <c r="L147" s="165"/>
      <c r="M147">
        <v>8</v>
      </c>
      <c r="N147">
        <v>8</v>
      </c>
      <c r="O147">
        <f t="shared" si="9"/>
        <v>0</v>
      </c>
      <c r="T147" s="102">
        <f t="shared" si="10"/>
        <v>23.602484472049689</v>
      </c>
      <c r="U147" s="5">
        <v>38</v>
      </c>
      <c r="V147" s="73">
        <v>2.8356481481481501E-3</v>
      </c>
      <c r="W147" s="69">
        <f t="shared" si="12"/>
        <v>0.1077546296296298</v>
      </c>
      <c r="X147" s="165"/>
    </row>
    <row r="148" spans="1:24" x14ac:dyDescent="0.25">
      <c r="G148">
        <f t="shared" si="13"/>
        <v>0</v>
      </c>
      <c r="H148" s="102">
        <f t="shared" si="8"/>
        <v>24.22360248447205</v>
      </c>
      <c r="I148" s="5">
        <v>39</v>
      </c>
      <c r="J148" s="73">
        <v>2.8356481481481501E-3</v>
      </c>
      <c r="K148" s="69">
        <f t="shared" si="11"/>
        <v>0.11059027777777788</v>
      </c>
      <c r="L148" s="165"/>
      <c r="M148">
        <v>0</v>
      </c>
      <c r="N148">
        <v>16</v>
      </c>
      <c r="O148">
        <f t="shared" si="9"/>
        <v>-16</v>
      </c>
      <c r="P148" s="103" t="s">
        <v>176</v>
      </c>
      <c r="Q148" s="103" t="s">
        <v>184</v>
      </c>
      <c r="T148" s="102">
        <f t="shared" si="10"/>
        <v>24.22360248447205</v>
      </c>
      <c r="U148" s="5">
        <v>39</v>
      </c>
      <c r="V148" s="73">
        <v>2.8356481481481501E-3</v>
      </c>
      <c r="W148" s="69">
        <f t="shared" si="12"/>
        <v>0.11059027777777795</v>
      </c>
      <c r="X148" s="165"/>
    </row>
    <row r="149" spans="1:24" x14ac:dyDescent="0.25">
      <c r="G149">
        <f t="shared" si="13"/>
        <v>0</v>
      </c>
      <c r="H149" s="102">
        <f t="shared" si="8"/>
        <v>24.844720496894407</v>
      </c>
      <c r="I149" s="5">
        <v>40</v>
      </c>
      <c r="J149" s="73">
        <v>2.8356481481481501E-3</v>
      </c>
      <c r="K149" s="69">
        <f t="shared" si="11"/>
        <v>0.11342592592592604</v>
      </c>
      <c r="M149">
        <v>0</v>
      </c>
      <c r="N149">
        <v>6</v>
      </c>
      <c r="O149">
        <f t="shared" si="9"/>
        <v>-6</v>
      </c>
      <c r="T149" s="102">
        <f t="shared" si="10"/>
        <v>24.844720496894407</v>
      </c>
      <c r="U149" s="5">
        <v>40</v>
      </c>
      <c r="V149" s="73">
        <v>2.8356481481481501E-3</v>
      </c>
      <c r="W149" s="69">
        <f t="shared" si="12"/>
        <v>0.11342592592592611</v>
      </c>
    </row>
    <row r="150" spans="1:24" ht="15.75" thickBot="1" x14ac:dyDescent="0.3">
      <c r="H150" s="102">
        <f t="shared" si="8"/>
        <v>25.465838509316768</v>
      </c>
      <c r="I150" s="5">
        <v>41</v>
      </c>
      <c r="J150" s="73">
        <v>2.8356481481481501E-3</v>
      </c>
      <c r="K150" s="69">
        <f t="shared" si="11"/>
        <v>0.1162615740740742</v>
      </c>
      <c r="M150">
        <v>0</v>
      </c>
      <c r="N150">
        <v>2</v>
      </c>
      <c r="O150">
        <f t="shared" si="9"/>
        <v>-2</v>
      </c>
      <c r="T150" s="102">
        <f t="shared" si="10"/>
        <v>25.465838509316768</v>
      </c>
      <c r="U150" s="5">
        <v>41</v>
      </c>
      <c r="V150" s="73">
        <v>2.8356481481481501E-3</v>
      </c>
      <c r="W150" s="69">
        <f t="shared" si="12"/>
        <v>0.11626157407407427</v>
      </c>
    </row>
    <row r="151" spans="1:24" ht="15.75" thickBot="1" x14ac:dyDescent="0.3">
      <c r="H151" s="102">
        <f t="shared" si="8"/>
        <v>26.086956521739129</v>
      </c>
      <c r="I151" s="99">
        <v>42</v>
      </c>
      <c r="J151" s="73">
        <v>2.8356481481481501E-3</v>
      </c>
      <c r="K151" s="94">
        <f t="shared" si="11"/>
        <v>0.11909722222222235</v>
      </c>
      <c r="M151">
        <v>0</v>
      </c>
      <c r="N151">
        <v>0</v>
      </c>
      <c r="O151">
        <f t="shared" si="9"/>
        <v>0</v>
      </c>
      <c r="T151" s="102">
        <f t="shared" si="10"/>
        <v>26.086956521739129</v>
      </c>
      <c r="U151" s="99">
        <v>42</v>
      </c>
      <c r="V151" s="73">
        <v>2.8356481481481501E-3</v>
      </c>
      <c r="W151" s="94">
        <f t="shared" si="12"/>
        <v>0.11909722222222242</v>
      </c>
    </row>
    <row r="152" spans="1:24" ht="15.75" thickBot="1" x14ac:dyDescent="0.3">
      <c r="H152" s="102">
        <f t="shared" si="8"/>
        <v>26.211180124223603</v>
      </c>
      <c r="I152" s="5">
        <v>42.2</v>
      </c>
      <c r="J152" s="73">
        <v>2.8356481481481501E-3</v>
      </c>
      <c r="K152" s="100">
        <f t="shared" si="11"/>
        <v>0.11966435185185199</v>
      </c>
      <c r="L152" t="s">
        <v>147</v>
      </c>
      <c r="M152">
        <v>0</v>
      </c>
      <c r="N152">
        <v>0</v>
      </c>
      <c r="O152">
        <f t="shared" si="9"/>
        <v>0</v>
      </c>
      <c r="T152" s="102">
        <f t="shared" si="10"/>
        <v>26.211180124223603</v>
      </c>
      <c r="U152" s="5">
        <v>42.2</v>
      </c>
      <c r="V152" s="73">
        <v>2.8356481481481501E-3</v>
      </c>
      <c r="W152" s="100">
        <f t="shared" si="12"/>
        <v>0.11966435185185206</v>
      </c>
      <c r="X152" t="s">
        <v>147</v>
      </c>
    </row>
    <row r="154" spans="1:24" x14ac:dyDescent="0.25">
      <c r="K154" t="s">
        <v>125</v>
      </c>
      <c r="L154" s="69">
        <f>K152/I152</f>
        <v>2.8356481481481514E-3</v>
      </c>
    </row>
    <row r="156" spans="1:24" ht="27" thickBot="1" x14ac:dyDescent="0.45">
      <c r="A156" s="143" t="s">
        <v>346</v>
      </c>
      <c r="H156" t="s">
        <v>168</v>
      </c>
      <c r="I156" t="s">
        <v>119</v>
      </c>
      <c r="J156" t="s">
        <v>123</v>
      </c>
      <c r="K156" t="s">
        <v>124</v>
      </c>
      <c r="Q156" t="s">
        <v>166</v>
      </c>
      <c r="R156" t="s">
        <v>170</v>
      </c>
    </row>
    <row r="157" spans="1:24" x14ac:dyDescent="0.25">
      <c r="A157" s="104" t="s">
        <v>4</v>
      </c>
      <c r="B157" s="110"/>
      <c r="C157" s="56"/>
      <c r="D157" t="s">
        <v>110</v>
      </c>
      <c r="E157">
        <v>980</v>
      </c>
      <c r="H157" s="102">
        <f>I157/1.61</f>
        <v>0.6211180124223602</v>
      </c>
      <c r="I157" s="5">
        <v>1</v>
      </c>
      <c r="J157" s="73">
        <v>2.8356481481481501E-3</v>
      </c>
      <c r="K157" s="69">
        <f>J157</f>
        <v>2.8356481481481501E-3</v>
      </c>
      <c r="M157">
        <v>0</v>
      </c>
      <c r="N157">
        <v>39</v>
      </c>
      <c r="O157">
        <f>M157-N157</f>
        <v>-39</v>
      </c>
    </row>
    <row r="158" spans="1:24" x14ac:dyDescent="0.25">
      <c r="A158" s="57"/>
      <c r="B158" t="s">
        <v>319</v>
      </c>
      <c r="C158" s="58" t="s">
        <v>320</v>
      </c>
      <c r="D158" t="s">
        <v>370</v>
      </c>
      <c r="E158">
        <v>1138</v>
      </c>
      <c r="H158" s="102">
        <f t="shared" ref="H158:H199" si="15">I158/1.61</f>
        <v>1.2422360248447204</v>
      </c>
      <c r="I158" s="5">
        <v>2</v>
      </c>
      <c r="J158" s="73">
        <v>2.8356481481481501E-3</v>
      </c>
      <c r="K158" s="69">
        <f>J158*(I158-I157)+K157</f>
        <v>5.6712962962963001E-3</v>
      </c>
      <c r="M158">
        <v>6</v>
      </c>
      <c r="N158">
        <v>9</v>
      </c>
      <c r="O158">
        <f t="shared" ref="O158:O199" si="16">M158-N158</f>
        <v>-3</v>
      </c>
    </row>
    <row r="159" spans="1:24" x14ac:dyDescent="0.25">
      <c r="A159" s="57" t="s">
        <v>363</v>
      </c>
      <c r="B159" s="162">
        <v>2336068</v>
      </c>
      <c r="C159" s="141" t="s">
        <v>76</v>
      </c>
      <c r="H159" s="102">
        <f t="shared" si="15"/>
        <v>1.8633540372670807</v>
      </c>
      <c r="I159" s="5">
        <v>3</v>
      </c>
      <c r="J159" s="73">
        <v>2.8356481481481501E-3</v>
      </c>
      <c r="K159" s="69">
        <f t="shared" ref="K159:K199" si="17">J159*(I159-I158)+K158</f>
        <v>8.5069444444444507E-3</v>
      </c>
      <c r="M159">
        <v>0</v>
      </c>
      <c r="N159">
        <v>0</v>
      </c>
      <c r="O159">
        <f t="shared" si="16"/>
        <v>0</v>
      </c>
    </row>
    <row r="160" spans="1:24" ht="15.75" thickBot="1" x14ac:dyDescent="0.3">
      <c r="A160" s="57" t="s">
        <v>364</v>
      </c>
      <c r="B160" s="162">
        <v>221810</v>
      </c>
      <c r="C160" s="141" t="s">
        <v>76</v>
      </c>
      <c r="H160" s="102">
        <f t="shared" si="15"/>
        <v>2.4844720496894408</v>
      </c>
      <c r="I160" s="5">
        <v>4</v>
      </c>
      <c r="J160" s="73">
        <v>2.8356481481481479E-3</v>
      </c>
      <c r="K160" s="69">
        <f t="shared" si="17"/>
        <v>1.1342592592592599E-2</v>
      </c>
      <c r="M160">
        <v>0</v>
      </c>
      <c r="N160">
        <v>8</v>
      </c>
      <c r="O160">
        <f t="shared" si="16"/>
        <v>-8</v>
      </c>
    </row>
    <row r="161" spans="1:19" ht="15.75" thickBot="1" x14ac:dyDescent="0.3">
      <c r="A161" s="57" t="s">
        <v>100</v>
      </c>
      <c r="B161" s="111">
        <v>0</v>
      </c>
      <c r="C161" s="58" t="s">
        <v>76</v>
      </c>
      <c r="F161">
        <f>760+350</f>
        <v>1110</v>
      </c>
      <c r="G161">
        <f>F161-700</f>
        <v>410</v>
      </c>
      <c r="H161" s="102">
        <f t="shared" si="15"/>
        <v>3.1055900621118009</v>
      </c>
      <c r="I161" s="99">
        <v>5</v>
      </c>
      <c r="J161" s="73">
        <v>2.8356481481481479E-3</v>
      </c>
      <c r="K161" s="94">
        <f t="shared" si="17"/>
        <v>1.4178240740740746E-2</v>
      </c>
      <c r="M161">
        <v>0</v>
      </c>
      <c r="N161">
        <v>17</v>
      </c>
      <c r="O161">
        <f t="shared" si="16"/>
        <v>-17</v>
      </c>
      <c r="P161" s="103" t="s">
        <v>173</v>
      </c>
      <c r="Q161" s="103" t="s">
        <v>171</v>
      </c>
      <c r="R161" s="103"/>
    </row>
    <row r="162" spans="1:19" x14ac:dyDescent="0.25">
      <c r="A162" s="57" t="s">
        <v>102</v>
      </c>
      <c r="B162" s="112" t="s">
        <v>349</v>
      </c>
      <c r="C162" s="58" t="s">
        <v>76</v>
      </c>
      <c r="H162" s="102">
        <f t="shared" si="15"/>
        <v>3.7267080745341614</v>
      </c>
      <c r="I162" s="5">
        <v>6</v>
      </c>
      <c r="J162" s="73">
        <v>2.8356481481481501E-3</v>
      </c>
      <c r="K162" s="69">
        <f t="shared" si="17"/>
        <v>1.7013888888888898E-2</v>
      </c>
      <c r="M162">
        <v>0</v>
      </c>
      <c r="N162">
        <v>14</v>
      </c>
      <c r="O162">
        <f t="shared" si="16"/>
        <v>-14</v>
      </c>
    </row>
    <row r="163" spans="1:19" x14ac:dyDescent="0.25">
      <c r="A163" s="57" t="s">
        <v>347</v>
      </c>
      <c r="B163" s="111">
        <v>740000</v>
      </c>
      <c r="C163" s="58" t="s">
        <v>55</v>
      </c>
      <c r="H163" s="102">
        <f t="shared" si="15"/>
        <v>4.3478260869565215</v>
      </c>
      <c r="I163" s="5">
        <v>7</v>
      </c>
      <c r="J163" s="73">
        <v>2.8356481481481501E-3</v>
      </c>
      <c r="K163" s="69">
        <f t="shared" si="17"/>
        <v>1.9849537037037047E-2</v>
      </c>
      <c r="M163">
        <v>0</v>
      </c>
      <c r="N163">
        <v>0</v>
      </c>
      <c r="O163">
        <f t="shared" si="16"/>
        <v>0</v>
      </c>
    </row>
    <row r="164" spans="1:19" x14ac:dyDescent="0.25">
      <c r="A164" s="57" t="s">
        <v>348</v>
      </c>
      <c r="B164" s="112">
        <v>436637</v>
      </c>
      <c r="C164" s="141" t="s">
        <v>76</v>
      </c>
      <c r="E164" t="s">
        <v>160</v>
      </c>
      <c r="H164" s="102">
        <f t="shared" si="15"/>
        <v>4.9689440993788816</v>
      </c>
      <c r="I164" s="5">
        <v>8</v>
      </c>
      <c r="J164" s="73">
        <v>2.8356481481481501E-3</v>
      </c>
      <c r="K164" s="69">
        <f t="shared" si="17"/>
        <v>2.2685185185185197E-2</v>
      </c>
      <c r="M164">
        <v>10</v>
      </c>
      <c r="N164">
        <v>0</v>
      </c>
      <c r="O164">
        <f t="shared" si="16"/>
        <v>10</v>
      </c>
    </row>
    <row r="165" spans="1:19" ht="15.75" thickBot="1" x14ac:dyDescent="0.3">
      <c r="A165" s="57" t="s">
        <v>365</v>
      </c>
      <c r="B165" s="112">
        <v>909708</v>
      </c>
      <c r="C165" s="58" t="s">
        <v>76</v>
      </c>
      <c r="H165" s="102">
        <f t="shared" si="15"/>
        <v>5.5900621118012417</v>
      </c>
      <c r="I165" s="5">
        <v>9</v>
      </c>
      <c r="J165" s="73">
        <v>2.8356481481481501E-3</v>
      </c>
      <c r="K165" s="69">
        <f t="shared" si="17"/>
        <v>2.5520833333333347E-2</v>
      </c>
      <c r="M165">
        <v>0</v>
      </c>
      <c r="N165">
        <v>9</v>
      </c>
      <c r="O165">
        <f t="shared" si="16"/>
        <v>-9</v>
      </c>
    </row>
    <row r="166" spans="1:19" ht="15.75" thickBot="1" x14ac:dyDescent="0.3">
      <c r="A166" s="57" t="s">
        <v>371</v>
      </c>
      <c r="B166" s="111">
        <v>408662</v>
      </c>
      <c r="C166" s="142" t="s">
        <v>76</v>
      </c>
      <c r="H166" s="102">
        <f t="shared" si="15"/>
        <v>6.2111801242236018</v>
      </c>
      <c r="I166" s="99">
        <v>10</v>
      </c>
      <c r="J166" s="73">
        <v>2.8356481481481501E-3</v>
      </c>
      <c r="K166" s="94">
        <f t="shared" si="17"/>
        <v>2.8356481481481496E-2</v>
      </c>
      <c r="M166">
        <v>0</v>
      </c>
      <c r="N166">
        <v>3</v>
      </c>
      <c r="O166">
        <f t="shared" si="16"/>
        <v>-3</v>
      </c>
      <c r="P166" s="103" t="s">
        <v>174</v>
      </c>
      <c r="Q166" s="103" t="s">
        <v>166</v>
      </c>
      <c r="R166" s="68" t="s">
        <v>169</v>
      </c>
    </row>
    <row r="167" spans="1:19" x14ac:dyDescent="0.25">
      <c r="A167" s="57" t="s">
        <v>217</v>
      </c>
      <c r="B167" s="111">
        <v>42000</v>
      </c>
      <c r="C167" s="58" t="s">
        <v>76</v>
      </c>
      <c r="F167" s="88"/>
      <c r="H167" s="102">
        <f t="shared" si="15"/>
        <v>6.8322981366459627</v>
      </c>
      <c r="I167" s="5">
        <v>11</v>
      </c>
      <c r="J167" s="73">
        <v>2.8356481481481501E-3</v>
      </c>
      <c r="K167" s="69">
        <f t="shared" si="17"/>
        <v>3.1192129629629646E-2</v>
      </c>
      <c r="M167">
        <v>0</v>
      </c>
      <c r="N167">
        <v>2</v>
      </c>
      <c r="O167">
        <f t="shared" si="16"/>
        <v>-2</v>
      </c>
    </row>
    <row r="168" spans="1:19" x14ac:dyDescent="0.25">
      <c r="A168" s="57" t="s">
        <v>366</v>
      </c>
      <c r="B168" s="111">
        <f>564.85*E158</f>
        <v>642799.30000000005</v>
      </c>
      <c r="C168" s="58" t="s">
        <v>76</v>
      </c>
      <c r="H168" s="102">
        <f t="shared" si="15"/>
        <v>7.4534161490683228</v>
      </c>
      <c r="I168" s="5">
        <v>12</v>
      </c>
      <c r="J168" s="73">
        <v>2.8356481481481501E-3</v>
      </c>
      <c r="K168" s="69">
        <f t="shared" si="17"/>
        <v>3.4027777777777796E-2</v>
      </c>
      <c r="M168">
        <v>0</v>
      </c>
      <c r="N168">
        <v>1</v>
      </c>
      <c r="O168">
        <f t="shared" si="16"/>
        <v>-1</v>
      </c>
    </row>
    <row r="169" spans="1:19" x14ac:dyDescent="0.25">
      <c r="A169" s="57" t="s">
        <v>369</v>
      </c>
      <c r="B169" s="111">
        <f>70000+40000</f>
        <v>110000</v>
      </c>
      <c r="C169" s="58" t="s">
        <v>76</v>
      </c>
      <c r="E169" s="88"/>
      <c r="H169" s="102">
        <f t="shared" si="15"/>
        <v>8.074534161490682</v>
      </c>
      <c r="I169" s="5">
        <v>13</v>
      </c>
      <c r="J169" s="73">
        <v>2.8356481481481501E-3</v>
      </c>
      <c r="K169" s="69">
        <f t="shared" si="17"/>
        <v>3.6863425925925945E-2</v>
      </c>
      <c r="M169">
        <v>11</v>
      </c>
      <c r="N169">
        <v>12</v>
      </c>
      <c r="O169">
        <f t="shared" si="16"/>
        <v>-1</v>
      </c>
    </row>
    <row r="170" spans="1:19" ht="15.75" thickBot="1" x14ac:dyDescent="0.3">
      <c r="A170" s="57" t="s">
        <v>213</v>
      </c>
      <c r="B170" s="111">
        <v>129000</v>
      </c>
      <c r="C170" s="58" t="s">
        <v>76</v>
      </c>
      <c r="H170" s="102">
        <f t="shared" si="15"/>
        <v>8.695652173913043</v>
      </c>
      <c r="I170" s="5">
        <v>14</v>
      </c>
      <c r="J170" s="73">
        <v>2.8356481481481501E-3</v>
      </c>
      <c r="K170" s="69">
        <f t="shared" si="17"/>
        <v>3.9699074074074095E-2</v>
      </c>
      <c r="M170">
        <v>0</v>
      </c>
      <c r="N170">
        <v>0</v>
      </c>
      <c r="O170">
        <f t="shared" si="16"/>
        <v>0</v>
      </c>
    </row>
    <row r="171" spans="1:19" ht="15.75" thickBot="1" x14ac:dyDescent="0.3">
      <c r="A171" s="57" t="s">
        <v>453</v>
      </c>
      <c r="B171" s="111">
        <f>E158*(136)</f>
        <v>154768</v>
      </c>
      <c r="C171" s="58" t="s">
        <v>76</v>
      </c>
      <c r="H171" s="102">
        <f t="shared" si="15"/>
        <v>9.316770186335404</v>
      </c>
      <c r="I171" s="99">
        <v>15</v>
      </c>
      <c r="J171" s="73">
        <v>2.8356481481481501E-3</v>
      </c>
      <c r="K171" s="94">
        <f t="shared" si="17"/>
        <v>4.2534722222222245E-2</v>
      </c>
      <c r="M171">
        <v>3</v>
      </c>
      <c r="N171">
        <v>6</v>
      </c>
      <c r="O171">
        <f t="shared" si="16"/>
        <v>-3</v>
      </c>
      <c r="P171" s="103" t="s">
        <v>175</v>
      </c>
      <c r="Q171" s="103" t="s">
        <v>166</v>
      </c>
      <c r="R171" s="103"/>
    </row>
    <row r="172" spans="1:19" x14ac:dyDescent="0.25">
      <c r="A172" s="57" t="s">
        <v>458</v>
      </c>
      <c r="B172" s="111">
        <v>1115309</v>
      </c>
      <c r="C172" s="58" t="s">
        <v>76</v>
      </c>
      <c r="H172" s="102">
        <f t="shared" si="15"/>
        <v>9.9378881987577632</v>
      </c>
      <c r="I172" s="5">
        <v>16</v>
      </c>
      <c r="J172" s="73">
        <v>2.8356481481481501E-3</v>
      </c>
      <c r="K172" s="69">
        <f t="shared" si="17"/>
        <v>4.5370370370370394E-2</v>
      </c>
      <c r="M172">
        <v>7</v>
      </c>
      <c r="N172">
        <v>2</v>
      </c>
      <c r="O172">
        <f t="shared" si="16"/>
        <v>5</v>
      </c>
    </row>
    <row r="173" spans="1:19" x14ac:dyDescent="0.25">
      <c r="A173" s="57"/>
      <c r="B173" s="111"/>
      <c r="C173" s="58"/>
      <c r="D173" t="s">
        <v>454</v>
      </c>
      <c r="H173" s="102">
        <f t="shared" si="15"/>
        <v>10.559006211180124</v>
      </c>
      <c r="I173" s="5">
        <v>17</v>
      </c>
      <c r="J173" s="73">
        <v>2.8356481481481501E-3</v>
      </c>
      <c r="K173" s="69">
        <f t="shared" si="17"/>
        <v>4.8206018518518544E-2</v>
      </c>
      <c r="M173">
        <v>5</v>
      </c>
      <c r="N173">
        <v>0</v>
      </c>
      <c r="O173">
        <f t="shared" si="16"/>
        <v>5</v>
      </c>
    </row>
    <row r="174" spans="1:19" x14ac:dyDescent="0.25">
      <c r="A174" s="57" t="s">
        <v>367</v>
      </c>
      <c r="B174" s="111">
        <v>72385</v>
      </c>
      <c r="C174" s="58" t="s">
        <v>55</v>
      </c>
      <c r="H174" s="102">
        <f t="shared" si="15"/>
        <v>11.180124223602483</v>
      </c>
      <c r="I174" s="5">
        <v>18</v>
      </c>
      <c r="J174" s="73">
        <v>2.8356481481481501E-3</v>
      </c>
      <c r="K174" s="69">
        <f t="shared" si="17"/>
        <v>5.1041666666666693E-2</v>
      </c>
      <c r="M174">
        <v>0</v>
      </c>
      <c r="N174">
        <v>0</v>
      </c>
      <c r="O174">
        <f t="shared" si="16"/>
        <v>0</v>
      </c>
      <c r="P174" s="70" t="s">
        <v>177</v>
      </c>
      <c r="Q174" s="103" t="s">
        <v>166</v>
      </c>
      <c r="R174" s="68" t="s">
        <v>170</v>
      </c>
    </row>
    <row r="175" spans="1:19" ht="15.75" thickBot="1" x14ac:dyDescent="0.3">
      <c r="A175" s="57" t="s">
        <v>457</v>
      </c>
      <c r="B175" s="111">
        <f>120*1125</f>
        <v>135000</v>
      </c>
      <c r="C175" s="58" t="s">
        <v>76</v>
      </c>
      <c r="H175" s="102">
        <f t="shared" si="15"/>
        <v>11.801242236024844</v>
      </c>
      <c r="I175" s="5">
        <v>19</v>
      </c>
      <c r="J175" s="73">
        <v>2.8356481481481501E-3</v>
      </c>
      <c r="K175" s="69">
        <f t="shared" si="17"/>
        <v>5.3877314814814843E-2</v>
      </c>
      <c r="M175">
        <v>0</v>
      </c>
      <c r="N175">
        <v>7</v>
      </c>
      <c r="O175">
        <f t="shared" si="16"/>
        <v>-7</v>
      </c>
      <c r="S175" t="s">
        <v>185</v>
      </c>
    </row>
    <row r="176" spans="1:19" ht="15.75" thickBot="1" x14ac:dyDescent="0.3">
      <c r="A176" s="107" t="s">
        <v>5</v>
      </c>
      <c r="B176" s="113">
        <f>SUMIF(C159:C175,"OK",B159:B175)</f>
        <v>7454146.2999999998</v>
      </c>
      <c r="C176" s="58"/>
      <c r="H176" s="102">
        <f t="shared" si="15"/>
        <v>12.422360248447204</v>
      </c>
      <c r="I176" s="99">
        <v>20</v>
      </c>
      <c r="J176" s="73">
        <v>2.8356481481481501E-3</v>
      </c>
      <c r="K176" s="94">
        <f t="shared" si="17"/>
        <v>5.6712962962962993E-2</v>
      </c>
      <c r="M176">
        <v>7</v>
      </c>
      <c r="N176">
        <v>12</v>
      </c>
      <c r="O176">
        <f t="shared" si="16"/>
        <v>-5</v>
      </c>
    </row>
    <row r="177" spans="1:19" ht="15.75" thickBot="1" x14ac:dyDescent="0.3">
      <c r="A177" s="114" t="s">
        <v>137</v>
      </c>
      <c r="B177" s="115">
        <f>SUMIF(C159:C175,"",B159:B175)</f>
        <v>0</v>
      </c>
      <c r="C177" s="60"/>
      <c r="H177" s="102">
        <f t="shared" si="15"/>
        <v>13.043478260869565</v>
      </c>
      <c r="I177" s="5">
        <v>21</v>
      </c>
      <c r="J177" s="73">
        <v>2.8356481481481501E-3</v>
      </c>
      <c r="K177" s="69">
        <f t="shared" si="17"/>
        <v>5.9548611111111142E-2</v>
      </c>
      <c r="M177">
        <v>0</v>
      </c>
      <c r="N177">
        <v>3</v>
      </c>
      <c r="O177">
        <f t="shared" si="16"/>
        <v>-3</v>
      </c>
      <c r="P177" t="s">
        <v>178</v>
      </c>
      <c r="Q177" t="s">
        <v>166</v>
      </c>
    </row>
    <row r="178" spans="1:19" x14ac:dyDescent="0.25">
      <c r="A178" s="116"/>
      <c r="B178" s="117"/>
      <c r="H178" s="102">
        <f t="shared" si="15"/>
        <v>13.664596273291925</v>
      </c>
      <c r="I178" s="5">
        <v>22</v>
      </c>
      <c r="J178" s="73">
        <v>2.8356481481481501E-3</v>
      </c>
      <c r="K178" s="69">
        <f t="shared" si="17"/>
        <v>6.2384259259259292E-2</v>
      </c>
      <c r="M178">
        <v>6</v>
      </c>
      <c r="N178">
        <v>6</v>
      </c>
      <c r="O178">
        <f t="shared" si="16"/>
        <v>0</v>
      </c>
    </row>
    <row r="179" spans="1:19" ht="15.75" thickBot="1" x14ac:dyDescent="0.3">
      <c r="A179" s="108" t="s">
        <v>65</v>
      </c>
      <c r="B179" s="109">
        <f>B176+B177</f>
        <v>7454146.2999999998</v>
      </c>
      <c r="H179" s="102">
        <f t="shared" si="15"/>
        <v>14.285714285714285</v>
      </c>
      <c r="I179" s="5">
        <v>23</v>
      </c>
      <c r="J179" s="73">
        <v>2.8356481481481501E-3</v>
      </c>
      <c r="K179" s="69">
        <f t="shared" si="17"/>
        <v>6.5219907407407449E-2</v>
      </c>
      <c r="M179">
        <v>0</v>
      </c>
      <c r="N179">
        <v>0</v>
      </c>
      <c r="O179">
        <f t="shared" si="16"/>
        <v>0</v>
      </c>
      <c r="P179" s="103"/>
      <c r="Q179" s="103"/>
      <c r="R179" s="103"/>
      <c r="S179" t="s">
        <v>185</v>
      </c>
    </row>
    <row r="180" spans="1:19" ht="15.75" thickBot="1" x14ac:dyDescent="0.3">
      <c r="H180" s="102">
        <f t="shared" si="15"/>
        <v>14.906832298136646</v>
      </c>
      <c r="I180" s="5">
        <v>24</v>
      </c>
      <c r="J180" s="73">
        <v>2.8356481481481501E-3</v>
      </c>
      <c r="K180" s="69">
        <f t="shared" si="17"/>
        <v>6.8055555555555605E-2</v>
      </c>
      <c r="M180">
        <v>5</v>
      </c>
      <c r="N180">
        <v>0</v>
      </c>
      <c r="O180">
        <f t="shared" si="16"/>
        <v>5</v>
      </c>
      <c r="P180" t="s">
        <v>179</v>
      </c>
      <c r="Q180" s="103" t="s">
        <v>166</v>
      </c>
      <c r="R180" s="68" t="s">
        <v>169</v>
      </c>
    </row>
    <row r="181" spans="1:19" ht="15.75" thickBot="1" x14ac:dyDescent="0.3">
      <c r="A181" s="104" t="s">
        <v>215</v>
      </c>
      <c r="B181" s="56"/>
      <c r="H181" s="102">
        <f t="shared" si="15"/>
        <v>15.527950310559005</v>
      </c>
      <c r="I181" s="99">
        <v>25</v>
      </c>
      <c r="J181" s="73">
        <v>2.8356481481481501E-3</v>
      </c>
      <c r="K181" s="94">
        <f t="shared" si="17"/>
        <v>7.0891203703703762E-2</v>
      </c>
      <c r="M181">
        <v>5</v>
      </c>
      <c r="N181">
        <v>0</v>
      </c>
      <c r="O181">
        <f t="shared" si="16"/>
        <v>5</v>
      </c>
    </row>
    <row r="182" spans="1:19" x14ac:dyDescent="0.25">
      <c r="A182" s="57"/>
      <c r="B182" s="58" t="s">
        <v>5</v>
      </c>
      <c r="H182" s="102">
        <f t="shared" si="15"/>
        <v>16.149068322981364</v>
      </c>
      <c r="I182" s="5">
        <v>26</v>
      </c>
      <c r="J182" s="73">
        <v>2.8356481481481501E-3</v>
      </c>
      <c r="K182" s="69">
        <f t="shared" si="17"/>
        <v>7.3726851851851918E-2</v>
      </c>
      <c r="M182">
        <v>9</v>
      </c>
      <c r="N182">
        <v>32</v>
      </c>
      <c r="O182">
        <f t="shared" si="16"/>
        <v>-23</v>
      </c>
      <c r="P182" s="103"/>
    </row>
    <row r="183" spans="1:19" x14ac:dyDescent="0.25">
      <c r="A183" s="57" t="s">
        <v>363</v>
      </c>
      <c r="B183" s="163">
        <f t="shared" ref="B183:B194" si="18">IF(C159="ok",B159,0)</f>
        <v>2336068</v>
      </c>
      <c r="H183" s="102">
        <f t="shared" si="15"/>
        <v>16.770186335403725</v>
      </c>
      <c r="I183" s="5">
        <v>27</v>
      </c>
      <c r="J183" s="73">
        <v>2.8356481481481501E-3</v>
      </c>
      <c r="K183" s="69">
        <f t="shared" si="17"/>
        <v>7.6562500000000075E-2</v>
      </c>
      <c r="M183">
        <v>17</v>
      </c>
      <c r="N183">
        <v>0</v>
      </c>
      <c r="O183">
        <f t="shared" si="16"/>
        <v>17</v>
      </c>
      <c r="P183" s="103" t="s">
        <v>180</v>
      </c>
      <c r="Q183" s="103" t="s">
        <v>166</v>
      </c>
      <c r="R183" s="103"/>
    </row>
    <row r="184" spans="1:19" x14ac:dyDescent="0.25">
      <c r="A184" s="57" t="s">
        <v>364</v>
      </c>
      <c r="B184" s="163">
        <f t="shared" si="18"/>
        <v>221810</v>
      </c>
      <c r="H184" s="102">
        <f t="shared" si="15"/>
        <v>17.391304347826086</v>
      </c>
      <c r="I184" s="5">
        <v>28</v>
      </c>
      <c r="J184" s="73">
        <v>2.8356481481481501E-3</v>
      </c>
      <c r="K184" s="69">
        <f t="shared" si="17"/>
        <v>7.9398148148148232E-2</v>
      </c>
      <c r="M184">
        <v>0</v>
      </c>
      <c r="N184">
        <v>3</v>
      </c>
      <c r="O184">
        <f t="shared" si="16"/>
        <v>-3</v>
      </c>
    </row>
    <row r="185" spans="1:19" x14ac:dyDescent="0.25">
      <c r="A185" s="57" t="s">
        <v>100</v>
      </c>
      <c r="B185" s="163">
        <f t="shared" si="18"/>
        <v>0</v>
      </c>
      <c r="H185" s="102">
        <f t="shared" si="15"/>
        <v>18.012422360248447</v>
      </c>
      <c r="I185" s="5">
        <v>29</v>
      </c>
      <c r="J185" s="73">
        <v>2.8356481481481501E-3</v>
      </c>
      <c r="K185" s="69">
        <f t="shared" si="17"/>
        <v>8.2233796296296388E-2</v>
      </c>
      <c r="M185">
        <v>19</v>
      </c>
      <c r="N185">
        <v>5</v>
      </c>
      <c r="O185">
        <f t="shared" si="16"/>
        <v>14</v>
      </c>
    </row>
    <row r="186" spans="1:19" ht="15.75" thickBot="1" x14ac:dyDescent="0.3">
      <c r="A186" s="57" t="s">
        <v>102</v>
      </c>
      <c r="B186" s="105" t="str">
        <f t="shared" si="18"/>
        <v>CON TC??</v>
      </c>
      <c r="H186" s="102">
        <f t="shared" si="15"/>
        <v>18.633540372670808</v>
      </c>
      <c r="I186" s="5">
        <v>30</v>
      </c>
      <c r="J186" s="73">
        <v>2.8356481481481501E-3</v>
      </c>
      <c r="K186" s="69">
        <f t="shared" si="17"/>
        <v>8.5069444444444545E-2</v>
      </c>
      <c r="M186">
        <v>0</v>
      </c>
      <c r="N186">
        <v>4</v>
      </c>
      <c r="O186">
        <f t="shared" si="16"/>
        <v>-4</v>
      </c>
      <c r="P186" t="s">
        <v>181</v>
      </c>
      <c r="Q186" s="103" t="s">
        <v>166</v>
      </c>
      <c r="R186" s="68" t="s">
        <v>170</v>
      </c>
    </row>
    <row r="187" spans="1:19" ht="15.75" thickBot="1" x14ac:dyDescent="0.3">
      <c r="A187" s="57" t="s">
        <v>347</v>
      </c>
      <c r="B187" s="105">
        <f t="shared" si="18"/>
        <v>740000</v>
      </c>
      <c r="H187" s="102">
        <f t="shared" si="15"/>
        <v>19.254658385093165</v>
      </c>
      <c r="I187" s="99">
        <v>31</v>
      </c>
      <c r="J187" s="73">
        <v>2.8356481481481501E-3</v>
      </c>
      <c r="K187" s="94">
        <f t="shared" si="17"/>
        <v>8.7905092592592701E-2</v>
      </c>
      <c r="M187">
        <v>0</v>
      </c>
      <c r="N187">
        <v>11</v>
      </c>
      <c r="O187">
        <f t="shared" si="16"/>
        <v>-11</v>
      </c>
    </row>
    <row r="188" spans="1:19" x14ac:dyDescent="0.25">
      <c r="A188" s="57" t="s">
        <v>348</v>
      </c>
      <c r="B188" s="105">
        <f t="shared" si="18"/>
        <v>436637</v>
      </c>
      <c r="H188" s="102">
        <f t="shared" si="15"/>
        <v>19.875776397515526</v>
      </c>
      <c r="I188" s="5">
        <v>32</v>
      </c>
      <c r="J188" s="73">
        <v>2.8356481481481501E-3</v>
      </c>
      <c r="K188" s="69">
        <f t="shared" si="17"/>
        <v>9.0740740740740858E-2</v>
      </c>
      <c r="M188">
        <v>13</v>
      </c>
      <c r="N188">
        <v>0</v>
      </c>
      <c r="O188">
        <f t="shared" si="16"/>
        <v>13</v>
      </c>
      <c r="P188" s="103"/>
    </row>
    <row r="189" spans="1:19" x14ac:dyDescent="0.25">
      <c r="A189" s="57" t="s">
        <v>365</v>
      </c>
      <c r="B189" s="105">
        <f t="shared" si="18"/>
        <v>909708</v>
      </c>
      <c r="H189" s="102">
        <f t="shared" si="15"/>
        <v>20.496894409937887</v>
      </c>
      <c r="I189" s="5">
        <v>33</v>
      </c>
      <c r="J189" s="73">
        <v>2.8356481481481501E-3</v>
      </c>
      <c r="K189" s="69">
        <f t="shared" si="17"/>
        <v>9.3576388888889014E-2</v>
      </c>
      <c r="M189">
        <v>0</v>
      </c>
      <c r="N189">
        <v>0</v>
      </c>
      <c r="O189">
        <f t="shared" si="16"/>
        <v>0</v>
      </c>
    </row>
    <row r="190" spans="1:19" x14ac:dyDescent="0.25">
      <c r="A190" s="57" t="str">
        <f>A166</f>
        <v>Viaje en tren</v>
      </c>
      <c r="B190" s="105">
        <f t="shared" si="18"/>
        <v>408662</v>
      </c>
      <c r="H190" s="102">
        <f t="shared" si="15"/>
        <v>21.118012422360248</v>
      </c>
      <c r="I190" s="5">
        <v>34</v>
      </c>
      <c r="J190" s="73">
        <v>2.8356481481481501E-3</v>
      </c>
      <c r="K190" s="69">
        <f t="shared" si="17"/>
        <v>9.6412037037037171E-2</v>
      </c>
      <c r="M190">
        <v>25</v>
      </c>
      <c r="N190">
        <v>0</v>
      </c>
      <c r="O190">
        <f t="shared" si="16"/>
        <v>25</v>
      </c>
      <c r="P190" s="103" t="s">
        <v>182</v>
      </c>
      <c r="Q190" s="103" t="s">
        <v>166</v>
      </c>
      <c r="R190" s="103"/>
    </row>
    <row r="191" spans="1:19" ht="15.75" thickBot="1" x14ac:dyDescent="0.3">
      <c r="A191" s="57" t="str">
        <f>A167</f>
        <v>preventa fotos</v>
      </c>
      <c r="B191" s="105">
        <f t="shared" si="18"/>
        <v>42000</v>
      </c>
      <c r="H191" s="102">
        <f t="shared" si="15"/>
        <v>21.739130434782606</v>
      </c>
      <c r="I191" s="5">
        <v>35</v>
      </c>
      <c r="J191" s="73">
        <v>2.8356481481481501E-3</v>
      </c>
      <c r="K191" s="69">
        <f t="shared" si="17"/>
        <v>9.9247685185185328E-2</v>
      </c>
      <c r="M191">
        <v>0</v>
      </c>
      <c r="N191">
        <v>23</v>
      </c>
      <c r="O191">
        <f t="shared" si="16"/>
        <v>-23</v>
      </c>
      <c r="S191" t="s">
        <v>185</v>
      </c>
    </row>
    <row r="192" spans="1:19" ht="15.75" thickBot="1" x14ac:dyDescent="0.3">
      <c r="A192" s="57" t="str">
        <f>A168</f>
        <v>Hotel parte 2 (2p) con desayuno</v>
      </c>
      <c r="B192" s="105">
        <f t="shared" si="18"/>
        <v>642799.30000000005</v>
      </c>
      <c r="H192" s="102">
        <f t="shared" si="15"/>
        <v>22.360248447204967</v>
      </c>
      <c r="I192" s="99">
        <v>36</v>
      </c>
      <c r="J192" s="73">
        <v>2.8356481481481501E-3</v>
      </c>
      <c r="K192" s="94">
        <f t="shared" si="17"/>
        <v>0.10208333333333348</v>
      </c>
      <c r="M192">
        <v>0</v>
      </c>
      <c r="N192">
        <v>4</v>
      </c>
      <c r="O192">
        <f t="shared" si="16"/>
        <v>-4</v>
      </c>
      <c r="P192" t="s">
        <v>183</v>
      </c>
      <c r="Q192" s="103" t="s">
        <v>166</v>
      </c>
      <c r="R192" s="68" t="s">
        <v>169</v>
      </c>
    </row>
    <row r="193" spans="1:18" x14ac:dyDescent="0.25">
      <c r="A193" s="57" t="str">
        <f>A169</f>
        <v>Impuesto Hotel (alla)</v>
      </c>
      <c r="B193" s="105">
        <f t="shared" si="18"/>
        <v>110000</v>
      </c>
      <c r="C193" t="s">
        <v>286</v>
      </c>
      <c r="H193" s="102">
        <f t="shared" si="15"/>
        <v>22.981366459627328</v>
      </c>
      <c r="I193" s="5">
        <v>37</v>
      </c>
      <c r="J193" s="73">
        <v>2.8356481481481501E-3</v>
      </c>
      <c r="K193" s="69">
        <f t="shared" si="17"/>
        <v>0.10491898148148164</v>
      </c>
      <c r="M193">
        <v>0</v>
      </c>
      <c r="N193">
        <v>15</v>
      </c>
      <c r="O193">
        <f t="shared" si="16"/>
        <v>-15</v>
      </c>
    </row>
    <row r="194" spans="1:18" x14ac:dyDescent="0.25">
      <c r="A194" s="57" t="str">
        <f>A170</f>
        <v>cortaviento</v>
      </c>
      <c r="B194" s="105">
        <f t="shared" si="18"/>
        <v>129000</v>
      </c>
      <c r="H194" s="102">
        <f t="shared" si="15"/>
        <v>23.602484472049689</v>
      </c>
      <c r="I194" s="5">
        <v>38</v>
      </c>
      <c r="J194" s="73">
        <v>2.8356481481481501E-3</v>
      </c>
      <c r="K194" s="69">
        <f t="shared" si="17"/>
        <v>0.1077546296296298</v>
      </c>
      <c r="M194">
        <v>8</v>
      </c>
      <c r="N194">
        <v>8</v>
      </c>
      <c r="O194">
        <f t="shared" si="16"/>
        <v>0</v>
      </c>
    </row>
    <row r="195" spans="1:18" x14ac:dyDescent="0.25">
      <c r="A195" s="57" t="str">
        <f t="shared" ref="A195:A199" si="19">A171</f>
        <v>Ticket metro</v>
      </c>
      <c r="B195" s="105">
        <f t="shared" ref="B195:B199" si="20">IF(C171="ok",B171,0)</f>
        <v>154768</v>
      </c>
      <c r="H195" s="102">
        <f t="shared" si="15"/>
        <v>24.22360248447205</v>
      </c>
      <c r="I195" s="5">
        <v>39</v>
      </c>
      <c r="J195" s="73">
        <v>2.8356481481481501E-3</v>
      </c>
      <c r="K195" s="69">
        <f t="shared" si="17"/>
        <v>0.11059027777777795</v>
      </c>
      <c r="M195">
        <v>0</v>
      </c>
      <c r="N195">
        <v>16</v>
      </c>
      <c r="O195">
        <f t="shared" si="16"/>
        <v>-16</v>
      </c>
      <c r="P195" s="103" t="s">
        <v>176</v>
      </c>
      <c r="Q195" s="103" t="s">
        <v>184</v>
      </c>
    </row>
    <row r="196" spans="1:18" x14ac:dyDescent="0.25">
      <c r="A196" s="57" t="str">
        <f t="shared" si="19"/>
        <v>visitas y comidas</v>
      </c>
      <c r="B196" s="105">
        <f t="shared" si="20"/>
        <v>1115309</v>
      </c>
      <c r="H196" s="102">
        <f t="shared" si="15"/>
        <v>24.844720496894407</v>
      </c>
      <c r="I196" s="5">
        <v>40</v>
      </c>
      <c r="J196" s="73">
        <v>2.8356481481481501E-3</v>
      </c>
      <c r="K196" s="69">
        <f t="shared" si="17"/>
        <v>0.11342592592592611</v>
      </c>
      <c r="M196">
        <v>0</v>
      </c>
      <c r="N196">
        <v>6</v>
      </c>
      <c r="O196">
        <f t="shared" si="16"/>
        <v>-6</v>
      </c>
    </row>
    <row r="197" spans="1:18" ht="15.75" thickBot="1" x14ac:dyDescent="0.3">
      <c r="A197" s="57">
        <f t="shared" si="19"/>
        <v>0</v>
      </c>
      <c r="B197" s="105">
        <f t="shared" si="20"/>
        <v>0</v>
      </c>
      <c r="H197" s="102">
        <f t="shared" si="15"/>
        <v>25.465838509316768</v>
      </c>
      <c r="I197" s="5">
        <v>41</v>
      </c>
      <c r="J197" s="73">
        <v>2.8356481481481501E-3</v>
      </c>
      <c r="K197" s="69">
        <f t="shared" si="17"/>
        <v>0.11626157407407427</v>
      </c>
      <c r="M197">
        <v>0</v>
      </c>
      <c r="N197">
        <v>2</v>
      </c>
      <c r="O197">
        <f t="shared" si="16"/>
        <v>-2</v>
      </c>
    </row>
    <row r="198" spans="1:18" ht="15.75" thickBot="1" x14ac:dyDescent="0.3">
      <c r="A198" s="57" t="str">
        <f t="shared" si="19"/>
        <v>5k AGUS Y LU</v>
      </c>
      <c r="B198" s="105">
        <f t="shared" si="20"/>
        <v>72385</v>
      </c>
      <c r="H198" s="102">
        <f t="shared" si="15"/>
        <v>26.086956521739129</v>
      </c>
      <c r="I198" s="99">
        <v>42</v>
      </c>
      <c r="J198" s="73">
        <v>2.8356481481481501E-3</v>
      </c>
      <c r="K198" s="94">
        <f t="shared" si="17"/>
        <v>0.11909722222222242</v>
      </c>
      <c r="M198">
        <v>0</v>
      </c>
      <c r="N198">
        <v>0</v>
      </c>
      <c r="O198">
        <f t="shared" si="16"/>
        <v>0</v>
      </c>
    </row>
    <row r="199" spans="1:18" ht="15.75" thickBot="1" x14ac:dyDescent="0.3">
      <c r="A199" s="57" t="str">
        <f t="shared" si="19"/>
        <v>EFECTIVO (120 EUROS)</v>
      </c>
      <c r="B199" s="105">
        <f t="shared" si="20"/>
        <v>135000</v>
      </c>
      <c r="H199" s="102">
        <f t="shared" si="15"/>
        <v>26.211180124223603</v>
      </c>
      <c r="I199" s="5">
        <v>42.2</v>
      </c>
      <c r="J199" s="73">
        <v>2.8356481481481501E-3</v>
      </c>
      <c r="K199" s="100">
        <f t="shared" si="17"/>
        <v>0.11966435185185206</v>
      </c>
      <c r="L199" t="s">
        <v>147</v>
      </c>
      <c r="M199">
        <v>0</v>
      </c>
      <c r="N199">
        <v>0</v>
      </c>
      <c r="O199">
        <f t="shared" si="16"/>
        <v>0</v>
      </c>
    </row>
    <row r="200" spans="1:18" x14ac:dyDescent="0.25">
      <c r="A200" s="57"/>
      <c r="B200" s="105"/>
    </row>
    <row r="201" spans="1:18" x14ac:dyDescent="0.25">
      <c r="A201" s="57"/>
      <c r="B201" s="105"/>
      <c r="K201" t="s">
        <v>125</v>
      </c>
      <c r="L201" s="69">
        <f>K199/I199</f>
        <v>2.8356481481481531E-3</v>
      </c>
    </row>
    <row r="202" spans="1:18" x14ac:dyDescent="0.25">
      <c r="A202" s="118" t="s">
        <v>5</v>
      </c>
      <c r="B202" s="119">
        <f>SUM(B183:B201)</f>
        <v>7454146.2999999998</v>
      </c>
    </row>
    <row r="203" spans="1:18" x14ac:dyDescent="0.25">
      <c r="A203" t="s">
        <v>137</v>
      </c>
      <c r="B203" s="88">
        <f>B179-B202</f>
        <v>0</v>
      </c>
    </row>
    <row r="207" spans="1:18" x14ac:dyDescent="0.25">
      <c r="H207" t="s">
        <v>168</v>
      </c>
      <c r="I207" t="s">
        <v>119</v>
      </c>
      <c r="J207" t="s">
        <v>123</v>
      </c>
      <c r="K207" t="s">
        <v>124</v>
      </c>
      <c r="Q207" t="s">
        <v>166</v>
      </c>
      <c r="R207" t="s">
        <v>170</v>
      </c>
    </row>
    <row r="208" spans="1:18" x14ac:dyDescent="0.25">
      <c r="D208" t="s">
        <v>110</v>
      </c>
      <c r="E208">
        <v>980</v>
      </c>
      <c r="H208" s="102">
        <f>I208/1.61</f>
        <v>0.6211180124223602</v>
      </c>
      <c r="I208" s="5">
        <v>1</v>
      </c>
      <c r="J208" s="73">
        <v>2.8356481481481501E-3</v>
      </c>
      <c r="K208" s="69">
        <f>J208</f>
        <v>2.8356481481481501E-3</v>
      </c>
      <c r="M208">
        <v>0</v>
      </c>
      <c r="N208">
        <v>39</v>
      </c>
      <c r="O208">
        <f>M208-N208</f>
        <v>-39</v>
      </c>
    </row>
    <row r="209" spans="1:18" x14ac:dyDescent="0.25">
      <c r="D209" t="s">
        <v>423</v>
      </c>
      <c r="H209" s="102">
        <f t="shared" ref="H209:H250" si="21">I209/1.61</f>
        <v>1.2422360248447204</v>
      </c>
      <c r="I209" s="5">
        <v>2</v>
      </c>
      <c r="J209" s="73">
        <v>2.8356481481481501E-3</v>
      </c>
      <c r="K209" s="69">
        <f>J209*(I209-I208)+K208</f>
        <v>5.6712962962963001E-3</v>
      </c>
      <c r="M209">
        <v>6</v>
      </c>
      <c r="N209">
        <v>9</v>
      </c>
      <c r="O209">
        <f t="shared" ref="O209:O250" si="22">M209-N209</f>
        <v>-3</v>
      </c>
    </row>
    <row r="210" spans="1:18" ht="27" thickBot="1" x14ac:dyDescent="0.45">
      <c r="A210" s="143" t="s">
        <v>417</v>
      </c>
      <c r="D210" t="s">
        <v>422</v>
      </c>
      <c r="H210" s="102">
        <f t="shared" si="21"/>
        <v>1.8633540372670807</v>
      </c>
      <c r="I210" s="5">
        <v>3</v>
      </c>
      <c r="J210" s="73">
        <v>2.8356481481481501E-3</v>
      </c>
      <c r="K210" s="69">
        <f t="shared" ref="K210:K250" si="23">J210*(I210-I209)+K209</f>
        <v>8.5069444444444507E-3</v>
      </c>
      <c r="M210">
        <v>0</v>
      </c>
      <c r="N210">
        <v>0</v>
      </c>
      <c r="O210">
        <f t="shared" si="22"/>
        <v>0</v>
      </c>
    </row>
    <row r="211" spans="1:18" ht="15.75" thickBot="1" x14ac:dyDescent="0.3">
      <c r="A211" s="104" t="s">
        <v>4</v>
      </c>
      <c r="B211" s="110"/>
      <c r="C211" s="56"/>
      <c r="D211" t="s">
        <v>424</v>
      </c>
      <c r="H211" s="102">
        <f t="shared" si="21"/>
        <v>2.4844720496894408</v>
      </c>
      <c r="I211" s="5">
        <v>4</v>
      </c>
      <c r="J211" s="73">
        <v>2.8356481481481479E-3</v>
      </c>
      <c r="K211" s="69">
        <f t="shared" si="23"/>
        <v>1.1342592592592599E-2</v>
      </c>
      <c r="M211">
        <v>0</v>
      </c>
      <c r="N211">
        <v>8</v>
      </c>
      <c r="O211">
        <f t="shared" si="22"/>
        <v>-8</v>
      </c>
    </row>
    <row r="212" spans="1:18" ht="15.75" thickBot="1" x14ac:dyDescent="0.3">
      <c r="A212" s="57"/>
      <c r="B212" t="s">
        <v>319</v>
      </c>
      <c r="C212" s="58" t="s">
        <v>320</v>
      </c>
      <c r="F212">
        <f>760+350</f>
        <v>1110</v>
      </c>
      <c r="G212">
        <f>F212-700</f>
        <v>410</v>
      </c>
      <c r="H212" s="102">
        <f t="shared" si="21"/>
        <v>3.1055900621118009</v>
      </c>
      <c r="I212" s="99">
        <v>5</v>
      </c>
      <c r="J212" s="73">
        <v>2.8356481481481479E-3</v>
      </c>
      <c r="K212" s="94">
        <f t="shared" si="23"/>
        <v>1.4178240740740746E-2</v>
      </c>
      <c r="M212">
        <v>0</v>
      </c>
      <c r="N212">
        <v>17</v>
      </c>
      <c r="O212">
        <f t="shared" si="22"/>
        <v>-17</v>
      </c>
      <c r="P212" s="103" t="s">
        <v>173</v>
      </c>
      <c r="Q212" s="103" t="s">
        <v>171</v>
      </c>
      <c r="R212" s="103"/>
    </row>
    <row r="213" spans="1:18" x14ac:dyDescent="0.25">
      <c r="A213" s="57" t="s">
        <v>418</v>
      </c>
      <c r="B213" s="167">
        <v>1600000</v>
      </c>
      <c r="C213" s="141"/>
      <c r="H213" s="102">
        <f t="shared" si="21"/>
        <v>3.7267080745341614</v>
      </c>
      <c r="I213" s="5">
        <v>6</v>
      </c>
      <c r="J213" s="73">
        <v>2.8356481481481501E-3</v>
      </c>
      <c r="K213" s="69">
        <f t="shared" si="23"/>
        <v>1.7013888888888898E-2</v>
      </c>
      <c r="M213">
        <v>0</v>
      </c>
      <c r="N213">
        <v>14</v>
      </c>
      <c r="O213">
        <f t="shared" si="22"/>
        <v>-14</v>
      </c>
    </row>
    <row r="214" spans="1:18" x14ac:dyDescent="0.25">
      <c r="A214" s="57"/>
      <c r="B214" s="162"/>
      <c r="C214" s="141"/>
      <c r="H214" s="102">
        <f t="shared" si="21"/>
        <v>4.3478260869565215</v>
      </c>
      <c r="I214" s="5">
        <v>7</v>
      </c>
      <c r="J214" s="73">
        <v>2.8356481481481501E-3</v>
      </c>
      <c r="K214" s="69">
        <f t="shared" si="23"/>
        <v>1.9849537037037047E-2</v>
      </c>
      <c r="M214">
        <v>0</v>
      </c>
      <c r="N214">
        <v>0</v>
      </c>
      <c r="O214">
        <f t="shared" si="22"/>
        <v>0</v>
      </c>
    </row>
    <row r="215" spans="1:18" x14ac:dyDescent="0.25">
      <c r="A215" s="57" t="s">
        <v>100</v>
      </c>
      <c r="B215" s="111">
        <v>0</v>
      </c>
      <c r="C215" s="58" t="s">
        <v>55</v>
      </c>
      <c r="E215" t="s">
        <v>160</v>
      </c>
      <c r="H215" s="102">
        <f t="shared" si="21"/>
        <v>4.9689440993788816</v>
      </c>
      <c r="I215" s="5">
        <v>8</v>
      </c>
      <c r="J215" s="73">
        <v>2.8356481481481501E-3</v>
      </c>
      <c r="K215" s="69">
        <f t="shared" si="23"/>
        <v>2.2685185185185197E-2</v>
      </c>
      <c r="M215">
        <v>10</v>
      </c>
      <c r="N215">
        <v>0</v>
      </c>
      <c r="O215">
        <f t="shared" si="22"/>
        <v>10</v>
      </c>
    </row>
    <row r="216" spans="1:18" ht="15.75" thickBot="1" x14ac:dyDescent="0.3">
      <c r="A216" s="57" t="s">
        <v>102</v>
      </c>
      <c r="B216" s="112" t="s">
        <v>419</v>
      </c>
      <c r="C216" s="58" t="s">
        <v>55</v>
      </c>
      <c r="H216" s="102">
        <f t="shared" si="21"/>
        <v>5.5900621118012417</v>
      </c>
      <c r="I216" s="5">
        <v>9</v>
      </c>
      <c r="J216" s="73">
        <v>2.8356481481481501E-3</v>
      </c>
      <c r="K216" s="69">
        <f t="shared" si="23"/>
        <v>2.5520833333333347E-2</v>
      </c>
      <c r="M216">
        <v>0</v>
      </c>
      <c r="N216">
        <v>9</v>
      </c>
      <c r="O216">
        <f t="shared" si="22"/>
        <v>-9</v>
      </c>
    </row>
    <row r="217" spans="1:18" ht="15.75" thickBot="1" x14ac:dyDescent="0.3">
      <c r="A217" s="57" t="s">
        <v>421</v>
      </c>
      <c r="B217" s="111">
        <v>900000</v>
      </c>
      <c r="C217" s="58"/>
      <c r="H217" s="102">
        <f t="shared" si="21"/>
        <v>6.2111801242236018</v>
      </c>
      <c r="I217" s="99">
        <v>10</v>
      </c>
      <c r="J217" s="73">
        <v>2.8356481481481501E-3</v>
      </c>
      <c r="K217" s="94">
        <f t="shared" si="23"/>
        <v>2.8356481481481496E-2</v>
      </c>
      <c r="M217">
        <v>0</v>
      </c>
      <c r="N217">
        <v>3</v>
      </c>
      <c r="O217">
        <f t="shared" si="22"/>
        <v>-3</v>
      </c>
      <c r="P217" s="103" t="s">
        <v>174</v>
      </c>
      <c r="Q217" s="103" t="s">
        <v>166</v>
      </c>
      <c r="R217" s="68" t="s">
        <v>169</v>
      </c>
    </row>
    <row r="218" spans="1:18" x14ac:dyDescent="0.25">
      <c r="A218" s="57" t="s">
        <v>420</v>
      </c>
      <c r="B218" s="112">
        <v>800000</v>
      </c>
      <c r="C218" s="141"/>
      <c r="F218" s="88"/>
      <c r="H218" s="102">
        <f t="shared" si="21"/>
        <v>6.8322981366459627</v>
      </c>
      <c r="I218" s="5">
        <v>11</v>
      </c>
      <c r="J218" s="73">
        <v>2.8356481481481501E-3</v>
      </c>
      <c r="K218" s="69">
        <f t="shared" si="23"/>
        <v>3.1192129629629646E-2</v>
      </c>
      <c r="M218">
        <v>0</v>
      </c>
      <c r="N218">
        <v>2</v>
      </c>
      <c r="O218">
        <f t="shared" si="22"/>
        <v>-2</v>
      </c>
    </row>
    <row r="219" spans="1:18" x14ac:dyDescent="0.25">
      <c r="A219" s="57"/>
      <c r="B219" s="112"/>
      <c r="C219" s="58"/>
      <c r="H219" s="102">
        <f t="shared" si="21"/>
        <v>7.4534161490683228</v>
      </c>
      <c r="I219" s="5">
        <v>12</v>
      </c>
      <c r="J219" s="73">
        <v>2.8356481481481501E-3</v>
      </c>
      <c r="K219" s="69">
        <f t="shared" si="23"/>
        <v>3.4027777777777796E-2</v>
      </c>
      <c r="M219">
        <v>0</v>
      </c>
      <c r="N219">
        <v>1</v>
      </c>
      <c r="O219">
        <f t="shared" si="22"/>
        <v>-1</v>
      </c>
    </row>
    <row r="220" spans="1:18" x14ac:dyDescent="0.25">
      <c r="A220" s="57"/>
      <c r="B220" s="111"/>
      <c r="C220" s="142"/>
      <c r="H220" s="102">
        <f t="shared" si="21"/>
        <v>8.074534161490682</v>
      </c>
      <c r="I220" s="5">
        <v>13</v>
      </c>
      <c r="J220" s="73">
        <v>2.8356481481481501E-3</v>
      </c>
      <c r="K220" s="69">
        <f t="shared" si="23"/>
        <v>3.6863425925925945E-2</v>
      </c>
      <c r="M220">
        <v>11</v>
      </c>
      <c r="N220">
        <v>12</v>
      </c>
      <c r="O220">
        <f t="shared" si="22"/>
        <v>-1</v>
      </c>
    </row>
    <row r="221" spans="1:18" ht="15.75" thickBot="1" x14ac:dyDescent="0.3">
      <c r="A221" s="57" t="s">
        <v>217</v>
      </c>
      <c r="B221" s="111">
        <v>50000</v>
      </c>
      <c r="C221" s="58"/>
      <c r="H221" s="102">
        <f t="shared" si="21"/>
        <v>8.695652173913043</v>
      </c>
      <c r="I221" s="5">
        <v>14</v>
      </c>
      <c r="J221" s="73">
        <v>2.8356481481481501E-3</v>
      </c>
      <c r="K221" s="69">
        <f t="shared" si="23"/>
        <v>3.9699074074074095E-2</v>
      </c>
      <c r="M221">
        <v>0</v>
      </c>
      <c r="N221">
        <v>0</v>
      </c>
      <c r="O221">
        <f t="shared" si="22"/>
        <v>0</v>
      </c>
    </row>
    <row r="222" spans="1:18" ht="15.75" thickBot="1" x14ac:dyDescent="0.3">
      <c r="A222" s="57"/>
      <c r="B222" s="111"/>
      <c r="C222" s="58"/>
      <c r="H222" s="102">
        <f t="shared" si="21"/>
        <v>9.316770186335404</v>
      </c>
      <c r="I222" s="99">
        <v>15</v>
      </c>
      <c r="J222" s="73">
        <v>2.8356481481481501E-3</v>
      </c>
      <c r="K222" s="94">
        <f t="shared" si="23"/>
        <v>4.2534722222222245E-2</v>
      </c>
      <c r="M222">
        <v>3</v>
      </c>
      <c r="N222">
        <v>6</v>
      </c>
      <c r="O222">
        <f t="shared" si="22"/>
        <v>-3</v>
      </c>
      <c r="P222" s="103" t="s">
        <v>175</v>
      </c>
      <c r="Q222" s="103" t="s">
        <v>166</v>
      </c>
      <c r="R222" s="103"/>
    </row>
    <row r="223" spans="1:18" x14ac:dyDescent="0.25">
      <c r="A223" s="57"/>
      <c r="B223" s="111"/>
      <c r="C223" s="58"/>
      <c r="H223" s="102">
        <f t="shared" si="21"/>
        <v>9.9378881987577632</v>
      </c>
      <c r="I223" s="5">
        <v>16</v>
      </c>
      <c r="J223" s="73">
        <v>2.8356481481481501E-3</v>
      </c>
      <c r="K223" s="69">
        <f t="shared" si="23"/>
        <v>4.5370370370370394E-2</v>
      </c>
      <c r="M223">
        <v>7</v>
      </c>
      <c r="N223">
        <v>2</v>
      </c>
      <c r="O223">
        <f t="shared" si="22"/>
        <v>5</v>
      </c>
    </row>
    <row r="224" spans="1:18" x14ac:dyDescent="0.25">
      <c r="A224" s="57" t="s">
        <v>213</v>
      </c>
      <c r="B224" s="111">
        <v>150000</v>
      </c>
      <c r="C224" s="58"/>
      <c r="H224" s="102">
        <f t="shared" si="21"/>
        <v>10.559006211180124</v>
      </c>
      <c r="I224" s="5">
        <v>17</v>
      </c>
      <c r="J224" s="73">
        <v>2.8356481481481501E-3</v>
      </c>
      <c r="K224" s="69">
        <f t="shared" si="23"/>
        <v>4.8206018518518544E-2</v>
      </c>
      <c r="M224">
        <v>5</v>
      </c>
      <c r="N224">
        <v>0</v>
      </c>
      <c r="O224">
        <f t="shared" si="22"/>
        <v>5</v>
      </c>
    </row>
    <row r="225" spans="1:19" x14ac:dyDescent="0.25">
      <c r="A225" s="57" t="s">
        <v>219</v>
      </c>
      <c r="B225" s="111">
        <v>500000</v>
      </c>
      <c r="C225" s="58"/>
      <c r="H225" s="102">
        <f t="shared" si="21"/>
        <v>11.180124223602483</v>
      </c>
      <c r="I225" s="5">
        <v>18</v>
      </c>
      <c r="J225" s="73">
        <v>2.8356481481481501E-3</v>
      </c>
      <c r="K225" s="69">
        <f t="shared" si="23"/>
        <v>5.1041666666666693E-2</v>
      </c>
      <c r="M225">
        <v>0</v>
      </c>
      <c r="N225">
        <v>0</v>
      </c>
      <c r="O225">
        <f t="shared" si="22"/>
        <v>0</v>
      </c>
      <c r="P225" s="70" t="s">
        <v>177</v>
      </c>
      <c r="Q225" s="103" t="s">
        <v>166</v>
      </c>
      <c r="R225" s="68" t="s">
        <v>170</v>
      </c>
    </row>
    <row r="226" spans="1:19" ht="15.75" thickBot="1" x14ac:dyDescent="0.3">
      <c r="A226" s="57"/>
      <c r="B226" s="111"/>
      <c r="C226" s="58"/>
      <c r="H226" s="102">
        <f t="shared" si="21"/>
        <v>11.801242236024844</v>
      </c>
      <c r="I226" s="5">
        <v>19</v>
      </c>
      <c r="J226" s="73">
        <v>2.8356481481481501E-3</v>
      </c>
      <c r="K226" s="69">
        <f t="shared" si="23"/>
        <v>5.3877314814814843E-2</v>
      </c>
      <c r="M226">
        <v>0</v>
      </c>
      <c r="N226">
        <v>7</v>
      </c>
      <c r="O226">
        <f t="shared" si="22"/>
        <v>-7</v>
      </c>
      <c r="S226" t="s">
        <v>185</v>
      </c>
    </row>
    <row r="227" spans="1:19" ht="15.75" thickBot="1" x14ac:dyDescent="0.3">
      <c r="A227" s="107" t="s">
        <v>5</v>
      </c>
      <c r="B227" s="113">
        <f>SUMIF(C213:C226,"OK",B213:B226)</f>
        <v>0</v>
      </c>
      <c r="C227" s="58"/>
      <c r="D227" t="s">
        <v>425</v>
      </c>
      <c r="H227" s="102">
        <f t="shared" si="21"/>
        <v>12.422360248447204</v>
      </c>
      <c r="I227" s="99">
        <v>20</v>
      </c>
      <c r="J227" s="73">
        <v>2.8356481481481501E-3</v>
      </c>
      <c r="K227" s="94">
        <f t="shared" si="23"/>
        <v>5.6712962962962993E-2</v>
      </c>
      <c r="M227">
        <v>7</v>
      </c>
      <c r="N227">
        <v>12</v>
      </c>
      <c r="O227">
        <f t="shared" si="22"/>
        <v>-5</v>
      </c>
    </row>
    <row r="228" spans="1:19" ht="15.75" thickBot="1" x14ac:dyDescent="0.3">
      <c r="A228" s="114" t="s">
        <v>137</v>
      </c>
      <c r="B228" s="115">
        <f>SUMIF(C213:C226,"",B213:B226)</f>
        <v>4000000</v>
      </c>
      <c r="C228" s="60"/>
      <c r="H228" s="102">
        <f t="shared" si="21"/>
        <v>13.043478260869565</v>
      </c>
      <c r="I228" s="5">
        <v>21</v>
      </c>
      <c r="J228" s="73">
        <v>2.8356481481481501E-3</v>
      </c>
      <c r="K228" s="69">
        <f t="shared" si="23"/>
        <v>5.9548611111111142E-2</v>
      </c>
      <c r="M228">
        <v>0</v>
      </c>
      <c r="N228">
        <v>3</v>
      </c>
      <c r="O228">
        <f t="shared" si="22"/>
        <v>-3</v>
      </c>
      <c r="P228" t="s">
        <v>178</v>
      </c>
      <c r="Q228" t="s">
        <v>166</v>
      </c>
    </row>
    <row r="229" spans="1:19" x14ac:dyDescent="0.25">
      <c r="A229" s="116"/>
      <c r="B229" s="117"/>
      <c r="H229" s="102">
        <f t="shared" si="21"/>
        <v>13.664596273291925</v>
      </c>
      <c r="I229" s="5">
        <v>22</v>
      </c>
      <c r="J229" s="73">
        <v>2.8356481481481501E-3</v>
      </c>
      <c r="K229" s="69">
        <f t="shared" si="23"/>
        <v>6.2384259259259292E-2</v>
      </c>
      <c r="M229">
        <v>6</v>
      </c>
      <c r="N229">
        <v>6</v>
      </c>
      <c r="O229">
        <f t="shared" si="22"/>
        <v>0</v>
      </c>
    </row>
    <row r="230" spans="1:19" ht="15.75" thickBot="1" x14ac:dyDescent="0.3">
      <c r="A230" s="108" t="s">
        <v>65</v>
      </c>
      <c r="B230" s="109">
        <f>B227+B228</f>
        <v>4000000</v>
      </c>
      <c r="C230">
        <v>4000000</v>
      </c>
      <c r="H230" s="102">
        <f t="shared" si="21"/>
        <v>14.285714285714285</v>
      </c>
      <c r="I230" s="5">
        <v>23</v>
      </c>
      <c r="J230" s="73">
        <v>2.8356481481481501E-3</v>
      </c>
      <c r="K230" s="69">
        <f t="shared" si="23"/>
        <v>6.5219907407407449E-2</v>
      </c>
      <c r="M230">
        <v>0</v>
      </c>
      <c r="N230">
        <v>0</v>
      </c>
      <c r="O230">
        <f t="shared" si="22"/>
        <v>0</v>
      </c>
      <c r="P230" s="103"/>
      <c r="Q230" s="103"/>
      <c r="R230" s="103"/>
      <c r="S230" t="s">
        <v>185</v>
      </c>
    </row>
    <row r="231" spans="1:19" ht="15.75" thickBot="1" x14ac:dyDescent="0.3">
      <c r="H231" s="102">
        <f t="shared" si="21"/>
        <v>14.906832298136646</v>
      </c>
      <c r="I231" s="5">
        <v>24</v>
      </c>
      <c r="J231" s="73">
        <v>2.8356481481481501E-3</v>
      </c>
      <c r="K231" s="69">
        <f t="shared" si="23"/>
        <v>6.8055555555555605E-2</v>
      </c>
      <c r="M231">
        <v>5</v>
      </c>
      <c r="N231">
        <v>0</v>
      </c>
      <c r="O231">
        <f t="shared" si="22"/>
        <v>5</v>
      </c>
      <c r="P231" t="s">
        <v>179</v>
      </c>
      <c r="Q231" s="103" t="s">
        <v>166</v>
      </c>
      <c r="R231" s="68" t="s">
        <v>169</v>
      </c>
    </row>
    <row r="232" spans="1:19" ht="15.75" thickBot="1" x14ac:dyDescent="0.3">
      <c r="A232" s="104" t="s">
        <v>215</v>
      </c>
      <c r="B232" s="56"/>
      <c r="H232" s="102">
        <f t="shared" si="21"/>
        <v>15.527950310559005</v>
      </c>
      <c r="I232" s="99">
        <v>25</v>
      </c>
      <c r="J232" s="73">
        <v>2.8356481481481501E-3</v>
      </c>
      <c r="K232" s="94">
        <f t="shared" si="23"/>
        <v>7.0891203703703762E-2</v>
      </c>
      <c r="M232">
        <v>5</v>
      </c>
      <c r="N232">
        <v>0</v>
      </c>
      <c r="O232">
        <f t="shared" si="22"/>
        <v>5</v>
      </c>
    </row>
    <row r="233" spans="1:19" x14ac:dyDescent="0.25">
      <c r="A233" s="57"/>
      <c r="B233" s="58" t="s">
        <v>5</v>
      </c>
      <c r="H233" s="102">
        <f t="shared" si="21"/>
        <v>16.149068322981364</v>
      </c>
      <c r="I233" s="5">
        <v>26</v>
      </c>
      <c r="J233" s="73">
        <v>2.8356481481481501E-3</v>
      </c>
      <c r="K233" s="69">
        <f t="shared" si="23"/>
        <v>7.3726851851851918E-2</v>
      </c>
      <c r="M233">
        <v>9</v>
      </c>
      <c r="N233">
        <v>32</v>
      </c>
      <c r="O233">
        <f t="shared" si="22"/>
        <v>-23</v>
      </c>
      <c r="P233" s="103"/>
    </row>
    <row r="234" spans="1:19" x14ac:dyDescent="0.25">
      <c r="A234" s="57" t="s">
        <v>418</v>
      </c>
      <c r="B234" s="163">
        <f t="shared" ref="B234:B247" si="24">IF(C213="ok",B213,0)</f>
        <v>0</v>
      </c>
      <c r="H234" s="102">
        <f t="shared" si="21"/>
        <v>16.770186335403725</v>
      </c>
      <c r="I234" s="5">
        <v>27</v>
      </c>
      <c r="J234" s="73">
        <v>2.8356481481481501E-3</v>
      </c>
      <c r="K234" s="69">
        <f t="shared" si="23"/>
        <v>7.6562500000000075E-2</v>
      </c>
      <c r="M234">
        <v>17</v>
      </c>
      <c r="N234">
        <v>0</v>
      </c>
      <c r="O234">
        <f t="shared" si="22"/>
        <v>17</v>
      </c>
      <c r="P234" s="103" t="s">
        <v>180</v>
      </c>
      <c r="Q234" s="103" t="s">
        <v>166</v>
      </c>
      <c r="R234" s="103"/>
    </row>
    <row r="235" spans="1:19" x14ac:dyDescent="0.25">
      <c r="A235" s="57"/>
      <c r="B235" s="163">
        <f t="shared" si="24"/>
        <v>0</v>
      </c>
      <c r="H235" s="102">
        <f t="shared" si="21"/>
        <v>17.391304347826086</v>
      </c>
      <c r="I235" s="5">
        <v>28</v>
      </c>
      <c r="J235" s="73">
        <v>2.8356481481481501E-3</v>
      </c>
      <c r="K235" s="69">
        <f t="shared" si="23"/>
        <v>7.9398148148148232E-2</v>
      </c>
      <c r="M235">
        <v>0</v>
      </c>
      <c r="N235">
        <v>3</v>
      </c>
      <c r="O235">
        <f t="shared" si="22"/>
        <v>-3</v>
      </c>
    </row>
    <row r="236" spans="1:19" x14ac:dyDescent="0.25">
      <c r="A236" s="57" t="s">
        <v>100</v>
      </c>
      <c r="B236" s="163">
        <f t="shared" si="24"/>
        <v>0</v>
      </c>
      <c r="H236" s="102">
        <f t="shared" si="21"/>
        <v>18.012422360248447</v>
      </c>
      <c r="I236" s="5">
        <v>29</v>
      </c>
      <c r="J236" s="73">
        <v>2.8356481481481501E-3</v>
      </c>
      <c r="K236" s="69">
        <f t="shared" si="23"/>
        <v>8.2233796296296388E-2</v>
      </c>
      <c r="M236">
        <v>19</v>
      </c>
      <c r="N236">
        <v>5</v>
      </c>
      <c r="O236">
        <f t="shared" si="22"/>
        <v>14</v>
      </c>
    </row>
    <row r="237" spans="1:19" ht="15.75" thickBot="1" x14ac:dyDescent="0.3">
      <c r="A237" s="57" t="s">
        <v>102</v>
      </c>
      <c r="B237" s="105" t="str">
        <f t="shared" si="24"/>
        <v>CON TC</v>
      </c>
      <c r="H237" s="102">
        <f t="shared" si="21"/>
        <v>18.633540372670808</v>
      </c>
      <c r="I237" s="5">
        <v>30</v>
      </c>
      <c r="J237" s="73">
        <v>2.8356481481481501E-3</v>
      </c>
      <c r="K237" s="69">
        <f t="shared" si="23"/>
        <v>8.5069444444444545E-2</v>
      </c>
      <c r="M237">
        <v>0</v>
      </c>
      <c r="N237">
        <v>4</v>
      </c>
      <c r="O237">
        <f t="shared" si="22"/>
        <v>-4</v>
      </c>
      <c r="P237" t="s">
        <v>181</v>
      </c>
      <c r="Q237" s="103" t="s">
        <v>166</v>
      </c>
      <c r="R237" s="68" t="s">
        <v>170</v>
      </c>
    </row>
    <row r="238" spans="1:19" ht="15.75" thickBot="1" x14ac:dyDescent="0.3">
      <c r="A238" s="57" t="s">
        <v>421</v>
      </c>
      <c r="B238" s="105">
        <f t="shared" si="24"/>
        <v>0</v>
      </c>
      <c r="H238" s="102">
        <f t="shared" si="21"/>
        <v>19.254658385093165</v>
      </c>
      <c r="I238" s="99">
        <v>31</v>
      </c>
      <c r="J238" s="73">
        <v>2.8356481481481501E-3</v>
      </c>
      <c r="K238" s="94">
        <f t="shared" si="23"/>
        <v>8.7905092592592701E-2</v>
      </c>
      <c r="M238">
        <v>0</v>
      </c>
      <c r="N238">
        <v>11</v>
      </c>
      <c r="O238">
        <f t="shared" si="22"/>
        <v>-11</v>
      </c>
    </row>
    <row r="239" spans="1:19" x14ac:dyDescent="0.25">
      <c r="A239" s="57" t="s">
        <v>420</v>
      </c>
      <c r="B239" s="105">
        <f t="shared" si="24"/>
        <v>0</v>
      </c>
      <c r="H239" s="102">
        <f t="shared" si="21"/>
        <v>19.875776397515526</v>
      </c>
      <c r="I239" s="5">
        <v>32</v>
      </c>
      <c r="J239" s="73">
        <v>2.8356481481481501E-3</v>
      </c>
      <c r="K239" s="69">
        <f t="shared" si="23"/>
        <v>9.0740740740740858E-2</v>
      </c>
      <c r="M239">
        <v>13</v>
      </c>
      <c r="N239">
        <v>0</v>
      </c>
      <c r="O239">
        <f t="shared" si="22"/>
        <v>13</v>
      </c>
      <c r="P239" s="103"/>
    </row>
    <row r="240" spans="1:19" x14ac:dyDescent="0.25">
      <c r="A240" s="57"/>
      <c r="B240" s="105">
        <f t="shared" si="24"/>
        <v>0</v>
      </c>
      <c r="H240" s="102">
        <f t="shared" si="21"/>
        <v>20.496894409937887</v>
      </c>
      <c r="I240" s="5">
        <v>33</v>
      </c>
      <c r="J240" s="73">
        <v>2.8356481481481501E-3</v>
      </c>
      <c r="K240" s="69">
        <f t="shared" si="23"/>
        <v>9.3576388888889014E-2</v>
      </c>
      <c r="M240">
        <v>0</v>
      </c>
      <c r="N240">
        <v>0</v>
      </c>
      <c r="O240">
        <f t="shared" si="22"/>
        <v>0</v>
      </c>
    </row>
    <row r="241" spans="1:23" x14ac:dyDescent="0.25">
      <c r="A241" s="57"/>
      <c r="B241" s="105">
        <f t="shared" si="24"/>
        <v>0</v>
      </c>
      <c r="H241" s="102">
        <f t="shared" si="21"/>
        <v>21.118012422360248</v>
      </c>
      <c r="I241" s="5">
        <v>34</v>
      </c>
      <c r="J241" s="73">
        <v>2.8356481481481501E-3</v>
      </c>
      <c r="K241" s="69">
        <f t="shared" si="23"/>
        <v>9.6412037037037171E-2</v>
      </c>
      <c r="M241">
        <v>25</v>
      </c>
      <c r="N241">
        <v>0</v>
      </c>
      <c r="O241">
        <f t="shared" si="22"/>
        <v>25</v>
      </c>
      <c r="P241" s="103" t="s">
        <v>182</v>
      </c>
      <c r="Q241" s="103" t="s">
        <v>166</v>
      </c>
      <c r="R241" s="103"/>
    </row>
    <row r="242" spans="1:23" ht="15.75" thickBot="1" x14ac:dyDescent="0.3">
      <c r="A242" s="57" t="s">
        <v>217</v>
      </c>
      <c r="B242" s="105">
        <f t="shared" si="24"/>
        <v>0</v>
      </c>
      <c r="H242" s="102">
        <f t="shared" si="21"/>
        <v>21.739130434782606</v>
      </c>
      <c r="I242" s="5">
        <v>35</v>
      </c>
      <c r="J242" s="73">
        <v>2.8356481481481501E-3</v>
      </c>
      <c r="K242" s="69">
        <f t="shared" si="23"/>
        <v>9.9247685185185328E-2</v>
      </c>
      <c r="M242">
        <v>0</v>
      </c>
      <c r="N242">
        <v>23</v>
      </c>
      <c r="O242">
        <f t="shared" si="22"/>
        <v>-23</v>
      </c>
      <c r="S242" t="s">
        <v>185</v>
      </c>
    </row>
    <row r="243" spans="1:23" ht="15.75" thickBot="1" x14ac:dyDescent="0.3">
      <c r="A243" s="57"/>
      <c r="B243" s="105">
        <f t="shared" si="24"/>
        <v>0</v>
      </c>
      <c r="H243" s="102">
        <f t="shared" si="21"/>
        <v>22.360248447204967</v>
      </c>
      <c r="I243" s="99">
        <v>36</v>
      </c>
      <c r="J243" s="73">
        <v>2.8356481481481501E-3</v>
      </c>
      <c r="K243" s="94">
        <f t="shared" si="23"/>
        <v>0.10208333333333348</v>
      </c>
      <c r="M243">
        <v>0</v>
      </c>
      <c r="N243">
        <v>4</v>
      </c>
      <c r="O243">
        <f t="shared" si="22"/>
        <v>-4</v>
      </c>
      <c r="P243" t="s">
        <v>183</v>
      </c>
      <c r="Q243" s="103" t="s">
        <v>166</v>
      </c>
      <c r="R243" s="68" t="s">
        <v>169</v>
      </c>
    </row>
    <row r="244" spans="1:23" x14ac:dyDescent="0.25">
      <c r="A244" s="57"/>
      <c r="B244" s="105">
        <f t="shared" si="24"/>
        <v>0</v>
      </c>
      <c r="C244" t="s">
        <v>286</v>
      </c>
      <c r="H244" s="102">
        <f t="shared" si="21"/>
        <v>22.981366459627328</v>
      </c>
      <c r="I244" s="5">
        <v>37</v>
      </c>
      <c r="J244" s="73">
        <v>2.8356481481481501E-3</v>
      </c>
      <c r="K244" s="69">
        <f t="shared" si="23"/>
        <v>0.10491898148148164</v>
      </c>
      <c r="M244">
        <v>0</v>
      </c>
      <c r="N244">
        <v>15</v>
      </c>
      <c r="O244">
        <f t="shared" si="22"/>
        <v>-15</v>
      </c>
    </row>
    <row r="245" spans="1:23" x14ac:dyDescent="0.25">
      <c r="A245" s="57" t="s">
        <v>213</v>
      </c>
      <c r="B245" s="105">
        <f t="shared" si="24"/>
        <v>0</v>
      </c>
      <c r="H245" s="102">
        <f t="shared" si="21"/>
        <v>23.602484472049689</v>
      </c>
      <c r="I245" s="5">
        <v>38</v>
      </c>
      <c r="J245" s="73">
        <v>2.8356481481481501E-3</v>
      </c>
      <c r="K245" s="69">
        <f t="shared" si="23"/>
        <v>0.1077546296296298</v>
      </c>
      <c r="M245">
        <v>8</v>
      </c>
      <c r="N245">
        <v>8</v>
      </c>
      <c r="O245">
        <f t="shared" si="22"/>
        <v>0</v>
      </c>
    </row>
    <row r="246" spans="1:23" x14ac:dyDescent="0.25">
      <c r="A246" s="57" t="s">
        <v>219</v>
      </c>
      <c r="B246" s="105">
        <f t="shared" si="24"/>
        <v>0</v>
      </c>
      <c r="H246" s="102">
        <f t="shared" si="21"/>
        <v>24.22360248447205</v>
      </c>
      <c r="I246" s="5">
        <v>39</v>
      </c>
      <c r="J246" s="73">
        <v>2.8356481481481501E-3</v>
      </c>
      <c r="K246" s="69">
        <f t="shared" si="23"/>
        <v>0.11059027777777795</v>
      </c>
      <c r="M246">
        <v>0</v>
      </c>
      <c r="N246">
        <v>16</v>
      </c>
      <c r="O246">
        <f t="shared" si="22"/>
        <v>-16</v>
      </c>
      <c r="P246" s="103" t="s">
        <v>176</v>
      </c>
      <c r="Q246" s="103" t="s">
        <v>184</v>
      </c>
    </row>
    <row r="247" spans="1:23" x14ac:dyDescent="0.25">
      <c r="A247" s="57">
        <f t="shared" ref="A247" si="25">A226</f>
        <v>0</v>
      </c>
      <c r="B247" s="105">
        <f t="shared" si="24"/>
        <v>0</v>
      </c>
      <c r="H247" s="102">
        <f t="shared" si="21"/>
        <v>24.844720496894407</v>
      </c>
      <c r="I247" s="5">
        <v>40</v>
      </c>
      <c r="J247" s="73">
        <v>2.8356481481481501E-3</v>
      </c>
      <c r="K247" s="69">
        <f t="shared" si="23"/>
        <v>0.11342592592592611</v>
      </c>
      <c r="M247">
        <v>0</v>
      </c>
      <c r="N247">
        <v>6</v>
      </c>
      <c r="O247">
        <f t="shared" si="22"/>
        <v>-6</v>
      </c>
    </row>
    <row r="248" spans="1:23" ht="15.75" thickBot="1" x14ac:dyDescent="0.3">
      <c r="A248" s="57"/>
      <c r="B248" s="105"/>
      <c r="H248" s="102">
        <f t="shared" si="21"/>
        <v>25.465838509316768</v>
      </c>
      <c r="I248" s="5">
        <v>41</v>
      </c>
      <c r="J248" s="73">
        <v>2.8356481481481501E-3</v>
      </c>
      <c r="K248" s="69">
        <f t="shared" si="23"/>
        <v>0.11626157407407427</v>
      </c>
      <c r="M248">
        <v>0</v>
      </c>
      <c r="N248">
        <v>2</v>
      </c>
      <c r="O248">
        <f t="shared" si="22"/>
        <v>-2</v>
      </c>
    </row>
    <row r="249" spans="1:23" ht="15.75" thickBot="1" x14ac:dyDescent="0.3">
      <c r="A249" s="118" t="s">
        <v>5</v>
      </c>
      <c r="B249" s="119">
        <f>SUM(B234:B248)</f>
        <v>0</v>
      </c>
      <c r="H249" s="102">
        <f t="shared" si="21"/>
        <v>26.086956521739129</v>
      </c>
      <c r="I249" s="99">
        <v>42</v>
      </c>
      <c r="J249" s="73">
        <v>2.8356481481481501E-3</v>
      </c>
      <c r="K249" s="94">
        <f t="shared" si="23"/>
        <v>0.11909722222222242</v>
      </c>
      <c r="M249">
        <v>0</v>
      </c>
      <c r="N249">
        <v>0</v>
      </c>
      <c r="O249">
        <f t="shared" si="22"/>
        <v>0</v>
      </c>
    </row>
    <row r="250" spans="1:23" ht="15.75" thickBot="1" x14ac:dyDescent="0.3">
      <c r="H250" s="102">
        <f t="shared" si="21"/>
        <v>26.211180124223603</v>
      </c>
      <c r="I250" s="5">
        <v>42.2</v>
      </c>
      <c r="J250" s="73">
        <v>2.8356481481481501E-3</v>
      </c>
      <c r="K250" s="100">
        <f t="shared" si="23"/>
        <v>0.11966435185185206</v>
      </c>
      <c r="L250" t="s">
        <v>147</v>
      </c>
      <c r="M250">
        <v>0</v>
      </c>
      <c r="N250">
        <v>0</v>
      </c>
      <c r="O250">
        <f t="shared" si="22"/>
        <v>0</v>
      </c>
    </row>
    <row r="252" spans="1:23" x14ac:dyDescent="0.25">
      <c r="K252" t="s">
        <v>125</v>
      </c>
      <c r="L252" s="69">
        <f>K250/I250</f>
        <v>2.8356481481481531E-3</v>
      </c>
    </row>
    <row r="255" spans="1:23" x14ac:dyDescent="0.25">
      <c r="H255" s="206" t="s">
        <v>784</v>
      </c>
      <c r="I255" s="206"/>
      <c r="J255" s="206"/>
      <c r="K255" s="206"/>
      <c r="L255" s="206"/>
      <c r="M255" t="s">
        <v>163</v>
      </c>
      <c r="N255" t="s">
        <v>164</v>
      </c>
      <c r="O255" t="s">
        <v>165</v>
      </c>
      <c r="Q255" t="s">
        <v>166</v>
      </c>
      <c r="R255" t="s">
        <v>167</v>
      </c>
    </row>
    <row r="256" spans="1:23" ht="27" thickBot="1" x14ac:dyDescent="0.45">
      <c r="A256" s="143" t="s">
        <v>783</v>
      </c>
      <c r="F256" t="s">
        <v>166</v>
      </c>
      <c r="H256" t="s">
        <v>168</v>
      </c>
      <c r="I256" t="s">
        <v>119</v>
      </c>
      <c r="J256" t="s">
        <v>123</v>
      </c>
      <c r="K256" t="s">
        <v>124</v>
      </c>
      <c r="Q256" t="s">
        <v>166</v>
      </c>
      <c r="R256" t="s">
        <v>170</v>
      </c>
      <c r="T256" t="s">
        <v>168</v>
      </c>
      <c r="U256" t="s">
        <v>119</v>
      </c>
      <c r="V256" t="s">
        <v>123</v>
      </c>
      <c r="W256" t="s">
        <v>124</v>
      </c>
    </row>
    <row r="257" spans="1:24" x14ac:dyDescent="0.25">
      <c r="A257" s="104" t="s">
        <v>4</v>
      </c>
      <c r="B257" s="110"/>
      <c r="C257" s="56"/>
      <c r="D257" t="s">
        <v>110</v>
      </c>
      <c r="E257">
        <v>920</v>
      </c>
      <c r="F257" t="s">
        <v>168</v>
      </c>
      <c r="G257" t="s">
        <v>248</v>
      </c>
      <c r="H257" s="102">
        <f>I257/1.61</f>
        <v>0.6211180124223602</v>
      </c>
      <c r="I257" s="5">
        <v>1</v>
      </c>
      <c r="J257" s="73">
        <v>2.8356481481481501E-3</v>
      </c>
      <c r="K257" s="69">
        <f>J257</f>
        <v>2.8356481481481501E-3</v>
      </c>
      <c r="L257" s="68"/>
      <c r="M257">
        <v>0</v>
      </c>
      <c r="N257">
        <v>39</v>
      </c>
      <c r="O257">
        <f>M257-N257</f>
        <v>-39</v>
      </c>
      <c r="T257" s="102">
        <f>U257/1.61</f>
        <v>0.6211180124223602</v>
      </c>
      <c r="U257" s="5">
        <v>1</v>
      </c>
      <c r="V257" s="73">
        <v>2.8356481481481479E-3</v>
      </c>
      <c r="W257" s="69">
        <f>V257</f>
        <v>2.8356481481481479E-3</v>
      </c>
      <c r="X257" s="68"/>
    </row>
    <row r="258" spans="1:24" x14ac:dyDescent="0.25">
      <c r="A258" s="57"/>
      <c r="B258" t="s">
        <v>319</v>
      </c>
      <c r="C258" s="58" t="s">
        <v>320</v>
      </c>
      <c r="D258" t="s">
        <v>115</v>
      </c>
      <c r="H258" s="102">
        <f t="shared" ref="H258:H299" si="26">I258/1.61</f>
        <v>1.2422360248447204</v>
      </c>
      <c r="I258" s="5">
        <v>2</v>
      </c>
      <c r="J258" s="73">
        <v>2.8356481481481501E-3</v>
      </c>
      <c r="K258" s="69">
        <f>J258*(I258-I257)+K257</f>
        <v>5.6712962962963001E-3</v>
      </c>
      <c r="L258" s="68"/>
      <c r="M258">
        <v>6</v>
      </c>
      <c r="N258">
        <v>9</v>
      </c>
      <c r="O258">
        <f t="shared" ref="O258:O299" si="27">M258-N258</f>
        <v>-3</v>
      </c>
      <c r="T258" s="102">
        <f t="shared" ref="T258:T299" si="28">U258/1.61</f>
        <v>1.2422360248447204</v>
      </c>
      <c r="U258" s="5">
        <v>2</v>
      </c>
      <c r="V258" s="73">
        <v>2.8356481481481479E-3</v>
      </c>
      <c r="W258" s="69">
        <f>V258*(U258-U257)+W257</f>
        <v>5.6712962962962958E-3</v>
      </c>
      <c r="X258" s="68"/>
    </row>
    <row r="259" spans="1:24" x14ac:dyDescent="0.25">
      <c r="A259" s="57" t="s">
        <v>785</v>
      </c>
      <c r="B259" s="207">
        <v>48880</v>
      </c>
      <c r="C259" s="208" t="s">
        <v>55</v>
      </c>
      <c r="H259" s="102">
        <f t="shared" si="26"/>
        <v>1.8633540372670807</v>
      </c>
      <c r="I259" s="5">
        <v>3</v>
      </c>
      <c r="J259" s="73">
        <v>2.8356481481481501E-3</v>
      </c>
      <c r="K259" s="69">
        <f t="shared" ref="K259:K299" si="29">J259*(I259-I258)+K258</f>
        <v>8.5069444444444507E-3</v>
      </c>
      <c r="L259" s="68"/>
      <c r="M259">
        <v>0</v>
      </c>
      <c r="N259">
        <v>0</v>
      </c>
      <c r="O259">
        <f t="shared" si="27"/>
        <v>0</v>
      </c>
      <c r="T259" s="102">
        <f t="shared" si="28"/>
        <v>1.8633540372670807</v>
      </c>
      <c r="U259" s="5">
        <v>3</v>
      </c>
      <c r="V259" s="73">
        <v>2.8356481481481501E-3</v>
      </c>
      <c r="W259" s="69">
        <f t="shared" ref="W259:W299" si="30">V259*(U259-U258)+W258</f>
        <v>8.5069444444444454E-3</v>
      </c>
      <c r="X259" s="68"/>
    </row>
    <row r="260" spans="1:24" ht="15.75" thickBot="1" x14ac:dyDescent="0.3">
      <c r="A260" s="57" t="s">
        <v>786</v>
      </c>
      <c r="B260" s="207"/>
      <c r="C260" s="208"/>
      <c r="F260">
        <v>3</v>
      </c>
      <c r="G260">
        <f>CONVERT(F260,"mi","m")/1000</f>
        <v>4.8280320000000003</v>
      </c>
      <c r="H260" s="102">
        <f t="shared" si="26"/>
        <v>3</v>
      </c>
      <c r="I260" s="5">
        <v>4.83</v>
      </c>
      <c r="J260" s="73">
        <v>2.8356481481481479E-3</v>
      </c>
      <c r="K260" s="69">
        <f t="shared" si="29"/>
        <v>1.3696180555555562E-2</v>
      </c>
      <c r="L260" s="93"/>
      <c r="M260">
        <v>0</v>
      </c>
      <c r="N260">
        <v>8</v>
      </c>
      <c r="O260">
        <f t="shared" si="27"/>
        <v>-8</v>
      </c>
      <c r="T260" s="102">
        <f t="shared" si="28"/>
        <v>2.4844720496894408</v>
      </c>
      <c r="U260" s="5">
        <v>4</v>
      </c>
      <c r="V260" s="73">
        <v>2.8356481481481501E-3</v>
      </c>
      <c r="W260" s="69">
        <f t="shared" si="30"/>
        <v>1.1342592592592595E-2</v>
      </c>
      <c r="X260" s="93"/>
    </row>
    <row r="261" spans="1:24" ht="15.75" thickBot="1" x14ac:dyDescent="0.3">
      <c r="A261" s="57" t="s">
        <v>100</v>
      </c>
      <c r="B261" s="111">
        <v>0</v>
      </c>
      <c r="C261" s="58" t="s">
        <v>55</v>
      </c>
      <c r="G261">
        <f t="shared" ref="G261:G296" si="31">CONVERT(F261,"mi","m")/1000</f>
        <v>0</v>
      </c>
      <c r="H261" s="102">
        <f t="shared" si="26"/>
        <v>3.1055900621118009</v>
      </c>
      <c r="I261" s="99">
        <v>5</v>
      </c>
      <c r="J261" s="73">
        <v>2.8356481481481479E-3</v>
      </c>
      <c r="K261" s="94">
        <f t="shared" si="29"/>
        <v>1.4178240740740746E-2</v>
      </c>
      <c r="L261" s="93"/>
      <c r="M261">
        <v>0</v>
      </c>
      <c r="N261">
        <v>17</v>
      </c>
      <c r="O261">
        <f t="shared" si="27"/>
        <v>-17</v>
      </c>
      <c r="P261" s="103" t="s">
        <v>173</v>
      </c>
      <c r="Q261" s="103" t="s">
        <v>171</v>
      </c>
      <c r="R261" s="103"/>
      <c r="T261" s="102">
        <f t="shared" si="28"/>
        <v>3.1055900621118009</v>
      </c>
      <c r="U261" s="99">
        <v>5</v>
      </c>
      <c r="V261" s="73">
        <v>2.8356481481481501E-3</v>
      </c>
      <c r="W261" s="94">
        <f t="shared" si="30"/>
        <v>1.4178240740740745E-2</v>
      </c>
      <c r="X261" s="93"/>
    </row>
    <row r="262" spans="1:24" x14ac:dyDescent="0.25">
      <c r="A262" s="57" t="s">
        <v>102</v>
      </c>
      <c r="B262" s="112" t="s">
        <v>349</v>
      </c>
      <c r="C262" s="58" t="s">
        <v>55</v>
      </c>
      <c r="G262">
        <f t="shared" si="31"/>
        <v>0</v>
      </c>
      <c r="H262" s="102">
        <f t="shared" si="26"/>
        <v>3.7267080745341614</v>
      </c>
      <c r="I262" s="5">
        <v>6</v>
      </c>
      <c r="J262" s="73">
        <v>2.8356481481481501E-3</v>
      </c>
      <c r="K262" s="69">
        <f t="shared" si="29"/>
        <v>1.7013888888888898E-2</v>
      </c>
      <c r="L262" s="93"/>
      <c r="M262">
        <v>0</v>
      </c>
      <c r="N262">
        <v>14</v>
      </c>
      <c r="O262">
        <f t="shared" si="27"/>
        <v>-14</v>
      </c>
      <c r="T262" s="102">
        <f t="shared" si="28"/>
        <v>3.7267080745341614</v>
      </c>
      <c r="U262" s="5">
        <v>6</v>
      </c>
      <c r="V262" s="73">
        <v>2.8356481481481501E-3</v>
      </c>
      <c r="W262" s="69">
        <f t="shared" si="30"/>
        <v>1.7013888888888894E-2</v>
      </c>
      <c r="X262" s="93"/>
    </row>
    <row r="263" spans="1:24" x14ac:dyDescent="0.25">
      <c r="A263" s="57" t="s">
        <v>789</v>
      </c>
      <c r="B263" s="111">
        <f>1000*911.2+1349863+1000*919.35</f>
        <v>3180413</v>
      </c>
      <c r="C263" s="58" t="s">
        <v>76</v>
      </c>
      <c r="G263">
        <f t="shared" si="31"/>
        <v>0</v>
      </c>
      <c r="H263" s="102">
        <f t="shared" si="26"/>
        <v>4.3478260869565215</v>
      </c>
      <c r="I263" s="5">
        <v>7</v>
      </c>
      <c r="J263" s="73">
        <v>2.8356481481481501E-3</v>
      </c>
      <c r="K263" s="69">
        <f t="shared" si="29"/>
        <v>1.9849537037037047E-2</v>
      </c>
      <c r="M263">
        <v>0</v>
      </c>
      <c r="N263">
        <v>0</v>
      </c>
      <c r="O263">
        <f t="shared" si="27"/>
        <v>0</v>
      </c>
      <c r="T263" s="102">
        <f t="shared" si="28"/>
        <v>4.3478260869565215</v>
      </c>
      <c r="U263" s="5">
        <v>7</v>
      </c>
      <c r="V263" s="73">
        <v>2.8356481481481501E-3</v>
      </c>
      <c r="W263" s="69">
        <f t="shared" si="30"/>
        <v>1.9849537037037044E-2</v>
      </c>
    </row>
    <row r="264" spans="1:24" x14ac:dyDescent="0.25">
      <c r="A264" s="57" t="s">
        <v>790</v>
      </c>
      <c r="B264" s="112"/>
      <c r="C264" s="141"/>
      <c r="G264">
        <f t="shared" si="31"/>
        <v>0</v>
      </c>
      <c r="H264" s="102">
        <f t="shared" si="26"/>
        <v>4.9689440993788816</v>
      </c>
      <c r="I264" s="5">
        <v>8</v>
      </c>
      <c r="J264" s="73">
        <v>2.8356481481481501E-3</v>
      </c>
      <c r="K264" s="69">
        <f t="shared" si="29"/>
        <v>2.2685185185185197E-2</v>
      </c>
      <c r="M264">
        <v>10</v>
      </c>
      <c r="N264">
        <v>0</v>
      </c>
      <c r="O264">
        <f t="shared" si="27"/>
        <v>10</v>
      </c>
      <c r="T264" s="102">
        <f t="shared" si="28"/>
        <v>4.9689440993788816</v>
      </c>
      <c r="U264" s="5">
        <v>8</v>
      </c>
      <c r="V264" s="73">
        <v>2.8356481481481501E-3</v>
      </c>
      <c r="W264" s="69">
        <f t="shared" si="30"/>
        <v>2.2685185185185194E-2</v>
      </c>
    </row>
    <row r="265" spans="1:24" ht="15.75" thickBot="1" x14ac:dyDescent="0.3">
      <c r="A265" s="57" t="s">
        <v>787</v>
      </c>
      <c r="B265" s="112">
        <v>0</v>
      </c>
      <c r="C265" s="58" t="s">
        <v>55</v>
      </c>
      <c r="F265">
        <v>6</v>
      </c>
      <c r="G265">
        <f t="shared" si="31"/>
        <v>9.6560640000000006</v>
      </c>
      <c r="H265" s="102">
        <f t="shared" si="26"/>
        <v>6</v>
      </c>
      <c r="I265" s="5">
        <v>9.66</v>
      </c>
      <c r="J265" s="73">
        <v>2.8356481481481501E-3</v>
      </c>
      <c r="K265" s="69">
        <f t="shared" si="29"/>
        <v>2.7392361111111128E-2</v>
      </c>
      <c r="M265">
        <v>0</v>
      </c>
      <c r="N265">
        <v>9</v>
      </c>
      <c r="O265">
        <f t="shared" si="27"/>
        <v>-9</v>
      </c>
      <c r="T265" s="102">
        <f t="shared" si="28"/>
        <v>5.5900621118012417</v>
      </c>
      <c r="U265" s="5">
        <v>9</v>
      </c>
      <c r="V265" s="73">
        <v>2.8356481481481501E-3</v>
      </c>
      <c r="W265" s="69">
        <f t="shared" si="30"/>
        <v>2.5520833333333343E-2</v>
      </c>
    </row>
    <row r="266" spans="1:24" ht="15.75" thickBot="1" x14ac:dyDescent="0.3">
      <c r="A266" s="57" t="s">
        <v>285</v>
      </c>
      <c r="B266" s="111"/>
      <c r="C266" s="142"/>
      <c r="G266">
        <f t="shared" si="31"/>
        <v>0</v>
      </c>
      <c r="H266" s="102">
        <f t="shared" si="26"/>
        <v>6.2111801242236018</v>
      </c>
      <c r="I266" s="99">
        <v>10</v>
      </c>
      <c r="J266" s="73">
        <v>2.8356481481481501E-3</v>
      </c>
      <c r="K266" s="94">
        <f t="shared" si="29"/>
        <v>2.83564814814815E-2</v>
      </c>
      <c r="M266">
        <v>0</v>
      </c>
      <c r="N266">
        <v>3</v>
      </c>
      <c r="O266">
        <f t="shared" si="27"/>
        <v>-3</v>
      </c>
      <c r="P266" s="103" t="s">
        <v>174</v>
      </c>
      <c r="Q266" s="103" t="s">
        <v>166</v>
      </c>
      <c r="R266" s="68" t="s">
        <v>169</v>
      </c>
      <c r="T266" s="102">
        <f t="shared" si="28"/>
        <v>6.2111801242236018</v>
      </c>
      <c r="U266" s="99">
        <v>10</v>
      </c>
      <c r="V266" s="73">
        <v>2.8356481481481501E-3</v>
      </c>
      <c r="W266" s="94">
        <f t="shared" si="30"/>
        <v>2.8356481481481493E-2</v>
      </c>
    </row>
    <row r="267" spans="1:24" x14ac:dyDescent="0.25">
      <c r="A267" s="57" t="s">
        <v>217</v>
      </c>
      <c r="B267" s="111">
        <f>85*E257</f>
        <v>78200</v>
      </c>
      <c r="C267" s="58"/>
      <c r="G267">
        <f t="shared" si="31"/>
        <v>0</v>
      </c>
      <c r="H267" s="102">
        <f t="shared" si="26"/>
        <v>6.8322981366459627</v>
      </c>
      <c r="I267" s="5">
        <v>11</v>
      </c>
      <c r="J267" s="73">
        <v>2.8356481481481501E-3</v>
      </c>
      <c r="K267" s="69">
        <f t="shared" si="29"/>
        <v>3.1192129629629649E-2</v>
      </c>
      <c r="M267">
        <v>0</v>
      </c>
      <c r="N267">
        <v>2</v>
      </c>
      <c r="O267">
        <f t="shared" si="27"/>
        <v>-2</v>
      </c>
      <c r="T267" s="102">
        <f t="shared" si="28"/>
        <v>6.8322981366459627</v>
      </c>
      <c r="U267" s="5">
        <v>11</v>
      </c>
      <c r="V267" s="73">
        <v>2.8356481481481501E-3</v>
      </c>
      <c r="W267" s="69">
        <f t="shared" si="30"/>
        <v>3.1192129629629643E-2</v>
      </c>
    </row>
    <row r="268" spans="1:24" x14ac:dyDescent="0.25">
      <c r="A268" s="57" t="s">
        <v>362</v>
      </c>
      <c r="B268" s="111">
        <f>198.76*911.2</f>
        <v>181110.11199999999</v>
      </c>
      <c r="C268" s="58" t="s">
        <v>76</v>
      </c>
      <c r="E268" s="88"/>
      <c r="G268">
        <f t="shared" si="31"/>
        <v>0</v>
      </c>
      <c r="H268" s="102">
        <f t="shared" si="26"/>
        <v>7.4534161490683228</v>
      </c>
      <c r="I268" s="5">
        <v>12</v>
      </c>
      <c r="J268" s="73">
        <v>2.8356481481481501E-3</v>
      </c>
      <c r="K268" s="69">
        <f t="shared" si="29"/>
        <v>3.4027777777777803E-2</v>
      </c>
      <c r="M268">
        <v>0</v>
      </c>
      <c r="N268">
        <v>1</v>
      </c>
      <c r="O268">
        <f t="shared" si="27"/>
        <v>-1</v>
      </c>
      <c r="T268" s="102">
        <f t="shared" si="28"/>
        <v>7.4534161490683228</v>
      </c>
      <c r="U268" s="5">
        <v>12</v>
      </c>
      <c r="V268" s="73">
        <v>2.8356481481481501E-3</v>
      </c>
      <c r="W268" s="69">
        <f t="shared" si="30"/>
        <v>3.4027777777777796E-2</v>
      </c>
    </row>
    <row r="269" spans="1:24" x14ac:dyDescent="0.25">
      <c r="A269" s="57" t="s">
        <v>793</v>
      </c>
      <c r="B269" s="111">
        <v>24106</v>
      </c>
      <c r="C269" s="58" t="s">
        <v>76</v>
      </c>
      <c r="G269">
        <f t="shared" si="31"/>
        <v>0</v>
      </c>
      <c r="H269" s="102">
        <f t="shared" si="26"/>
        <v>8.074534161490682</v>
      </c>
      <c r="I269" s="5">
        <v>13</v>
      </c>
      <c r="J269" s="73">
        <v>2.8356481481481501E-3</v>
      </c>
      <c r="K269" s="69">
        <f t="shared" si="29"/>
        <v>3.6863425925925952E-2</v>
      </c>
      <c r="M269">
        <v>11</v>
      </c>
      <c r="N269">
        <v>12</v>
      </c>
      <c r="O269">
        <f t="shared" si="27"/>
        <v>-1</v>
      </c>
      <c r="T269" s="102">
        <f t="shared" si="28"/>
        <v>8.074534161490682</v>
      </c>
      <c r="U269" s="5">
        <v>13</v>
      </c>
      <c r="V269" s="73">
        <v>2.8356481481481501E-3</v>
      </c>
      <c r="W269" s="69">
        <f t="shared" si="30"/>
        <v>3.6863425925925945E-2</v>
      </c>
    </row>
    <row r="270" spans="1:24" ht="15.75" thickBot="1" x14ac:dyDescent="0.3">
      <c r="A270" s="57" t="s">
        <v>213</v>
      </c>
      <c r="B270" s="111">
        <f>120000</f>
        <v>120000</v>
      </c>
      <c r="C270" s="58"/>
      <c r="F270">
        <v>9</v>
      </c>
      <c r="G270">
        <f t="shared" si="31"/>
        <v>14.484095999999999</v>
      </c>
      <c r="H270" s="102">
        <f t="shared" si="26"/>
        <v>8.9751552795031042</v>
      </c>
      <c r="I270" s="5">
        <v>14.45</v>
      </c>
      <c r="J270" s="73">
        <v>2.8356481481481501E-3</v>
      </c>
      <c r="K270" s="69">
        <f t="shared" si="29"/>
        <v>4.0975115740740767E-2</v>
      </c>
      <c r="M270">
        <v>0</v>
      </c>
      <c r="N270">
        <v>0</v>
      </c>
      <c r="O270">
        <f t="shared" si="27"/>
        <v>0</v>
      </c>
      <c r="T270" s="102">
        <f t="shared" si="28"/>
        <v>8.695652173913043</v>
      </c>
      <c r="U270" s="5">
        <v>14</v>
      </c>
      <c r="V270" s="73">
        <v>2.8356481481481501E-3</v>
      </c>
      <c r="W270" s="69">
        <f t="shared" si="30"/>
        <v>3.9699074074074095E-2</v>
      </c>
    </row>
    <row r="271" spans="1:24" ht="15.75" thickBot="1" x14ac:dyDescent="0.3">
      <c r="A271" s="57" t="s">
        <v>219</v>
      </c>
      <c r="B271" s="111">
        <v>500000</v>
      </c>
      <c r="C271" s="58"/>
      <c r="G271">
        <f t="shared" si="31"/>
        <v>0</v>
      </c>
      <c r="H271" s="102">
        <f t="shared" si="26"/>
        <v>9.316770186335404</v>
      </c>
      <c r="I271" s="99">
        <v>15</v>
      </c>
      <c r="J271" s="73">
        <v>2.8356481481481501E-3</v>
      </c>
      <c r="K271" s="94">
        <f t="shared" si="29"/>
        <v>4.2534722222222252E-2</v>
      </c>
      <c r="M271">
        <v>3</v>
      </c>
      <c r="N271">
        <v>6</v>
      </c>
      <c r="O271">
        <f t="shared" si="27"/>
        <v>-3</v>
      </c>
      <c r="P271" s="103" t="s">
        <v>175</v>
      </c>
      <c r="Q271" s="103" t="s">
        <v>166</v>
      </c>
      <c r="R271" s="103"/>
      <c r="T271" s="102">
        <f t="shared" si="28"/>
        <v>9.316770186335404</v>
      </c>
      <c r="U271" s="99">
        <v>15</v>
      </c>
      <c r="V271" s="73">
        <v>2.8356481481481501E-3</v>
      </c>
      <c r="W271" s="94">
        <f t="shared" si="30"/>
        <v>4.2534722222222245E-2</v>
      </c>
    </row>
    <row r="272" spans="1:24" x14ac:dyDescent="0.25">
      <c r="A272" s="57" t="s">
        <v>788</v>
      </c>
      <c r="B272" s="111">
        <f>-780000</f>
        <v>-780000</v>
      </c>
      <c r="C272" s="58" t="s">
        <v>76</v>
      </c>
      <c r="G272">
        <f t="shared" si="31"/>
        <v>0</v>
      </c>
      <c r="H272" s="102">
        <f t="shared" si="26"/>
        <v>9.9378881987577632</v>
      </c>
      <c r="I272" s="5">
        <v>16</v>
      </c>
      <c r="J272" s="73">
        <v>2.8356481481481501E-3</v>
      </c>
      <c r="K272" s="69">
        <f t="shared" si="29"/>
        <v>4.5370370370370401E-2</v>
      </c>
      <c r="M272">
        <v>7</v>
      </c>
      <c r="N272">
        <v>2</v>
      </c>
      <c r="O272">
        <f t="shared" si="27"/>
        <v>5</v>
      </c>
      <c r="T272" s="102">
        <f t="shared" si="28"/>
        <v>9.9378881987577632</v>
      </c>
      <c r="U272" s="5">
        <v>16</v>
      </c>
      <c r="V272" s="73">
        <v>2.8356481481481501E-3</v>
      </c>
      <c r="W272" s="69">
        <f t="shared" si="30"/>
        <v>4.5370370370370394E-2</v>
      </c>
    </row>
    <row r="273" spans="1:24" x14ac:dyDescent="0.25">
      <c r="A273" s="107" t="s">
        <v>5</v>
      </c>
      <c r="B273" s="113">
        <f>SUMIF(C259:C272,"OK",B259:B272)</f>
        <v>2654509.1120000002</v>
      </c>
      <c r="C273" s="58"/>
      <c r="G273">
        <f t="shared" si="31"/>
        <v>0</v>
      </c>
      <c r="H273" s="102">
        <f t="shared" si="26"/>
        <v>10.559006211180124</v>
      </c>
      <c r="I273" s="5">
        <v>17</v>
      </c>
      <c r="J273" s="73">
        <v>2.8356481481481501E-3</v>
      </c>
      <c r="K273" s="69">
        <f t="shared" si="29"/>
        <v>4.8206018518518551E-2</v>
      </c>
      <c r="M273">
        <v>5</v>
      </c>
      <c r="N273">
        <v>0</v>
      </c>
      <c r="O273">
        <f t="shared" si="27"/>
        <v>5</v>
      </c>
      <c r="T273" s="102">
        <f t="shared" si="28"/>
        <v>10.559006211180124</v>
      </c>
      <c r="U273" s="5">
        <v>17</v>
      </c>
      <c r="V273" s="73">
        <v>2.8356481481481501E-3</v>
      </c>
      <c r="W273" s="69">
        <f t="shared" si="30"/>
        <v>4.8206018518518544E-2</v>
      </c>
    </row>
    <row r="274" spans="1:24" ht="15.75" thickBot="1" x14ac:dyDescent="0.3">
      <c r="A274" s="114" t="s">
        <v>137</v>
      </c>
      <c r="B274" s="115">
        <f>SUMIF(C259:C271,"",B259:B271)</f>
        <v>698200</v>
      </c>
      <c r="C274" s="60"/>
      <c r="G274">
        <f t="shared" si="31"/>
        <v>0</v>
      </c>
      <c r="H274" s="102">
        <f t="shared" si="26"/>
        <v>11.180124223602483</v>
      </c>
      <c r="I274" s="5">
        <v>18</v>
      </c>
      <c r="J274" s="73">
        <v>2.8356481481481501E-3</v>
      </c>
      <c r="K274" s="69">
        <f t="shared" si="29"/>
        <v>5.10416666666667E-2</v>
      </c>
      <c r="M274">
        <v>0</v>
      </c>
      <c r="N274">
        <v>0</v>
      </c>
      <c r="O274">
        <f t="shared" si="27"/>
        <v>0</v>
      </c>
      <c r="P274" s="70" t="s">
        <v>177</v>
      </c>
      <c r="Q274" s="103" t="s">
        <v>166</v>
      </c>
      <c r="R274" s="68" t="s">
        <v>170</v>
      </c>
      <c r="T274" s="102">
        <f t="shared" si="28"/>
        <v>11.180124223602483</v>
      </c>
      <c r="U274" s="5">
        <v>18</v>
      </c>
      <c r="V274" s="73">
        <v>2.8356481481481501E-3</v>
      </c>
      <c r="W274" s="69">
        <f t="shared" si="30"/>
        <v>5.1041666666666693E-2</v>
      </c>
    </row>
    <row r="275" spans="1:24" ht="15.75" thickBot="1" x14ac:dyDescent="0.3">
      <c r="A275" s="116"/>
      <c r="B275" s="117"/>
      <c r="F275">
        <v>12</v>
      </c>
      <c r="G275">
        <f t="shared" si="31"/>
        <v>19.312128000000001</v>
      </c>
      <c r="H275" s="102">
        <f t="shared" si="26"/>
        <v>11.987577639751553</v>
      </c>
      <c r="I275" s="5">
        <v>19.3</v>
      </c>
      <c r="J275" s="73">
        <v>2.8356481481481501E-3</v>
      </c>
      <c r="K275" s="69">
        <f t="shared" si="29"/>
        <v>5.4728009259259296E-2</v>
      </c>
      <c r="L275" s="68"/>
      <c r="M275">
        <v>0</v>
      </c>
      <c r="N275">
        <v>7</v>
      </c>
      <c r="O275">
        <f t="shared" si="27"/>
        <v>-7</v>
      </c>
      <c r="S275" t="s">
        <v>185</v>
      </c>
      <c r="T275" s="102">
        <f t="shared" si="28"/>
        <v>11.801242236024844</v>
      </c>
      <c r="U275" s="5">
        <v>19</v>
      </c>
      <c r="V275" s="73">
        <v>2.8356481481481501E-3</v>
      </c>
      <c r="W275" s="69">
        <f t="shared" si="30"/>
        <v>5.3877314814814843E-2</v>
      </c>
      <c r="X275" s="68"/>
    </row>
    <row r="276" spans="1:24" ht="15.75" thickBot="1" x14ac:dyDescent="0.3">
      <c r="A276" s="108" t="s">
        <v>65</v>
      </c>
      <c r="B276" s="109">
        <f>B273+B274</f>
        <v>3352709.1120000002</v>
      </c>
      <c r="G276">
        <f t="shared" si="31"/>
        <v>0</v>
      </c>
      <c r="H276" s="102">
        <f t="shared" si="26"/>
        <v>12.422360248447204</v>
      </c>
      <c r="I276" s="99">
        <v>20</v>
      </c>
      <c r="J276" s="73">
        <v>2.8356481481481501E-3</v>
      </c>
      <c r="K276" s="94">
        <f t="shared" si="29"/>
        <v>5.6712962962963E-2</v>
      </c>
      <c r="L276" s="93"/>
      <c r="M276">
        <v>7</v>
      </c>
      <c r="N276">
        <v>12</v>
      </c>
      <c r="O276">
        <f t="shared" si="27"/>
        <v>-5</v>
      </c>
      <c r="T276" s="102">
        <f t="shared" si="28"/>
        <v>12.422360248447204</v>
      </c>
      <c r="U276" s="99">
        <v>20</v>
      </c>
      <c r="V276" s="73">
        <v>2.8356481481481501E-3</v>
      </c>
      <c r="W276" s="94">
        <f t="shared" si="30"/>
        <v>5.6712962962962993E-2</v>
      </c>
      <c r="X276" s="93"/>
    </row>
    <row r="277" spans="1:24" ht="15.75" thickBot="1" x14ac:dyDescent="0.3">
      <c r="G277">
        <f t="shared" si="31"/>
        <v>0</v>
      </c>
      <c r="H277" s="102">
        <f t="shared" si="26"/>
        <v>13.105590062111801</v>
      </c>
      <c r="I277" s="5">
        <v>21.1</v>
      </c>
      <c r="J277" s="73">
        <v>2.8356481481481501E-3</v>
      </c>
      <c r="K277" s="69">
        <f t="shared" si="29"/>
        <v>5.9832175925925969E-2</v>
      </c>
      <c r="L277" s="93"/>
      <c r="M277">
        <v>0</v>
      </c>
      <c r="N277">
        <v>3</v>
      </c>
      <c r="O277">
        <f t="shared" si="27"/>
        <v>-3</v>
      </c>
      <c r="P277" t="s">
        <v>178</v>
      </c>
      <c r="Q277" t="s">
        <v>166</v>
      </c>
      <c r="T277" s="102">
        <f t="shared" si="28"/>
        <v>13.043478260869565</v>
      </c>
      <c r="U277" s="5">
        <v>21</v>
      </c>
      <c r="V277" s="73">
        <v>2.8356481481481501E-3</v>
      </c>
      <c r="W277" s="69">
        <f t="shared" si="30"/>
        <v>5.9548611111111142E-2</v>
      </c>
      <c r="X277" s="93"/>
    </row>
    <row r="278" spans="1:24" x14ac:dyDescent="0.25">
      <c r="A278" s="104" t="s">
        <v>215</v>
      </c>
      <c r="B278" s="56"/>
      <c r="G278">
        <f t="shared" si="31"/>
        <v>0</v>
      </c>
      <c r="H278" s="102">
        <f t="shared" si="26"/>
        <v>13.664596273291925</v>
      </c>
      <c r="I278" s="5">
        <v>22</v>
      </c>
      <c r="J278" s="73">
        <v>2.8356481481481501E-3</v>
      </c>
      <c r="K278" s="69">
        <f t="shared" si="29"/>
        <v>6.2384259259259299E-2</v>
      </c>
      <c r="L278" s="93"/>
      <c r="M278">
        <v>6</v>
      </c>
      <c r="N278">
        <v>6</v>
      </c>
      <c r="O278">
        <f t="shared" si="27"/>
        <v>0</v>
      </c>
      <c r="T278" s="102">
        <f t="shared" si="28"/>
        <v>13.664596273291925</v>
      </c>
      <c r="U278" s="5">
        <v>22</v>
      </c>
      <c r="V278" s="73">
        <v>2.8356481481481501E-3</v>
      </c>
      <c r="W278" s="69">
        <f t="shared" si="30"/>
        <v>6.2384259259259292E-2</v>
      </c>
      <c r="X278" s="93"/>
    </row>
    <row r="279" spans="1:24" x14ac:dyDescent="0.25">
      <c r="A279" s="57"/>
      <c r="B279" s="58" t="s">
        <v>5</v>
      </c>
      <c r="G279">
        <f t="shared" si="31"/>
        <v>0</v>
      </c>
      <c r="H279" s="102">
        <f t="shared" si="26"/>
        <v>14.285714285714285</v>
      </c>
      <c r="I279" s="5">
        <v>23</v>
      </c>
      <c r="J279" s="73">
        <v>2.8356481481481501E-3</v>
      </c>
      <c r="K279" s="69">
        <f t="shared" si="29"/>
        <v>6.5219907407407449E-2</v>
      </c>
      <c r="L279" s="93"/>
      <c r="M279">
        <v>0</v>
      </c>
      <c r="N279">
        <v>0</v>
      </c>
      <c r="O279">
        <f t="shared" si="27"/>
        <v>0</v>
      </c>
      <c r="P279" s="103"/>
      <c r="Q279" s="103"/>
      <c r="R279" s="103"/>
      <c r="S279" t="s">
        <v>185</v>
      </c>
      <c r="T279" s="102">
        <f t="shared" si="28"/>
        <v>14.285714285714285</v>
      </c>
      <c r="U279" s="5">
        <v>23</v>
      </c>
      <c r="V279" s="73">
        <v>2.8356481481481501E-3</v>
      </c>
      <c r="W279" s="69">
        <f t="shared" si="30"/>
        <v>6.5219907407407449E-2</v>
      </c>
      <c r="X279" s="93"/>
    </row>
    <row r="280" spans="1:24" ht="15.75" thickBot="1" x14ac:dyDescent="0.3">
      <c r="A280" s="57" t="s">
        <v>135</v>
      </c>
      <c r="B280" s="209">
        <f>IF(C259="ok",B259,0)</f>
        <v>48880</v>
      </c>
      <c r="F280">
        <v>15</v>
      </c>
      <c r="G280">
        <f t="shared" si="31"/>
        <v>24.140160000000002</v>
      </c>
      <c r="H280" s="102">
        <f t="shared" si="26"/>
        <v>14.968944099378882</v>
      </c>
      <c r="I280" s="5">
        <v>24.1</v>
      </c>
      <c r="J280" s="73">
        <v>2.8356481481481501E-3</v>
      </c>
      <c r="K280" s="69">
        <f t="shared" si="29"/>
        <v>6.8339120370370418E-2</v>
      </c>
      <c r="M280">
        <v>5</v>
      </c>
      <c r="N280">
        <v>0</v>
      </c>
      <c r="O280">
        <f t="shared" si="27"/>
        <v>5</v>
      </c>
      <c r="P280" t="s">
        <v>179</v>
      </c>
      <c r="Q280" s="103" t="s">
        <v>166</v>
      </c>
      <c r="R280" s="68" t="s">
        <v>169</v>
      </c>
      <c r="T280" s="102">
        <f t="shared" si="28"/>
        <v>14.906832298136646</v>
      </c>
      <c r="U280" s="5">
        <v>24</v>
      </c>
      <c r="V280" s="73">
        <v>2.8356481481481501E-3</v>
      </c>
      <c r="W280" s="69">
        <f t="shared" si="30"/>
        <v>6.8055555555555605E-2</v>
      </c>
    </row>
    <row r="281" spans="1:24" ht="15.75" thickBot="1" x14ac:dyDescent="0.3">
      <c r="A281" s="57" t="s">
        <v>136</v>
      </c>
      <c r="B281" s="209"/>
      <c r="G281">
        <f t="shared" si="31"/>
        <v>0</v>
      </c>
      <c r="H281" s="102">
        <f t="shared" si="26"/>
        <v>15.527950310559005</v>
      </c>
      <c r="I281" s="99">
        <v>25</v>
      </c>
      <c r="J281" s="73">
        <v>2.8356481481481501E-3</v>
      </c>
      <c r="K281" s="94">
        <f t="shared" si="29"/>
        <v>7.0891203703703748E-2</v>
      </c>
      <c r="M281">
        <v>5</v>
      </c>
      <c r="N281">
        <v>0</v>
      </c>
      <c r="O281">
        <f t="shared" si="27"/>
        <v>5</v>
      </c>
      <c r="T281" s="102">
        <f t="shared" si="28"/>
        <v>15.527950310559005</v>
      </c>
      <c r="U281" s="99">
        <v>25</v>
      </c>
      <c r="V281" s="73">
        <v>2.8356481481481501E-3</v>
      </c>
      <c r="W281" s="94">
        <f t="shared" si="30"/>
        <v>7.0891203703703762E-2</v>
      </c>
    </row>
    <row r="282" spans="1:24" x14ac:dyDescent="0.25">
      <c r="A282" s="57" t="s">
        <v>100</v>
      </c>
      <c r="B282" s="105">
        <f>IF(C261="ok",B261,0)</f>
        <v>0</v>
      </c>
      <c r="G282">
        <f t="shared" si="31"/>
        <v>0</v>
      </c>
      <c r="H282" s="102">
        <f t="shared" si="26"/>
        <v>16.149068322981364</v>
      </c>
      <c r="I282" s="5">
        <v>26</v>
      </c>
      <c r="J282" s="73">
        <v>2.8356481481481501E-3</v>
      </c>
      <c r="K282" s="69">
        <f t="shared" si="29"/>
        <v>7.3726851851851904E-2</v>
      </c>
      <c r="M282">
        <v>9</v>
      </c>
      <c r="N282">
        <v>32</v>
      </c>
      <c r="O282">
        <f t="shared" si="27"/>
        <v>-23</v>
      </c>
      <c r="P282" s="103"/>
      <c r="T282" s="102">
        <f t="shared" si="28"/>
        <v>16.149068322981364</v>
      </c>
      <c r="U282" s="5">
        <v>26</v>
      </c>
      <c r="V282" s="73">
        <v>2.8356481481481501E-3</v>
      </c>
      <c r="W282" s="69">
        <f t="shared" si="30"/>
        <v>7.3726851851851918E-2</v>
      </c>
    </row>
    <row r="283" spans="1:24" x14ac:dyDescent="0.25">
      <c r="A283" s="57" t="s">
        <v>102</v>
      </c>
      <c r="B283" s="105" t="str">
        <f t="shared" ref="B283:B292" si="32">IF(C262="ok",B262,0)</f>
        <v>CON TC??</v>
      </c>
      <c r="F283">
        <v>17</v>
      </c>
      <c r="G283">
        <f t="shared" si="31"/>
        <v>27.358848000000002</v>
      </c>
      <c r="H283" s="102">
        <f t="shared" si="26"/>
        <v>17.018633540372669</v>
      </c>
      <c r="I283" s="5">
        <v>27.4</v>
      </c>
      <c r="J283" s="73">
        <v>2.8356481481481501E-3</v>
      </c>
      <c r="K283" s="69">
        <f t="shared" si="29"/>
        <v>7.7696759259259313E-2</v>
      </c>
      <c r="M283">
        <v>17</v>
      </c>
      <c r="N283">
        <v>0</v>
      </c>
      <c r="O283">
        <f t="shared" si="27"/>
        <v>17</v>
      </c>
      <c r="P283" s="103" t="s">
        <v>180</v>
      </c>
      <c r="Q283" s="103" t="s">
        <v>166</v>
      </c>
      <c r="R283" s="103"/>
      <c r="T283" s="102">
        <f t="shared" si="28"/>
        <v>16.770186335403725</v>
      </c>
      <c r="U283" s="5">
        <v>27</v>
      </c>
      <c r="V283" s="73">
        <v>2.8356481481481501E-3</v>
      </c>
      <c r="W283" s="69">
        <f t="shared" si="30"/>
        <v>7.6562500000000075E-2</v>
      </c>
    </row>
    <row r="284" spans="1:24" x14ac:dyDescent="0.25">
      <c r="A284" s="57" t="s">
        <v>322</v>
      </c>
      <c r="B284" s="105">
        <f t="shared" si="32"/>
        <v>3180413</v>
      </c>
      <c r="G284">
        <f t="shared" si="31"/>
        <v>0</v>
      </c>
      <c r="H284" s="102">
        <f t="shared" si="26"/>
        <v>17.391304347826086</v>
      </c>
      <c r="I284" s="5">
        <v>28</v>
      </c>
      <c r="J284" s="73">
        <v>2.8356481481481501E-3</v>
      </c>
      <c r="K284" s="69">
        <f t="shared" si="29"/>
        <v>7.9398148148148204E-2</v>
      </c>
      <c r="M284">
        <v>0</v>
      </c>
      <c r="N284">
        <v>3</v>
      </c>
      <c r="O284">
        <f t="shared" si="27"/>
        <v>-3</v>
      </c>
      <c r="T284" s="102">
        <f t="shared" si="28"/>
        <v>17.391304347826086</v>
      </c>
      <c r="U284" s="5">
        <v>28</v>
      </c>
      <c r="V284" s="73">
        <v>2.8356481481481501E-3</v>
      </c>
      <c r="W284" s="69">
        <f t="shared" si="30"/>
        <v>7.9398148148148232E-2</v>
      </c>
    </row>
    <row r="285" spans="1:24" x14ac:dyDescent="0.25">
      <c r="A285" s="57" t="s">
        <v>321</v>
      </c>
      <c r="B285" s="105">
        <f t="shared" si="32"/>
        <v>0</v>
      </c>
      <c r="G285">
        <f t="shared" si="31"/>
        <v>0</v>
      </c>
      <c r="H285" s="102">
        <f t="shared" si="26"/>
        <v>18.012422360248447</v>
      </c>
      <c r="I285" s="5">
        <v>29</v>
      </c>
      <c r="J285" s="73">
        <v>2.8356481481481501E-3</v>
      </c>
      <c r="K285" s="69">
        <f t="shared" si="29"/>
        <v>8.223379629629636E-2</v>
      </c>
      <c r="L285" s="68"/>
      <c r="M285">
        <v>19</v>
      </c>
      <c r="N285">
        <v>5</v>
      </c>
      <c r="O285">
        <f t="shared" si="27"/>
        <v>14</v>
      </c>
      <c r="T285" s="102">
        <f t="shared" si="28"/>
        <v>18.012422360248447</v>
      </c>
      <c r="U285" s="5">
        <v>29</v>
      </c>
      <c r="V285" s="73">
        <v>2.8356481481481501E-3</v>
      </c>
      <c r="W285" s="69">
        <f t="shared" si="30"/>
        <v>8.2233796296296388E-2</v>
      </c>
      <c r="X285" s="68"/>
    </row>
    <row r="286" spans="1:24" ht="15.75" thickBot="1" x14ac:dyDescent="0.3">
      <c r="A286" s="57" t="s">
        <v>361</v>
      </c>
      <c r="B286" s="105">
        <f t="shared" si="32"/>
        <v>0</v>
      </c>
      <c r="F286">
        <v>19</v>
      </c>
      <c r="G286">
        <f t="shared" si="31"/>
        <v>30.577535999999998</v>
      </c>
      <c r="H286" s="102">
        <f t="shared" si="26"/>
        <v>18.633540372670808</v>
      </c>
      <c r="I286" s="5">
        <v>30</v>
      </c>
      <c r="J286" s="73">
        <v>2.8356481481481501E-3</v>
      </c>
      <c r="K286" s="69">
        <f t="shared" si="29"/>
        <v>8.5069444444444517E-2</v>
      </c>
      <c r="L286" s="68"/>
      <c r="M286">
        <v>0</v>
      </c>
      <c r="N286">
        <v>4</v>
      </c>
      <c r="O286">
        <f t="shared" si="27"/>
        <v>-4</v>
      </c>
      <c r="P286" t="s">
        <v>181</v>
      </c>
      <c r="Q286" s="103" t="s">
        <v>166</v>
      </c>
      <c r="R286" s="68" t="s">
        <v>170</v>
      </c>
      <c r="T286" s="102">
        <f t="shared" si="28"/>
        <v>18.633540372670808</v>
      </c>
      <c r="U286" s="5">
        <v>30</v>
      </c>
      <c r="V286" s="73">
        <v>2.8356481481481501E-3</v>
      </c>
      <c r="W286" s="69">
        <f t="shared" si="30"/>
        <v>8.5069444444444545E-2</v>
      </c>
      <c r="X286" s="68"/>
    </row>
    <row r="287" spans="1:24" ht="15.75" thickBot="1" x14ac:dyDescent="0.3">
      <c r="A287" s="57" t="s">
        <v>218</v>
      </c>
      <c r="B287" s="105">
        <f t="shared" si="32"/>
        <v>0</v>
      </c>
      <c r="G287">
        <f t="shared" si="31"/>
        <v>0</v>
      </c>
      <c r="H287" s="102">
        <f t="shared" si="26"/>
        <v>19.006211180124222</v>
      </c>
      <c r="I287" s="99">
        <v>30.6</v>
      </c>
      <c r="J287" s="73">
        <v>2.8356481481481501E-3</v>
      </c>
      <c r="K287" s="94">
        <f t="shared" si="29"/>
        <v>8.6770833333333408E-2</v>
      </c>
      <c r="L287" s="93"/>
      <c r="M287">
        <v>0</v>
      </c>
      <c r="N287">
        <v>11</v>
      </c>
      <c r="O287">
        <f t="shared" si="27"/>
        <v>-11</v>
      </c>
      <c r="T287" s="102">
        <f t="shared" si="28"/>
        <v>19.254658385093165</v>
      </c>
      <c r="U287" s="99">
        <v>31</v>
      </c>
      <c r="V287" s="73">
        <v>2.8356481481481501E-3</v>
      </c>
      <c r="W287" s="94">
        <f t="shared" si="30"/>
        <v>8.7905092592592701E-2</v>
      </c>
      <c r="X287" s="93"/>
    </row>
    <row r="288" spans="1:24" x14ac:dyDescent="0.25">
      <c r="A288" s="57" t="s">
        <v>217</v>
      </c>
      <c r="B288" s="105">
        <f t="shared" si="32"/>
        <v>0</v>
      </c>
      <c r="G288">
        <f t="shared" si="31"/>
        <v>0</v>
      </c>
      <c r="H288" s="102">
        <f t="shared" si="26"/>
        <v>19.875776397515526</v>
      </c>
      <c r="I288" s="5">
        <v>32</v>
      </c>
      <c r="J288" s="73">
        <v>2.8356481481481501E-3</v>
      </c>
      <c r="K288" s="69">
        <f t="shared" si="29"/>
        <v>9.0740740740740816E-2</v>
      </c>
      <c r="L288" s="68"/>
      <c r="M288">
        <v>13</v>
      </c>
      <c r="N288">
        <v>0</v>
      </c>
      <c r="O288">
        <f t="shared" si="27"/>
        <v>13</v>
      </c>
      <c r="P288" s="103"/>
      <c r="T288" s="102">
        <f t="shared" si="28"/>
        <v>19.875776397515526</v>
      </c>
      <c r="U288" s="5">
        <v>32</v>
      </c>
      <c r="V288" s="73">
        <v>2.8356481481481501E-3</v>
      </c>
      <c r="W288" s="69">
        <f t="shared" si="30"/>
        <v>9.0740740740740858E-2</v>
      </c>
      <c r="X288" s="68"/>
    </row>
    <row r="289" spans="1:24" x14ac:dyDescent="0.25">
      <c r="A289" s="57"/>
      <c r="B289" s="105">
        <f t="shared" si="32"/>
        <v>181110.11199999999</v>
      </c>
      <c r="F289">
        <v>21</v>
      </c>
      <c r="G289">
        <f t="shared" si="31"/>
        <v>33.796224000000002</v>
      </c>
      <c r="H289" s="102">
        <f t="shared" si="26"/>
        <v>20.993788819875775</v>
      </c>
      <c r="I289" s="5">
        <v>33.799999999999997</v>
      </c>
      <c r="J289" s="73">
        <v>2.8356481481481501E-3</v>
      </c>
      <c r="K289" s="69">
        <f t="shared" si="29"/>
        <v>9.5844907407407476E-2</v>
      </c>
      <c r="L289" s="68"/>
      <c r="M289">
        <v>0</v>
      </c>
      <c r="N289">
        <v>0</v>
      </c>
      <c r="O289">
        <f t="shared" si="27"/>
        <v>0</v>
      </c>
      <c r="T289" s="102">
        <f t="shared" si="28"/>
        <v>20.496894409937887</v>
      </c>
      <c r="U289" s="5">
        <v>33</v>
      </c>
      <c r="V289" s="73">
        <v>2.8356481481481501E-3</v>
      </c>
      <c r="W289" s="69">
        <f t="shared" si="30"/>
        <v>9.3576388888889014E-2</v>
      </c>
      <c r="X289" s="68"/>
    </row>
    <row r="290" spans="1:24" x14ac:dyDescent="0.25">
      <c r="A290" s="57" t="s">
        <v>214</v>
      </c>
      <c r="B290" s="105">
        <f>IF(C269="ok",B272,0)</f>
        <v>-780000</v>
      </c>
      <c r="C290" t="s">
        <v>286</v>
      </c>
      <c r="G290">
        <f t="shared" si="31"/>
        <v>0</v>
      </c>
      <c r="H290" s="102">
        <f t="shared" si="26"/>
        <v>21.118012422360248</v>
      </c>
      <c r="I290" s="5">
        <v>34</v>
      </c>
      <c r="J290" s="73">
        <v>2.8356481481481501E-3</v>
      </c>
      <c r="K290" s="69">
        <f t="shared" si="29"/>
        <v>9.6412037037037115E-2</v>
      </c>
      <c r="L290" s="68"/>
      <c r="M290">
        <v>25</v>
      </c>
      <c r="N290">
        <v>0</v>
      </c>
      <c r="O290">
        <f t="shared" si="27"/>
        <v>25</v>
      </c>
      <c r="P290" s="103" t="s">
        <v>182</v>
      </c>
      <c r="Q290" s="103" t="s">
        <v>166</v>
      </c>
      <c r="R290" s="103"/>
      <c r="T290" s="102">
        <f t="shared" si="28"/>
        <v>21.118012422360248</v>
      </c>
      <c r="U290" s="5">
        <v>34</v>
      </c>
      <c r="V290" s="73">
        <v>2.8356481481481501E-3</v>
      </c>
      <c r="W290" s="69">
        <f t="shared" si="30"/>
        <v>9.6412037037037171E-2</v>
      </c>
      <c r="X290" s="68"/>
    </row>
    <row r="291" spans="1:24" ht="15.75" thickBot="1" x14ac:dyDescent="0.3">
      <c r="A291" s="57" t="s">
        <v>213</v>
      </c>
      <c r="B291" s="105">
        <f t="shared" si="32"/>
        <v>0</v>
      </c>
      <c r="G291">
        <f t="shared" si="31"/>
        <v>0</v>
      </c>
      <c r="H291" s="102">
        <f t="shared" si="26"/>
        <v>21.739130434782606</v>
      </c>
      <c r="I291" s="5">
        <v>35</v>
      </c>
      <c r="J291" s="73">
        <v>2.8356481481481501E-3</v>
      </c>
      <c r="K291" s="69">
        <f t="shared" si="29"/>
        <v>9.9247685185185272E-2</v>
      </c>
      <c r="L291" s="68"/>
      <c r="M291">
        <v>0</v>
      </c>
      <c r="N291">
        <v>23</v>
      </c>
      <c r="O291">
        <f t="shared" si="27"/>
        <v>-23</v>
      </c>
      <c r="S291" t="s">
        <v>185</v>
      </c>
      <c r="T291" s="102">
        <f t="shared" si="28"/>
        <v>21.739130434782606</v>
      </c>
      <c r="U291" s="5">
        <v>35</v>
      </c>
      <c r="V291" s="73">
        <v>2.8356481481481501E-3</v>
      </c>
      <c r="W291" s="69">
        <f t="shared" si="30"/>
        <v>9.9247685185185328E-2</v>
      </c>
      <c r="X291" s="68"/>
    </row>
    <row r="292" spans="1:24" ht="15.75" thickBot="1" x14ac:dyDescent="0.3">
      <c r="A292" s="57" t="s">
        <v>114</v>
      </c>
      <c r="B292" s="105">
        <f t="shared" si="32"/>
        <v>0</v>
      </c>
      <c r="G292">
        <f t="shared" si="31"/>
        <v>0</v>
      </c>
      <c r="H292" s="102">
        <f t="shared" si="26"/>
        <v>22.360248447204967</v>
      </c>
      <c r="I292" s="99">
        <v>36</v>
      </c>
      <c r="J292" s="73">
        <v>2.8356481481481501E-3</v>
      </c>
      <c r="K292" s="94">
        <f t="shared" si="29"/>
        <v>0.10208333333333343</v>
      </c>
      <c r="L292" s="68"/>
      <c r="M292">
        <v>0</v>
      </c>
      <c r="N292">
        <v>4</v>
      </c>
      <c r="O292">
        <f t="shared" si="27"/>
        <v>-4</v>
      </c>
      <c r="P292" t="s">
        <v>183</v>
      </c>
      <c r="Q292" s="103" t="s">
        <v>166</v>
      </c>
      <c r="R292" s="68" t="s">
        <v>169</v>
      </c>
      <c r="T292" s="102">
        <f t="shared" si="28"/>
        <v>22.360248447204967</v>
      </c>
      <c r="U292" s="99">
        <v>36</v>
      </c>
      <c r="V292" s="73">
        <v>2.8356481481481501E-3</v>
      </c>
      <c r="W292" s="94">
        <f t="shared" si="30"/>
        <v>0.10208333333333348</v>
      </c>
      <c r="X292" s="68"/>
    </row>
    <row r="293" spans="1:24" x14ac:dyDescent="0.25">
      <c r="A293" s="57"/>
      <c r="B293" s="105"/>
      <c r="G293">
        <f t="shared" si="31"/>
        <v>0</v>
      </c>
      <c r="H293" s="102">
        <f t="shared" si="26"/>
        <v>22.981366459627328</v>
      </c>
      <c r="I293" s="5">
        <v>37</v>
      </c>
      <c r="J293" s="73">
        <v>2.8356481481481501E-3</v>
      </c>
      <c r="K293" s="69">
        <f t="shared" si="29"/>
        <v>0.10491898148148159</v>
      </c>
      <c r="L293" s="68"/>
      <c r="M293">
        <v>0</v>
      </c>
      <c r="N293">
        <v>15</v>
      </c>
      <c r="O293">
        <f t="shared" si="27"/>
        <v>-15</v>
      </c>
      <c r="T293" s="102">
        <f t="shared" si="28"/>
        <v>22.981366459627328</v>
      </c>
      <c r="U293" s="5">
        <v>37</v>
      </c>
      <c r="V293" s="73">
        <v>2.8356481481481501E-3</v>
      </c>
      <c r="W293" s="69">
        <f t="shared" si="30"/>
        <v>0.10491898148148164</v>
      </c>
      <c r="X293" s="68"/>
    </row>
    <row r="294" spans="1:24" x14ac:dyDescent="0.25">
      <c r="A294" s="118" t="s">
        <v>5</v>
      </c>
      <c r="B294" s="119">
        <f>SUM(B280:B292)</f>
        <v>2630403.1120000002</v>
      </c>
      <c r="F294">
        <v>24</v>
      </c>
      <c r="G294">
        <f t="shared" si="31"/>
        <v>38.624256000000003</v>
      </c>
      <c r="H294" s="102">
        <f t="shared" si="26"/>
        <v>23.975155279503106</v>
      </c>
      <c r="I294" s="5">
        <v>38.6</v>
      </c>
      <c r="J294" s="73">
        <v>2.8356481481481501E-3</v>
      </c>
      <c r="K294" s="69">
        <f t="shared" si="29"/>
        <v>0.10945601851851863</v>
      </c>
      <c r="L294" s="165"/>
      <c r="M294">
        <v>8</v>
      </c>
      <c r="N294">
        <v>8</v>
      </c>
      <c r="O294">
        <f t="shared" si="27"/>
        <v>0</v>
      </c>
      <c r="T294" s="102">
        <f t="shared" si="28"/>
        <v>23.602484472049689</v>
      </c>
      <c r="U294" s="5">
        <v>38</v>
      </c>
      <c r="V294" s="73">
        <v>2.8356481481481501E-3</v>
      </c>
      <c r="W294" s="69">
        <f t="shared" si="30"/>
        <v>0.1077546296296298</v>
      </c>
      <c r="X294" s="165"/>
    </row>
    <row r="295" spans="1:24" x14ac:dyDescent="0.25">
      <c r="G295">
        <f t="shared" si="31"/>
        <v>0</v>
      </c>
      <c r="H295" s="102">
        <f t="shared" si="26"/>
        <v>24.22360248447205</v>
      </c>
      <c r="I295" s="5">
        <v>39</v>
      </c>
      <c r="J295" s="73">
        <v>2.8356481481481501E-3</v>
      </c>
      <c r="K295" s="69">
        <f t="shared" si="29"/>
        <v>0.11059027777777788</v>
      </c>
      <c r="L295" s="165"/>
      <c r="M295">
        <v>0</v>
      </c>
      <c r="N295">
        <v>16</v>
      </c>
      <c r="O295">
        <f t="shared" si="27"/>
        <v>-16</v>
      </c>
      <c r="P295" s="103" t="s">
        <v>176</v>
      </c>
      <c r="Q295" s="103" t="s">
        <v>184</v>
      </c>
      <c r="T295" s="102">
        <f t="shared" si="28"/>
        <v>24.22360248447205</v>
      </c>
      <c r="U295" s="5">
        <v>39</v>
      </c>
      <c r="V295" s="73">
        <v>2.8356481481481501E-3</v>
      </c>
      <c r="W295" s="69">
        <f t="shared" si="30"/>
        <v>0.11059027777777795</v>
      </c>
      <c r="X295" s="165"/>
    </row>
    <row r="296" spans="1:24" x14ac:dyDescent="0.25">
      <c r="G296">
        <f t="shared" si="31"/>
        <v>0</v>
      </c>
      <c r="H296" s="102">
        <f t="shared" si="26"/>
        <v>24.844720496894407</v>
      </c>
      <c r="I296" s="5">
        <v>40</v>
      </c>
      <c r="J296" s="73">
        <v>2.8356481481481501E-3</v>
      </c>
      <c r="K296" s="69">
        <f t="shared" si="29"/>
        <v>0.11342592592592604</v>
      </c>
      <c r="M296">
        <v>0</v>
      </c>
      <c r="N296">
        <v>6</v>
      </c>
      <c r="O296">
        <f t="shared" si="27"/>
        <v>-6</v>
      </c>
      <c r="T296" s="102">
        <f t="shared" si="28"/>
        <v>24.844720496894407</v>
      </c>
      <c r="U296" s="5">
        <v>40</v>
      </c>
      <c r="V296" s="73">
        <v>2.8356481481481501E-3</v>
      </c>
      <c r="W296" s="69">
        <f t="shared" si="30"/>
        <v>0.11342592592592611</v>
      </c>
    </row>
    <row r="297" spans="1:24" ht="15.75" thickBot="1" x14ac:dyDescent="0.3">
      <c r="H297" s="102">
        <f t="shared" si="26"/>
        <v>25.465838509316768</v>
      </c>
      <c r="I297" s="5">
        <v>41</v>
      </c>
      <c r="J297" s="73">
        <v>2.8356481481481501E-3</v>
      </c>
      <c r="K297" s="69">
        <f t="shared" si="29"/>
        <v>0.1162615740740742</v>
      </c>
      <c r="M297">
        <v>0</v>
      </c>
      <c r="N297">
        <v>2</v>
      </c>
      <c r="O297">
        <f t="shared" si="27"/>
        <v>-2</v>
      </c>
      <c r="T297" s="102">
        <f t="shared" si="28"/>
        <v>25.465838509316768</v>
      </c>
      <c r="U297" s="5">
        <v>41</v>
      </c>
      <c r="V297" s="73">
        <v>2.8356481481481501E-3</v>
      </c>
      <c r="W297" s="69">
        <f t="shared" si="30"/>
        <v>0.11626157407407427</v>
      </c>
    </row>
    <row r="298" spans="1:24" ht="15.75" thickBot="1" x14ac:dyDescent="0.3">
      <c r="H298" s="102">
        <f t="shared" si="26"/>
        <v>26.086956521739129</v>
      </c>
      <c r="I298" s="99">
        <v>42</v>
      </c>
      <c r="J298" s="73">
        <v>2.8356481481481501E-3</v>
      </c>
      <c r="K298" s="94">
        <f t="shared" si="29"/>
        <v>0.11909722222222235</v>
      </c>
      <c r="M298">
        <v>0</v>
      </c>
      <c r="N298">
        <v>0</v>
      </c>
      <c r="O298">
        <f t="shared" si="27"/>
        <v>0</v>
      </c>
      <c r="T298" s="102">
        <f t="shared" si="28"/>
        <v>26.086956521739129</v>
      </c>
      <c r="U298" s="99">
        <v>42</v>
      </c>
      <c r="V298" s="73">
        <v>2.8356481481481501E-3</v>
      </c>
      <c r="W298" s="94">
        <f t="shared" si="30"/>
        <v>0.11909722222222242</v>
      </c>
    </row>
    <row r="299" spans="1:24" ht="15.75" thickBot="1" x14ac:dyDescent="0.3">
      <c r="H299" s="102">
        <f t="shared" si="26"/>
        <v>26.211180124223603</v>
      </c>
      <c r="I299" s="5">
        <v>42.2</v>
      </c>
      <c r="J299" s="73">
        <v>2.8356481481481501E-3</v>
      </c>
      <c r="K299" s="100">
        <f t="shared" si="29"/>
        <v>0.11966435185185199</v>
      </c>
      <c r="L299" t="s">
        <v>147</v>
      </c>
      <c r="M299">
        <v>0</v>
      </c>
      <c r="N299">
        <v>0</v>
      </c>
      <c r="O299">
        <f t="shared" si="27"/>
        <v>0</v>
      </c>
      <c r="T299" s="102">
        <f t="shared" si="28"/>
        <v>26.211180124223603</v>
      </c>
      <c r="U299" s="5">
        <v>42.2</v>
      </c>
      <c r="V299" s="73">
        <v>2.8356481481481501E-3</v>
      </c>
      <c r="W299" s="100">
        <f t="shared" si="30"/>
        <v>0.11966435185185206</v>
      </c>
      <c r="X299" t="s">
        <v>147</v>
      </c>
    </row>
    <row r="301" spans="1:24" x14ac:dyDescent="0.25">
      <c r="K301" t="s">
        <v>125</v>
      </c>
      <c r="L301" s="69">
        <f>K299/I299</f>
        <v>2.8356481481481514E-3</v>
      </c>
    </row>
  </sheetData>
  <mergeCells count="13">
    <mergeCell ref="H11:L11"/>
    <mergeCell ref="H59:L59"/>
    <mergeCell ref="B61:B62"/>
    <mergeCell ref="C61:C62"/>
    <mergeCell ref="B84:B85"/>
    <mergeCell ref="H255:L255"/>
    <mergeCell ref="B259:B260"/>
    <mergeCell ref="C259:C260"/>
    <mergeCell ref="B280:B281"/>
    <mergeCell ref="H108:L108"/>
    <mergeCell ref="B112:B113"/>
    <mergeCell ref="C112:C113"/>
    <mergeCell ref="B133:B134"/>
  </mergeCells>
  <conditionalFormatting sqref="M13:M55">
    <cfRule type="cellIs" dxfId="25" priority="16" operator="greaterThan">
      <formula>0</formula>
    </cfRule>
  </conditionalFormatting>
  <conditionalFormatting sqref="M61:M103">
    <cfRule type="cellIs" dxfId="24" priority="13" operator="greaterThan">
      <formula>0</formula>
    </cfRule>
  </conditionalFormatting>
  <conditionalFormatting sqref="M110:M152">
    <cfRule type="cellIs" dxfId="23" priority="10" operator="greaterThan">
      <formula>0</formula>
    </cfRule>
  </conditionalFormatting>
  <conditionalFormatting sqref="M157:M199">
    <cfRule type="cellIs" dxfId="22" priority="7" operator="greaterThan">
      <formula>0</formula>
    </cfRule>
  </conditionalFormatting>
  <conditionalFormatting sqref="M208:M250">
    <cfRule type="cellIs" dxfId="21" priority="4" operator="greaterThan">
      <formula>0</formula>
    </cfRule>
  </conditionalFormatting>
  <conditionalFormatting sqref="M257:M299">
    <cfRule type="cellIs" dxfId="20" priority="1" operator="greaterThan">
      <formula>0</formula>
    </cfRule>
  </conditionalFormatting>
  <conditionalFormatting sqref="O13:O55">
    <cfRule type="cellIs" dxfId="19" priority="17" operator="greaterThan">
      <formula>0</formula>
    </cfRule>
    <cfRule type="cellIs" dxfId="18" priority="18" operator="lessThan">
      <formula>0</formula>
    </cfRule>
  </conditionalFormatting>
  <conditionalFormatting sqref="O61:O103">
    <cfRule type="cellIs" dxfId="17" priority="14" operator="greaterThan">
      <formula>0</formula>
    </cfRule>
    <cfRule type="cellIs" dxfId="16" priority="15" operator="lessThan">
      <formula>0</formula>
    </cfRule>
  </conditionalFormatting>
  <conditionalFormatting sqref="O110:O152">
    <cfRule type="cellIs" dxfId="15" priority="11" operator="greaterThan">
      <formula>0</formula>
    </cfRule>
    <cfRule type="cellIs" dxfId="14" priority="12" operator="lessThan">
      <formula>0</formula>
    </cfRule>
  </conditionalFormatting>
  <conditionalFormatting sqref="O157:O199">
    <cfRule type="cellIs" dxfId="13" priority="8" operator="greaterThan">
      <formula>0</formula>
    </cfRule>
    <cfRule type="cellIs" dxfId="12" priority="9" operator="lessThan">
      <formula>0</formula>
    </cfRule>
  </conditionalFormatting>
  <conditionalFormatting sqref="O208:O250">
    <cfRule type="cellIs" dxfId="11" priority="5" operator="greaterThan">
      <formula>0</formula>
    </cfRule>
    <cfRule type="cellIs" dxfId="10" priority="6" operator="lessThan">
      <formula>0</formula>
    </cfRule>
  </conditionalFormatting>
  <conditionalFormatting sqref="O257:O299">
    <cfRule type="cellIs" dxfId="9" priority="2" operator="greaterThan">
      <formula>0</formula>
    </cfRule>
    <cfRule type="cellIs" dxfId="8" priority="3" operator="lessThan">
      <formula>0</formula>
    </cfRule>
  </conditionalFormatting>
  <pageMargins left="0.7" right="0.7" top="0.75" bottom="0.75" header="0.3" footer="0.3"/>
  <pageSetup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20">
    <pageSetUpPr fitToPage="1"/>
  </sheetPr>
  <dimension ref="A1:B61"/>
  <sheetViews>
    <sheetView view="pageBreakPreview" zoomScale="60" zoomScaleNormal="100" workbookViewId="0">
      <selection activeCell="Q27" sqref="Q27"/>
    </sheetView>
  </sheetViews>
  <sheetFormatPr baseColWidth="10" defaultRowHeight="15" x14ac:dyDescent="0.25"/>
  <cols>
    <col min="1" max="1" width="4.140625" customWidth="1"/>
    <col min="2" max="2" width="29.28515625" customWidth="1"/>
    <col min="3" max="3" width="2.85546875" customWidth="1"/>
  </cols>
  <sheetData>
    <row r="1" spans="1:2" x14ac:dyDescent="0.25">
      <c r="A1" s="1"/>
      <c r="B1" s="1" t="s">
        <v>186</v>
      </c>
    </row>
    <row r="2" spans="1:2" x14ac:dyDescent="0.25">
      <c r="A2" s="1"/>
      <c r="B2" s="1" t="s">
        <v>187</v>
      </c>
    </row>
    <row r="3" spans="1:2" x14ac:dyDescent="0.25">
      <c r="A3" s="1"/>
      <c r="B3" s="1" t="s">
        <v>188</v>
      </c>
    </row>
    <row r="4" spans="1:2" x14ac:dyDescent="0.25">
      <c r="A4" s="1"/>
      <c r="B4" s="1" t="s">
        <v>385</v>
      </c>
    </row>
    <row r="5" spans="1:2" x14ac:dyDescent="0.25">
      <c r="A5" s="1"/>
      <c r="B5" s="1" t="s">
        <v>386</v>
      </c>
    </row>
    <row r="6" spans="1:2" x14ac:dyDescent="0.25">
      <c r="A6" s="1"/>
      <c r="B6" s="1" t="s">
        <v>189</v>
      </c>
    </row>
    <row r="7" spans="1:2" x14ac:dyDescent="0.25">
      <c r="A7" s="1"/>
      <c r="B7" s="1" t="s">
        <v>190</v>
      </c>
    </row>
    <row r="8" spans="1:2" x14ac:dyDescent="0.25">
      <c r="A8" s="1"/>
      <c r="B8" s="1" t="s">
        <v>191</v>
      </c>
    </row>
    <row r="9" spans="1:2" x14ac:dyDescent="0.25">
      <c r="A9" s="1"/>
      <c r="B9" s="1" t="s">
        <v>192</v>
      </c>
    </row>
    <row r="10" spans="1:2" x14ac:dyDescent="0.25">
      <c r="A10" s="1"/>
      <c r="B10" s="1" t="s">
        <v>193</v>
      </c>
    </row>
    <row r="11" spans="1:2" x14ac:dyDescent="0.25">
      <c r="A11" s="1"/>
      <c r="B11" s="1" t="s">
        <v>194</v>
      </c>
    </row>
    <row r="12" spans="1:2" x14ac:dyDescent="0.25">
      <c r="A12" s="1"/>
      <c r="B12" s="1" t="s">
        <v>195</v>
      </c>
    </row>
    <row r="13" spans="1:2" x14ac:dyDescent="0.25">
      <c r="A13" s="1"/>
      <c r="B13" s="1" t="s">
        <v>196</v>
      </c>
    </row>
    <row r="14" spans="1:2" x14ac:dyDescent="0.25">
      <c r="A14" s="1"/>
      <c r="B14" s="1" t="s">
        <v>197</v>
      </c>
    </row>
    <row r="15" spans="1:2" x14ac:dyDescent="0.25">
      <c r="A15" s="1"/>
      <c r="B15" s="1" t="s">
        <v>198</v>
      </c>
    </row>
    <row r="16" spans="1:2" x14ac:dyDescent="0.25">
      <c r="A16" s="1"/>
      <c r="B16" s="1" t="s">
        <v>199</v>
      </c>
    </row>
    <row r="17" spans="1:2" x14ac:dyDescent="0.25">
      <c r="A17" s="1"/>
      <c r="B17" s="1" t="s">
        <v>200</v>
      </c>
    </row>
    <row r="18" spans="1:2" x14ac:dyDescent="0.25">
      <c r="A18" s="1"/>
      <c r="B18" s="1" t="s">
        <v>166</v>
      </c>
    </row>
    <row r="19" spans="1:2" x14ac:dyDescent="0.25">
      <c r="A19" s="1"/>
      <c r="B19" s="1" t="s">
        <v>201</v>
      </c>
    </row>
    <row r="20" spans="1:2" x14ac:dyDescent="0.25">
      <c r="A20" s="1"/>
      <c r="B20" s="1" t="s">
        <v>202</v>
      </c>
    </row>
    <row r="21" spans="1:2" x14ac:dyDescent="0.25">
      <c r="A21" s="1"/>
      <c r="B21" s="1" t="s">
        <v>203</v>
      </c>
    </row>
    <row r="22" spans="1:2" x14ac:dyDescent="0.25">
      <c r="A22" s="1"/>
      <c r="B22" s="1" t="s">
        <v>204</v>
      </c>
    </row>
    <row r="23" spans="1:2" x14ac:dyDescent="0.25">
      <c r="A23" s="1"/>
      <c r="B23" s="1" t="s">
        <v>205</v>
      </c>
    </row>
    <row r="24" spans="1:2" x14ac:dyDescent="0.25">
      <c r="A24" s="1"/>
      <c r="B24" s="1" t="s">
        <v>206</v>
      </c>
    </row>
    <row r="25" spans="1:2" x14ac:dyDescent="0.25">
      <c r="A25" s="1"/>
      <c r="B25" s="1" t="s">
        <v>207</v>
      </c>
    </row>
    <row r="26" spans="1:2" x14ac:dyDescent="0.25">
      <c r="A26" s="1"/>
      <c r="B26" s="1" t="s">
        <v>387</v>
      </c>
    </row>
    <row r="27" spans="1:2" x14ac:dyDescent="0.25">
      <c r="A27" s="1"/>
      <c r="B27" s="1" t="s">
        <v>208</v>
      </c>
    </row>
    <row r="28" spans="1:2" x14ac:dyDescent="0.25">
      <c r="A28" s="1"/>
      <c r="B28" s="1" t="s">
        <v>209</v>
      </c>
    </row>
    <row r="29" spans="1:2" x14ac:dyDescent="0.25">
      <c r="A29" s="1"/>
      <c r="B29" s="1" t="s">
        <v>210</v>
      </c>
    </row>
    <row r="30" spans="1:2" x14ac:dyDescent="0.25">
      <c r="A30" s="1"/>
      <c r="B30" s="1" t="s">
        <v>211</v>
      </c>
    </row>
    <row r="31" spans="1:2" x14ac:dyDescent="0.25">
      <c r="A31" s="1"/>
      <c r="B31" s="1" t="s">
        <v>212</v>
      </c>
    </row>
    <row r="32" spans="1:2" x14ac:dyDescent="0.25">
      <c r="A32" s="1"/>
      <c r="B32" s="1" t="s">
        <v>388</v>
      </c>
    </row>
    <row r="33" spans="1:2" x14ac:dyDescent="0.25">
      <c r="A33" s="1"/>
      <c r="B33" s="1" t="s">
        <v>389</v>
      </c>
    </row>
    <row r="34" spans="1:2" x14ac:dyDescent="0.25">
      <c r="A34" s="1"/>
      <c r="B34" s="1" t="s">
        <v>390</v>
      </c>
    </row>
    <row r="35" spans="1:2" x14ac:dyDescent="0.25">
      <c r="A35" s="1"/>
      <c r="B35" s="1" t="s">
        <v>391</v>
      </c>
    </row>
    <row r="36" spans="1:2" x14ac:dyDescent="0.25">
      <c r="A36" s="1"/>
      <c r="B36" s="1" t="s">
        <v>392</v>
      </c>
    </row>
    <row r="37" spans="1:2" x14ac:dyDescent="0.25">
      <c r="A37" s="1"/>
      <c r="B37" s="1" t="s">
        <v>393</v>
      </c>
    </row>
    <row r="38" spans="1:2" x14ac:dyDescent="0.25">
      <c r="A38" s="1"/>
      <c r="B38" s="1" t="s">
        <v>394</v>
      </c>
    </row>
    <row r="39" spans="1:2" x14ac:dyDescent="0.25">
      <c r="A39" s="1"/>
      <c r="B39" s="1" t="s">
        <v>395</v>
      </c>
    </row>
    <row r="40" spans="1:2" x14ac:dyDescent="0.25">
      <c r="A40" s="1"/>
      <c r="B40" s="1" t="s">
        <v>396</v>
      </c>
    </row>
    <row r="41" spans="1:2" x14ac:dyDescent="0.25">
      <c r="A41" s="1"/>
      <c r="B41" s="1" t="s">
        <v>397</v>
      </c>
    </row>
    <row r="42" spans="1:2" x14ac:dyDescent="0.25">
      <c r="A42" s="1"/>
      <c r="B42" s="1" t="s">
        <v>398</v>
      </c>
    </row>
    <row r="43" spans="1:2" x14ac:dyDescent="0.25">
      <c r="A43" s="1"/>
      <c r="B43" s="1" t="s">
        <v>399</v>
      </c>
    </row>
    <row r="44" spans="1:2" x14ac:dyDescent="0.25">
      <c r="A44" s="1"/>
      <c r="B44" s="1" t="s">
        <v>400</v>
      </c>
    </row>
    <row r="45" spans="1:2" x14ac:dyDescent="0.25">
      <c r="A45" s="1"/>
      <c r="B45" s="1" t="s">
        <v>401</v>
      </c>
    </row>
    <row r="46" spans="1:2" x14ac:dyDescent="0.25">
      <c r="A46" s="1"/>
      <c r="B46" s="1" t="s">
        <v>698</v>
      </c>
    </row>
    <row r="47" spans="1:2" x14ac:dyDescent="0.25">
      <c r="A47" s="1"/>
      <c r="B47" s="1" t="s">
        <v>402</v>
      </c>
    </row>
    <row r="48" spans="1:2" x14ac:dyDescent="0.25">
      <c r="A48" s="1"/>
      <c r="B48" s="1" t="s">
        <v>403</v>
      </c>
    </row>
    <row r="49" spans="1:2" x14ac:dyDescent="0.25">
      <c r="A49" s="1"/>
      <c r="B49" s="1" t="s">
        <v>404</v>
      </c>
    </row>
    <row r="50" spans="1:2" x14ac:dyDescent="0.25">
      <c r="A50" s="1"/>
      <c r="B50" s="1" t="s">
        <v>405</v>
      </c>
    </row>
    <row r="51" spans="1:2" x14ac:dyDescent="0.25">
      <c r="A51" s="1"/>
      <c r="B51" s="1" t="s">
        <v>406</v>
      </c>
    </row>
    <row r="52" spans="1:2" x14ac:dyDescent="0.25">
      <c r="A52" s="1"/>
      <c r="B52" s="1" t="s">
        <v>407</v>
      </c>
    </row>
    <row r="53" spans="1:2" x14ac:dyDescent="0.25">
      <c r="A53" s="1"/>
      <c r="B53" s="1" t="s">
        <v>408</v>
      </c>
    </row>
    <row r="54" spans="1:2" x14ac:dyDescent="0.25">
      <c r="A54" s="1"/>
      <c r="B54" s="1" t="s">
        <v>409</v>
      </c>
    </row>
    <row r="55" spans="1:2" x14ac:dyDescent="0.25">
      <c r="A55" s="1"/>
      <c r="B55" s="1" t="s">
        <v>410</v>
      </c>
    </row>
    <row r="56" spans="1:2" x14ac:dyDescent="0.25">
      <c r="A56" s="1"/>
      <c r="B56" s="1" t="s">
        <v>411</v>
      </c>
    </row>
    <row r="57" spans="1:2" x14ac:dyDescent="0.25">
      <c r="A57" s="1"/>
      <c r="B57" s="1" t="s">
        <v>699</v>
      </c>
    </row>
    <row r="58" spans="1:2" x14ac:dyDescent="0.25">
      <c r="A58" s="1"/>
      <c r="B58" s="1" t="s">
        <v>700</v>
      </c>
    </row>
    <row r="59" spans="1:2" x14ac:dyDescent="0.25">
      <c r="A59" s="1"/>
      <c r="B59" s="1" t="s">
        <v>701</v>
      </c>
    </row>
    <row r="60" spans="1:2" x14ac:dyDescent="0.25">
      <c r="A60" s="1"/>
      <c r="B60" s="1" t="s">
        <v>702</v>
      </c>
    </row>
    <row r="61" spans="1:2" x14ac:dyDescent="0.25">
      <c r="A61" s="1"/>
      <c r="B61" s="1" t="s">
        <v>703</v>
      </c>
    </row>
  </sheetData>
  <pageMargins left="0.70866141732283472" right="0.70866141732283472" top="0.74803149606299213" bottom="0.74803149606299213" header="0.31496062992125984" footer="0.31496062992125984"/>
  <pageSetup paperSize="9" fitToHeight="4" orientation="portrait" r:id="rId1"/>
  <colBreaks count="1" manualBreakCount="1">
    <brk id="3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22"/>
  <dimension ref="A1:AG49"/>
  <sheetViews>
    <sheetView zoomScale="80" zoomScaleNormal="80" workbookViewId="0">
      <selection activeCell="B3" sqref="B3"/>
    </sheetView>
  </sheetViews>
  <sheetFormatPr baseColWidth="10" defaultRowHeight="15" x14ac:dyDescent="0.25"/>
  <cols>
    <col min="1" max="1" width="10.5703125" customWidth="1"/>
    <col min="2" max="2" width="13" bestFit="1" customWidth="1"/>
    <col min="3" max="3" width="9.85546875" customWidth="1"/>
    <col min="4" max="4" width="6.85546875" bestFit="1" customWidth="1"/>
    <col min="6" max="6" width="6.140625" customWidth="1"/>
    <col min="7" max="7" width="6" bestFit="1" customWidth="1"/>
    <col min="9" max="9" width="3" customWidth="1"/>
    <col min="10" max="10" width="3.7109375" customWidth="1"/>
    <col min="12" max="12" width="9.140625" bestFit="1" customWidth="1"/>
    <col min="20" max="20" width="10.5703125" customWidth="1"/>
    <col min="21" max="21" width="8.28515625" bestFit="1" customWidth="1"/>
    <col min="22" max="22" width="9.42578125" bestFit="1" customWidth="1"/>
    <col min="23" max="23" width="10" bestFit="1" customWidth="1"/>
    <col min="24" max="24" width="16" bestFit="1" customWidth="1"/>
    <col min="25" max="25" width="10" customWidth="1"/>
    <col min="26" max="26" width="17" customWidth="1"/>
    <col min="27" max="27" width="17.42578125" customWidth="1"/>
  </cols>
  <sheetData>
    <row r="1" spans="1:33" x14ac:dyDescent="0.25">
      <c r="A1" t="s">
        <v>87</v>
      </c>
      <c r="D1" t="s">
        <v>120</v>
      </c>
      <c r="G1" t="s">
        <v>88</v>
      </c>
      <c r="J1" s="206" t="s">
        <v>155</v>
      </c>
      <c r="K1" s="206"/>
      <c r="L1" s="206"/>
      <c r="M1" s="206"/>
      <c r="N1" s="206"/>
      <c r="P1" s="206" t="s">
        <v>234</v>
      </c>
      <c r="Q1" s="206"/>
      <c r="R1" s="206"/>
      <c r="S1" s="206"/>
      <c r="T1" s="206"/>
      <c r="U1" t="s">
        <v>163</v>
      </c>
      <c r="V1" t="s">
        <v>164</v>
      </c>
      <c r="W1" t="s">
        <v>165</v>
      </c>
      <c r="Y1" t="s">
        <v>166</v>
      </c>
      <c r="Z1" t="s">
        <v>170</v>
      </c>
      <c r="AA1" s="206"/>
      <c r="AB1" s="206"/>
      <c r="AC1" s="206"/>
      <c r="AD1" s="206"/>
      <c r="AE1" t="s">
        <v>163</v>
      </c>
      <c r="AF1" t="s">
        <v>164</v>
      </c>
      <c r="AG1" t="s">
        <v>165</v>
      </c>
    </row>
    <row r="2" spans="1:33" ht="15.75" thickBot="1" x14ac:dyDescent="0.3">
      <c r="A2">
        <v>1</v>
      </c>
      <c r="B2" s="69">
        <v>2.3726851851851851E-3</v>
      </c>
      <c r="C2" t="s">
        <v>84</v>
      </c>
      <c r="E2" s="69">
        <v>2.5000000000000001E-3</v>
      </c>
      <c r="G2">
        <v>1</v>
      </c>
      <c r="H2" s="69">
        <v>2.6041666666666665E-3</v>
      </c>
      <c r="I2" s="69"/>
      <c r="K2" t="s">
        <v>119</v>
      </c>
      <c r="L2" t="s">
        <v>123</v>
      </c>
      <c r="M2" t="s">
        <v>124</v>
      </c>
      <c r="P2" t="s">
        <v>168</v>
      </c>
      <c r="Q2" t="s">
        <v>119</v>
      </c>
      <c r="R2" t="s">
        <v>123</v>
      </c>
      <c r="S2" t="s">
        <v>124</v>
      </c>
      <c r="Y2" t="s">
        <v>166</v>
      </c>
      <c r="Z2" s="68" t="s">
        <v>170</v>
      </c>
      <c r="AB2" t="s">
        <v>123</v>
      </c>
      <c r="AC2" t="s">
        <v>124</v>
      </c>
    </row>
    <row r="3" spans="1:33" ht="15.75" thickBot="1" x14ac:dyDescent="0.3">
      <c r="A3">
        <v>0.1</v>
      </c>
      <c r="B3" s="69">
        <f t="shared" ref="B3:B16" si="0">$B$2*A3</f>
        <v>2.3726851851851852E-4</v>
      </c>
      <c r="D3">
        <v>0.1</v>
      </c>
      <c r="E3" s="69">
        <f t="shared" ref="E3:E16" si="1">$E$2*D3</f>
        <v>2.5000000000000001E-4</v>
      </c>
      <c r="G3">
        <v>2</v>
      </c>
      <c r="H3" s="69">
        <f>$H$2*G3</f>
        <v>5.208333333333333E-3</v>
      </c>
      <c r="I3" s="69"/>
      <c r="J3" s="131"/>
      <c r="K3">
        <v>1</v>
      </c>
      <c r="L3" s="128">
        <v>2.6620370370370374E-3</v>
      </c>
      <c r="M3" s="73">
        <f>L3</f>
        <v>2.6620370370370374E-3</v>
      </c>
      <c r="P3" s="102">
        <f t="shared" ref="P3:P45" si="2">Q3/1.61</f>
        <v>0.6211180124223602</v>
      </c>
      <c r="Q3">
        <v>1</v>
      </c>
      <c r="R3" s="73">
        <v>2.662037037037037E-3</v>
      </c>
      <c r="S3" s="69">
        <f>R3</f>
        <v>2.662037037037037E-3</v>
      </c>
      <c r="U3">
        <v>9</v>
      </c>
      <c r="V3">
        <v>4</v>
      </c>
      <c r="W3">
        <f t="shared" ref="W3:W45" si="3">U3-V3</f>
        <v>5</v>
      </c>
      <c r="AB3" s="128">
        <v>2.7777777777777779E-3</v>
      </c>
      <c r="AC3" s="69">
        <f>AB3</f>
        <v>2.7777777777777779E-3</v>
      </c>
      <c r="AE3">
        <v>0</v>
      </c>
      <c r="AF3">
        <v>9</v>
      </c>
      <c r="AG3">
        <f t="shared" ref="AG3:AG15" si="4">AE3-AF3</f>
        <v>-9</v>
      </c>
    </row>
    <row r="4" spans="1:33" ht="15.75" thickBot="1" x14ac:dyDescent="0.3">
      <c r="A4">
        <v>0.2</v>
      </c>
      <c r="B4" s="69">
        <f t="shared" si="0"/>
        <v>4.7453703703703704E-4</v>
      </c>
      <c r="D4">
        <v>0.2</v>
      </c>
      <c r="E4" s="69">
        <f t="shared" si="1"/>
        <v>5.0000000000000001E-4</v>
      </c>
      <c r="G4">
        <v>3</v>
      </c>
      <c r="H4" s="69">
        <f t="shared" ref="H4:H16" si="5">$H$2*G4</f>
        <v>7.8125E-3</v>
      </c>
      <c r="I4" s="69"/>
      <c r="J4" s="131"/>
      <c r="K4">
        <v>2</v>
      </c>
      <c r="L4" s="128">
        <v>2.6620370370370374E-3</v>
      </c>
      <c r="M4" s="73">
        <f>L4*(K4-K3)+M3</f>
        <v>5.3240740740740748E-3</v>
      </c>
      <c r="N4" t="s">
        <v>140</v>
      </c>
      <c r="P4" s="102">
        <f t="shared" si="2"/>
        <v>1.2422360248447204</v>
      </c>
      <c r="Q4">
        <v>2</v>
      </c>
      <c r="R4" s="73">
        <v>2.662037037037037E-3</v>
      </c>
      <c r="S4" s="69">
        <f t="shared" ref="S4:S45" si="6">R4*(Q4-Q3)+S3</f>
        <v>5.324074074074074E-3</v>
      </c>
      <c r="T4" t="s">
        <v>245</v>
      </c>
      <c r="U4">
        <v>1</v>
      </c>
      <c r="V4">
        <v>1</v>
      </c>
      <c r="W4">
        <f t="shared" si="3"/>
        <v>0</v>
      </c>
      <c r="AB4" s="128">
        <v>2.7777777777777779E-3</v>
      </c>
      <c r="AC4" s="69">
        <f t="shared" ref="AC4:AC15" si="7">AB4*(AA4-AA3)+AC3</f>
        <v>2.7777777777777779E-3</v>
      </c>
      <c r="AE4">
        <v>0</v>
      </c>
      <c r="AF4">
        <v>10</v>
      </c>
      <c r="AG4">
        <f t="shared" si="4"/>
        <v>-10</v>
      </c>
    </row>
    <row r="5" spans="1:33" ht="15.75" thickBot="1" x14ac:dyDescent="0.3">
      <c r="A5">
        <v>0.3</v>
      </c>
      <c r="B5" s="69">
        <f t="shared" si="0"/>
        <v>7.1180555555555548E-4</v>
      </c>
      <c r="D5" s="70">
        <v>0.25</v>
      </c>
      <c r="E5" s="69">
        <f t="shared" si="1"/>
        <v>6.2500000000000001E-4</v>
      </c>
      <c r="G5">
        <v>4</v>
      </c>
      <c r="H5" s="69">
        <f t="shared" si="5"/>
        <v>1.0416666666666666E-2</v>
      </c>
      <c r="I5" s="69"/>
      <c r="J5" s="123"/>
      <c r="K5">
        <v>3</v>
      </c>
      <c r="L5" s="128">
        <v>2.60416666666667E-3</v>
      </c>
      <c r="M5" s="73">
        <f t="shared" ref="M5:M45" si="8">L5*(K5-K4)+M4</f>
        <v>7.9282407407407444E-3</v>
      </c>
      <c r="N5" t="s">
        <v>141</v>
      </c>
      <c r="P5" s="102">
        <f t="shared" si="2"/>
        <v>1.8633540372670807</v>
      </c>
      <c r="Q5">
        <v>3</v>
      </c>
      <c r="R5" s="73">
        <v>2.6041666666666665E-3</v>
      </c>
      <c r="S5" s="69">
        <f t="shared" si="6"/>
        <v>7.9282407407407409E-3</v>
      </c>
      <c r="T5" t="s">
        <v>236</v>
      </c>
      <c r="U5">
        <v>1</v>
      </c>
      <c r="V5">
        <v>4</v>
      </c>
      <c r="W5">
        <f t="shared" si="3"/>
        <v>-3</v>
      </c>
      <c r="X5" t="s">
        <v>252</v>
      </c>
      <c r="Y5" s="103" t="s">
        <v>250</v>
      </c>
      <c r="AB5" s="128">
        <v>2.7777777777777779E-3</v>
      </c>
      <c r="AC5" s="69">
        <f t="shared" si="7"/>
        <v>2.7777777777777779E-3</v>
      </c>
      <c r="AE5">
        <v>11</v>
      </c>
      <c r="AF5">
        <v>17</v>
      </c>
      <c r="AG5">
        <f t="shared" si="4"/>
        <v>-6</v>
      </c>
    </row>
    <row r="6" spans="1:33" ht="15.75" thickBot="1" x14ac:dyDescent="0.3">
      <c r="A6" s="70">
        <v>0.4</v>
      </c>
      <c r="B6" s="73">
        <f>$B$2*A6</f>
        <v>9.4907407407407408E-4</v>
      </c>
      <c r="D6" s="70">
        <v>0.5</v>
      </c>
      <c r="E6" s="69">
        <f t="shared" si="1"/>
        <v>1.25E-3</v>
      </c>
      <c r="G6">
        <v>5</v>
      </c>
      <c r="H6" s="69">
        <f t="shared" si="5"/>
        <v>1.3020833333333332E-2</v>
      </c>
      <c r="I6" s="69"/>
      <c r="J6" s="131"/>
      <c r="K6">
        <v>4</v>
      </c>
      <c r="L6" s="128">
        <v>2.60416666666667E-3</v>
      </c>
      <c r="M6" s="73">
        <f t="shared" si="8"/>
        <v>1.0532407407407414E-2</v>
      </c>
      <c r="P6" s="102">
        <f t="shared" si="2"/>
        <v>2.4844720496894408</v>
      </c>
      <c r="Q6">
        <v>4</v>
      </c>
      <c r="R6" s="73">
        <v>2.6041666666666665E-3</v>
      </c>
      <c r="S6" s="69">
        <f t="shared" si="6"/>
        <v>1.0532407407407407E-2</v>
      </c>
      <c r="T6" t="s">
        <v>247</v>
      </c>
      <c r="U6">
        <v>0</v>
      </c>
      <c r="V6">
        <v>1</v>
      </c>
      <c r="W6">
        <f t="shared" si="3"/>
        <v>-1</v>
      </c>
      <c r="AB6" s="128">
        <v>2.7777777777777779E-3</v>
      </c>
      <c r="AC6" s="69">
        <f t="shared" si="7"/>
        <v>2.7777777777777779E-3</v>
      </c>
      <c r="AE6">
        <v>0</v>
      </c>
      <c r="AF6">
        <v>53</v>
      </c>
      <c r="AG6">
        <f t="shared" si="4"/>
        <v>-53</v>
      </c>
    </row>
    <row r="7" spans="1:33" ht="15.75" thickBot="1" x14ac:dyDescent="0.3">
      <c r="A7" s="70">
        <v>0.6</v>
      </c>
      <c r="B7" s="73">
        <f t="shared" si="0"/>
        <v>1.423611111111111E-3</v>
      </c>
      <c r="D7" s="70">
        <v>1</v>
      </c>
      <c r="E7" s="69">
        <f t="shared" si="1"/>
        <v>2.5000000000000001E-3</v>
      </c>
      <c r="G7" s="70">
        <v>5</v>
      </c>
      <c r="H7" s="69">
        <f t="shared" si="5"/>
        <v>1.3020833333333332E-2</v>
      </c>
      <c r="I7" s="69"/>
      <c r="J7" s="131"/>
      <c r="K7">
        <v>5</v>
      </c>
      <c r="L7" s="128">
        <v>2.60416666666667E-3</v>
      </c>
      <c r="M7" s="130">
        <f>L7*(K7-K6)+M6</f>
        <v>1.3136574074074083E-2</v>
      </c>
      <c r="P7" s="102">
        <f t="shared" si="2"/>
        <v>3.1055900621118009</v>
      </c>
      <c r="Q7" s="135">
        <v>5</v>
      </c>
      <c r="R7" s="73">
        <v>2.60416666666667E-3</v>
      </c>
      <c r="S7" s="94">
        <f t="shared" si="6"/>
        <v>1.3136574074074077E-2</v>
      </c>
      <c r="T7" t="s">
        <v>237</v>
      </c>
      <c r="U7">
        <v>1</v>
      </c>
      <c r="V7">
        <v>1</v>
      </c>
      <c r="W7">
        <f t="shared" si="3"/>
        <v>0</v>
      </c>
      <c r="X7" t="s">
        <v>237</v>
      </c>
      <c r="Y7" s="103" t="s">
        <v>166</v>
      </c>
      <c r="Z7" s="103"/>
      <c r="AB7" s="128">
        <v>2.7777777777777779E-3</v>
      </c>
      <c r="AC7" s="94">
        <f t="shared" si="7"/>
        <v>2.7777777777777779E-3</v>
      </c>
      <c r="AE7">
        <v>0</v>
      </c>
      <c r="AF7">
        <v>0</v>
      </c>
      <c r="AG7">
        <f t="shared" si="4"/>
        <v>0</v>
      </c>
    </row>
    <row r="8" spans="1:33" ht="15.75" thickBot="1" x14ac:dyDescent="0.3">
      <c r="A8">
        <v>0.8</v>
      </c>
      <c r="B8" s="69">
        <f t="shared" si="0"/>
        <v>1.8981481481481482E-3</v>
      </c>
      <c r="D8" s="70">
        <v>2</v>
      </c>
      <c r="E8" s="69">
        <f t="shared" si="1"/>
        <v>5.0000000000000001E-3</v>
      </c>
      <c r="G8" s="70">
        <v>8</v>
      </c>
      <c r="H8" s="69">
        <f t="shared" si="5"/>
        <v>2.0833333333333332E-2</v>
      </c>
      <c r="I8" s="69"/>
      <c r="J8" s="131"/>
      <c r="K8">
        <v>6</v>
      </c>
      <c r="L8" s="128">
        <v>2.60416666666667E-3</v>
      </c>
      <c r="M8" s="73">
        <f t="shared" si="8"/>
        <v>1.5740740740740753E-2</v>
      </c>
      <c r="P8" s="102">
        <f t="shared" si="2"/>
        <v>3.7267080745341614</v>
      </c>
      <c r="Q8" s="136">
        <v>6</v>
      </c>
      <c r="R8" s="73">
        <v>2.60416666666667E-3</v>
      </c>
      <c r="S8" s="69">
        <f t="shared" si="6"/>
        <v>1.5740740740740746E-2</v>
      </c>
      <c r="U8">
        <v>0</v>
      </c>
      <c r="V8">
        <v>2</v>
      </c>
      <c r="W8">
        <f t="shared" si="3"/>
        <v>-2</v>
      </c>
      <c r="X8" s="70" t="s">
        <v>251</v>
      </c>
      <c r="Y8" s="103" t="s">
        <v>166</v>
      </c>
      <c r="Z8" s="68" t="s">
        <v>170</v>
      </c>
      <c r="AB8" s="128">
        <v>3.472222222222222E-3</v>
      </c>
      <c r="AC8" s="69">
        <f t="shared" si="7"/>
        <v>2.7777777777777779E-3</v>
      </c>
      <c r="AE8">
        <v>57</v>
      </c>
      <c r="AF8">
        <v>8</v>
      </c>
      <c r="AG8">
        <f t="shared" si="4"/>
        <v>49</v>
      </c>
    </row>
    <row r="9" spans="1:33" ht="15.75" thickBot="1" x14ac:dyDescent="0.3">
      <c r="A9" s="70">
        <v>1.2</v>
      </c>
      <c r="B9" s="73">
        <f t="shared" si="0"/>
        <v>2.8472222222222219E-3</v>
      </c>
      <c r="D9">
        <v>3</v>
      </c>
      <c r="E9" s="69">
        <f t="shared" si="1"/>
        <v>7.4999999999999997E-3</v>
      </c>
      <c r="G9">
        <v>10</v>
      </c>
      <c r="H9" s="69">
        <f t="shared" si="5"/>
        <v>2.6041666666666664E-2</v>
      </c>
      <c r="I9" s="69"/>
      <c r="J9" s="131"/>
      <c r="K9">
        <v>7</v>
      </c>
      <c r="L9" s="128">
        <v>2.60416666666667E-3</v>
      </c>
      <c r="M9" s="73">
        <f t="shared" si="8"/>
        <v>1.8344907407407424E-2</v>
      </c>
      <c r="N9" t="s">
        <v>142</v>
      </c>
      <c r="P9" s="102">
        <f t="shared" si="2"/>
        <v>4.3478260869565215</v>
      </c>
      <c r="Q9">
        <v>7</v>
      </c>
      <c r="R9" s="73">
        <v>2.60416666666667E-3</v>
      </c>
      <c r="S9" s="69">
        <f t="shared" si="6"/>
        <v>1.8344907407407417E-2</v>
      </c>
      <c r="T9" t="s">
        <v>235</v>
      </c>
      <c r="U9">
        <v>10</v>
      </c>
      <c r="V9">
        <v>4</v>
      </c>
      <c r="W9">
        <f t="shared" si="3"/>
        <v>6</v>
      </c>
      <c r="AB9" s="128">
        <v>2.7777777777777779E-3</v>
      </c>
      <c r="AC9" s="69">
        <f t="shared" si="7"/>
        <v>2.7777777777777779E-3</v>
      </c>
      <c r="AE9">
        <v>7</v>
      </c>
      <c r="AF9">
        <v>0</v>
      </c>
      <c r="AG9">
        <f t="shared" si="4"/>
        <v>7</v>
      </c>
    </row>
    <row r="10" spans="1:33" ht="15.75" thickBot="1" x14ac:dyDescent="0.3">
      <c r="A10">
        <v>1.4</v>
      </c>
      <c r="B10" s="69">
        <f t="shared" si="0"/>
        <v>3.3217592592592591E-3</v>
      </c>
      <c r="D10" s="70">
        <v>4</v>
      </c>
      <c r="E10" s="69">
        <f t="shared" si="1"/>
        <v>0.01</v>
      </c>
      <c r="G10" s="70">
        <v>12</v>
      </c>
      <c r="H10" s="69">
        <f t="shared" si="5"/>
        <v>3.125E-2</v>
      </c>
      <c r="I10" s="69"/>
      <c r="J10" s="131"/>
      <c r="K10">
        <v>8</v>
      </c>
      <c r="L10" s="128">
        <v>2.60416666666667E-3</v>
      </c>
      <c r="M10" s="73">
        <f t="shared" si="8"/>
        <v>2.0949074074074096E-2</v>
      </c>
      <c r="P10" s="102">
        <f t="shared" si="2"/>
        <v>4.9689440993788816</v>
      </c>
      <c r="Q10">
        <v>8</v>
      </c>
      <c r="R10" s="73">
        <v>2.60416666666667E-3</v>
      </c>
      <c r="S10" s="69">
        <f t="shared" si="6"/>
        <v>2.0949074074074089E-2</v>
      </c>
      <c r="U10">
        <v>5</v>
      </c>
      <c r="V10">
        <v>7</v>
      </c>
      <c r="W10">
        <f t="shared" si="3"/>
        <v>-2</v>
      </c>
      <c r="AB10" s="128">
        <v>3.472222222222222E-3</v>
      </c>
      <c r="AC10" s="69">
        <f t="shared" si="7"/>
        <v>2.7777777777777779E-3</v>
      </c>
      <c r="AE10">
        <v>15</v>
      </c>
      <c r="AF10">
        <v>0</v>
      </c>
      <c r="AG10">
        <f t="shared" si="4"/>
        <v>15</v>
      </c>
    </row>
    <row r="11" spans="1:33" ht="15.75" thickBot="1" x14ac:dyDescent="0.3">
      <c r="A11" s="70">
        <v>1.6</v>
      </c>
      <c r="B11" s="73">
        <f t="shared" si="0"/>
        <v>3.7962962962962963E-3</v>
      </c>
      <c r="D11">
        <v>4.63</v>
      </c>
      <c r="E11" s="69">
        <f t="shared" si="1"/>
        <v>1.1575E-2</v>
      </c>
      <c r="G11">
        <v>14</v>
      </c>
      <c r="H11" s="69">
        <f t="shared" si="5"/>
        <v>3.6458333333333329E-2</v>
      </c>
      <c r="I11" s="69"/>
      <c r="J11" s="131"/>
      <c r="K11">
        <v>9</v>
      </c>
      <c r="L11" s="128">
        <v>2.60416666666667E-3</v>
      </c>
      <c r="M11" s="73">
        <f t="shared" si="8"/>
        <v>2.3553240740740767E-2</v>
      </c>
      <c r="P11" s="102">
        <f t="shared" si="2"/>
        <v>5.5900621118012417</v>
      </c>
      <c r="Q11" s="136">
        <v>9</v>
      </c>
      <c r="R11" s="73">
        <v>2.60416666666667E-3</v>
      </c>
      <c r="S11" s="69">
        <f t="shared" si="6"/>
        <v>2.355324074074076E-2</v>
      </c>
      <c r="U11">
        <v>6</v>
      </c>
      <c r="V11">
        <v>1</v>
      </c>
      <c r="W11">
        <f t="shared" si="3"/>
        <v>5</v>
      </c>
      <c r="X11" s="103" t="s">
        <v>254</v>
      </c>
      <c r="Y11" s="103" t="s">
        <v>250</v>
      </c>
      <c r="AB11" s="128">
        <v>3.472222222222222E-3</v>
      </c>
      <c r="AC11" s="69">
        <f t="shared" si="7"/>
        <v>2.7777777777777779E-3</v>
      </c>
      <c r="AE11">
        <v>15</v>
      </c>
      <c r="AF11">
        <v>4</v>
      </c>
      <c r="AG11">
        <f t="shared" si="4"/>
        <v>11</v>
      </c>
    </row>
    <row r="12" spans="1:33" ht="15.75" thickBot="1" x14ac:dyDescent="0.3">
      <c r="A12">
        <v>1.8</v>
      </c>
      <c r="B12" s="69">
        <f t="shared" si="0"/>
        <v>4.2708333333333331E-3</v>
      </c>
      <c r="D12">
        <v>5</v>
      </c>
      <c r="E12" s="69">
        <f t="shared" si="1"/>
        <v>1.2500000000000001E-2</v>
      </c>
      <c r="G12">
        <v>16</v>
      </c>
      <c r="H12" s="69">
        <f t="shared" si="5"/>
        <v>4.1666666666666664E-2</v>
      </c>
      <c r="I12" s="69"/>
      <c r="J12" s="131"/>
      <c r="K12">
        <v>10</v>
      </c>
      <c r="L12" s="128">
        <v>2.60416666666667E-3</v>
      </c>
      <c r="M12" s="130">
        <f t="shared" si="8"/>
        <v>2.6157407407407438E-2</v>
      </c>
      <c r="P12" s="102">
        <f t="shared" si="2"/>
        <v>6.2111801242236018</v>
      </c>
      <c r="Q12" s="126">
        <v>10</v>
      </c>
      <c r="R12" s="73">
        <v>2.60416666666667E-3</v>
      </c>
      <c r="S12" s="94">
        <f t="shared" si="6"/>
        <v>2.6157407407407431E-2</v>
      </c>
      <c r="T12" t="s">
        <v>238</v>
      </c>
      <c r="U12">
        <v>0</v>
      </c>
      <c r="V12">
        <v>6</v>
      </c>
      <c r="W12">
        <f t="shared" si="3"/>
        <v>-6</v>
      </c>
      <c r="AB12" s="128">
        <v>3.472222222222222E-3</v>
      </c>
      <c r="AC12" s="94">
        <f t="shared" si="7"/>
        <v>2.7777777777777779E-3</v>
      </c>
      <c r="AE12">
        <v>13</v>
      </c>
      <c r="AF12">
        <v>6</v>
      </c>
      <c r="AG12">
        <f t="shared" si="4"/>
        <v>7</v>
      </c>
    </row>
    <row r="13" spans="1:33" ht="15.75" thickBot="1" x14ac:dyDescent="0.3">
      <c r="A13" s="70">
        <v>2</v>
      </c>
      <c r="B13" s="73">
        <f t="shared" si="0"/>
        <v>4.7453703703703703E-3</v>
      </c>
      <c r="D13" s="70">
        <v>7</v>
      </c>
      <c r="E13" s="69">
        <f t="shared" si="1"/>
        <v>1.7500000000000002E-2</v>
      </c>
      <c r="G13" s="70">
        <v>18</v>
      </c>
      <c r="H13" s="69">
        <f t="shared" si="5"/>
        <v>4.6875E-2</v>
      </c>
      <c r="I13" s="69"/>
      <c r="J13" s="131"/>
      <c r="K13">
        <v>11</v>
      </c>
      <c r="L13" s="128">
        <v>2.60416666666667E-3</v>
      </c>
      <c r="M13" s="73">
        <f t="shared" si="8"/>
        <v>2.876157407407411E-2</v>
      </c>
      <c r="N13" t="s">
        <v>143</v>
      </c>
      <c r="P13" s="102">
        <f t="shared" si="2"/>
        <v>6.8322981366459627</v>
      </c>
      <c r="Q13">
        <v>11</v>
      </c>
      <c r="R13" s="73">
        <v>2.60416666666667E-3</v>
      </c>
      <c r="S13" s="69">
        <f t="shared" si="6"/>
        <v>2.8761574074074103E-2</v>
      </c>
      <c r="U13">
        <v>0</v>
      </c>
      <c r="V13">
        <v>2</v>
      </c>
      <c r="W13">
        <f t="shared" si="3"/>
        <v>-2</v>
      </c>
      <c r="AB13" s="128">
        <v>2.7777777777777779E-3</v>
      </c>
      <c r="AC13" s="69">
        <f t="shared" si="7"/>
        <v>2.7777777777777779E-3</v>
      </c>
      <c r="AE13">
        <v>0</v>
      </c>
      <c r="AF13">
        <v>11</v>
      </c>
      <c r="AG13">
        <f t="shared" si="4"/>
        <v>-11</v>
      </c>
    </row>
    <row r="14" spans="1:33" ht="15.75" thickBot="1" x14ac:dyDescent="0.3">
      <c r="A14">
        <v>2.2000000000000002</v>
      </c>
      <c r="B14" s="69">
        <f t="shared" si="0"/>
        <v>5.2199074074074075E-3</v>
      </c>
      <c r="D14">
        <v>8</v>
      </c>
      <c r="E14" s="69">
        <f t="shared" si="1"/>
        <v>0.02</v>
      </c>
      <c r="G14">
        <v>20</v>
      </c>
      <c r="H14" s="69">
        <f t="shared" si="5"/>
        <v>5.2083333333333329E-2</v>
      </c>
      <c r="I14" s="69"/>
      <c r="J14" s="131"/>
      <c r="K14">
        <v>12</v>
      </c>
      <c r="L14" s="128">
        <v>2.60416666666667E-3</v>
      </c>
      <c r="M14" s="73">
        <f t="shared" si="8"/>
        <v>3.1365740740740777E-2</v>
      </c>
      <c r="P14" s="102">
        <f t="shared" si="2"/>
        <v>7.4534161490683228</v>
      </c>
      <c r="Q14" s="136">
        <v>12</v>
      </c>
      <c r="R14" s="73">
        <v>2.60416666666667E-3</v>
      </c>
      <c r="S14" s="69">
        <f t="shared" si="6"/>
        <v>3.136574074074077E-2</v>
      </c>
      <c r="U14">
        <v>7</v>
      </c>
      <c r="V14">
        <v>4</v>
      </c>
      <c r="W14">
        <f t="shared" si="3"/>
        <v>3</v>
      </c>
      <c r="X14" s="103" t="s">
        <v>253</v>
      </c>
      <c r="Y14" s="103" t="s">
        <v>166</v>
      </c>
      <c r="Z14" s="68" t="s">
        <v>170</v>
      </c>
      <c r="AB14" s="128">
        <v>2.7777777777777779E-3</v>
      </c>
      <c r="AC14" s="69">
        <f t="shared" si="7"/>
        <v>2.7777777777777779E-3</v>
      </c>
      <c r="AE14">
        <v>0</v>
      </c>
      <c r="AF14">
        <v>29</v>
      </c>
      <c r="AG14">
        <f t="shared" si="4"/>
        <v>-29</v>
      </c>
    </row>
    <row r="15" spans="1:33" ht="15.75" thickBot="1" x14ac:dyDescent="0.3">
      <c r="A15" s="70">
        <v>2.4</v>
      </c>
      <c r="B15" s="73">
        <f t="shared" si="0"/>
        <v>5.6944444444444438E-3</v>
      </c>
      <c r="D15" s="126">
        <v>9</v>
      </c>
      <c r="E15" s="94">
        <f t="shared" si="1"/>
        <v>2.2499999999999999E-2</v>
      </c>
      <c r="G15" s="159">
        <v>21.1</v>
      </c>
      <c r="H15" s="69">
        <f>$H$2*G15</f>
        <v>5.4947916666666666E-2</v>
      </c>
      <c r="I15" s="69"/>
      <c r="J15" s="131"/>
      <c r="K15">
        <v>13</v>
      </c>
      <c r="L15" s="128">
        <v>2.60416666666667E-3</v>
      </c>
      <c r="M15" s="73">
        <f t="shared" si="8"/>
        <v>3.3969907407407449E-2</v>
      </c>
      <c r="P15" s="102">
        <f t="shared" si="2"/>
        <v>8.074534161490682</v>
      </c>
      <c r="Q15">
        <v>13</v>
      </c>
      <c r="R15" s="73">
        <v>2.60416666666667E-3</v>
      </c>
      <c r="S15" s="69">
        <f t="shared" si="6"/>
        <v>3.3969907407407442E-2</v>
      </c>
      <c r="T15" t="s">
        <v>235</v>
      </c>
      <c r="U15">
        <v>0</v>
      </c>
      <c r="V15">
        <v>2</v>
      </c>
      <c r="W15">
        <f t="shared" si="3"/>
        <v>-2</v>
      </c>
      <c r="AB15" s="128">
        <v>3.472222222222222E-3</v>
      </c>
      <c r="AC15" s="69">
        <f t="shared" si="7"/>
        <v>2.7777777777777779E-3</v>
      </c>
      <c r="AE15">
        <v>29</v>
      </c>
      <c r="AF15">
        <v>0</v>
      </c>
      <c r="AG15">
        <f t="shared" si="4"/>
        <v>29</v>
      </c>
    </row>
    <row r="16" spans="1:33" ht="15.75" thickBot="1" x14ac:dyDescent="0.3">
      <c r="A16">
        <v>3</v>
      </c>
      <c r="B16" s="69">
        <f t="shared" si="0"/>
        <v>7.1180555555555554E-3</v>
      </c>
      <c r="D16">
        <v>10</v>
      </c>
      <c r="E16" s="69">
        <f t="shared" si="1"/>
        <v>2.5000000000000001E-2</v>
      </c>
      <c r="H16" s="69">
        <f t="shared" si="5"/>
        <v>0</v>
      </c>
      <c r="I16" s="69"/>
      <c r="J16" s="131"/>
      <c r="K16">
        <v>14</v>
      </c>
      <c r="L16" s="128">
        <v>2.60416666666667E-3</v>
      </c>
      <c r="M16" s="73">
        <f t="shared" si="8"/>
        <v>3.657407407407412E-2</v>
      </c>
      <c r="P16" s="102">
        <f t="shared" si="2"/>
        <v>8.695652173913043</v>
      </c>
      <c r="Q16">
        <v>14</v>
      </c>
      <c r="R16" s="73">
        <v>2.60416666666667E-3</v>
      </c>
      <c r="S16" s="69">
        <f t="shared" si="6"/>
        <v>3.6574074074074113E-2</v>
      </c>
      <c r="U16">
        <v>1</v>
      </c>
      <c r="V16">
        <v>5</v>
      </c>
      <c r="W16">
        <f t="shared" si="3"/>
        <v>-4</v>
      </c>
      <c r="AB16" s="134"/>
      <c r="AC16" s="100"/>
    </row>
    <row r="17" spans="1:30" ht="15.75" thickBot="1" x14ac:dyDescent="0.3">
      <c r="J17" s="131"/>
      <c r="K17">
        <v>15</v>
      </c>
      <c r="L17" s="128">
        <v>2.60416666666667E-3</v>
      </c>
      <c r="M17" s="130">
        <f t="shared" si="8"/>
        <v>3.9178240740740791E-2</v>
      </c>
      <c r="N17" t="s">
        <v>144</v>
      </c>
      <c r="P17" s="102">
        <f t="shared" si="2"/>
        <v>9.316770186335404</v>
      </c>
      <c r="Q17" s="126">
        <v>15</v>
      </c>
      <c r="R17" s="73">
        <v>2.60416666666667E-3</v>
      </c>
      <c r="S17" s="94">
        <f t="shared" si="6"/>
        <v>3.9178240740740784E-2</v>
      </c>
      <c r="T17" t="s">
        <v>237</v>
      </c>
      <c r="U17">
        <v>3</v>
      </c>
      <c r="V17">
        <v>4</v>
      </c>
      <c r="W17">
        <f t="shared" si="3"/>
        <v>-1</v>
      </c>
    </row>
    <row r="18" spans="1:30" ht="15.75" thickBot="1" x14ac:dyDescent="0.3">
      <c r="H18" t="s">
        <v>303</v>
      </c>
      <c r="J18" s="131"/>
      <c r="K18">
        <v>16</v>
      </c>
      <c r="L18" s="128">
        <v>2.60416666666667E-3</v>
      </c>
      <c r="M18" s="73">
        <f t="shared" si="8"/>
        <v>4.1782407407407463E-2</v>
      </c>
      <c r="P18" s="102">
        <f t="shared" si="2"/>
        <v>9.9378881987577632</v>
      </c>
      <c r="Q18" s="136">
        <v>16</v>
      </c>
      <c r="R18" s="73">
        <v>2.60416666666667E-3</v>
      </c>
      <c r="S18" s="69">
        <f t="shared" si="6"/>
        <v>4.1782407407407456E-2</v>
      </c>
      <c r="U18">
        <v>2</v>
      </c>
      <c r="V18">
        <v>0</v>
      </c>
      <c r="W18">
        <f t="shared" si="3"/>
        <v>2</v>
      </c>
      <c r="X18" t="s">
        <v>249</v>
      </c>
      <c r="Y18" s="103" t="s">
        <v>250</v>
      </c>
      <c r="Z18" s="103"/>
      <c r="AC18" t="s">
        <v>125</v>
      </c>
      <c r="AD18" s="69" t="e">
        <f>AC15/AA15</f>
        <v>#DIV/0!</v>
      </c>
    </row>
    <row r="19" spans="1:30" ht="15.75" thickBot="1" x14ac:dyDescent="0.3">
      <c r="A19" t="s">
        <v>305</v>
      </c>
      <c r="D19" t="s">
        <v>298</v>
      </c>
      <c r="E19" s="153">
        <v>0.1875</v>
      </c>
      <c r="F19" s="153">
        <v>0.18055555555555555</v>
      </c>
      <c r="J19" s="131"/>
      <c r="K19">
        <v>17</v>
      </c>
      <c r="L19" s="128">
        <v>2.60416666666667E-3</v>
      </c>
      <c r="M19" s="73">
        <f t="shared" si="8"/>
        <v>4.4386574074074134E-2</v>
      </c>
      <c r="P19" s="102">
        <f t="shared" si="2"/>
        <v>10.559006211180124</v>
      </c>
      <c r="Q19">
        <v>17</v>
      </c>
      <c r="R19" s="73">
        <v>2.60416666666667E-3</v>
      </c>
      <c r="S19" s="69">
        <f t="shared" si="6"/>
        <v>4.4386574074074127E-2</v>
      </c>
      <c r="T19" t="s">
        <v>236</v>
      </c>
      <c r="U19">
        <v>1</v>
      </c>
      <c r="V19">
        <v>2</v>
      </c>
      <c r="W19">
        <f t="shared" si="3"/>
        <v>-1</v>
      </c>
    </row>
    <row r="20" spans="1:30" ht="15.75" thickBot="1" x14ac:dyDescent="0.3">
      <c r="A20">
        <v>1</v>
      </c>
      <c r="B20" s="154">
        <v>9.2592592592592585E-4</v>
      </c>
      <c r="C20" t="s">
        <v>306</v>
      </c>
      <c r="D20" t="s">
        <v>299</v>
      </c>
      <c r="E20" s="153">
        <v>0.18055555555555555</v>
      </c>
      <c r="F20" s="153">
        <v>0.1736111111111111</v>
      </c>
      <c r="J20" s="131"/>
      <c r="K20">
        <v>18</v>
      </c>
      <c r="L20" s="128">
        <v>2.60416666666667E-3</v>
      </c>
      <c r="M20" s="73">
        <f t="shared" si="8"/>
        <v>4.6990740740740805E-2</v>
      </c>
      <c r="N20" t="s">
        <v>143</v>
      </c>
      <c r="P20" s="102">
        <f t="shared" si="2"/>
        <v>11.180124223602483</v>
      </c>
      <c r="Q20" s="136">
        <v>18</v>
      </c>
      <c r="R20" s="73">
        <v>2.60416666666667E-3</v>
      </c>
      <c r="S20" s="69">
        <f t="shared" si="6"/>
        <v>4.6990740740740798E-2</v>
      </c>
      <c r="T20" t="s">
        <v>245</v>
      </c>
      <c r="U20">
        <v>3</v>
      </c>
      <c r="V20">
        <v>0</v>
      </c>
      <c r="W20">
        <f t="shared" si="3"/>
        <v>3</v>
      </c>
      <c r="X20" t="s">
        <v>255</v>
      </c>
      <c r="Y20" s="103" t="s">
        <v>166</v>
      </c>
      <c r="Z20" s="68" t="s">
        <v>169</v>
      </c>
    </row>
    <row r="21" spans="1:30" ht="15.75" thickBot="1" x14ac:dyDescent="0.3">
      <c r="A21">
        <v>2</v>
      </c>
      <c r="B21" s="154">
        <v>9.2592592592592585E-4</v>
      </c>
      <c r="C21" t="s">
        <v>307</v>
      </c>
      <c r="D21" t="s">
        <v>300</v>
      </c>
      <c r="E21" s="153">
        <v>0.1736111111111111</v>
      </c>
      <c r="F21" s="153">
        <v>0.16527777777777777</v>
      </c>
      <c r="H21" s="153">
        <v>6.6666666666666666E-2</v>
      </c>
      <c r="J21" s="131"/>
      <c r="K21">
        <v>19</v>
      </c>
      <c r="L21" s="128">
        <v>2.5462962962962961E-3</v>
      </c>
      <c r="M21" s="73">
        <f t="shared" si="8"/>
        <v>4.9537037037037102E-2</v>
      </c>
      <c r="P21" s="102">
        <f t="shared" si="2"/>
        <v>11.801242236024844</v>
      </c>
      <c r="Q21">
        <v>19</v>
      </c>
      <c r="R21" s="73">
        <v>2.60416666666667E-3</v>
      </c>
      <c r="S21" s="69">
        <f t="shared" si="6"/>
        <v>4.9594907407407469E-2</v>
      </c>
      <c r="U21">
        <v>2</v>
      </c>
      <c r="V21">
        <v>0</v>
      </c>
      <c r="W21">
        <f t="shared" si="3"/>
        <v>2</v>
      </c>
    </row>
    <row r="22" spans="1:30" ht="15.75" thickBot="1" x14ac:dyDescent="0.3">
      <c r="A22">
        <v>3</v>
      </c>
      <c r="B22" s="154">
        <v>9.2592592592592585E-4</v>
      </c>
      <c r="C22" t="s">
        <v>308</v>
      </c>
      <c r="D22" t="s">
        <v>301</v>
      </c>
      <c r="E22" s="153">
        <v>0.16527777777777777</v>
      </c>
      <c r="F22" s="153">
        <v>0.15972222222222221</v>
      </c>
      <c r="H22" s="153">
        <v>6.3888888888888884E-2</v>
      </c>
      <c r="J22" s="131"/>
      <c r="K22">
        <v>20</v>
      </c>
      <c r="L22" s="128">
        <v>2.5462962962962961E-3</v>
      </c>
      <c r="M22" s="130">
        <f t="shared" si="8"/>
        <v>5.2083333333333398E-2</v>
      </c>
      <c r="P22" s="102">
        <f t="shared" si="2"/>
        <v>12.422360248447204</v>
      </c>
      <c r="Q22" s="126">
        <v>20</v>
      </c>
      <c r="R22" s="73">
        <v>2.60416666666667E-3</v>
      </c>
      <c r="S22" s="94">
        <f t="shared" si="6"/>
        <v>5.2199074074074141E-2</v>
      </c>
      <c r="U22">
        <v>4</v>
      </c>
      <c r="V22">
        <v>0</v>
      </c>
      <c r="W22">
        <f t="shared" si="3"/>
        <v>4</v>
      </c>
    </row>
    <row r="23" spans="1:30" ht="15.75" thickBot="1" x14ac:dyDescent="0.3">
      <c r="A23">
        <v>4</v>
      </c>
      <c r="B23" s="154">
        <v>9.2592592592592585E-4</v>
      </c>
      <c r="C23" s="5" t="s">
        <v>309</v>
      </c>
      <c r="D23" t="s">
        <v>302</v>
      </c>
      <c r="E23" s="153">
        <v>0.15972222222222221</v>
      </c>
      <c r="F23" s="153">
        <v>0.15208333333333332</v>
      </c>
      <c r="J23" s="131"/>
      <c r="K23">
        <v>21</v>
      </c>
      <c r="L23" s="128">
        <v>2.5462962962963E-3</v>
      </c>
      <c r="M23" s="73">
        <f t="shared" si="8"/>
        <v>5.4629629629629695E-2</v>
      </c>
      <c r="P23" s="102">
        <f t="shared" si="2"/>
        <v>13.043478260869565</v>
      </c>
      <c r="Q23" s="136">
        <v>21</v>
      </c>
      <c r="R23" s="73">
        <v>2.60416666666667E-3</v>
      </c>
      <c r="S23" s="69">
        <f t="shared" si="6"/>
        <v>5.4803240740740812E-2</v>
      </c>
      <c r="T23" t="s">
        <v>246</v>
      </c>
      <c r="U23">
        <v>0</v>
      </c>
      <c r="V23">
        <v>9</v>
      </c>
      <c r="W23">
        <f t="shared" si="3"/>
        <v>-9</v>
      </c>
      <c r="X23" t="s">
        <v>256</v>
      </c>
      <c r="Y23" s="103" t="s">
        <v>250</v>
      </c>
    </row>
    <row r="24" spans="1:30" ht="15.75" thickBot="1" x14ac:dyDescent="0.3">
      <c r="A24">
        <v>5</v>
      </c>
      <c r="B24" s="154">
        <v>9.2592592592592585E-4</v>
      </c>
      <c r="C24" s="5"/>
      <c r="D24" t="s">
        <v>302</v>
      </c>
      <c r="E24" s="153">
        <v>0.15208333333333332</v>
      </c>
      <c r="F24" s="153">
        <v>0.1423611111111111</v>
      </c>
      <c r="J24" s="131"/>
      <c r="K24">
        <v>21.1</v>
      </c>
      <c r="L24" s="128">
        <v>2.5462962962963E-3</v>
      </c>
      <c r="M24" s="73">
        <f t="shared" si="8"/>
        <v>5.4884259259259327E-2</v>
      </c>
      <c r="N24" t="s">
        <v>142</v>
      </c>
      <c r="P24" s="102">
        <f t="shared" si="2"/>
        <v>13.664596273291925</v>
      </c>
      <c r="Q24">
        <v>22</v>
      </c>
      <c r="R24" s="73">
        <v>2.9513888888888901E-3</v>
      </c>
      <c r="S24" s="69">
        <f t="shared" si="6"/>
        <v>5.7754629629629704E-2</v>
      </c>
      <c r="U24">
        <v>9</v>
      </c>
      <c r="V24">
        <v>4</v>
      </c>
      <c r="W24">
        <f t="shared" si="3"/>
        <v>5</v>
      </c>
      <c r="X24" s="103"/>
      <c r="Y24" s="103"/>
      <c r="Z24" s="103"/>
    </row>
    <row r="25" spans="1:30" x14ac:dyDescent="0.25">
      <c r="A25">
        <v>6</v>
      </c>
      <c r="B25" s="154">
        <v>9.2592592592592585E-4</v>
      </c>
      <c r="C25" s="5"/>
      <c r="J25" s="131"/>
      <c r="K25">
        <v>23</v>
      </c>
      <c r="L25" s="128">
        <v>2.8356481481481501E-3</v>
      </c>
      <c r="M25" s="73">
        <f t="shared" si="8"/>
        <v>6.0271990740740806E-2</v>
      </c>
      <c r="P25" s="102">
        <f t="shared" si="2"/>
        <v>14.285714285714285</v>
      </c>
      <c r="Q25">
        <v>23</v>
      </c>
      <c r="R25" s="73">
        <v>2.9513888888888901E-3</v>
      </c>
      <c r="S25" s="69">
        <f t="shared" si="6"/>
        <v>6.0706018518518597E-2</v>
      </c>
      <c r="T25" t="s">
        <v>245</v>
      </c>
      <c r="U25">
        <v>1</v>
      </c>
      <c r="V25">
        <v>1</v>
      </c>
      <c r="W25">
        <f t="shared" si="3"/>
        <v>0</v>
      </c>
    </row>
    <row r="26" spans="1:30" ht="15.75" thickBot="1" x14ac:dyDescent="0.3">
      <c r="A26">
        <v>7</v>
      </c>
      <c r="B26" s="154">
        <v>9.2592592592592585E-4</v>
      </c>
      <c r="C26" s="5"/>
      <c r="J26" s="131"/>
      <c r="K26">
        <v>24</v>
      </c>
      <c r="L26" s="129">
        <v>2.8356481481481501E-3</v>
      </c>
      <c r="M26" s="73">
        <f t="shared" si="8"/>
        <v>6.3107638888888956E-2</v>
      </c>
      <c r="P26" s="102">
        <f t="shared" si="2"/>
        <v>14.906832298136646</v>
      </c>
      <c r="Q26" s="136">
        <v>24</v>
      </c>
      <c r="R26" s="73">
        <v>2.9513888888888901E-3</v>
      </c>
      <c r="S26" s="69">
        <f t="shared" si="6"/>
        <v>6.3657407407407482E-2</v>
      </c>
      <c r="T26" t="s">
        <v>236</v>
      </c>
      <c r="U26">
        <v>1</v>
      </c>
      <c r="V26">
        <v>4</v>
      </c>
      <c r="W26">
        <f t="shared" si="3"/>
        <v>-3</v>
      </c>
      <c r="X26" s="103" t="s">
        <v>252</v>
      </c>
      <c r="Y26" s="103" t="s">
        <v>166</v>
      </c>
      <c r="Z26" s="68" t="s">
        <v>170</v>
      </c>
    </row>
    <row r="27" spans="1:30" ht="15.75" thickBot="1" x14ac:dyDescent="0.3">
      <c r="A27">
        <v>7.5</v>
      </c>
      <c r="B27" s="154">
        <v>4.6296296296296293E-4</v>
      </c>
      <c r="C27" s="5"/>
      <c r="J27" s="131"/>
      <c r="K27">
        <v>25</v>
      </c>
      <c r="L27" s="128">
        <v>2.8356481481481501E-3</v>
      </c>
      <c r="M27" s="130">
        <f t="shared" si="8"/>
        <v>6.5943287037037113E-2</v>
      </c>
      <c r="P27" s="102">
        <f t="shared" si="2"/>
        <v>15.527950310559005</v>
      </c>
      <c r="Q27" s="126">
        <v>25</v>
      </c>
      <c r="R27" s="73">
        <v>2.9513888888888901E-3</v>
      </c>
      <c r="S27" s="94">
        <f t="shared" si="6"/>
        <v>6.6608796296296374E-2</v>
      </c>
      <c r="T27" t="s">
        <v>247</v>
      </c>
      <c r="U27">
        <v>0</v>
      </c>
      <c r="V27">
        <v>1</v>
      </c>
      <c r="W27">
        <f t="shared" si="3"/>
        <v>-1</v>
      </c>
    </row>
    <row r="28" spans="1:30" ht="15.75" thickBot="1" x14ac:dyDescent="0.3">
      <c r="C28" s="5"/>
      <c r="J28" s="131"/>
      <c r="K28">
        <v>26</v>
      </c>
      <c r="L28" s="129">
        <v>2.8356481481481501E-3</v>
      </c>
      <c r="M28" s="73">
        <f t="shared" si="8"/>
        <v>6.8778935185185269E-2</v>
      </c>
      <c r="P28" s="102">
        <f t="shared" si="2"/>
        <v>16.149068322981364</v>
      </c>
      <c r="Q28" s="136">
        <v>26</v>
      </c>
      <c r="R28" s="73">
        <v>2.9513888888888901E-3</v>
      </c>
      <c r="S28" s="69">
        <f t="shared" si="6"/>
        <v>6.9560185185185266E-2</v>
      </c>
      <c r="T28" t="s">
        <v>237</v>
      </c>
      <c r="U28">
        <v>1</v>
      </c>
      <c r="V28">
        <v>1</v>
      </c>
      <c r="W28">
        <f t="shared" si="3"/>
        <v>0</v>
      </c>
      <c r="X28" t="s">
        <v>249</v>
      </c>
      <c r="Y28" s="103" t="s">
        <v>250</v>
      </c>
      <c r="Z28" s="103"/>
    </row>
    <row r="29" spans="1:30" x14ac:dyDescent="0.25">
      <c r="B29" s="155">
        <f>SUM(B20:B27)</f>
        <v>6.9444444444444432E-3</v>
      </c>
      <c r="C29" s="5"/>
      <c r="J29" s="131"/>
      <c r="K29">
        <v>27</v>
      </c>
      <c r="L29" s="128">
        <v>2.8356481481481501E-3</v>
      </c>
      <c r="M29" s="73">
        <f t="shared" si="8"/>
        <v>7.1614583333333426E-2</v>
      </c>
      <c r="N29" t="s">
        <v>141</v>
      </c>
      <c r="P29" s="102">
        <f t="shared" si="2"/>
        <v>16.770186335403725</v>
      </c>
      <c r="Q29">
        <v>27</v>
      </c>
      <c r="R29" s="73">
        <v>2.9513888888888901E-3</v>
      </c>
      <c r="S29" s="69">
        <f t="shared" si="6"/>
        <v>7.2511574074074159E-2</v>
      </c>
      <c r="U29">
        <v>0</v>
      </c>
      <c r="V29">
        <v>2</v>
      </c>
      <c r="W29">
        <f t="shared" si="3"/>
        <v>-2</v>
      </c>
    </row>
    <row r="30" spans="1:30" ht="15.75" thickBot="1" x14ac:dyDescent="0.3">
      <c r="C30" s="5"/>
      <c r="J30" s="123"/>
      <c r="K30">
        <v>28</v>
      </c>
      <c r="L30" s="129">
        <v>2.8356481481481501E-3</v>
      </c>
      <c r="M30" s="73">
        <f t="shared" si="8"/>
        <v>7.4450231481481582E-2</v>
      </c>
      <c r="N30" t="s">
        <v>140</v>
      </c>
      <c r="P30" s="102">
        <f t="shared" si="2"/>
        <v>17.391304347826086</v>
      </c>
      <c r="Q30">
        <v>28</v>
      </c>
      <c r="R30" s="73">
        <v>2.9513888888888901E-3</v>
      </c>
      <c r="S30" s="69">
        <f t="shared" si="6"/>
        <v>7.5462962962963051E-2</v>
      </c>
      <c r="T30" t="s">
        <v>235</v>
      </c>
      <c r="U30">
        <v>10</v>
      </c>
      <c r="V30">
        <v>4</v>
      </c>
      <c r="W30">
        <f t="shared" si="3"/>
        <v>6</v>
      </c>
    </row>
    <row r="31" spans="1:30" x14ac:dyDescent="0.25">
      <c r="J31" s="131"/>
      <c r="K31">
        <v>29</v>
      </c>
      <c r="L31" s="128">
        <v>2.8356481481481501E-3</v>
      </c>
      <c r="M31" s="73">
        <f t="shared" si="8"/>
        <v>7.7285879629629739E-2</v>
      </c>
      <c r="P31" s="102">
        <f t="shared" si="2"/>
        <v>18.012422360248447</v>
      </c>
      <c r="Q31">
        <v>29</v>
      </c>
      <c r="R31" s="73">
        <v>2.9513888888888901E-3</v>
      </c>
      <c r="S31" s="69">
        <f t="shared" si="6"/>
        <v>7.8414351851851943E-2</v>
      </c>
      <c r="U31">
        <v>5</v>
      </c>
      <c r="V31">
        <v>7</v>
      </c>
      <c r="W31">
        <f t="shared" si="3"/>
        <v>-2</v>
      </c>
    </row>
    <row r="32" spans="1:30" ht="15.75" thickBot="1" x14ac:dyDescent="0.3">
      <c r="J32" s="131"/>
      <c r="K32">
        <v>30</v>
      </c>
      <c r="L32" s="129">
        <v>2.8356481481481501E-3</v>
      </c>
      <c r="M32" s="73">
        <f t="shared" si="8"/>
        <v>8.0121527777777896E-2</v>
      </c>
      <c r="P32" s="102">
        <f t="shared" si="2"/>
        <v>18.633540372670808</v>
      </c>
      <c r="Q32" s="136">
        <v>30</v>
      </c>
      <c r="R32" s="73">
        <v>2.9513888888888901E-3</v>
      </c>
      <c r="S32" s="69">
        <f>R32*(Q32-Q31)+S31</f>
        <v>8.1365740740740836E-2</v>
      </c>
      <c r="U32">
        <v>6</v>
      </c>
      <c r="V32">
        <v>1</v>
      </c>
      <c r="W32">
        <f t="shared" si="3"/>
        <v>5</v>
      </c>
      <c r="X32" s="103" t="s">
        <v>254</v>
      </c>
      <c r="Y32" s="103" t="s">
        <v>166</v>
      </c>
      <c r="Z32" s="68" t="s">
        <v>169</v>
      </c>
    </row>
    <row r="33" spans="10:26" ht="15.75" thickBot="1" x14ac:dyDescent="0.3">
      <c r="J33" s="131"/>
      <c r="K33">
        <v>31</v>
      </c>
      <c r="L33" s="128">
        <v>2.8356481481481501E-3</v>
      </c>
      <c r="M33" s="130">
        <f t="shared" si="8"/>
        <v>8.2957175925926052E-2</v>
      </c>
      <c r="P33" s="102">
        <f t="shared" si="2"/>
        <v>19.254658385093165</v>
      </c>
      <c r="Q33" s="126">
        <v>31</v>
      </c>
      <c r="R33" s="73">
        <v>2.8935185185185188E-3</v>
      </c>
      <c r="S33" s="94">
        <f t="shared" si="6"/>
        <v>8.4259259259259353E-2</v>
      </c>
      <c r="T33" t="s">
        <v>238</v>
      </c>
      <c r="U33">
        <v>0</v>
      </c>
      <c r="V33">
        <v>6</v>
      </c>
      <c r="W33">
        <f t="shared" si="3"/>
        <v>-6</v>
      </c>
      <c r="X33" s="103"/>
    </row>
    <row r="34" spans="10:26" ht="15.75" thickBot="1" x14ac:dyDescent="0.3">
      <c r="J34" s="131"/>
      <c r="K34">
        <v>32</v>
      </c>
      <c r="L34" s="129">
        <v>2.8356481481481501E-3</v>
      </c>
      <c r="M34" s="73">
        <f t="shared" si="8"/>
        <v>8.5792824074074209E-2</v>
      </c>
      <c r="P34" s="102">
        <f t="shared" si="2"/>
        <v>19.875776397515526</v>
      </c>
      <c r="Q34">
        <v>32</v>
      </c>
      <c r="R34" s="73">
        <v>2.8935185185185188E-3</v>
      </c>
      <c r="S34" s="69">
        <f t="shared" si="6"/>
        <v>8.7152777777777871E-2</v>
      </c>
      <c r="U34">
        <v>0</v>
      </c>
      <c r="V34">
        <v>2</v>
      </c>
      <c r="W34">
        <f t="shared" si="3"/>
        <v>-2</v>
      </c>
    </row>
    <row r="35" spans="10:26" x14ac:dyDescent="0.25">
      <c r="J35" s="131"/>
      <c r="K35">
        <v>33</v>
      </c>
      <c r="L35" s="128">
        <v>2.8356481481481501E-3</v>
      </c>
      <c r="M35" s="73">
        <f t="shared" si="8"/>
        <v>8.8628472222222365E-2</v>
      </c>
      <c r="N35" t="s">
        <v>145</v>
      </c>
      <c r="P35" s="102">
        <f t="shared" si="2"/>
        <v>20.496894409937887</v>
      </c>
      <c r="Q35" s="136">
        <v>33</v>
      </c>
      <c r="R35" s="73">
        <v>2.8935185185185201E-3</v>
      </c>
      <c r="S35" s="69">
        <f t="shared" si="6"/>
        <v>9.0046296296296388E-2</v>
      </c>
      <c r="U35">
        <v>7</v>
      </c>
      <c r="V35">
        <v>4</v>
      </c>
      <c r="W35">
        <f t="shared" si="3"/>
        <v>3</v>
      </c>
      <c r="X35" s="103" t="s">
        <v>253</v>
      </c>
      <c r="Y35" s="103" t="s">
        <v>250</v>
      </c>
      <c r="Z35" s="103"/>
    </row>
    <row r="36" spans="10:26" ht="15.75" thickBot="1" x14ac:dyDescent="0.3">
      <c r="J36" s="131"/>
      <c r="K36">
        <v>34</v>
      </c>
      <c r="L36" s="129">
        <v>2.8356481481481501E-3</v>
      </c>
      <c r="M36" s="73">
        <f t="shared" si="8"/>
        <v>9.1464120370370522E-2</v>
      </c>
      <c r="P36" s="102">
        <f t="shared" si="2"/>
        <v>21.118012422360248</v>
      </c>
      <c r="Q36">
        <v>34</v>
      </c>
      <c r="R36" s="73">
        <v>2.8935185185185201E-3</v>
      </c>
      <c r="S36" s="69">
        <f t="shared" si="6"/>
        <v>9.2939814814814906E-2</v>
      </c>
      <c r="T36" t="s">
        <v>235</v>
      </c>
      <c r="U36">
        <v>0</v>
      </c>
      <c r="V36">
        <v>2</v>
      </c>
      <c r="W36">
        <f t="shared" si="3"/>
        <v>-2</v>
      </c>
    </row>
    <row r="37" spans="10:26" ht="15.75" thickBot="1" x14ac:dyDescent="0.3">
      <c r="J37" s="131"/>
      <c r="K37">
        <v>35</v>
      </c>
      <c r="L37" s="128">
        <v>2.8356481481481501E-3</v>
      </c>
      <c r="M37" s="73">
        <f t="shared" si="8"/>
        <v>9.4299768518518678E-2</v>
      </c>
      <c r="P37" s="102">
        <f t="shared" si="2"/>
        <v>21.739130434782606</v>
      </c>
      <c r="Q37">
        <v>35</v>
      </c>
      <c r="R37" s="73">
        <v>2.8935185185185201E-3</v>
      </c>
      <c r="S37" s="69">
        <f t="shared" si="6"/>
        <v>9.5833333333333423E-2</v>
      </c>
      <c r="U37">
        <v>1</v>
      </c>
      <c r="V37">
        <v>5</v>
      </c>
      <c r="W37">
        <f t="shared" si="3"/>
        <v>-4</v>
      </c>
    </row>
    <row r="38" spans="10:26" ht="15.75" thickBot="1" x14ac:dyDescent="0.3">
      <c r="J38" s="131"/>
      <c r="K38">
        <v>36</v>
      </c>
      <c r="L38" s="129">
        <v>2.8356481481481501E-3</v>
      </c>
      <c r="M38" s="130">
        <f t="shared" si="8"/>
        <v>9.7135416666666835E-2</v>
      </c>
      <c r="P38" s="102">
        <f t="shared" si="2"/>
        <v>22.360248447204967</v>
      </c>
      <c r="Q38" s="135">
        <v>36</v>
      </c>
      <c r="R38" s="73">
        <v>2.8935185185185201E-3</v>
      </c>
      <c r="S38" s="94">
        <f t="shared" si="6"/>
        <v>9.8726851851851941E-2</v>
      </c>
      <c r="T38" t="s">
        <v>237</v>
      </c>
      <c r="U38">
        <v>3</v>
      </c>
      <c r="V38">
        <v>4</v>
      </c>
      <c r="W38">
        <f t="shared" si="3"/>
        <v>-1</v>
      </c>
      <c r="X38" t="s">
        <v>249</v>
      </c>
      <c r="Y38" s="103" t="s">
        <v>166</v>
      </c>
      <c r="Z38" s="68" t="s">
        <v>170</v>
      </c>
    </row>
    <row r="39" spans="10:26" x14ac:dyDescent="0.25">
      <c r="J39" s="131"/>
      <c r="K39">
        <v>37</v>
      </c>
      <c r="L39" s="128">
        <v>2.8356481481481501E-3</v>
      </c>
      <c r="M39" s="73">
        <f t="shared" si="8"/>
        <v>9.9971064814814992E-2</v>
      </c>
      <c r="N39" t="s">
        <v>146</v>
      </c>
      <c r="P39" s="102">
        <f t="shared" si="2"/>
        <v>22.981366459627328</v>
      </c>
      <c r="Q39">
        <v>37</v>
      </c>
      <c r="R39" s="73">
        <v>2.8935185185185201E-3</v>
      </c>
      <c r="S39" s="69">
        <f t="shared" si="6"/>
        <v>0.10162037037037046</v>
      </c>
      <c r="T39" t="s">
        <v>247</v>
      </c>
      <c r="U39">
        <v>2</v>
      </c>
      <c r="V39">
        <v>0</v>
      </c>
      <c r="W39">
        <f t="shared" si="3"/>
        <v>2</v>
      </c>
    </row>
    <row r="40" spans="10:26" ht="15.75" thickBot="1" x14ac:dyDescent="0.3">
      <c r="J40" s="131"/>
      <c r="K40">
        <v>38</v>
      </c>
      <c r="L40" s="129">
        <v>2.8356481481481501E-3</v>
      </c>
      <c r="M40" s="73">
        <f t="shared" si="8"/>
        <v>0.10280671296296315</v>
      </c>
      <c r="P40" s="102">
        <f t="shared" si="2"/>
        <v>23.602484472049689</v>
      </c>
      <c r="Q40">
        <v>38</v>
      </c>
      <c r="R40" s="73">
        <v>2.8935185185185201E-3</v>
      </c>
      <c r="S40" s="69">
        <f t="shared" si="6"/>
        <v>0.10451388888888898</v>
      </c>
      <c r="T40" t="s">
        <v>236</v>
      </c>
      <c r="U40">
        <v>1</v>
      </c>
      <c r="V40">
        <v>2</v>
      </c>
      <c r="W40">
        <f t="shared" si="3"/>
        <v>-1</v>
      </c>
    </row>
    <row r="41" spans="10:26" x14ac:dyDescent="0.25">
      <c r="J41" s="131"/>
      <c r="K41">
        <v>39</v>
      </c>
      <c r="L41" s="128">
        <v>2.8356481481481501E-3</v>
      </c>
      <c r="M41" s="73">
        <f t="shared" si="8"/>
        <v>0.1056423611111113</v>
      </c>
      <c r="P41" s="102">
        <f t="shared" si="2"/>
        <v>24.22360248447205</v>
      </c>
      <c r="Q41" s="136">
        <v>39</v>
      </c>
      <c r="R41" s="73">
        <v>2.8935185185185201E-3</v>
      </c>
      <c r="S41" s="69">
        <f t="shared" si="6"/>
        <v>0.10740740740740749</v>
      </c>
      <c r="T41" t="s">
        <v>245</v>
      </c>
      <c r="U41">
        <v>3</v>
      </c>
      <c r="V41">
        <v>0</v>
      </c>
      <c r="W41">
        <f t="shared" si="3"/>
        <v>3</v>
      </c>
      <c r="X41" t="s">
        <v>257</v>
      </c>
      <c r="Y41" s="103" t="s">
        <v>250</v>
      </c>
    </row>
    <row r="42" spans="10:26" ht="15.75" thickBot="1" x14ac:dyDescent="0.3">
      <c r="J42" s="131"/>
      <c r="K42">
        <v>40</v>
      </c>
      <c r="L42" s="129">
        <v>2.8356481481481501E-3</v>
      </c>
      <c r="M42" s="73">
        <f t="shared" si="8"/>
        <v>0.10847800925925946</v>
      </c>
      <c r="N42" t="s">
        <v>145</v>
      </c>
      <c r="P42" s="102">
        <f t="shared" si="2"/>
        <v>24.844720496894407</v>
      </c>
      <c r="Q42">
        <v>40</v>
      </c>
      <c r="R42" s="73">
        <v>2.8935185185185201E-3</v>
      </c>
      <c r="S42" s="69">
        <f t="shared" si="6"/>
        <v>0.11030092592592601</v>
      </c>
      <c r="U42">
        <v>2</v>
      </c>
      <c r="V42">
        <v>0</v>
      </c>
      <c r="W42">
        <f t="shared" si="3"/>
        <v>2</v>
      </c>
    </row>
    <row r="43" spans="10:26" ht="15.75" thickBot="1" x14ac:dyDescent="0.3">
      <c r="J43" s="131"/>
      <c r="K43">
        <v>41</v>
      </c>
      <c r="L43" s="128">
        <v>2.8356481481481501E-3</v>
      </c>
      <c r="M43" s="73">
        <f t="shared" si="8"/>
        <v>0.11131365740740762</v>
      </c>
      <c r="P43" s="102">
        <f t="shared" si="2"/>
        <v>25.465838509316768</v>
      </c>
      <c r="Q43">
        <v>41</v>
      </c>
      <c r="R43" s="73">
        <v>2.8935185185185201E-3</v>
      </c>
      <c r="S43" s="69">
        <f t="shared" si="6"/>
        <v>0.11319444444444453</v>
      </c>
      <c r="U43">
        <v>4</v>
      </c>
      <c r="V43">
        <v>0</v>
      </c>
      <c r="W43">
        <f t="shared" si="3"/>
        <v>4</v>
      </c>
    </row>
    <row r="44" spans="10:26" ht="15.75" thickBot="1" x14ac:dyDescent="0.3">
      <c r="J44" s="131"/>
      <c r="K44">
        <v>42</v>
      </c>
      <c r="L44" s="129">
        <v>2.8356481481481501E-3</v>
      </c>
      <c r="M44" s="73">
        <f t="shared" si="8"/>
        <v>0.11414930555555577</v>
      </c>
      <c r="P44" s="102">
        <f t="shared" si="2"/>
        <v>26.086956521739129</v>
      </c>
      <c r="Q44" s="126">
        <v>42</v>
      </c>
      <c r="R44" s="73">
        <v>2.8935185185185201E-3</v>
      </c>
      <c r="S44" s="94">
        <f t="shared" si="6"/>
        <v>0.11608796296296305</v>
      </c>
      <c r="U44">
        <v>0</v>
      </c>
      <c r="V44">
        <v>9</v>
      </c>
      <c r="W44">
        <f t="shared" si="3"/>
        <v>-9</v>
      </c>
    </row>
    <row r="45" spans="10:26" ht="15.75" thickBot="1" x14ac:dyDescent="0.3">
      <c r="J45" s="131"/>
      <c r="K45">
        <v>42.2</v>
      </c>
      <c r="L45" s="128">
        <v>2.8356481481481501E-3</v>
      </c>
      <c r="M45" s="73">
        <f t="shared" si="8"/>
        <v>0.11471643518518541</v>
      </c>
      <c r="N45" t="s">
        <v>147</v>
      </c>
      <c r="P45" s="102">
        <f t="shared" si="2"/>
        <v>26.211180124223603</v>
      </c>
      <c r="Q45">
        <v>42.2</v>
      </c>
      <c r="R45" s="73">
        <v>2.8935185185185201E-3</v>
      </c>
      <c r="S45" s="100">
        <f t="shared" si="6"/>
        <v>0.11666666666666675</v>
      </c>
      <c r="T45" t="s">
        <v>147</v>
      </c>
      <c r="U45">
        <v>0</v>
      </c>
      <c r="V45">
        <v>0</v>
      </c>
      <c r="W45">
        <f t="shared" si="3"/>
        <v>0</v>
      </c>
    </row>
    <row r="47" spans="10:26" x14ac:dyDescent="0.25">
      <c r="M47" s="93" t="s">
        <v>125</v>
      </c>
      <c r="N47" s="124">
        <f>M45/K45</f>
        <v>2.718398938037569E-3</v>
      </c>
      <c r="S47" t="s">
        <v>125</v>
      </c>
      <c r="T47" s="69">
        <f>S45/Q45</f>
        <v>2.7646129541864157E-3</v>
      </c>
    </row>
    <row r="48" spans="10:26" ht="15.75" thickBot="1" x14ac:dyDescent="0.3">
      <c r="M48" s="93" t="s">
        <v>125</v>
      </c>
      <c r="N48" s="125">
        <f>N49/K45</f>
        <v>2.7975250131648238E-3</v>
      </c>
    </row>
    <row r="49" spans="13:14" ht="15.75" thickBot="1" x14ac:dyDescent="0.3">
      <c r="M49" s="126" t="s">
        <v>233</v>
      </c>
      <c r="N49" s="127">
        <v>0.11805555555555557</v>
      </c>
    </row>
  </sheetData>
  <mergeCells count="3">
    <mergeCell ref="P1:T1"/>
    <mergeCell ref="J1:N1"/>
    <mergeCell ref="AA1:AD1"/>
  </mergeCells>
  <conditionalFormatting sqref="U3:U45">
    <cfRule type="cellIs" dxfId="7" priority="6" operator="greaterThan">
      <formula>0</formula>
    </cfRule>
  </conditionalFormatting>
  <conditionalFormatting sqref="X45:Y1048576">
    <cfRule type="containsText" dxfId="6" priority="3" operator="containsText" text="GEL SIN">
      <formula>NOT(ISERROR(SEARCH("GEL SIN",X45)))</formula>
    </cfRule>
    <cfRule type="containsText" dxfId="5" priority="4" operator="containsText" text="GE CON">
      <formula>NOT(ISERROR(SEARCH("GE CON",X45)))</formula>
    </cfRule>
  </conditionalFormatting>
  <conditionalFormatting sqref="AE3:AE16">
    <cfRule type="cellIs" dxfId="4" priority="7" operator="greaterThan">
      <formula>0</formula>
    </cfRule>
  </conditionalFormatting>
  <pageMargins left="0.7" right="0.7" top="0.75" bottom="0.75" header="0.3" footer="0.3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Hoja23"/>
  <dimension ref="A1:W47"/>
  <sheetViews>
    <sheetView zoomScale="90" zoomScaleNormal="90" workbookViewId="0">
      <selection activeCell="D7" sqref="D7"/>
    </sheetView>
  </sheetViews>
  <sheetFormatPr baseColWidth="10" defaultRowHeight="15" x14ac:dyDescent="0.25"/>
  <cols>
    <col min="23" max="23" width="21.140625" customWidth="1"/>
  </cols>
  <sheetData>
    <row r="1" spans="1:23" x14ac:dyDescent="0.25">
      <c r="A1" s="206" t="s">
        <v>223</v>
      </c>
      <c r="B1" s="206"/>
      <c r="C1" s="206"/>
      <c r="D1" s="206"/>
      <c r="E1" s="206"/>
      <c r="F1" t="s">
        <v>163</v>
      </c>
      <c r="G1" t="s">
        <v>164</v>
      </c>
      <c r="H1" t="s">
        <v>165</v>
      </c>
      <c r="J1" t="s">
        <v>166</v>
      </c>
      <c r="K1" t="s">
        <v>167</v>
      </c>
      <c r="M1" s="206" t="s">
        <v>224</v>
      </c>
      <c r="N1" s="206"/>
      <c r="O1" s="206"/>
      <c r="P1" s="206"/>
      <c r="Q1" s="206"/>
      <c r="R1" t="s">
        <v>163</v>
      </c>
      <c r="S1" t="s">
        <v>164</v>
      </c>
      <c r="T1" t="s">
        <v>165</v>
      </c>
      <c r="V1" s="122" t="s">
        <v>166</v>
      </c>
      <c r="W1" s="122" t="s">
        <v>167</v>
      </c>
    </row>
    <row r="2" spans="1:23" x14ac:dyDescent="0.25">
      <c r="A2" t="s">
        <v>168</v>
      </c>
      <c r="B2" t="s">
        <v>119</v>
      </c>
      <c r="C2" t="s">
        <v>123</v>
      </c>
      <c r="D2" t="s">
        <v>124</v>
      </c>
      <c r="J2" t="s">
        <v>166</v>
      </c>
      <c r="K2" t="s">
        <v>170</v>
      </c>
      <c r="M2" t="s">
        <v>168</v>
      </c>
      <c r="N2" t="s">
        <v>232</v>
      </c>
      <c r="O2" t="s">
        <v>123</v>
      </c>
      <c r="P2" t="s">
        <v>124</v>
      </c>
      <c r="U2" s="103"/>
      <c r="V2" s="103" t="s">
        <v>166</v>
      </c>
      <c r="W2" s="103" t="s">
        <v>229</v>
      </c>
    </row>
    <row r="3" spans="1:23" x14ac:dyDescent="0.25">
      <c r="A3" s="102">
        <f>B3/1.61</f>
        <v>0.6211180124223602</v>
      </c>
      <c r="B3" s="5">
        <v>1</v>
      </c>
      <c r="C3" s="124">
        <v>2.8356481481481501E-3</v>
      </c>
      <c r="D3" s="69">
        <f>C3</f>
        <v>2.8356481481481501E-3</v>
      </c>
      <c r="F3">
        <v>0</v>
      </c>
      <c r="G3">
        <v>20</v>
      </c>
      <c r="H3">
        <f>F3-G3</f>
        <v>-20</v>
      </c>
      <c r="M3" s="102">
        <f>N3/1.61</f>
        <v>0.6211180124223602</v>
      </c>
      <c r="N3" s="5">
        <v>1</v>
      </c>
      <c r="O3" s="73">
        <v>2.6041666666666665E-3</v>
      </c>
      <c r="P3" s="69">
        <f>O3</f>
        <v>2.6041666666666665E-3</v>
      </c>
      <c r="R3">
        <v>0</v>
      </c>
      <c r="S3">
        <v>4</v>
      </c>
      <c r="T3">
        <f>R3-S3</f>
        <v>-4</v>
      </c>
    </row>
    <row r="4" spans="1:23" x14ac:dyDescent="0.25">
      <c r="A4" s="102">
        <f t="shared" ref="A4:A45" si="0">B4/1.61</f>
        <v>1.2422360248447204</v>
      </c>
      <c r="B4" s="5">
        <v>2</v>
      </c>
      <c r="C4" s="124">
        <v>2.8356481481481501E-3</v>
      </c>
      <c r="D4" s="69">
        <f>C4*(B4-B3)+D3</f>
        <v>5.6712962962963001E-3</v>
      </c>
      <c r="F4">
        <v>0</v>
      </c>
      <c r="G4">
        <v>8</v>
      </c>
      <c r="H4">
        <f t="shared" ref="H4:H45" si="1">F4-G4</f>
        <v>-8</v>
      </c>
      <c r="M4" s="102">
        <f t="shared" ref="M4:M24" si="2">N4/1.61</f>
        <v>1.2422360248447204</v>
      </c>
      <c r="N4" s="5">
        <v>2</v>
      </c>
      <c r="O4" s="73">
        <v>2.6041666666666665E-3</v>
      </c>
      <c r="P4" s="69">
        <f>O4*(N4-N3)+P3</f>
        <v>5.208333333333333E-3</v>
      </c>
      <c r="R4">
        <v>0</v>
      </c>
      <c r="S4">
        <v>5</v>
      </c>
      <c r="T4">
        <f t="shared" ref="T4:T24" si="3">R4-S4</f>
        <v>-5</v>
      </c>
    </row>
    <row r="5" spans="1:23" x14ac:dyDescent="0.25">
      <c r="A5" s="102">
        <f t="shared" si="0"/>
        <v>1.8633540372670807</v>
      </c>
      <c r="B5" s="5">
        <v>3</v>
      </c>
      <c r="C5" s="124">
        <v>2.8356481481481501E-3</v>
      </c>
      <c r="D5" s="69">
        <f t="shared" ref="D5:D45" si="4">C5*(B5-B4)+D4</f>
        <v>8.5069444444444507E-3</v>
      </c>
      <c r="F5">
        <v>3</v>
      </c>
      <c r="G5">
        <v>2</v>
      </c>
      <c r="H5">
        <f t="shared" si="1"/>
        <v>1</v>
      </c>
      <c r="M5" s="102">
        <f t="shared" si="2"/>
        <v>1.8633540372670807</v>
      </c>
      <c r="N5" s="5">
        <v>3</v>
      </c>
      <c r="O5" s="73">
        <v>2.6041666666666665E-3</v>
      </c>
      <c r="P5" s="69">
        <f t="shared" ref="P5:P24" si="5">O5*(N5-N4)+P4</f>
        <v>7.8125E-3</v>
      </c>
      <c r="R5">
        <v>0</v>
      </c>
      <c r="S5">
        <v>6</v>
      </c>
      <c r="T5">
        <f t="shared" si="3"/>
        <v>-6</v>
      </c>
    </row>
    <row r="6" spans="1:23" ht="15.75" thickBot="1" x14ac:dyDescent="0.3">
      <c r="A6" s="102">
        <f t="shared" si="0"/>
        <v>2.4844720496894408</v>
      </c>
      <c r="B6" s="5">
        <v>4</v>
      </c>
      <c r="C6" s="124">
        <v>2.8356481481481501E-3</v>
      </c>
      <c r="D6" s="69">
        <f t="shared" si="4"/>
        <v>1.13425925925926E-2</v>
      </c>
      <c r="F6">
        <v>1</v>
      </c>
      <c r="G6">
        <v>5</v>
      </c>
      <c r="H6">
        <f t="shared" si="1"/>
        <v>-4</v>
      </c>
      <c r="M6" s="102">
        <f t="shared" si="2"/>
        <v>2.4844720496894408</v>
      </c>
      <c r="N6" s="5">
        <v>4</v>
      </c>
      <c r="O6" s="73">
        <v>2.6041666666666665E-3</v>
      </c>
      <c r="P6" s="69">
        <f t="shared" si="5"/>
        <v>1.0416666666666666E-2</v>
      </c>
      <c r="R6">
        <v>5</v>
      </c>
      <c r="S6">
        <v>0</v>
      </c>
      <c r="T6">
        <f t="shared" si="3"/>
        <v>5</v>
      </c>
    </row>
    <row r="7" spans="1:23" ht="15.75" thickBot="1" x14ac:dyDescent="0.3">
      <c r="A7" s="102">
        <f t="shared" si="0"/>
        <v>3.1055900621118009</v>
      </c>
      <c r="B7" s="99">
        <v>5</v>
      </c>
      <c r="C7" s="124">
        <v>2.8356481481481501E-3</v>
      </c>
      <c r="D7" s="94">
        <f t="shared" si="4"/>
        <v>1.417824074074075E-2</v>
      </c>
      <c r="F7">
        <v>2</v>
      </c>
      <c r="G7">
        <v>3</v>
      </c>
      <c r="H7">
        <f t="shared" si="1"/>
        <v>-1</v>
      </c>
      <c r="I7" s="103" t="s">
        <v>173</v>
      </c>
      <c r="J7" s="103" t="s">
        <v>171</v>
      </c>
      <c r="K7" s="103"/>
      <c r="M7" s="102">
        <f t="shared" si="2"/>
        <v>3.1055900621118009</v>
      </c>
      <c r="N7" s="99">
        <v>5</v>
      </c>
      <c r="O7" s="73">
        <v>2.6041666666666665E-3</v>
      </c>
      <c r="P7" s="94">
        <f t="shared" si="5"/>
        <v>1.3020833333333332E-2</v>
      </c>
      <c r="R7">
        <v>0</v>
      </c>
      <c r="S7">
        <v>6</v>
      </c>
      <c r="T7">
        <f t="shared" si="3"/>
        <v>-6</v>
      </c>
      <c r="U7" s="103" t="s">
        <v>225</v>
      </c>
      <c r="V7" s="103" t="s">
        <v>184</v>
      </c>
      <c r="W7" s="5"/>
    </row>
    <row r="8" spans="1:23" x14ac:dyDescent="0.25">
      <c r="A8" s="102">
        <f t="shared" si="0"/>
        <v>3.7267080745341614</v>
      </c>
      <c r="B8" s="5">
        <v>6</v>
      </c>
      <c r="C8" s="151">
        <v>2.8935185185185184E-3</v>
      </c>
      <c r="D8" s="69">
        <f t="shared" si="4"/>
        <v>1.7071759259259269E-2</v>
      </c>
      <c r="F8">
        <v>6</v>
      </c>
      <c r="G8">
        <v>0</v>
      </c>
      <c r="H8">
        <f t="shared" si="1"/>
        <v>6</v>
      </c>
      <c r="M8" s="102">
        <f t="shared" si="2"/>
        <v>3.7267080745341614</v>
      </c>
      <c r="N8" s="5">
        <v>6</v>
      </c>
      <c r="O8" s="73">
        <v>2.662037037037037E-3</v>
      </c>
      <c r="P8" s="69">
        <f t="shared" si="5"/>
        <v>1.5682870370370368E-2</v>
      </c>
      <c r="R8">
        <v>7</v>
      </c>
      <c r="S8">
        <v>0</v>
      </c>
      <c r="T8">
        <f t="shared" si="3"/>
        <v>7</v>
      </c>
    </row>
    <row r="9" spans="1:23" x14ac:dyDescent="0.25">
      <c r="A9" s="102">
        <f t="shared" si="0"/>
        <v>4.3478260869565215</v>
      </c>
      <c r="B9" s="5">
        <v>7</v>
      </c>
      <c r="C9" s="151">
        <v>2.8935185185185184E-3</v>
      </c>
      <c r="D9" s="69">
        <f t="shared" si="4"/>
        <v>1.9965277777777787E-2</v>
      </c>
      <c r="F9">
        <v>9</v>
      </c>
      <c r="G9">
        <v>0</v>
      </c>
      <c r="H9">
        <f t="shared" si="1"/>
        <v>9</v>
      </c>
      <c r="M9" s="102">
        <f t="shared" si="2"/>
        <v>4.3478260869565215</v>
      </c>
      <c r="N9" s="5">
        <v>7</v>
      </c>
      <c r="O9" s="73">
        <v>2.662037037037037E-3</v>
      </c>
      <c r="P9" s="69">
        <f t="shared" si="5"/>
        <v>1.8344907407407404E-2</v>
      </c>
      <c r="R9">
        <v>9</v>
      </c>
      <c r="S9">
        <v>0</v>
      </c>
      <c r="T9">
        <f t="shared" si="3"/>
        <v>9</v>
      </c>
    </row>
    <row r="10" spans="1:23" x14ac:dyDescent="0.25">
      <c r="A10" s="102">
        <f t="shared" si="0"/>
        <v>4.9689440993788816</v>
      </c>
      <c r="B10" s="5">
        <v>8</v>
      </c>
      <c r="C10" s="151">
        <v>2.8935185185185184E-3</v>
      </c>
      <c r="D10" s="69">
        <f t="shared" si="4"/>
        <v>2.2858796296296304E-2</v>
      </c>
      <c r="F10">
        <v>10</v>
      </c>
      <c r="G10">
        <v>0</v>
      </c>
      <c r="H10">
        <f t="shared" si="1"/>
        <v>10</v>
      </c>
      <c r="M10" s="102">
        <f t="shared" si="2"/>
        <v>4.9689440993788816</v>
      </c>
      <c r="N10" s="5">
        <v>8</v>
      </c>
      <c r="O10" s="73">
        <v>2.662037037037037E-3</v>
      </c>
      <c r="P10" s="69">
        <f t="shared" si="5"/>
        <v>2.1006944444444439E-2</v>
      </c>
      <c r="R10">
        <v>5</v>
      </c>
      <c r="S10">
        <v>0</v>
      </c>
      <c r="T10">
        <f t="shared" si="3"/>
        <v>5</v>
      </c>
    </row>
    <row r="11" spans="1:23" ht="15.75" thickBot="1" x14ac:dyDescent="0.3">
      <c r="A11" s="102">
        <f t="shared" si="0"/>
        <v>5.5900621118012417</v>
      </c>
      <c r="B11" s="5">
        <v>9</v>
      </c>
      <c r="C11" s="151">
        <v>2.8935185185185184E-3</v>
      </c>
      <c r="D11" s="69">
        <f t="shared" si="4"/>
        <v>2.5752314814814822E-2</v>
      </c>
      <c r="F11">
        <v>8</v>
      </c>
      <c r="G11">
        <v>0</v>
      </c>
      <c r="H11">
        <f t="shared" si="1"/>
        <v>8</v>
      </c>
      <c r="M11" s="102">
        <f t="shared" si="2"/>
        <v>5.5900621118012417</v>
      </c>
      <c r="N11" s="5">
        <v>9</v>
      </c>
      <c r="O11" s="73">
        <v>2.662037037037037E-3</v>
      </c>
      <c r="P11" s="69">
        <f t="shared" si="5"/>
        <v>2.3668981481481475E-2</v>
      </c>
      <c r="R11">
        <v>10</v>
      </c>
      <c r="S11">
        <v>0</v>
      </c>
      <c r="T11">
        <f t="shared" si="3"/>
        <v>10</v>
      </c>
      <c r="U11" s="103" t="s">
        <v>226</v>
      </c>
      <c r="V11" s="103" t="s">
        <v>166</v>
      </c>
      <c r="W11" s="68" t="s">
        <v>230</v>
      </c>
    </row>
    <row r="12" spans="1:23" ht="15.75" thickBot="1" x14ac:dyDescent="0.3">
      <c r="A12" s="102">
        <f t="shared" si="0"/>
        <v>6.2111801242236018</v>
      </c>
      <c r="B12" s="99">
        <v>10</v>
      </c>
      <c r="C12" s="151">
        <v>2.8935185185185184E-3</v>
      </c>
      <c r="D12" s="94">
        <f t="shared" si="4"/>
        <v>2.8645833333333339E-2</v>
      </c>
      <c r="F12">
        <v>1</v>
      </c>
      <c r="G12">
        <v>3</v>
      </c>
      <c r="H12">
        <f t="shared" si="1"/>
        <v>-2</v>
      </c>
      <c r="I12" s="103" t="s">
        <v>174</v>
      </c>
      <c r="J12" s="103" t="s">
        <v>166</v>
      </c>
      <c r="K12" s="68" t="s">
        <v>169</v>
      </c>
      <c r="M12" s="102">
        <f t="shared" si="2"/>
        <v>6.2111801242236018</v>
      </c>
      <c r="N12" s="99">
        <v>10</v>
      </c>
      <c r="O12" s="73">
        <v>2.662037037037037E-3</v>
      </c>
      <c r="P12" s="94">
        <f t="shared" si="5"/>
        <v>2.6331018518518511E-2</v>
      </c>
      <c r="R12">
        <v>0</v>
      </c>
      <c r="S12">
        <v>5</v>
      </c>
      <c r="T12">
        <f t="shared" si="3"/>
        <v>-5</v>
      </c>
    </row>
    <row r="13" spans="1:23" x14ac:dyDescent="0.25">
      <c r="A13" s="102">
        <f t="shared" si="0"/>
        <v>6.8322981366459627</v>
      </c>
      <c r="B13" s="5">
        <v>11</v>
      </c>
      <c r="C13" s="151">
        <v>2.8935185185185184E-3</v>
      </c>
      <c r="D13" s="69">
        <f t="shared" si="4"/>
        <v>3.153935185185186E-2</v>
      </c>
      <c r="F13">
        <v>9</v>
      </c>
      <c r="G13">
        <v>0</v>
      </c>
      <c r="H13">
        <f t="shared" si="1"/>
        <v>9</v>
      </c>
      <c r="M13" s="102">
        <f t="shared" si="2"/>
        <v>6.8322981366459627</v>
      </c>
      <c r="N13" s="5">
        <v>11</v>
      </c>
      <c r="O13" s="73">
        <v>2.662037037037037E-3</v>
      </c>
      <c r="P13" s="69">
        <f t="shared" si="5"/>
        <v>2.8993055555555546E-2</v>
      </c>
      <c r="R13">
        <v>10</v>
      </c>
      <c r="S13">
        <v>0</v>
      </c>
      <c r="T13">
        <f t="shared" si="3"/>
        <v>10</v>
      </c>
    </row>
    <row r="14" spans="1:23" x14ac:dyDescent="0.25">
      <c r="A14" s="102">
        <f t="shared" si="0"/>
        <v>7.4534161490683228</v>
      </c>
      <c r="B14" s="5">
        <v>12</v>
      </c>
      <c r="C14" s="151">
        <v>2.8935185185185184E-3</v>
      </c>
      <c r="D14" s="69">
        <f t="shared" si="4"/>
        <v>3.4432870370370378E-2</v>
      </c>
      <c r="F14">
        <v>9</v>
      </c>
      <c r="G14">
        <v>0</v>
      </c>
      <c r="H14">
        <f t="shared" si="1"/>
        <v>9</v>
      </c>
      <c r="M14" s="102">
        <f t="shared" si="2"/>
        <v>7.4534161490683228</v>
      </c>
      <c r="N14" s="5">
        <v>12</v>
      </c>
      <c r="O14" s="73">
        <v>2.662037037037037E-3</v>
      </c>
      <c r="P14" s="69">
        <f t="shared" si="5"/>
        <v>3.1655092592592582E-2</v>
      </c>
      <c r="R14">
        <v>9</v>
      </c>
      <c r="S14">
        <v>0</v>
      </c>
      <c r="T14">
        <f t="shared" si="3"/>
        <v>9</v>
      </c>
    </row>
    <row r="15" spans="1:23" x14ac:dyDescent="0.25">
      <c r="A15" s="102">
        <f t="shared" si="0"/>
        <v>8.074534161490682</v>
      </c>
      <c r="B15" s="5">
        <v>13</v>
      </c>
      <c r="C15" s="151">
        <v>2.8935185185185201E-3</v>
      </c>
      <c r="D15" s="69">
        <f t="shared" si="4"/>
        <v>3.7326388888888895E-2</v>
      </c>
      <c r="F15">
        <v>8</v>
      </c>
      <c r="G15">
        <v>0</v>
      </c>
      <c r="H15">
        <f t="shared" si="1"/>
        <v>8</v>
      </c>
      <c r="M15" s="102">
        <f t="shared" si="2"/>
        <v>8.074534161490682</v>
      </c>
      <c r="N15" s="5">
        <v>13</v>
      </c>
      <c r="O15" s="73">
        <v>2.662037037037037E-3</v>
      </c>
      <c r="P15" s="69">
        <f t="shared" si="5"/>
        <v>3.4317129629629621E-2</v>
      </c>
      <c r="R15">
        <v>11</v>
      </c>
      <c r="S15">
        <v>0</v>
      </c>
      <c r="T15">
        <f t="shared" si="3"/>
        <v>11</v>
      </c>
    </row>
    <row r="16" spans="1:23" ht="15.75" thickBot="1" x14ac:dyDescent="0.3">
      <c r="A16" s="102">
        <f t="shared" si="0"/>
        <v>8.695652173913043</v>
      </c>
      <c r="B16" s="5">
        <v>14</v>
      </c>
      <c r="C16" s="151">
        <v>2.8935185185185201E-3</v>
      </c>
      <c r="D16" s="69">
        <f t="shared" si="4"/>
        <v>4.0219907407407413E-2</v>
      </c>
      <c r="F16">
        <v>9</v>
      </c>
      <c r="G16">
        <v>0</v>
      </c>
      <c r="H16">
        <f t="shared" si="1"/>
        <v>9</v>
      </c>
      <c r="M16" s="102">
        <f t="shared" si="2"/>
        <v>8.695652173913043</v>
      </c>
      <c r="N16" s="5">
        <v>14</v>
      </c>
      <c r="O16" s="73">
        <v>2.662037037037037E-3</v>
      </c>
      <c r="P16" s="69">
        <f t="shared" si="5"/>
        <v>3.697916666666666E-2</v>
      </c>
      <c r="R16">
        <v>16</v>
      </c>
      <c r="S16">
        <v>10</v>
      </c>
      <c r="T16">
        <f t="shared" si="3"/>
        <v>6</v>
      </c>
      <c r="U16" s="103" t="s">
        <v>227</v>
      </c>
      <c r="V16" s="103" t="s">
        <v>231</v>
      </c>
      <c r="W16" s="5"/>
    </row>
    <row r="17" spans="1:23" ht="15.75" thickBot="1" x14ac:dyDescent="0.3">
      <c r="A17" s="102">
        <f t="shared" si="0"/>
        <v>9.316770186335404</v>
      </c>
      <c r="B17" s="99">
        <v>15</v>
      </c>
      <c r="C17" s="151">
        <v>2.8935185185185184E-3</v>
      </c>
      <c r="D17" s="94">
        <f t="shared" si="4"/>
        <v>4.311342592592593E-2</v>
      </c>
      <c r="F17">
        <v>15</v>
      </c>
      <c r="G17">
        <v>0</v>
      </c>
      <c r="H17">
        <f t="shared" si="1"/>
        <v>15</v>
      </c>
      <c r="I17" s="103" t="s">
        <v>175</v>
      </c>
      <c r="J17" s="103" t="s">
        <v>166</v>
      </c>
      <c r="K17" s="103"/>
      <c r="M17" s="102">
        <f t="shared" si="2"/>
        <v>9.316770186335404</v>
      </c>
      <c r="N17" s="99">
        <v>15</v>
      </c>
      <c r="O17" s="73">
        <v>2.662037037037037E-3</v>
      </c>
      <c r="P17" s="94">
        <f t="shared" si="5"/>
        <v>3.9641203703703699E-2</v>
      </c>
      <c r="R17">
        <v>16</v>
      </c>
      <c r="S17">
        <v>0</v>
      </c>
      <c r="T17">
        <f t="shared" si="3"/>
        <v>16</v>
      </c>
      <c r="U17" s="5"/>
      <c r="V17" s="5"/>
      <c r="W17" s="5"/>
    </row>
    <row r="18" spans="1:23" x14ac:dyDescent="0.25">
      <c r="A18" s="102">
        <f t="shared" si="0"/>
        <v>9.9378881987577632</v>
      </c>
      <c r="B18" s="5">
        <v>16</v>
      </c>
      <c r="C18" s="124">
        <v>2.8356481481481483E-3</v>
      </c>
      <c r="D18" s="69">
        <f t="shared" si="4"/>
        <v>4.594907407407408E-2</v>
      </c>
      <c r="F18">
        <v>0</v>
      </c>
      <c r="G18">
        <v>9</v>
      </c>
      <c r="H18">
        <f t="shared" si="1"/>
        <v>-9</v>
      </c>
      <c r="M18" s="102">
        <f t="shared" si="2"/>
        <v>9.9378881987577632</v>
      </c>
      <c r="N18" s="5">
        <v>16</v>
      </c>
      <c r="O18" s="73">
        <v>2.6041666666666665E-3</v>
      </c>
      <c r="P18" s="69">
        <f t="shared" si="5"/>
        <v>4.2245370370370364E-2</v>
      </c>
      <c r="R18">
        <v>0</v>
      </c>
      <c r="S18">
        <v>4</v>
      </c>
      <c r="T18">
        <f t="shared" si="3"/>
        <v>-4</v>
      </c>
      <c r="U18" s="5"/>
      <c r="V18" s="5"/>
      <c r="W18" s="5"/>
    </row>
    <row r="19" spans="1:23" x14ac:dyDescent="0.25">
      <c r="A19" s="102">
        <f t="shared" si="0"/>
        <v>10.559006211180124</v>
      </c>
      <c r="B19" s="5">
        <v>17</v>
      </c>
      <c r="C19" s="124">
        <v>2.8356481481481483E-3</v>
      </c>
      <c r="D19" s="69">
        <f t="shared" si="4"/>
        <v>4.8784722222222229E-2</v>
      </c>
      <c r="F19">
        <v>0</v>
      </c>
      <c r="G19">
        <v>10</v>
      </c>
      <c r="H19">
        <f t="shared" si="1"/>
        <v>-10</v>
      </c>
      <c r="M19" s="102">
        <f t="shared" si="2"/>
        <v>10.559006211180124</v>
      </c>
      <c r="N19" s="5">
        <v>17</v>
      </c>
      <c r="O19" s="73">
        <v>2.6041666666666665E-3</v>
      </c>
      <c r="P19" s="69">
        <f t="shared" si="5"/>
        <v>4.4849537037037028E-2</v>
      </c>
      <c r="R19">
        <v>0</v>
      </c>
      <c r="S19">
        <v>13</v>
      </c>
      <c r="T19">
        <f t="shared" si="3"/>
        <v>-13</v>
      </c>
      <c r="U19" s="103" t="s">
        <v>228</v>
      </c>
      <c r="V19" s="103" t="s">
        <v>184</v>
      </c>
      <c r="W19" s="103"/>
    </row>
    <row r="20" spans="1:23" x14ac:dyDescent="0.25">
      <c r="A20" s="102">
        <f t="shared" si="0"/>
        <v>11.180124223602483</v>
      </c>
      <c r="B20" s="5">
        <v>18</v>
      </c>
      <c r="C20" s="124">
        <v>2.8356481481481501E-3</v>
      </c>
      <c r="D20" s="69">
        <f t="shared" si="4"/>
        <v>5.1620370370370379E-2</v>
      </c>
      <c r="F20">
        <v>0</v>
      </c>
      <c r="G20">
        <v>6</v>
      </c>
      <c r="H20">
        <f t="shared" si="1"/>
        <v>-6</v>
      </c>
      <c r="I20" s="70" t="s">
        <v>177</v>
      </c>
      <c r="J20" s="103" t="s">
        <v>166</v>
      </c>
      <c r="K20" s="68" t="s">
        <v>170</v>
      </c>
      <c r="M20" s="102">
        <f t="shared" si="2"/>
        <v>11.180124223602483</v>
      </c>
      <c r="N20" s="5">
        <v>18</v>
      </c>
      <c r="O20" s="73">
        <v>2.6041666666666665E-3</v>
      </c>
      <c r="P20" s="69">
        <f t="shared" si="5"/>
        <v>4.7453703703703692E-2</v>
      </c>
      <c r="R20">
        <v>0</v>
      </c>
      <c r="S20">
        <v>7</v>
      </c>
      <c r="T20">
        <f t="shared" si="3"/>
        <v>-7</v>
      </c>
      <c r="U20" s="5"/>
      <c r="V20" s="5"/>
      <c r="W20" s="5"/>
    </row>
    <row r="21" spans="1:23" ht="15.75" thickBot="1" x14ac:dyDescent="0.3">
      <c r="A21" s="102">
        <f t="shared" si="0"/>
        <v>11.801242236024844</v>
      </c>
      <c r="B21" s="5">
        <v>19</v>
      </c>
      <c r="C21" s="124">
        <v>2.8356481481481501E-3</v>
      </c>
      <c r="D21" s="69">
        <f t="shared" si="4"/>
        <v>5.4456018518518529E-2</v>
      </c>
      <c r="F21">
        <v>0</v>
      </c>
      <c r="G21">
        <v>6</v>
      </c>
      <c r="H21">
        <f t="shared" si="1"/>
        <v>-6</v>
      </c>
      <c r="M21" s="102">
        <f t="shared" si="2"/>
        <v>11.801242236024844</v>
      </c>
      <c r="N21" s="5">
        <v>19</v>
      </c>
      <c r="O21" s="73">
        <v>2.6041666666666665E-3</v>
      </c>
      <c r="P21" s="69">
        <f t="shared" si="5"/>
        <v>5.0057870370370357E-2</v>
      </c>
      <c r="R21">
        <v>0</v>
      </c>
      <c r="S21">
        <v>5</v>
      </c>
      <c r="T21">
        <f t="shared" si="3"/>
        <v>-5</v>
      </c>
      <c r="U21" s="5"/>
      <c r="V21" s="5"/>
      <c r="W21" s="5"/>
    </row>
    <row r="22" spans="1:23" ht="15.75" thickBot="1" x14ac:dyDescent="0.3">
      <c r="A22" s="102">
        <f t="shared" si="0"/>
        <v>12.422360248447204</v>
      </c>
      <c r="B22" s="99">
        <v>20</v>
      </c>
      <c r="C22" s="124">
        <v>2.8356481481481501E-3</v>
      </c>
      <c r="D22" s="94">
        <f t="shared" si="4"/>
        <v>5.7291666666666678E-2</v>
      </c>
      <c r="F22">
        <v>6</v>
      </c>
      <c r="G22">
        <v>2</v>
      </c>
      <c r="H22">
        <f t="shared" si="1"/>
        <v>4</v>
      </c>
      <c r="M22" s="102">
        <f t="shared" si="2"/>
        <v>12.422360248447204</v>
      </c>
      <c r="N22" s="99">
        <v>20</v>
      </c>
      <c r="O22" s="73">
        <v>2.6041666666666665E-3</v>
      </c>
      <c r="P22" s="94">
        <f t="shared" si="5"/>
        <v>5.2662037037037021E-2</v>
      </c>
      <c r="R22">
        <v>0</v>
      </c>
      <c r="S22">
        <v>10</v>
      </c>
      <c r="T22">
        <f t="shared" si="3"/>
        <v>-10</v>
      </c>
      <c r="U22" s="5"/>
      <c r="V22" s="5"/>
      <c r="W22" s="5"/>
    </row>
    <row r="23" spans="1:23" x14ac:dyDescent="0.25">
      <c r="A23" s="102">
        <f t="shared" si="0"/>
        <v>13.043478260869565</v>
      </c>
      <c r="B23" s="5">
        <v>21</v>
      </c>
      <c r="C23" s="151">
        <v>2.9166666666666668E-3</v>
      </c>
      <c r="D23" s="69">
        <f t="shared" si="4"/>
        <v>6.0208333333333343E-2</v>
      </c>
      <c r="E23" s="69">
        <f>D23/B23</f>
        <v>2.8670634920634924E-3</v>
      </c>
      <c r="F23">
        <v>6</v>
      </c>
      <c r="G23">
        <v>0</v>
      </c>
      <c r="H23">
        <f t="shared" si="1"/>
        <v>6</v>
      </c>
      <c r="I23" t="s">
        <v>178</v>
      </c>
      <c r="J23" t="s">
        <v>166</v>
      </c>
      <c r="M23" s="102">
        <f t="shared" si="2"/>
        <v>13.043478260869565</v>
      </c>
      <c r="N23" s="5">
        <v>21</v>
      </c>
      <c r="O23" s="73">
        <v>2.6041666666666665E-3</v>
      </c>
      <c r="P23" s="69">
        <f t="shared" si="5"/>
        <v>5.5266203703703685E-2</v>
      </c>
      <c r="R23">
        <v>0</v>
      </c>
      <c r="S23">
        <v>27</v>
      </c>
      <c r="T23">
        <f t="shared" si="3"/>
        <v>-27</v>
      </c>
      <c r="U23" s="5"/>
      <c r="V23" s="5"/>
      <c r="W23" s="5"/>
    </row>
    <row r="24" spans="1:23" x14ac:dyDescent="0.25">
      <c r="A24" s="102">
        <f t="shared" si="0"/>
        <v>13.664596273291925</v>
      </c>
      <c r="B24" s="5">
        <v>22</v>
      </c>
      <c r="C24" s="151">
        <v>2.9166666666666698E-3</v>
      </c>
      <c r="D24" s="69">
        <f t="shared" si="4"/>
        <v>6.3125000000000014E-2</v>
      </c>
      <c r="F24">
        <v>6</v>
      </c>
      <c r="G24">
        <v>0</v>
      </c>
      <c r="H24">
        <f t="shared" si="1"/>
        <v>6</v>
      </c>
      <c r="M24" s="102">
        <f t="shared" si="2"/>
        <v>13.105590062111801</v>
      </c>
      <c r="N24" s="5">
        <v>21.1</v>
      </c>
      <c r="O24" s="73">
        <v>2.6041666666666665E-3</v>
      </c>
      <c r="P24" s="69">
        <f t="shared" si="5"/>
        <v>5.5526620370370358E-2</v>
      </c>
      <c r="T24">
        <f t="shared" si="3"/>
        <v>0</v>
      </c>
    </row>
    <row r="25" spans="1:23" x14ac:dyDescent="0.25">
      <c r="A25" s="102">
        <f t="shared" si="0"/>
        <v>14.285714285714285</v>
      </c>
      <c r="B25" s="5">
        <v>23</v>
      </c>
      <c r="C25" s="151">
        <v>2.9166666666666698E-3</v>
      </c>
      <c r="D25" s="69">
        <f t="shared" si="4"/>
        <v>6.6041666666666679E-2</v>
      </c>
      <c r="F25">
        <v>6</v>
      </c>
      <c r="G25">
        <v>0</v>
      </c>
      <c r="H25">
        <f t="shared" si="1"/>
        <v>6</v>
      </c>
      <c r="I25" s="103"/>
      <c r="J25" s="103"/>
      <c r="K25" s="103"/>
    </row>
    <row r="26" spans="1:23" ht="15.75" thickBot="1" x14ac:dyDescent="0.3">
      <c r="A26" s="102">
        <f t="shared" si="0"/>
        <v>14.906832298136646</v>
      </c>
      <c r="B26" s="5">
        <v>24</v>
      </c>
      <c r="C26" s="151">
        <v>2.9166666666666698E-3</v>
      </c>
      <c r="D26" s="69">
        <f t="shared" si="4"/>
        <v>6.8958333333333344E-2</v>
      </c>
      <c r="F26">
        <v>12</v>
      </c>
      <c r="G26">
        <v>0</v>
      </c>
      <c r="H26">
        <f t="shared" si="1"/>
        <v>12</v>
      </c>
      <c r="I26" t="s">
        <v>179</v>
      </c>
      <c r="J26" s="103" t="s">
        <v>166</v>
      </c>
      <c r="K26" s="68" t="s">
        <v>169</v>
      </c>
      <c r="P26" t="s">
        <v>125</v>
      </c>
      <c r="Q26" s="69">
        <f>P24/N24</f>
        <v>2.6315933824820072E-3</v>
      </c>
    </row>
    <row r="27" spans="1:23" ht="15.75" thickBot="1" x14ac:dyDescent="0.3">
      <c r="A27" s="102">
        <f t="shared" si="0"/>
        <v>15.527950310559005</v>
      </c>
      <c r="B27" s="99">
        <v>25</v>
      </c>
      <c r="C27" s="151">
        <v>2.9166666666666698E-3</v>
      </c>
      <c r="D27" s="94">
        <f t="shared" si="4"/>
        <v>7.1875000000000008E-2</v>
      </c>
      <c r="F27">
        <v>10</v>
      </c>
      <c r="G27">
        <v>0</v>
      </c>
      <c r="H27">
        <f t="shared" si="1"/>
        <v>10</v>
      </c>
    </row>
    <row r="28" spans="1:23" x14ac:dyDescent="0.25">
      <c r="A28" s="102">
        <f t="shared" si="0"/>
        <v>16.149068322981364</v>
      </c>
      <c r="B28" s="5">
        <v>26</v>
      </c>
      <c r="C28" s="151">
        <v>2.9166666666666698E-3</v>
      </c>
      <c r="D28" s="69">
        <f t="shared" si="4"/>
        <v>7.4791666666666673E-2</v>
      </c>
      <c r="F28">
        <v>8</v>
      </c>
      <c r="G28">
        <v>0</v>
      </c>
      <c r="H28">
        <f t="shared" si="1"/>
        <v>8</v>
      </c>
      <c r="I28" s="103"/>
    </row>
    <row r="29" spans="1:23" x14ac:dyDescent="0.25">
      <c r="A29" s="102">
        <f t="shared" si="0"/>
        <v>16.770186335403725</v>
      </c>
      <c r="B29" s="5">
        <v>27</v>
      </c>
      <c r="C29" s="151">
        <v>2.9166666666666698E-3</v>
      </c>
      <c r="D29" s="69">
        <f t="shared" si="4"/>
        <v>7.7708333333333338E-2</v>
      </c>
      <c r="F29">
        <v>12</v>
      </c>
      <c r="G29">
        <v>0</v>
      </c>
      <c r="H29">
        <f t="shared" si="1"/>
        <v>12</v>
      </c>
      <c r="I29" s="103" t="s">
        <v>180</v>
      </c>
      <c r="J29" s="103" t="s">
        <v>166</v>
      </c>
      <c r="K29" s="103"/>
    </row>
    <row r="30" spans="1:23" x14ac:dyDescent="0.25">
      <c r="A30" s="102">
        <f t="shared" si="0"/>
        <v>17.391304347826086</v>
      </c>
      <c r="B30" s="5">
        <v>28</v>
      </c>
      <c r="C30" s="151">
        <v>2.9166666666666698E-3</v>
      </c>
      <c r="D30" s="69">
        <f t="shared" si="4"/>
        <v>8.0625000000000002E-2</v>
      </c>
      <c r="F30">
        <v>7</v>
      </c>
      <c r="G30">
        <v>0</v>
      </c>
      <c r="H30">
        <f t="shared" si="1"/>
        <v>7</v>
      </c>
    </row>
    <row r="31" spans="1:23" x14ac:dyDescent="0.25">
      <c r="A31" s="102">
        <f t="shared" si="0"/>
        <v>18.012422360248447</v>
      </c>
      <c r="B31" s="5">
        <v>29</v>
      </c>
      <c r="C31" s="151">
        <v>2.9166666666666698E-3</v>
      </c>
      <c r="D31" s="69">
        <f t="shared" si="4"/>
        <v>8.3541666666666667E-2</v>
      </c>
      <c r="F31">
        <v>5</v>
      </c>
      <c r="G31">
        <v>0</v>
      </c>
      <c r="H31">
        <f t="shared" si="1"/>
        <v>5</v>
      </c>
    </row>
    <row r="32" spans="1:23" ht="15.75" thickBot="1" x14ac:dyDescent="0.3">
      <c r="A32" s="102">
        <f t="shared" si="0"/>
        <v>18.633540372670808</v>
      </c>
      <c r="B32" s="5">
        <v>30</v>
      </c>
      <c r="C32" s="151">
        <v>2.9166666666666698E-3</v>
      </c>
      <c r="D32" s="69">
        <f t="shared" si="4"/>
        <v>8.6458333333333331E-2</v>
      </c>
      <c r="F32">
        <v>7</v>
      </c>
      <c r="G32">
        <v>0</v>
      </c>
      <c r="H32">
        <f t="shared" si="1"/>
        <v>7</v>
      </c>
      <c r="I32" t="s">
        <v>181</v>
      </c>
      <c r="J32" s="103" t="s">
        <v>166</v>
      </c>
      <c r="K32" s="68" t="s">
        <v>170</v>
      </c>
    </row>
    <row r="33" spans="1:11" ht="15.75" thickBot="1" x14ac:dyDescent="0.3">
      <c r="A33" s="102">
        <f t="shared" si="0"/>
        <v>19.254658385093165</v>
      </c>
      <c r="B33" s="99">
        <v>31</v>
      </c>
      <c r="C33" s="151">
        <v>2.9166666666666698E-3</v>
      </c>
      <c r="D33" s="94">
        <f t="shared" si="4"/>
        <v>8.9374999999999996E-2</v>
      </c>
      <c r="F33">
        <v>3</v>
      </c>
      <c r="G33">
        <v>0</v>
      </c>
      <c r="H33">
        <f t="shared" si="1"/>
        <v>3</v>
      </c>
    </row>
    <row r="34" spans="1:11" x14ac:dyDescent="0.25">
      <c r="A34" s="102">
        <f t="shared" si="0"/>
        <v>19.875776397515526</v>
      </c>
      <c r="B34" s="5">
        <v>32</v>
      </c>
      <c r="C34" s="151">
        <v>2.9166666666666698E-3</v>
      </c>
      <c r="D34" s="69">
        <f t="shared" si="4"/>
        <v>9.2291666666666661E-2</v>
      </c>
      <c r="F34">
        <v>3</v>
      </c>
      <c r="G34">
        <v>2</v>
      </c>
      <c r="H34">
        <f t="shared" si="1"/>
        <v>1</v>
      </c>
      <c r="I34" s="103"/>
    </row>
    <row r="35" spans="1:11" x14ac:dyDescent="0.25">
      <c r="A35" s="102">
        <f t="shared" si="0"/>
        <v>20.496894409937887</v>
      </c>
      <c r="B35" s="5">
        <v>33</v>
      </c>
      <c r="C35" s="124">
        <v>2.7777777777777779E-3</v>
      </c>
      <c r="D35" s="69">
        <f t="shared" si="4"/>
        <v>9.5069444444444443E-2</v>
      </c>
      <c r="F35">
        <v>4</v>
      </c>
      <c r="G35">
        <v>7</v>
      </c>
      <c r="H35">
        <f t="shared" si="1"/>
        <v>-3</v>
      </c>
    </row>
    <row r="36" spans="1:11" x14ac:dyDescent="0.25">
      <c r="A36" s="102">
        <f t="shared" si="0"/>
        <v>21.118012422360248</v>
      </c>
      <c r="B36" s="5">
        <v>34</v>
      </c>
      <c r="C36" s="124">
        <v>2.7777777777777779E-3</v>
      </c>
      <c r="D36" s="69">
        <f t="shared" si="4"/>
        <v>9.7847222222222224E-2</v>
      </c>
      <c r="F36">
        <v>0</v>
      </c>
      <c r="G36">
        <v>9</v>
      </c>
      <c r="H36">
        <f t="shared" si="1"/>
        <v>-9</v>
      </c>
      <c r="I36" s="103" t="s">
        <v>182</v>
      </c>
      <c r="J36" s="103" t="s">
        <v>166</v>
      </c>
      <c r="K36" s="103"/>
    </row>
    <row r="37" spans="1:11" ht="15.75" thickBot="1" x14ac:dyDescent="0.3">
      <c r="A37" s="102">
        <f t="shared" si="0"/>
        <v>21.739130434782606</v>
      </c>
      <c r="B37" s="5">
        <v>35</v>
      </c>
      <c r="C37" s="124">
        <v>2.7777777777777801E-3</v>
      </c>
      <c r="D37" s="69">
        <f t="shared" si="4"/>
        <v>0.10062500000000001</v>
      </c>
      <c r="F37">
        <v>0</v>
      </c>
      <c r="G37">
        <v>15</v>
      </c>
      <c r="H37">
        <f t="shared" si="1"/>
        <v>-15</v>
      </c>
    </row>
    <row r="38" spans="1:11" ht="15.75" thickBot="1" x14ac:dyDescent="0.3">
      <c r="A38" s="102">
        <f t="shared" si="0"/>
        <v>22.360248447204967</v>
      </c>
      <c r="B38" s="99">
        <v>36</v>
      </c>
      <c r="C38" s="124">
        <v>2.7777777777777801E-3</v>
      </c>
      <c r="D38" s="94">
        <f t="shared" si="4"/>
        <v>0.10340277777777779</v>
      </c>
      <c r="F38">
        <v>0</v>
      </c>
      <c r="G38">
        <v>7</v>
      </c>
      <c r="H38">
        <f t="shared" si="1"/>
        <v>-7</v>
      </c>
      <c r="I38" t="s">
        <v>183</v>
      </c>
      <c r="J38" s="103" t="s">
        <v>166</v>
      </c>
      <c r="K38" s="68" t="s">
        <v>169</v>
      </c>
    </row>
    <row r="39" spans="1:11" x14ac:dyDescent="0.25">
      <c r="A39" s="102">
        <f t="shared" si="0"/>
        <v>22.981366459627328</v>
      </c>
      <c r="B39" s="5">
        <v>37</v>
      </c>
      <c r="C39" s="124">
        <v>2.7777777777777801E-3</v>
      </c>
      <c r="D39" s="69">
        <f t="shared" si="4"/>
        <v>0.10618055555555557</v>
      </c>
      <c r="F39">
        <v>0</v>
      </c>
      <c r="G39">
        <v>14</v>
      </c>
      <c r="H39">
        <f t="shared" si="1"/>
        <v>-14</v>
      </c>
    </row>
    <row r="40" spans="1:11" x14ac:dyDescent="0.25">
      <c r="A40" s="102">
        <f t="shared" si="0"/>
        <v>23.602484472049689</v>
      </c>
      <c r="B40" s="5">
        <v>38</v>
      </c>
      <c r="C40" s="124">
        <v>2.7777777777777801E-3</v>
      </c>
      <c r="D40" s="69">
        <f t="shared" si="4"/>
        <v>0.10895833333333335</v>
      </c>
      <c r="F40">
        <v>0</v>
      </c>
      <c r="G40">
        <v>11</v>
      </c>
      <c r="H40">
        <f t="shared" si="1"/>
        <v>-11</v>
      </c>
    </row>
    <row r="41" spans="1:11" x14ac:dyDescent="0.25">
      <c r="A41" s="102">
        <f t="shared" si="0"/>
        <v>24.22360248447205</v>
      </c>
      <c r="B41" s="5">
        <v>39</v>
      </c>
      <c r="C41" s="124">
        <v>2.7777777777777801E-3</v>
      </c>
      <c r="D41" s="69">
        <f t="shared" si="4"/>
        <v>0.11173611111111113</v>
      </c>
      <c r="F41">
        <v>0</v>
      </c>
      <c r="G41">
        <v>12</v>
      </c>
      <c r="H41">
        <f t="shared" si="1"/>
        <v>-12</v>
      </c>
      <c r="I41" s="103" t="s">
        <v>176</v>
      </c>
      <c r="J41" s="103" t="s">
        <v>184</v>
      </c>
    </row>
    <row r="42" spans="1:11" x14ac:dyDescent="0.25">
      <c r="A42" s="102">
        <f t="shared" si="0"/>
        <v>24.844720496894407</v>
      </c>
      <c r="B42" s="5">
        <v>40</v>
      </c>
      <c r="C42" s="124">
        <v>2.7777777777777801E-3</v>
      </c>
      <c r="D42" s="69">
        <f t="shared" si="4"/>
        <v>0.11451388888888892</v>
      </c>
      <c r="F42">
        <v>0</v>
      </c>
      <c r="G42">
        <v>9</v>
      </c>
      <c r="H42">
        <f t="shared" si="1"/>
        <v>-9</v>
      </c>
    </row>
    <row r="43" spans="1:11" ht="15.75" thickBot="1" x14ac:dyDescent="0.3">
      <c r="A43" s="102">
        <f t="shared" si="0"/>
        <v>25.465838509316768</v>
      </c>
      <c r="B43" s="5">
        <v>41</v>
      </c>
      <c r="C43" s="124">
        <v>2.7777777777777801E-3</v>
      </c>
      <c r="D43" s="69">
        <f t="shared" si="4"/>
        <v>0.1172916666666667</v>
      </c>
      <c r="F43">
        <v>0</v>
      </c>
      <c r="G43">
        <v>11</v>
      </c>
      <c r="H43">
        <f t="shared" si="1"/>
        <v>-11</v>
      </c>
    </row>
    <row r="44" spans="1:11" ht="15.75" thickBot="1" x14ac:dyDescent="0.3">
      <c r="A44" s="102">
        <f t="shared" si="0"/>
        <v>26.086956521739129</v>
      </c>
      <c r="B44" s="99">
        <v>42</v>
      </c>
      <c r="C44" s="124">
        <v>2.7777777777777801E-3</v>
      </c>
      <c r="D44" s="94">
        <f t="shared" si="4"/>
        <v>0.12006944444444448</v>
      </c>
      <c r="F44">
        <v>0</v>
      </c>
      <c r="G44">
        <v>14</v>
      </c>
      <c r="H44">
        <f t="shared" si="1"/>
        <v>-14</v>
      </c>
    </row>
    <row r="45" spans="1:11" ht="15.75" thickBot="1" x14ac:dyDescent="0.3">
      <c r="A45" s="102">
        <f t="shared" si="0"/>
        <v>26.211180124223603</v>
      </c>
      <c r="B45" s="5">
        <v>42.2</v>
      </c>
      <c r="C45" s="124">
        <v>2.7777777777777801E-3</v>
      </c>
      <c r="D45" s="100">
        <f t="shared" si="4"/>
        <v>0.12062500000000004</v>
      </c>
      <c r="E45" t="s">
        <v>147</v>
      </c>
      <c r="F45">
        <v>0</v>
      </c>
      <c r="G45">
        <v>4</v>
      </c>
      <c r="H45">
        <f t="shared" si="1"/>
        <v>-4</v>
      </c>
    </row>
    <row r="47" spans="1:11" x14ac:dyDescent="0.25">
      <c r="D47" t="s">
        <v>125</v>
      </c>
      <c r="E47" s="69">
        <f>D45/B45</f>
        <v>2.8584123222748824E-3</v>
      </c>
    </row>
  </sheetData>
  <mergeCells count="2">
    <mergeCell ref="A1:E1"/>
    <mergeCell ref="M1:Q1"/>
  </mergeCells>
  <conditionalFormatting sqref="F3:F45 R28:R49">
    <cfRule type="cellIs" dxfId="3" priority="6" operator="greaterThan">
      <formula>0</formula>
    </cfRule>
  </conditionalFormatting>
  <conditionalFormatting sqref="R3:R23">
    <cfRule type="cellIs" dxfId="2" priority="1" operator="greaterThan">
      <formula>0</formula>
    </cfRule>
  </conditionalFormatting>
  <conditionalFormatting sqref="T3:T24 H3:H45">
    <cfRule type="cellIs" dxfId="1" priority="7" operator="greaterThan">
      <formula>0</formula>
    </cfRule>
    <cfRule type="cellIs" dxfId="0" priority="8" operator="lessThan">
      <formula>0</formula>
    </cfRule>
  </conditionalFormatting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Hoja24"/>
  <dimension ref="A1:P44"/>
  <sheetViews>
    <sheetView workbookViewId="0"/>
  </sheetViews>
  <sheetFormatPr baseColWidth="10" defaultRowHeight="15" x14ac:dyDescent="0.25"/>
  <cols>
    <col min="1" max="1" width="29.5703125" bestFit="1" customWidth="1"/>
    <col min="2" max="2" width="12.5703125" bestFit="1" customWidth="1"/>
    <col min="4" max="4" width="19.85546875" customWidth="1"/>
    <col min="11" max="11" width="20.5703125" bestFit="1" customWidth="1"/>
    <col min="12" max="12" width="14.7109375" bestFit="1" customWidth="1"/>
    <col min="15" max="15" width="19.42578125" bestFit="1" customWidth="1"/>
    <col min="16" max="16" width="20.7109375" bestFit="1" customWidth="1"/>
  </cols>
  <sheetData>
    <row r="1" spans="1:15" x14ac:dyDescent="0.25">
      <c r="A1" s="175" t="s">
        <v>470</v>
      </c>
    </row>
    <row r="2" spans="1:15" x14ac:dyDescent="0.25">
      <c r="A2" t="s">
        <v>4</v>
      </c>
      <c r="E2" t="s">
        <v>110</v>
      </c>
      <c r="F2">
        <v>870</v>
      </c>
      <c r="L2">
        <f>41832*2</f>
        <v>83664</v>
      </c>
      <c r="N2">
        <f>53934*2</f>
        <v>107868</v>
      </c>
      <c r="O2">
        <v>977567</v>
      </c>
    </row>
    <row r="3" spans="1:15" x14ac:dyDescent="0.25">
      <c r="B3" t="s">
        <v>109</v>
      </c>
      <c r="C3" t="s">
        <v>5</v>
      </c>
      <c r="E3" t="s">
        <v>115</v>
      </c>
      <c r="K3" t="s">
        <v>469</v>
      </c>
      <c r="L3">
        <f>L2-35000</f>
        <v>48664</v>
      </c>
    </row>
    <row r="4" spans="1:15" x14ac:dyDescent="0.25">
      <c r="A4" t="s">
        <v>101</v>
      </c>
      <c r="B4" s="87">
        <v>591800</v>
      </c>
      <c r="C4" s="87">
        <v>591800</v>
      </c>
      <c r="L4">
        <f>20916*2</f>
        <v>41832</v>
      </c>
      <c r="N4">
        <f>377212*2</f>
        <v>754424</v>
      </c>
      <c r="O4">
        <v>137268</v>
      </c>
    </row>
    <row r="5" spans="1:15" x14ac:dyDescent="0.25">
      <c r="A5" t="s">
        <v>100</v>
      </c>
      <c r="B5" s="87">
        <v>0</v>
      </c>
      <c r="C5" s="87">
        <v>0</v>
      </c>
      <c r="K5" t="s">
        <v>469</v>
      </c>
      <c r="L5">
        <f>L4-35000</f>
        <v>6832</v>
      </c>
      <c r="O5">
        <f>N4-N2</f>
        <v>646556</v>
      </c>
    </row>
    <row r="6" spans="1:15" x14ac:dyDescent="0.25">
      <c r="A6" t="s">
        <v>102</v>
      </c>
      <c r="B6" s="87">
        <v>79030</v>
      </c>
      <c r="C6" s="87">
        <v>79030</v>
      </c>
    </row>
    <row r="7" spans="1:15" x14ac:dyDescent="0.25">
      <c r="A7" t="s">
        <v>153</v>
      </c>
      <c r="B7" s="87">
        <v>32976</v>
      </c>
      <c r="C7" s="87">
        <v>32976</v>
      </c>
    </row>
    <row r="8" spans="1:15" x14ac:dyDescent="0.25">
      <c r="A8" t="s">
        <v>103</v>
      </c>
      <c r="B8" s="87">
        <v>670000</v>
      </c>
      <c r="C8" s="87">
        <f>670000+146.25*800</f>
        <v>787000</v>
      </c>
    </row>
    <row r="9" spans="1:15" x14ac:dyDescent="0.25">
      <c r="A9" t="s">
        <v>104</v>
      </c>
      <c r="B9" s="87">
        <v>617058</v>
      </c>
      <c r="C9" s="87">
        <f>617058+59.53*800</f>
        <v>664682</v>
      </c>
      <c r="H9" t="s">
        <v>116</v>
      </c>
      <c r="I9" t="s">
        <v>117</v>
      </c>
    </row>
    <row r="10" spans="1:15" x14ac:dyDescent="0.25">
      <c r="A10" t="s">
        <v>108</v>
      </c>
      <c r="B10" s="87">
        <v>54971</v>
      </c>
      <c r="C10" s="87">
        <v>54971</v>
      </c>
    </row>
    <row r="11" spans="1:15" x14ac:dyDescent="0.25">
      <c r="A11" t="s">
        <v>111</v>
      </c>
      <c r="B11" s="87">
        <v>400000</v>
      </c>
      <c r="C11" s="210">
        <f>(2217.46-366-146.25-59.53)*800</f>
        <v>1316544</v>
      </c>
    </row>
    <row r="12" spans="1:15" x14ac:dyDescent="0.25">
      <c r="A12" t="s">
        <v>154</v>
      </c>
      <c r="B12" s="87">
        <v>400000</v>
      </c>
      <c r="C12" s="210"/>
    </row>
    <row r="13" spans="1:15" x14ac:dyDescent="0.25">
      <c r="A13" t="s">
        <v>114</v>
      </c>
      <c r="B13" s="87">
        <v>300000</v>
      </c>
      <c r="C13" s="210"/>
    </row>
    <row r="14" spans="1:15" x14ac:dyDescent="0.25">
      <c r="A14" t="s">
        <v>157</v>
      </c>
      <c r="B14" s="87">
        <f>210000+245*800</f>
        <v>406000</v>
      </c>
      <c r="C14" s="87">
        <f>429.98*800</f>
        <v>343984</v>
      </c>
    </row>
    <row r="15" spans="1:15" x14ac:dyDescent="0.25">
      <c r="A15" t="s">
        <v>113</v>
      </c>
      <c r="B15" s="87">
        <v>716469</v>
      </c>
      <c r="C15" s="87">
        <v>716469</v>
      </c>
      <c r="E15">
        <v>710</v>
      </c>
    </row>
    <row r="16" spans="1:15" x14ac:dyDescent="0.25">
      <c r="A16" t="s">
        <v>112</v>
      </c>
      <c r="B16" s="87">
        <v>1108617</v>
      </c>
      <c r="C16" s="87">
        <v>1108617</v>
      </c>
      <c r="E16">
        <v>1233</v>
      </c>
    </row>
    <row r="17" spans="1:16" x14ac:dyDescent="0.25">
      <c r="A17" t="s">
        <v>118</v>
      </c>
      <c r="B17" s="87">
        <f>F2*E17</f>
        <v>234900</v>
      </c>
      <c r="C17" s="87">
        <f>366*800</f>
        <v>292800</v>
      </c>
      <c r="E17">
        <f>90*3</f>
        <v>270</v>
      </c>
    </row>
    <row r="18" spans="1:16" x14ac:dyDescent="0.25">
      <c r="A18" t="s">
        <v>15</v>
      </c>
      <c r="B18" s="87">
        <f>SUM(B4:B17)</f>
        <v>5611821</v>
      </c>
      <c r="C18" s="87">
        <f>SUM(C4:C17)</f>
        <v>5988873</v>
      </c>
    </row>
    <row r="20" spans="1:16" x14ac:dyDescent="0.25">
      <c r="A20" s="70" t="s">
        <v>139</v>
      </c>
      <c r="B20" s="92">
        <f>B18-C18</f>
        <v>-377052</v>
      </c>
    </row>
    <row r="23" spans="1:16" x14ac:dyDescent="0.25">
      <c r="A23" s="175" t="s">
        <v>471</v>
      </c>
      <c r="L23" t="s">
        <v>552</v>
      </c>
      <c r="M23" t="s">
        <v>553</v>
      </c>
      <c r="N23" s="70" t="s">
        <v>554</v>
      </c>
      <c r="O23" t="s">
        <v>555</v>
      </c>
      <c r="P23" t="s">
        <v>556</v>
      </c>
    </row>
    <row r="24" spans="1:16" x14ac:dyDescent="0.25">
      <c r="A24" t="s">
        <v>4</v>
      </c>
      <c r="E24" t="s">
        <v>110</v>
      </c>
      <c r="F24">
        <v>890</v>
      </c>
      <c r="K24" t="s">
        <v>562</v>
      </c>
      <c r="L24">
        <v>372</v>
      </c>
      <c r="M24">
        <v>994.65</v>
      </c>
      <c r="N24" s="211">
        <f>223*3+6</f>
        <v>675</v>
      </c>
      <c r="O24">
        <v>372</v>
      </c>
      <c r="P24">
        <v>228</v>
      </c>
    </row>
    <row r="25" spans="1:16" x14ac:dyDescent="0.25">
      <c r="B25" t="s">
        <v>109</v>
      </c>
      <c r="C25" t="s">
        <v>5</v>
      </c>
      <c r="D25" t="s">
        <v>479</v>
      </c>
      <c r="K25" t="s">
        <v>563</v>
      </c>
      <c r="L25">
        <v>228</v>
      </c>
      <c r="N25" s="211"/>
      <c r="O25" s="205">
        <f>109*3+6</f>
        <v>333</v>
      </c>
      <c r="P25" s="205">
        <f>170*3+6</f>
        <v>516</v>
      </c>
    </row>
    <row r="26" spans="1:16" x14ac:dyDescent="0.25">
      <c r="A26" t="s">
        <v>101</v>
      </c>
      <c r="B26" s="87">
        <f>1617804+45000</f>
        <v>1662804</v>
      </c>
      <c r="C26" s="87">
        <f>1617804+45000</f>
        <v>1662804</v>
      </c>
      <c r="D26" s="88">
        <f>B26-C26</f>
        <v>0</v>
      </c>
      <c r="K26" t="s">
        <v>557</v>
      </c>
      <c r="N26" s="211"/>
      <c r="O26" s="205"/>
      <c r="P26" s="205"/>
    </row>
    <row r="27" spans="1:16" x14ac:dyDescent="0.25">
      <c r="A27" t="s">
        <v>475</v>
      </c>
      <c r="B27" s="87">
        <v>182552</v>
      </c>
      <c r="C27" s="87">
        <v>182552</v>
      </c>
      <c r="D27" s="88">
        <f t="shared" ref="D27:D42" si="0">B27-C27</f>
        <v>0</v>
      </c>
      <c r="K27" t="s">
        <v>559</v>
      </c>
      <c r="L27">
        <f>63.75*3</f>
        <v>191.25</v>
      </c>
      <c r="N27" s="211"/>
      <c r="O27" s="205"/>
      <c r="P27" s="205"/>
    </row>
    <row r="28" spans="1:16" x14ac:dyDescent="0.25">
      <c r="A28" t="s">
        <v>100</v>
      </c>
      <c r="B28" s="87">
        <v>0</v>
      </c>
      <c r="C28" s="87" t="s">
        <v>480</v>
      </c>
      <c r="D28" s="88" t="e">
        <f t="shared" si="0"/>
        <v>#VALUE!</v>
      </c>
      <c r="K28" t="s">
        <v>560</v>
      </c>
      <c r="N28" s="211"/>
      <c r="O28" s="205"/>
      <c r="P28" s="205"/>
    </row>
    <row r="29" spans="1:16" x14ac:dyDescent="0.25">
      <c r="A29" t="s">
        <v>102</v>
      </c>
      <c r="B29" s="87" t="s">
        <v>472</v>
      </c>
      <c r="C29" s="87" t="s">
        <v>472</v>
      </c>
      <c r="D29" s="88" t="e">
        <f t="shared" si="0"/>
        <v>#VALUE!</v>
      </c>
      <c r="K29" t="s">
        <v>561</v>
      </c>
      <c r="L29">
        <f>27*3</f>
        <v>81</v>
      </c>
      <c r="N29" s="70">
        <v>81</v>
      </c>
      <c r="O29">
        <v>81</v>
      </c>
      <c r="P29">
        <v>81</v>
      </c>
    </row>
    <row r="30" spans="1:16" x14ac:dyDescent="0.25">
      <c r="A30" t="s">
        <v>153</v>
      </c>
      <c r="B30" s="176" t="s">
        <v>476</v>
      </c>
      <c r="C30" s="176" t="s">
        <v>476</v>
      </c>
      <c r="D30" s="88" t="e">
        <f t="shared" si="0"/>
        <v>#VALUE!</v>
      </c>
      <c r="K30" t="s">
        <v>558</v>
      </c>
      <c r="L30" t="s">
        <v>564</v>
      </c>
      <c r="N30" s="70" t="s">
        <v>564</v>
      </c>
      <c r="O30" t="s">
        <v>564</v>
      </c>
      <c r="P30" t="s">
        <v>564</v>
      </c>
    </row>
    <row r="31" spans="1:16" x14ac:dyDescent="0.25">
      <c r="A31" t="s">
        <v>484</v>
      </c>
      <c r="B31" s="87">
        <v>412273</v>
      </c>
      <c r="C31" s="87">
        <f>412273</f>
        <v>412273</v>
      </c>
      <c r="D31" s="88">
        <f t="shared" si="0"/>
        <v>0</v>
      </c>
      <c r="K31" t="s">
        <v>565</v>
      </c>
      <c r="N31" s="70"/>
    </row>
    <row r="32" spans="1:16" x14ac:dyDescent="0.25">
      <c r="A32" t="s">
        <v>485</v>
      </c>
      <c r="B32" s="87">
        <v>900000</v>
      </c>
      <c r="C32" s="87">
        <v>780000</v>
      </c>
      <c r="D32" s="88">
        <f t="shared" si="0"/>
        <v>120000</v>
      </c>
      <c r="K32" t="s">
        <v>566</v>
      </c>
      <c r="N32" s="70"/>
    </row>
    <row r="33" spans="1:16" x14ac:dyDescent="0.25">
      <c r="A33" t="s">
        <v>486</v>
      </c>
      <c r="B33" s="87">
        <v>631395</v>
      </c>
      <c r="C33" s="87">
        <v>631395</v>
      </c>
      <c r="D33" s="88">
        <f t="shared" si="0"/>
        <v>0</v>
      </c>
      <c r="F33" s="88"/>
      <c r="H33" t="s">
        <v>116</v>
      </c>
      <c r="I33" t="s">
        <v>117</v>
      </c>
      <c r="K33" t="s">
        <v>567</v>
      </c>
      <c r="N33" s="70"/>
    </row>
    <row r="34" spans="1:16" x14ac:dyDescent="0.25">
      <c r="A34" t="s">
        <v>108</v>
      </c>
      <c r="B34" s="87">
        <v>112774</v>
      </c>
      <c r="C34" s="87">
        <v>112774</v>
      </c>
      <c r="D34" s="88">
        <f t="shared" si="0"/>
        <v>0</v>
      </c>
      <c r="N34" s="70"/>
    </row>
    <row r="35" spans="1:16" x14ac:dyDescent="0.25">
      <c r="A35" t="s">
        <v>111</v>
      </c>
      <c r="B35" s="87">
        <v>500000</v>
      </c>
      <c r="C35" s="210">
        <v>1665861</v>
      </c>
      <c r="D35" s="212">
        <f>B35+B36+B37-C35</f>
        <v>34139</v>
      </c>
      <c r="N35" s="70"/>
    </row>
    <row r="36" spans="1:16" x14ac:dyDescent="0.25">
      <c r="A36" t="s">
        <v>473</v>
      </c>
      <c r="B36" s="87">
        <v>700000</v>
      </c>
      <c r="C36" s="210"/>
      <c r="D36" s="212"/>
      <c r="K36" t="s">
        <v>15</v>
      </c>
      <c r="L36">
        <f>SUM(L24:L35)</f>
        <v>872.25</v>
      </c>
      <c r="M36">
        <f t="shared" ref="M36:P36" si="1">SUM(M24:M35)</f>
        <v>994.65</v>
      </c>
      <c r="N36" s="70">
        <f t="shared" si="1"/>
        <v>756</v>
      </c>
      <c r="O36">
        <f t="shared" si="1"/>
        <v>786</v>
      </c>
      <c r="P36">
        <f t="shared" si="1"/>
        <v>825</v>
      </c>
    </row>
    <row r="37" spans="1:16" x14ac:dyDescent="0.25">
      <c r="A37" t="s">
        <v>114</v>
      </c>
      <c r="B37" s="87">
        <v>500000</v>
      </c>
      <c r="C37" s="210"/>
      <c r="D37" s="212"/>
    </row>
    <row r="38" spans="1:16" x14ac:dyDescent="0.25">
      <c r="A38" t="s">
        <v>157</v>
      </c>
      <c r="B38" s="87"/>
      <c r="C38" s="87"/>
      <c r="D38" s="88">
        <f t="shared" si="0"/>
        <v>0</v>
      </c>
    </row>
    <row r="39" spans="1:16" x14ac:dyDescent="0.25">
      <c r="A39" t="s">
        <v>571</v>
      </c>
      <c r="B39" s="87">
        <v>233226</v>
      </c>
      <c r="C39" s="87">
        <v>233226</v>
      </c>
      <c r="D39" s="88">
        <f t="shared" si="0"/>
        <v>0</v>
      </c>
      <c r="E39">
        <v>710</v>
      </c>
      <c r="N39">
        <f>M36-N36</f>
        <v>238.64999999999998</v>
      </c>
    </row>
    <row r="40" spans="1:16" x14ac:dyDescent="0.25">
      <c r="A40" t="s">
        <v>587</v>
      </c>
      <c r="B40" s="87"/>
      <c r="C40" s="87">
        <f>324896+88509</f>
        <v>413405</v>
      </c>
      <c r="D40" s="88">
        <f t="shared" si="0"/>
        <v>-413405</v>
      </c>
      <c r="E40">
        <v>1233</v>
      </c>
    </row>
    <row r="41" spans="1:16" x14ac:dyDescent="0.25">
      <c r="A41" t="s">
        <v>474</v>
      </c>
      <c r="B41" s="87">
        <v>214562</v>
      </c>
      <c r="C41" s="87">
        <v>214562</v>
      </c>
      <c r="D41" s="88">
        <f t="shared" si="0"/>
        <v>0</v>
      </c>
      <c r="E41">
        <f>90*3</f>
        <v>270</v>
      </c>
    </row>
    <row r="42" spans="1:16" x14ac:dyDescent="0.25">
      <c r="A42" t="s">
        <v>15</v>
      </c>
      <c r="B42" s="87">
        <f>SUM(B26:B41)</f>
        <v>6049586</v>
      </c>
      <c r="C42" s="87">
        <f>SUM(C26:C41)</f>
        <v>6308852</v>
      </c>
      <c r="D42" s="88">
        <f t="shared" si="0"/>
        <v>-259266</v>
      </c>
    </row>
    <row r="44" spans="1:16" x14ac:dyDescent="0.25">
      <c r="A44" s="70" t="s">
        <v>139</v>
      </c>
      <c r="B44" s="92">
        <f>B42-C42</f>
        <v>-259266</v>
      </c>
    </row>
  </sheetData>
  <mergeCells count="6">
    <mergeCell ref="C11:C13"/>
    <mergeCell ref="C35:C37"/>
    <mergeCell ref="N24:N28"/>
    <mergeCell ref="O25:O28"/>
    <mergeCell ref="P25:P28"/>
    <mergeCell ref="D35:D37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H20"/>
  <sheetViews>
    <sheetView workbookViewId="0">
      <selection activeCell="G21" sqref="G21"/>
    </sheetView>
  </sheetViews>
  <sheetFormatPr baseColWidth="10" defaultRowHeight="15" x14ac:dyDescent="0.25"/>
  <cols>
    <col min="1" max="1" width="21" bestFit="1" customWidth="1"/>
    <col min="6" max="6" width="15.7109375" bestFit="1" customWidth="1"/>
  </cols>
  <sheetData>
    <row r="1" spans="1:8" x14ac:dyDescent="0.25">
      <c r="C1" t="s">
        <v>720</v>
      </c>
      <c r="D1" t="s">
        <v>706</v>
      </c>
      <c r="E1" t="s">
        <v>707</v>
      </c>
    </row>
    <row r="2" spans="1:8" x14ac:dyDescent="0.25">
      <c r="A2" t="s">
        <v>714</v>
      </c>
      <c r="B2" t="s">
        <v>717</v>
      </c>
      <c r="C2">
        <v>1873</v>
      </c>
      <c r="D2">
        <v>3</v>
      </c>
      <c r="E2">
        <f t="shared" ref="E2:E14" si="0">C2/D2</f>
        <v>624.33333333333337</v>
      </c>
      <c r="F2" t="s">
        <v>718</v>
      </c>
    </row>
    <row r="3" spans="1:8" x14ac:dyDescent="0.25">
      <c r="A3" t="s">
        <v>714</v>
      </c>
      <c r="B3" t="s">
        <v>717</v>
      </c>
      <c r="C3">
        <v>2000</v>
      </c>
      <c r="D3">
        <v>3</v>
      </c>
      <c r="E3">
        <f t="shared" si="0"/>
        <v>666.66666666666663</v>
      </c>
      <c r="F3" t="s">
        <v>719</v>
      </c>
      <c r="H3" t="s">
        <v>723</v>
      </c>
    </row>
    <row r="4" spans="1:8" x14ac:dyDescent="0.25">
      <c r="C4">
        <v>3120</v>
      </c>
      <c r="D4">
        <v>3</v>
      </c>
      <c r="E4">
        <f t="shared" si="0"/>
        <v>1040</v>
      </c>
      <c r="F4" t="s">
        <v>726</v>
      </c>
      <c r="H4" t="s">
        <v>723</v>
      </c>
    </row>
    <row r="5" spans="1:8" x14ac:dyDescent="0.25">
      <c r="A5" t="s">
        <v>715</v>
      </c>
      <c r="B5" t="s">
        <v>716</v>
      </c>
      <c r="C5">
        <v>3495</v>
      </c>
      <c r="D5">
        <v>3</v>
      </c>
      <c r="E5">
        <f t="shared" si="0"/>
        <v>1165</v>
      </c>
      <c r="F5" t="s">
        <v>718</v>
      </c>
    </row>
    <row r="6" spans="1:8" x14ac:dyDescent="0.25">
      <c r="A6" t="s">
        <v>712</v>
      </c>
      <c r="B6" t="s">
        <v>713</v>
      </c>
      <c r="C6">
        <f>2199+625</f>
        <v>2824</v>
      </c>
      <c r="D6">
        <v>4</v>
      </c>
      <c r="E6">
        <f t="shared" si="0"/>
        <v>706</v>
      </c>
      <c r="G6" t="s">
        <v>777</v>
      </c>
    </row>
    <row r="7" spans="1:8" x14ac:dyDescent="0.25">
      <c r="A7" t="s">
        <v>721</v>
      </c>
      <c r="B7" t="s">
        <v>717</v>
      </c>
      <c r="C7">
        <v>3295</v>
      </c>
      <c r="D7">
        <v>4</v>
      </c>
      <c r="E7">
        <f t="shared" si="0"/>
        <v>823.75</v>
      </c>
      <c r="F7" t="s">
        <v>722</v>
      </c>
    </row>
    <row r="8" spans="1:8" x14ac:dyDescent="0.25">
      <c r="A8" t="s">
        <v>710</v>
      </c>
      <c r="B8" t="s">
        <v>711</v>
      </c>
      <c r="C8">
        <v>3460</v>
      </c>
      <c r="D8">
        <v>5</v>
      </c>
      <c r="E8">
        <f t="shared" si="0"/>
        <v>692</v>
      </c>
      <c r="G8" t="s">
        <v>777</v>
      </c>
    </row>
    <row r="9" spans="1:8" x14ac:dyDescent="0.25">
      <c r="A9" t="s">
        <v>724</v>
      </c>
      <c r="B9" t="s">
        <v>725</v>
      </c>
      <c r="C9">
        <f>2800+657</f>
        <v>3457</v>
      </c>
      <c r="D9">
        <v>4</v>
      </c>
      <c r="E9">
        <f t="shared" si="0"/>
        <v>864.25</v>
      </c>
      <c r="F9" t="s">
        <v>726</v>
      </c>
    </row>
    <row r="10" spans="1:8" x14ac:dyDescent="0.25">
      <c r="C10">
        <f>657+3253</f>
        <v>3910</v>
      </c>
      <c r="D10">
        <v>5</v>
      </c>
      <c r="E10">
        <f t="shared" si="0"/>
        <v>782</v>
      </c>
    </row>
    <row r="11" spans="1:8" x14ac:dyDescent="0.25">
      <c r="A11" t="s">
        <v>705</v>
      </c>
      <c r="B11" t="s">
        <v>708</v>
      </c>
      <c r="C11">
        <v>3519</v>
      </c>
      <c r="D11">
        <v>4</v>
      </c>
      <c r="E11">
        <f t="shared" si="0"/>
        <v>879.75</v>
      </c>
      <c r="F11" t="s">
        <v>726</v>
      </c>
    </row>
    <row r="12" spans="1:8" x14ac:dyDescent="0.25">
      <c r="F12" t="s">
        <v>726</v>
      </c>
    </row>
    <row r="13" spans="1:8" x14ac:dyDescent="0.25">
      <c r="A13" t="s">
        <v>709</v>
      </c>
      <c r="B13" t="s">
        <v>708</v>
      </c>
      <c r="C13">
        <v>4290</v>
      </c>
      <c r="D13">
        <v>4</v>
      </c>
      <c r="E13">
        <f t="shared" si="0"/>
        <v>1072.5</v>
      </c>
    </row>
    <row r="14" spans="1:8" x14ac:dyDescent="0.25">
      <c r="A14" t="s">
        <v>775</v>
      </c>
      <c r="B14" t="s">
        <v>776</v>
      </c>
      <c r="C14">
        <v>3136</v>
      </c>
      <c r="D14">
        <v>5</v>
      </c>
      <c r="E14">
        <f t="shared" si="0"/>
        <v>627.20000000000005</v>
      </c>
      <c r="G14" t="s">
        <v>777</v>
      </c>
    </row>
    <row r="15" spans="1:8" x14ac:dyDescent="0.25">
      <c r="A15" t="s">
        <v>778</v>
      </c>
      <c r="B15" t="s">
        <v>779</v>
      </c>
      <c r="G15" t="s">
        <v>777</v>
      </c>
    </row>
    <row r="16" spans="1:8" x14ac:dyDescent="0.25">
      <c r="A16" t="s">
        <v>780</v>
      </c>
    </row>
    <row r="18" spans="1:7" x14ac:dyDescent="0.25">
      <c r="A18" t="s">
        <v>781</v>
      </c>
      <c r="C18">
        <v>5192</v>
      </c>
      <c r="D18">
        <v>7</v>
      </c>
      <c r="E18">
        <f>C18/D18</f>
        <v>741.71428571428567</v>
      </c>
    </row>
    <row r="20" spans="1:7" x14ac:dyDescent="0.25">
      <c r="A20" t="s">
        <v>782</v>
      </c>
      <c r="G20" t="s">
        <v>777</v>
      </c>
    </row>
  </sheetData>
  <sortState xmlns:xlrd2="http://schemas.microsoft.com/office/spreadsheetml/2017/richdata2" ref="A2:H12">
    <sortCondition ref="C2:C12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23</vt:i4>
      </vt:variant>
      <vt:variant>
        <vt:lpstr>Rangos con nombre</vt:lpstr>
      </vt:variant>
      <vt:variant>
        <vt:i4>1</vt:i4>
      </vt:variant>
    </vt:vector>
  </HeadingPairs>
  <TitlesOfParts>
    <vt:vector size="24" baseType="lpstr">
      <vt:lpstr>AHRROS</vt:lpstr>
      <vt:lpstr>DEPA </vt:lpstr>
      <vt:lpstr>Deudas</vt:lpstr>
      <vt:lpstr>MAR25</vt:lpstr>
      <vt:lpstr>JUL25</vt:lpstr>
      <vt:lpstr>AGO25</vt:lpstr>
      <vt:lpstr>SEP25</vt:lpstr>
      <vt:lpstr>OCT25</vt:lpstr>
      <vt:lpstr>NOV25</vt:lpstr>
      <vt:lpstr>DIC25</vt:lpstr>
      <vt:lpstr>ENE26</vt:lpstr>
      <vt:lpstr>FEB26</vt:lpstr>
      <vt:lpstr>MAR26</vt:lpstr>
      <vt:lpstr>ABR26</vt:lpstr>
      <vt:lpstr>MAY26</vt:lpstr>
      <vt:lpstr>JUN26</vt:lpstr>
      <vt:lpstr>Colegio Agus</vt:lpstr>
      <vt:lpstr>Majors</vt:lpstr>
      <vt:lpstr>Lista chequeo maratón</vt:lpstr>
      <vt:lpstr>viña</vt:lpstr>
      <vt:lpstr>mds</vt:lpstr>
      <vt:lpstr>Vacaciones</vt:lpstr>
      <vt:lpstr>Hoja1</vt:lpstr>
      <vt:lpstr>'Lista chequeo maratón'!Área_de_impresión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Raul</dc:creator>
  <cp:lastModifiedBy>Raúl Bastidas Hernández</cp:lastModifiedBy>
  <cp:lastPrinted>2026-04-21T15:21:12Z</cp:lastPrinted>
  <dcterms:created xsi:type="dcterms:W3CDTF">2011-02-21T14:01:31Z</dcterms:created>
  <dcterms:modified xsi:type="dcterms:W3CDTF">2026-06-18T10:50:12Z</dcterms:modified>
</cp:coreProperties>
</file>