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xl/webextensions/webextension2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726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matiaslabarcap/Desktop/T1 LABARCA /"/>
    </mc:Choice>
  </mc:AlternateContent>
  <xr:revisionPtr revIDLastSave="0" documentId="13_ncr:1_{382623DA-6E2C-234F-B78C-BE812638A2B5}" xr6:coauthVersionLast="47" xr6:coauthVersionMax="47" xr10:uidLastSave="{00000000-0000-0000-0000-000000000000}"/>
  <bookViews>
    <workbookView xWindow="240" yWindow="500" windowWidth="28120" windowHeight="16000" xr2:uid="{00000000-000D-0000-FFFF-FFFF00000000}"/>
  </bookViews>
  <sheets>
    <sheet name="DASHBOARD" sheetId="4" r:id="rId1"/>
    <sheet name="VIVERES" sheetId="3" r:id="rId2"/>
  </sheets>
  <definedNames>
    <definedName name="_xlnm.Print_Area" localSheetId="1">VIVERES!$A$2:$O$9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8" i="4" l="1" a="1"/>
  <c r="L48" i="4" s="1"/>
  <c r="L49" i="4" a="1"/>
  <c r="L49" i="4" s="1"/>
  <c r="L50" i="4" a="1"/>
  <c r="L50" i="4" s="1"/>
  <c r="L51" i="4" a="1"/>
  <c r="L51" i="4"/>
  <c r="L52" i="4" a="1"/>
  <c r="L52" i="4" s="1"/>
  <c r="L53" i="4" a="1"/>
  <c r="L53" i="4" s="1"/>
  <c r="L54" i="4" a="1"/>
  <c r="L54" i="4" s="1"/>
  <c r="L55" i="4" a="1"/>
  <c r="L55" i="4"/>
  <c r="L56" i="4" a="1"/>
  <c r="L56" i="4" s="1"/>
  <c r="L57" i="4" a="1"/>
  <c r="L57" i="4" s="1"/>
  <c r="L58" i="4" a="1"/>
  <c r="L58" i="4" s="1"/>
  <c r="L34" i="4" a="1"/>
  <c r="L34" i="4" s="1"/>
  <c r="L35" i="4" a="1"/>
  <c r="L35" i="4" s="1"/>
  <c r="L36" i="4" a="1"/>
  <c r="L36" i="4" s="1"/>
  <c r="L37" i="4" a="1"/>
  <c r="L37" i="4"/>
  <c r="L38" i="4" a="1"/>
  <c r="L38" i="4" s="1"/>
  <c r="L39" i="4" a="1"/>
  <c r="L39" i="4" s="1"/>
  <c r="L40" i="4" a="1"/>
  <c r="L40" i="4" s="1"/>
  <c r="L41" i="4" a="1"/>
  <c r="L41" i="4"/>
  <c r="L42" i="4" a="1"/>
  <c r="L42" i="4" s="1"/>
  <c r="L43" i="4" a="1"/>
  <c r="L43" i="4" s="1"/>
  <c r="L44" i="4" a="1"/>
  <c r="L44" i="4" s="1"/>
  <c r="L20" i="4" a="1"/>
  <c r="L20" i="4" s="1"/>
  <c r="L21" i="4" a="1"/>
  <c r="L21" i="4" s="1"/>
  <c r="L22" i="4" a="1"/>
  <c r="L22" i="4"/>
  <c r="L23" i="4" a="1"/>
  <c r="L23" i="4"/>
  <c r="L24" i="4" a="1"/>
  <c r="L24" i="4" s="1"/>
  <c r="L25" i="4" a="1"/>
  <c r="L25" i="4" s="1"/>
  <c r="L26" i="4" a="1"/>
  <c r="L26" i="4"/>
  <c r="L27" i="4" a="1"/>
  <c r="L27" i="4"/>
  <c r="L28" i="4" a="1"/>
  <c r="L28" i="4" s="1"/>
  <c r="L29" i="4" a="1"/>
  <c r="L29" i="4" s="1"/>
  <c r="L30" i="4" a="1"/>
  <c r="L30" i="4"/>
  <c r="L6" i="4" a="1"/>
  <c r="L6" i="4"/>
  <c r="L7" i="4" a="1"/>
  <c r="L7" i="4"/>
  <c r="L8" i="4" a="1"/>
  <c r="L8" i="4"/>
  <c r="L9" i="4" a="1"/>
  <c r="L9" i="4"/>
  <c r="L10" i="4" a="1"/>
  <c r="L10" i="4"/>
  <c r="L11" i="4" a="1"/>
  <c r="L11" i="4"/>
  <c r="L12" i="4" a="1"/>
  <c r="L12" i="4"/>
  <c r="L13" i="4" a="1"/>
  <c r="L13" i="4" s="1"/>
  <c r="L14" i="4" a="1"/>
  <c r="L14" i="4"/>
  <c r="L15" i="4" a="1"/>
  <c r="L15" i="4"/>
  <c r="L16" i="4" a="1"/>
  <c r="L16" i="4"/>
  <c r="P16" i="4" a="1"/>
  <c r="P16" i="4" s="1"/>
  <c r="P15" i="4" a="1"/>
  <c r="P15" i="4" s="1"/>
  <c r="P14" i="4" a="1"/>
  <c r="P14" i="4" s="1"/>
  <c r="P13" i="4" a="1"/>
  <c r="P13" i="4" s="1"/>
  <c r="P12" i="4" a="1"/>
  <c r="P12" i="4"/>
  <c r="P11" i="4" a="1"/>
  <c r="P11" i="4" s="1"/>
  <c r="P10" i="4" a="1"/>
  <c r="P10" i="4"/>
  <c r="P9" i="4" a="1"/>
  <c r="P9" i="4" s="1"/>
  <c r="P8" i="4" a="1"/>
  <c r="P8" i="4"/>
  <c r="P7" i="4" a="1"/>
  <c r="P7" i="4" s="1"/>
  <c r="P6" i="4" a="1"/>
  <c r="P6" i="4" s="1"/>
  <c r="B8" i="4"/>
  <c r="B7" i="4"/>
  <c r="B6" i="4"/>
  <c r="K58" i="4" a="1"/>
  <c r="K58" i="4" s="1"/>
  <c r="K57" i="4" a="1"/>
  <c r="K57" i="4" s="1"/>
  <c r="K56" i="4" a="1"/>
  <c r="K56" i="4" s="1"/>
  <c r="K55" i="4" a="1"/>
  <c r="K55" i="4" s="1"/>
  <c r="K54" i="4" a="1"/>
  <c r="K54" i="4" s="1"/>
  <c r="K53" i="4" a="1"/>
  <c r="K53" i="4" s="1"/>
  <c r="K52" i="4" a="1"/>
  <c r="K52" i="4" s="1"/>
  <c r="K51" i="4" a="1"/>
  <c r="K51" i="4" s="1"/>
  <c r="K50" i="4" a="1"/>
  <c r="K50" i="4" s="1"/>
  <c r="K49" i="4" a="1"/>
  <c r="K49" i="4" s="1"/>
  <c r="M48" i="4" a="1"/>
  <c r="M48" i="4" s="1"/>
  <c r="N48" i="4" s="1"/>
  <c r="K48" i="4" a="1"/>
  <c r="K48" i="4" s="1"/>
  <c r="K44" i="4" a="1"/>
  <c r="K44" i="4" s="1"/>
  <c r="K43" i="4" a="1"/>
  <c r="K43" i="4" s="1"/>
  <c r="K42" i="4" a="1"/>
  <c r="K42" i="4" s="1"/>
  <c r="K41" i="4" a="1"/>
  <c r="K41" i="4" s="1"/>
  <c r="K40" i="4" a="1"/>
  <c r="K40" i="4" s="1"/>
  <c r="K39" i="4" a="1"/>
  <c r="K39" i="4" s="1"/>
  <c r="K38" i="4" a="1"/>
  <c r="K38" i="4" s="1"/>
  <c r="K37" i="4" a="1"/>
  <c r="K37" i="4" s="1"/>
  <c r="K36" i="4" a="1"/>
  <c r="K36" i="4" s="1"/>
  <c r="K35" i="4" a="1"/>
  <c r="K35" i="4" s="1"/>
  <c r="K34" i="4" a="1"/>
  <c r="K34" i="4" s="1"/>
  <c r="K30" i="4"/>
  <c r="K30" i="4" a="1"/>
  <c r="K29" i="4" a="1"/>
  <c r="K29" i="4" s="1"/>
  <c r="K28" i="4" a="1"/>
  <c r="K28" i="4" s="1"/>
  <c r="K27" i="4" a="1"/>
  <c r="K27" i="4" s="1"/>
  <c r="K26" i="4"/>
  <c r="K26" i="4" a="1"/>
  <c r="K25" i="4" a="1"/>
  <c r="K25" i="4" s="1"/>
  <c r="K24" i="4" a="1"/>
  <c r="K24" i="4" s="1"/>
  <c r="K23" i="4" a="1"/>
  <c r="K23" i="4" s="1"/>
  <c r="K22" i="4" a="1"/>
  <c r="K22" i="4" s="1"/>
  <c r="K21" i="4" a="1"/>
  <c r="K21" i="4" s="1"/>
  <c r="K20" i="4" a="1"/>
  <c r="K20" i="4" s="1"/>
  <c r="K16" i="4" a="1"/>
  <c r="K16" i="4" s="1"/>
  <c r="K15" i="4" a="1"/>
  <c r="K15" i="4" s="1"/>
  <c r="K14" i="4" a="1"/>
  <c r="K14" i="4" s="1"/>
  <c r="K13" i="4" a="1"/>
  <c r="K13" i="4" s="1"/>
  <c r="K12" i="4" a="1"/>
  <c r="K12" i="4" s="1"/>
  <c r="K11" i="4" a="1"/>
  <c r="K11" i="4" s="1"/>
  <c r="K10" i="4" a="1"/>
  <c r="K10" i="4" s="1"/>
  <c r="K9" i="4" a="1"/>
  <c r="K9" i="4" s="1"/>
  <c r="K8" i="4" a="1"/>
  <c r="K8" i="4" s="1"/>
  <c r="K7" i="4" a="1"/>
  <c r="K7" i="4" s="1"/>
  <c r="K6" i="4" a="1"/>
  <c r="K6" i="4" s="1"/>
  <c r="J2" i="4"/>
  <c r="C8" i="4" s="1" a="1"/>
  <c r="C8" i="4" s="1"/>
  <c r="N21" i="3"/>
  <c r="M21" i="3"/>
  <c r="L21" i="3"/>
  <c r="K21" i="3"/>
  <c r="J21" i="3"/>
  <c r="I21" i="3"/>
  <c r="H21" i="3"/>
  <c r="G21" i="3"/>
  <c r="F21" i="3"/>
  <c r="E21" i="3"/>
  <c r="D21" i="3"/>
  <c r="N12" i="3"/>
  <c r="M12" i="3"/>
  <c r="L12" i="3"/>
  <c r="K12" i="3"/>
  <c r="J12" i="3"/>
  <c r="I12" i="3"/>
  <c r="H12" i="3"/>
  <c r="G12" i="3"/>
  <c r="F12" i="3"/>
  <c r="E12" i="3"/>
  <c r="D12" i="3"/>
  <c r="N3" i="3"/>
  <c r="M3" i="3"/>
  <c r="L3" i="3"/>
  <c r="K3" i="3"/>
  <c r="J3" i="3"/>
  <c r="I3" i="3"/>
  <c r="H3" i="3"/>
  <c r="G3" i="3"/>
  <c r="F3" i="3"/>
  <c r="F31" i="3" s="1"/>
  <c r="E3" i="3"/>
  <c r="D3" i="3"/>
  <c r="O32" i="3"/>
  <c r="E33" i="3"/>
  <c r="F33" i="3" s="1"/>
  <c r="G33" i="3" s="1"/>
  <c r="H33" i="3" s="1"/>
  <c r="I33" i="3" s="1"/>
  <c r="J33" i="3" s="1"/>
  <c r="K33" i="3" s="1"/>
  <c r="L33" i="3" s="1"/>
  <c r="M33" i="3" s="1"/>
  <c r="N33" i="3" s="1"/>
  <c r="E34" i="3"/>
  <c r="K34" i="3"/>
  <c r="L34" i="3"/>
  <c r="M34" i="3"/>
  <c r="N34" i="3"/>
  <c r="D34" i="3"/>
  <c r="C30" i="3"/>
  <c r="B9" i="4" s="1"/>
  <c r="O24" i="3"/>
  <c r="D23" i="3"/>
  <c r="E23" i="3" s="1"/>
  <c r="F23" i="3" s="1"/>
  <c r="G23" i="3" s="1"/>
  <c r="H23" i="3" s="1"/>
  <c r="I23" i="3" s="1"/>
  <c r="J23" i="3" s="1"/>
  <c r="K23" i="3" s="1"/>
  <c r="L23" i="3" s="1"/>
  <c r="M23" i="3" s="1"/>
  <c r="N23" i="3" s="1"/>
  <c r="O22" i="3"/>
  <c r="D14" i="3"/>
  <c r="E14" i="3" s="1"/>
  <c r="F14" i="3" s="1"/>
  <c r="G14" i="3" s="1"/>
  <c r="H14" i="3" s="1"/>
  <c r="I14" i="3" s="1"/>
  <c r="J14" i="3" s="1"/>
  <c r="K14" i="3" s="1"/>
  <c r="L14" i="3" s="1"/>
  <c r="M14" i="3" s="1"/>
  <c r="N14" i="3" s="1"/>
  <c r="O13" i="3"/>
  <c r="D5" i="3"/>
  <c r="E5" i="3" s="1"/>
  <c r="F5" i="3" s="1"/>
  <c r="G5" i="3" s="1"/>
  <c r="H5" i="3" s="1"/>
  <c r="I5" i="3" s="1"/>
  <c r="J5" i="3" s="1"/>
  <c r="K5" i="3" s="1"/>
  <c r="L5" i="3" s="1"/>
  <c r="M5" i="3" s="1"/>
  <c r="N5" i="3" s="1"/>
  <c r="O4" i="3"/>
  <c r="G34" i="3" l="1"/>
  <c r="O6" i="3"/>
  <c r="F34" i="3"/>
  <c r="H34" i="3"/>
  <c r="C9" i="4" a="1"/>
  <c r="C9" i="4" s="1"/>
  <c r="C6" i="4" a="1"/>
  <c r="C6" i="4" s="1"/>
  <c r="C7" i="4" a="1"/>
  <c r="C7" i="4" s="1"/>
  <c r="N31" i="3"/>
  <c r="H31" i="3"/>
  <c r="G31" i="3"/>
  <c r="K31" i="3"/>
  <c r="I31" i="3"/>
  <c r="O21" i="3"/>
  <c r="K25" i="3" s="1"/>
  <c r="J31" i="3"/>
  <c r="D31" i="3"/>
  <c r="L31" i="3"/>
  <c r="E31" i="3"/>
  <c r="M31" i="3"/>
  <c r="O12" i="3"/>
  <c r="D16" i="3" s="1"/>
  <c r="O3" i="3"/>
  <c r="K7" i="3" l="1"/>
  <c r="E7" i="3"/>
  <c r="J34" i="3"/>
  <c r="I34" i="3"/>
  <c r="O15" i="3"/>
  <c r="I25" i="3"/>
  <c r="E25" i="3"/>
  <c r="H25" i="3"/>
  <c r="M25" i="3"/>
  <c r="G7" i="3"/>
  <c r="I7" i="3"/>
  <c r="O31" i="3"/>
  <c r="F7" i="3"/>
  <c r="M7" i="3"/>
  <c r="N7" i="3"/>
  <c r="H7" i="3"/>
  <c r="L25" i="3"/>
  <c r="G25" i="3"/>
  <c r="N25" i="3"/>
  <c r="F25" i="3"/>
  <c r="J25" i="3"/>
  <c r="F8" i="4" s="1" a="1"/>
  <c r="F8" i="4" s="1"/>
  <c r="J16" i="3"/>
  <c r="F7" i="4" s="1" a="1"/>
  <c r="F7" i="4" s="1"/>
  <c r="F16" i="3"/>
  <c r="N16" i="3"/>
  <c r="K16" i="3"/>
  <c r="G16" i="3"/>
  <c r="M16" i="3"/>
  <c r="H16" i="3"/>
  <c r="E16" i="3"/>
  <c r="I16" i="3"/>
  <c r="L16" i="3"/>
  <c r="D7" i="3"/>
  <c r="D8" i="3" s="1"/>
  <c r="M6" i="4" s="1" a="1"/>
  <c r="M6" i="4" s="1"/>
  <c r="N6" i="4" s="1"/>
  <c r="D25" i="3"/>
  <c r="J7" i="3"/>
  <c r="F6" i="4" s="1" a="1"/>
  <c r="F6" i="4" s="1"/>
  <c r="L7" i="3"/>
  <c r="O34" i="3" l="1"/>
  <c r="I35" i="3"/>
  <c r="J35" i="3"/>
  <c r="F9" i="4" s="1" a="1"/>
  <c r="F9" i="4" s="1"/>
  <c r="N35" i="3"/>
  <c r="M35" i="3"/>
  <c r="G35" i="3"/>
  <c r="L35" i="3"/>
  <c r="K35" i="3"/>
  <c r="H35" i="3"/>
  <c r="F35" i="3"/>
  <c r="E35" i="3"/>
  <c r="E36" i="3" s="1"/>
  <c r="M49" i="4" s="1" a="1"/>
  <c r="M49" i="4" s="1"/>
  <c r="N49" i="4" s="1"/>
  <c r="D35" i="3"/>
  <c r="E8" i="3"/>
  <c r="O7" i="3"/>
  <c r="D26" i="3"/>
  <c r="O25" i="3"/>
  <c r="O16" i="3"/>
  <c r="D17" i="3"/>
  <c r="E17" i="3" s="1"/>
  <c r="M20" i="4" l="1" a="1"/>
  <c r="M20" i="4" s="1"/>
  <c r="N20" i="4" s="1"/>
  <c r="E26" i="3"/>
  <c r="M34" i="4" a="1"/>
  <c r="M34" i="4" s="1"/>
  <c r="N34" i="4" s="1"/>
  <c r="F8" i="3"/>
  <c r="M7" i="4" a="1"/>
  <c r="M7" i="4" s="1"/>
  <c r="N7" i="4" s="1"/>
  <c r="O35" i="3"/>
  <c r="F36" i="3"/>
  <c r="F17" i="3" l="1"/>
  <c r="M21" i="4" a="1"/>
  <c r="M21" i="4" s="1"/>
  <c r="N21" i="4" s="1"/>
  <c r="G8" i="3"/>
  <c r="M8" i="4" a="1"/>
  <c r="M8" i="4" s="1"/>
  <c r="N8" i="4" s="1"/>
  <c r="F26" i="3"/>
  <c r="M35" i="4" a="1"/>
  <c r="M35" i="4" s="1"/>
  <c r="N35" i="4" s="1"/>
  <c r="G36" i="3"/>
  <c r="M50" i="4" a="1"/>
  <c r="M50" i="4" s="1"/>
  <c r="N50" i="4" s="1"/>
  <c r="G17" i="3" l="1"/>
  <c r="M22" i="4" a="1"/>
  <c r="M22" i="4" s="1"/>
  <c r="N22" i="4" s="1"/>
  <c r="H36" i="3"/>
  <c r="M51" i="4" a="1"/>
  <c r="M51" i="4" s="1"/>
  <c r="N51" i="4" s="1"/>
  <c r="G26" i="3"/>
  <c r="M36" i="4" a="1"/>
  <c r="M36" i="4" s="1"/>
  <c r="N36" i="4" s="1"/>
  <c r="H8" i="3"/>
  <c r="I8" i="3" s="1"/>
  <c r="M9" i="4" a="1"/>
  <c r="M9" i="4" s="1"/>
  <c r="N9" i="4" s="1"/>
  <c r="H17" i="3" l="1"/>
  <c r="M23" i="4" a="1"/>
  <c r="M23" i="4" s="1"/>
  <c r="N23" i="4" s="1"/>
  <c r="M10" i="4" a="1"/>
  <c r="M10" i="4" s="1"/>
  <c r="N10" i="4" s="1"/>
  <c r="H26" i="3"/>
  <c r="M37" i="4" a="1"/>
  <c r="M37" i="4" s="1"/>
  <c r="N37" i="4" s="1"/>
  <c r="I36" i="3"/>
  <c r="M52" i="4" a="1"/>
  <c r="M52" i="4" s="1"/>
  <c r="N52" i="4" s="1"/>
  <c r="I17" i="3" l="1"/>
  <c r="M24" i="4" a="1"/>
  <c r="M24" i="4" s="1"/>
  <c r="N24" i="4" s="1"/>
  <c r="J36" i="3"/>
  <c r="M53" i="4" a="1"/>
  <c r="M53" i="4" s="1"/>
  <c r="N53" i="4" s="1"/>
  <c r="I26" i="3"/>
  <c r="M38" i="4" a="1"/>
  <c r="M38" i="4" s="1"/>
  <c r="N38" i="4" s="1"/>
  <c r="J8" i="3"/>
  <c r="D6" i="4" s="1" a="1"/>
  <c r="D6" i="4" s="1"/>
  <c r="M11" i="4" a="1"/>
  <c r="M11" i="4" s="1"/>
  <c r="N11" i="4" s="1"/>
  <c r="G6" i="4" l="1"/>
  <c r="E6" i="4"/>
  <c r="J17" i="3"/>
  <c r="M25" i="4" a="1"/>
  <c r="M25" i="4" s="1"/>
  <c r="N25" i="4" s="1"/>
  <c r="J26" i="3"/>
  <c r="M39" i="4" a="1"/>
  <c r="M39" i="4" s="1"/>
  <c r="N39" i="4" s="1"/>
  <c r="K8" i="3"/>
  <c r="M12" i="4" a="1"/>
  <c r="M12" i="4" s="1"/>
  <c r="N12" i="4" s="1"/>
  <c r="K36" i="3"/>
  <c r="M54" i="4" a="1"/>
  <c r="M54" i="4" s="1"/>
  <c r="N54" i="4" s="1"/>
  <c r="K17" i="3" l="1"/>
  <c r="M26" i="4" a="1"/>
  <c r="M26" i="4" s="1"/>
  <c r="N26" i="4" s="1"/>
  <c r="L36" i="3"/>
  <c r="M55" i="4" a="1"/>
  <c r="M55" i="4" s="1"/>
  <c r="N55" i="4" s="1"/>
  <c r="L8" i="3"/>
  <c r="M13" i="4" a="1"/>
  <c r="M13" i="4" s="1"/>
  <c r="N13" i="4" s="1"/>
  <c r="K26" i="3"/>
  <c r="M40" i="4" a="1"/>
  <c r="M40" i="4" s="1"/>
  <c r="N40" i="4" s="1"/>
  <c r="L17" i="3" l="1"/>
  <c r="M27" i="4" a="1"/>
  <c r="M27" i="4" s="1"/>
  <c r="N27" i="4" s="1"/>
  <c r="M8" i="3"/>
  <c r="M14" i="4" a="1"/>
  <c r="M14" i="4" s="1"/>
  <c r="N14" i="4" s="1"/>
  <c r="M36" i="3"/>
  <c r="M56" i="4" a="1"/>
  <c r="M56" i="4" s="1"/>
  <c r="N56" i="4" s="1"/>
  <c r="L26" i="3"/>
  <c r="M41" i="4" a="1"/>
  <c r="M41" i="4" s="1"/>
  <c r="N41" i="4" s="1"/>
  <c r="M17" i="3" l="1"/>
  <c r="M28" i="4" a="1"/>
  <c r="M28" i="4" s="1"/>
  <c r="N28" i="4" s="1"/>
  <c r="M26" i="3"/>
  <c r="M42" i="4" a="1"/>
  <c r="M42" i="4" s="1"/>
  <c r="N42" i="4" s="1"/>
  <c r="N36" i="3"/>
  <c r="M57" i="4" a="1"/>
  <c r="M57" i="4" s="1"/>
  <c r="N57" i="4" s="1"/>
  <c r="N8" i="3"/>
  <c r="M15" i="4" a="1"/>
  <c r="M15" i="4" s="1"/>
  <c r="N15" i="4" s="1"/>
  <c r="N17" i="3" l="1"/>
  <c r="M29" i="4" a="1"/>
  <c r="M29" i="4" s="1"/>
  <c r="N29" i="4" s="1"/>
  <c r="M16" i="4" a="1"/>
  <c r="M16" i="4" s="1"/>
  <c r="N16" i="4" s="1"/>
  <c r="M58" i="4" a="1"/>
  <c r="M58" i="4" s="1"/>
  <c r="N58" i="4" s="1"/>
  <c r="D9" i="4" a="1"/>
  <c r="D9" i="4" s="1"/>
  <c r="N26" i="3"/>
  <c r="M43" i="4" a="1"/>
  <c r="M43" i="4" s="1"/>
  <c r="N43" i="4" s="1"/>
  <c r="G9" i="4" l="1"/>
  <c r="E9" i="4"/>
  <c r="D7" i="4" a="1"/>
  <c r="D7" i="4" s="1"/>
  <c r="M30" i="4" a="1"/>
  <c r="M30" i="4" s="1"/>
  <c r="N30" i="4" s="1"/>
  <c r="M44" i="4" a="1"/>
  <c r="M44" i="4" s="1"/>
  <c r="N44" i="4" s="1"/>
  <c r="D8" i="4" a="1"/>
  <c r="D8" i="4" s="1"/>
  <c r="G8" i="4" s="1"/>
  <c r="E8" i="4" l="1"/>
  <c r="G7" i="4"/>
  <c r="E7" i="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<sst xmlns="http://schemas.openxmlformats.org/spreadsheetml/2006/main" count="127" uniqueCount="54">
  <si>
    <t>NOVIEMBRE</t>
  </si>
  <si>
    <t>AGOSTO</t>
  </si>
  <si>
    <t>MAYO</t>
  </si>
  <si>
    <t>JULIO</t>
  </si>
  <si>
    <t>JUNIO</t>
  </si>
  <si>
    <t>MARZO</t>
  </si>
  <si>
    <t>ENERO</t>
  </si>
  <si>
    <t>FEBRERO</t>
  </si>
  <si>
    <t>ABRIL</t>
  </si>
  <si>
    <t>SEPTIEMBRE</t>
  </si>
  <si>
    <t>OCTUBRE</t>
  </si>
  <si>
    <t>META LINEAL INSTITUCIONAL</t>
  </si>
  <si>
    <t>PORCENTAJE META LINEAL INSTITUCIONAL</t>
  </si>
  <si>
    <t>AVANCE GASTO REAL</t>
  </si>
  <si>
    <t>PORCENTAJE GASTO REAL</t>
  </si>
  <si>
    <t>PORCENTAJE ACUMULADO REAL</t>
  </si>
  <si>
    <t>PORCENTAJE ACUMULADO META INSTITUCIONAL</t>
  </si>
  <si>
    <t>TOTALES</t>
  </si>
  <si>
    <t>META INSTITUCIONAL</t>
  </si>
  <si>
    <t>PROYECCIÓN</t>
  </si>
  <si>
    <t xml:space="preserve">PRESUPUESTO GENERAL CODE VIVERES </t>
  </si>
  <si>
    <t xml:space="preserve">PRESUP. ALIMENTACION CONTRATADA </t>
  </si>
  <si>
    <t>PRESUP. ALIMENTACION UU.RR.</t>
  </si>
  <si>
    <t xml:space="preserve">PRESUP. PLACOM </t>
  </si>
  <si>
    <t xml:space="preserve">ASIGNACION </t>
  </si>
  <si>
    <t xml:space="preserve">ASIGNACION GENERLA </t>
  </si>
  <si>
    <t>DASHBOARD — CONTROL PRESUPUESTARIO CODE VÍVERES</t>
  </si>
  <si>
    <t>Mes de análisis:</t>
  </si>
  <si>
    <t>Índice mes (auto):</t>
  </si>
  <si>
    <t>PRESUPUESTO</t>
  </si>
  <si>
    <t>ASIGNACIÓN</t>
  </si>
  <si>
    <t>% ACUM. REAL</t>
  </si>
  <si>
    <t>PLACOM</t>
  </si>
  <si>
    <t>ALIMENTACIÓN UU.RR.</t>
  </si>
  <si>
    <t>ALIMENTACIÓN CONTRATADA</t>
  </si>
  <si>
    <t>PRESUPUESTO GENERAL</t>
  </si>
  <si>
    <t>PLACOM — Acumulado</t>
  </si>
  <si>
    <t>Mes</t>
  </si>
  <si>
    <t>Real</t>
  </si>
  <si>
    <t>ALIMENTACIÓN UU.RR. — Acumulado</t>
  </si>
  <si>
    <t>ALIMENTACIÓN CONTRATADA — Acumulado</t>
  </si>
  <si>
    <t>PRESUPUESTO GENERAL — Acumulado</t>
  </si>
  <si>
    <t>% ACUM. META DABA</t>
  </si>
  <si>
    <t>DISPERSIÓN (DABA-REAL)</t>
  </si>
  <si>
    <t>META DABA — % ACUM. FIJO (variable definida)</t>
  </si>
  <si>
    <t>% Acum. DABA</t>
  </si>
  <si>
    <t>Azul = valor fijo editable. Esta curva aplica a los 4 presupuestos.</t>
  </si>
  <si>
    <t>% GASTO REAL DEL MES</t>
  </si>
  <si>
    <t>% CUMPLIMIENTO META DABA</t>
  </si>
  <si>
    <t>Meta DABA</t>
  </si>
  <si>
    <t>Dispersión (Meta-Real)</t>
  </si>
  <si>
    <t>KPI: cumplimiento de la meta DABA (% acumulado fijo definido) vs. ejecución real</t>
  </si>
  <si>
    <t>Cambie el mes en la celda amarilla para actualizar todo el tablero · Dispersión = Meta DABA − Real · Verde = cumple o supera la meta · Rojo = bajo la meta</t>
  </si>
  <si>
    <t>AVANCE GASTO REAL (DEVENGADO)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</si>
</sst>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 &quot;$&quot;* #,##0_ ;_ &quot;$&quot;* \-#,##0_ ;_ &quot;$&quot;* &quot;-&quot;_ ;_ @_ "/>
    <numFmt numFmtId="164" formatCode="_-&quot;$&quot;\ * #,##0_-;\-&quot;$&quot;\ * #,##0_-;_-&quot;$&quot;\ * &quot;-&quot;_-;_-@_-"/>
    <numFmt numFmtId="165" formatCode="_-* #,##0_-;\-* #,##0_-;_-* &quot;-&quot;_-;_-@_-"/>
    <numFmt numFmtId="166" formatCode="0.0%"/>
    <numFmt numFmtId="167" formatCode="&quot;$&quot;#,##0"/>
    <numFmt numFmtId="168" formatCode="0.0%;\(0.0%\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color rgb="FFFFFFFF"/>
      <name val="Calibri"/>
      <family val="2"/>
      <scheme val="minor"/>
    </font>
    <font>
      <b/>
      <sz val="11"/>
      <color rgb="FF0000FF"/>
      <name val="Calibri"/>
      <family val="2"/>
      <scheme val="minor"/>
    </font>
    <font>
      <i/>
      <sz val="11"/>
      <color rgb="FF595959"/>
      <name val="Calibri"/>
      <family val="2"/>
      <scheme val="minor"/>
    </font>
    <font>
      <sz val="11"/>
      <color rgb="FF80808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i/>
      <sz val="9"/>
      <color rgb="FF595959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FF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rgb="FF1F4E79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medium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medium">
        <color rgb="FFBFBFBF"/>
      </bottom>
      <diagonal/>
    </border>
    <border>
      <left/>
      <right/>
      <top/>
      <bottom style="medium">
        <color rgb="FFBFBFBF"/>
      </bottom>
      <diagonal/>
    </border>
    <border>
      <left style="thin">
        <color rgb="FFBFBFBF"/>
      </left>
      <right/>
      <top style="medium">
        <color rgb="FFBFBFBF"/>
      </top>
      <bottom style="thin">
        <color rgb="FFBFBFBF"/>
      </bottom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 style="thin">
        <color rgb="FFBFBFBF"/>
      </left>
      <right/>
      <top style="thin">
        <color rgb="FFBFBFBF"/>
      </top>
      <bottom style="medium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/>
      <diagonal/>
    </border>
    <border>
      <left style="thin">
        <color rgb="FFBFBFBF"/>
      </left>
      <right/>
      <top/>
      <bottom style="thin">
        <color rgb="FFBFBFBF"/>
      </bottom>
      <diagonal/>
    </border>
    <border>
      <left style="thin">
        <color rgb="FFBFBFBF"/>
      </left>
      <right style="thin">
        <color rgb="FFBFBFBF"/>
      </right>
      <top/>
      <bottom style="thin">
        <color rgb="FFBFBFBF"/>
      </bottom>
      <diagonal/>
    </border>
  </borders>
  <cellStyleXfs count="5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42" fontId="1" fillId="0" borderId="0" applyFont="0" applyFill="0" applyBorder="0" applyAlignment="0" applyProtection="0"/>
  </cellStyleXfs>
  <cellXfs count="108">
    <xf numFmtId="0" fontId="0" fillId="0" borderId="0" xfId="0"/>
    <xf numFmtId="42" fontId="0" fillId="0" borderId="1" xfId="4" applyFont="1" applyBorder="1"/>
    <xf numFmtId="42" fontId="0" fillId="0" borderId="0" xfId="0" applyNumberFormat="1"/>
    <xf numFmtId="166" fontId="0" fillId="0" borderId="1" xfId="2" applyNumberFormat="1" applyFont="1" applyBorder="1" applyAlignment="1">
      <alignment horizontal="center"/>
    </xf>
    <xf numFmtId="9" fontId="0" fillId="0" borderId="1" xfId="2" applyFont="1" applyBorder="1" applyAlignment="1">
      <alignment horizontal="center"/>
    </xf>
    <xf numFmtId="10" fontId="0" fillId="0" borderId="1" xfId="2" applyNumberFormat="1" applyFont="1" applyBorder="1" applyAlignment="1">
      <alignment horizontal="center"/>
    </xf>
    <xf numFmtId="4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3" fillId="0" borderId="0" xfId="0" applyNumberFormat="1" applyFont="1"/>
    <xf numFmtId="165" fontId="3" fillId="0" borderId="0" xfId="0" applyNumberFormat="1" applyFont="1" applyAlignment="1">
      <alignment horizontal="right"/>
    </xf>
    <xf numFmtId="164" fontId="3" fillId="2" borderId="0" xfId="0" applyNumberFormat="1" applyFont="1" applyFill="1" applyAlignment="1">
      <alignment horizontal="center"/>
    </xf>
    <xf numFmtId="49" fontId="0" fillId="2" borderId="0" xfId="0" applyNumberFormat="1" applyFill="1" applyAlignment="1">
      <alignment horizontal="center"/>
    </xf>
    <xf numFmtId="165" fontId="3" fillId="0" borderId="0" xfId="0" applyNumberFormat="1" applyFont="1"/>
    <xf numFmtId="164" fontId="3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0" fontId="2" fillId="3" borderId="6" xfId="0" applyFont="1" applyFill="1" applyBorder="1" applyAlignment="1">
      <alignment horizontal="right"/>
    </xf>
    <xf numFmtId="0" fontId="2" fillId="3" borderId="8" xfId="0" applyFont="1" applyFill="1" applyBorder="1" applyAlignment="1">
      <alignment horizontal="right"/>
    </xf>
    <xf numFmtId="42" fontId="2" fillId="0" borderId="2" xfId="4" applyFont="1" applyBorder="1"/>
    <xf numFmtId="0" fontId="2" fillId="3" borderId="2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right"/>
    </xf>
    <xf numFmtId="42" fontId="0" fillId="0" borderId="11" xfId="4" applyFont="1" applyBorder="1"/>
    <xf numFmtId="42" fontId="0" fillId="0" borderId="11" xfId="0" applyNumberFormat="1" applyBorder="1" applyAlignment="1">
      <alignment horizontal="center"/>
    </xf>
    <xf numFmtId="42" fontId="2" fillId="0" borderId="3" xfId="0" applyNumberFormat="1" applyFont="1" applyBorder="1" applyAlignment="1">
      <alignment horizontal="center"/>
    </xf>
    <xf numFmtId="9" fontId="2" fillId="0" borderId="4" xfId="2" applyFont="1" applyBorder="1" applyAlignment="1">
      <alignment horizontal="center"/>
    </xf>
    <xf numFmtId="0" fontId="2" fillId="3" borderId="14" xfId="0" applyFont="1" applyFill="1" applyBorder="1" applyAlignment="1">
      <alignment horizontal="right"/>
    </xf>
    <xf numFmtId="0" fontId="0" fillId="0" borderId="15" xfId="0" applyBorder="1"/>
    <xf numFmtId="10" fontId="0" fillId="0" borderId="14" xfId="0" applyNumberFormat="1" applyBorder="1" applyAlignment="1">
      <alignment horizontal="center"/>
    </xf>
    <xf numFmtId="42" fontId="2" fillId="0" borderId="16" xfId="0" applyNumberFormat="1" applyFont="1" applyBorder="1" applyAlignment="1">
      <alignment horizontal="center"/>
    </xf>
    <xf numFmtId="9" fontId="2" fillId="0" borderId="7" xfId="2" applyFont="1" applyBorder="1" applyAlignment="1">
      <alignment horizontal="center"/>
    </xf>
    <xf numFmtId="42" fontId="0" fillId="0" borderId="11" xfId="1" applyFont="1" applyBorder="1" applyAlignment="1">
      <alignment horizontal="center"/>
    </xf>
    <xf numFmtId="10" fontId="0" fillId="0" borderId="4" xfId="2" applyNumberFormat="1" applyFont="1" applyBorder="1" applyAlignment="1">
      <alignment horizontal="center"/>
    </xf>
    <xf numFmtId="0" fontId="2" fillId="3" borderId="17" xfId="0" applyFont="1" applyFill="1" applyBorder="1" applyAlignment="1">
      <alignment horizontal="right"/>
    </xf>
    <xf numFmtId="42" fontId="0" fillId="0" borderId="14" xfId="4" applyFont="1" applyBorder="1"/>
    <xf numFmtId="9" fontId="0" fillId="0" borderId="14" xfId="0" applyNumberFormat="1" applyBorder="1" applyAlignment="1">
      <alignment horizontal="center"/>
    </xf>
    <xf numFmtId="9" fontId="2" fillId="0" borderId="17" xfId="2" applyFont="1" applyBorder="1" applyAlignment="1">
      <alignment horizontal="center"/>
    </xf>
    <xf numFmtId="10" fontId="0" fillId="2" borderId="14" xfId="0" applyNumberFormat="1" applyFill="1" applyBorder="1" applyAlignment="1">
      <alignment horizontal="center"/>
    </xf>
    <xf numFmtId="10" fontId="0" fillId="2" borderId="5" xfId="0" applyNumberFormat="1" applyFill="1" applyBorder="1" applyAlignment="1">
      <alignment horizontal="center"/>
    </xf>
    <xf numFmtId="42" fontId="0" fillId="2" borderId="11" xfId="4" applyFont="1" applyFill="1" applyBorder="1"/>
    <xf numFmtId="10" fontId="0" fillId="4" borderId="14" xfId="0" applyNumberFormat="1" applyFill="1" applyBorder="1" applyAlignment="1">
      <alignment horizontal="center"/>
    </xf>
    <xf numFmtId="42" fontId="5" fillId="0" borderId="11" xfId="0" applyNumberFormat="1" applyFont="1" applyBorder="1" applyAlignment="1">
      <alignment horizontal="center"/>
    </xf>
    <xf numFmtId="0" fontId="0" fillId="0" borderId="1" xfId="0" applyBorder="1"/>
    <xf numFmtId="0" fontId="0" fillId="0" borderId="18" xfId="0" applyBorder="1"/>
    <xf numFmtId="0" fontId="2" fillId="3" borderId="19" xfId="0" applyFont="1" applyFill="1" applyBorder="1" applyAlignment="1">
      <alignment horizontal="right"/>
    </xf>
    <xf numFmtId="0" fontId="2" fillId="3" borderId="11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20" xfId="0" applyFont="1" applyFill="1" applyBorder="1" applyAlignment="1">
      <alignment horizontal="right"/>
    </xf>
    <xf numFmtId="0" fontId="2" fillId="3" borderId="21" xfId="0" applyFont="1" applyFill="1" applyBorder="1" applyAlignment="1">
      <alignment horizontal="right"/>
    </xf>
    <xf numFmtId="0" fontId="0" fillId="0" borderId="14" xfId="0" applyBorder="1"/>
    <xf numFmtId="0" fontId="2" fillId="3" borderId="22" xfId="0" applyFont="1" applyFill="1" applyBorder="1" applyAlignment="1">
      <alignment horizontal="right"/>
    </xf>
    <xf numFmtId="42" fontId="0" fillId="0" borderId="1" xfId="0" applyNumberFormat="1" applyBorder="1" applyAlignment="1">
      <alignment horizontal="center"/>
    </xf>
    <xf numFmtId="42" fontId="0" fillId="0" borderId="18" xfId="0" applyNumberFormat="1" applyBorder="1"/>
    <xf numFmtId="9" fontId="0" fillId="0" borderId="1" xfId="2" applyFont="1" applyBorder="1" applyAlignment="1">
      <alignment horizontal="center" vertical="center"/>
    </xf>
    <xf numFmtId="9" fontId="0" fillId="0" borderId="14" xfId="2" applyFont="1" applyBorder="1" applyAlignment="1">
      <alignment horizontal="center" vertical="center"/>
    </xf>
    <xf numFmtId="42" fontId="2" fillId="0" borderId="4" xfId="0" applyNumberFormat="1" applyFont="1" applyBorder="1"/>
    <xf numFmtId="42" fontId="2" fillId="0" borderId="5" xfId="0" applyNumberFormat="1" applyFont="1" applyBorder="1"/>
    <xf numFmtId="42" fontId="2" fillId="0" borderId="23" xfId="0" applyNumberFormat="1" applyFont="1" applyBorder="1"/>
    <xf numFmtId="166" fontId="0" fillId="0" borderId="1" xfId="2" applyNumberFormat="1" applyFont="1" applyBorder="1" applyAlignment="1">
      <alignment horizontal="center" vertical="center"/>
    </xf>
    <xf numFmtId="166" fontId="0" fillId="0" borderId="14" xfId="2" applyNumberFormat="1" applyFont="1" applyBorder="1" applyAlignment="1">
      <alignment horizontal="center" vertical="center"/>
    </xf>
    <xf numFmtId="166" fontId="0" fillId="0" borderId="14" xfId="0" applyNumberFormat="1" applyBorder="1" applyAlignment="1">
      <alignment horizontal="center"/>
    </xf>
    <xf numFmtId="166" fontId="0" fillId="4" borderId="14" xfId="0" applyNumberFormat="1" applyFill="1" applyBorder="1" applyAlignment="1">
      <alignment horizontal="center"/>
    </xf>
    <xf numFmtId="166" fontId="0" fillId="2" borderId="14" xfId="0" applyNumberFormat="1" applyFill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11" fillId="0" borderId="0" xfId="0" applyFont="1"/>
    <xf numFmtId="0" fontId="12" fillId="0" borderId="0" xfId="0" applyFont="1" applyAlignment="1">
      <alignment horizontal="right"/>
    </xf>
    <xf numFmtId="0" fontId="12" fillId="0" borderId="0" xfId="0" applyFont="1" applyAlignment="1">
      <alignment horizontal="center"/>
    </xf>
    <xf numFmtId="166" fontId="0" fillId="0" borderId="0" xfId="0" applyNumberFormat="1"/>
    <xf numFmtId="0" fontId="2" fillId="7" borderId="25" xfId="0" applyFont="1" applyFill="1" applyBorder="1"/>
    <xf numFmtId="167" fontId="0" fillId="0" borderId="25" xfId="0" applyNumberFormat="1" applyBorder="1"/>
    <xf numFmtId="166" fontId="0" fillId="0" borderId="25" xfId="0" applyNumberFormat="1" applyBorder="1" applyAlignment="1">
      <alignment horizontal="center"/>
    </xf>
    <xf numFmtId="0" fontId="13" fillId="8" borderId="27" xfId="0" applyFont="1" applyFill="1" applyBorder="1"/>
    <xf numFmtId="167" fontId="2" fillId="0" borderId="27" xfId="0" applyNumberFormat="1" applyFont="1" applyBorder="1"/>
    <xf numFmtId="166" fontId="0" fillId="0" borderId="27" xfId="0" applyNumberFormat="1" applyBorder="1" applyAlignment="1">
      <alignment horizontal="center"/>
    </xf>
    <xf numFmtId="0" fontId="13" fillId="5" borderId="0" xfId="0" applyFont="1" applyFill="1" applyAlignment="1">
      <alignment horizontal="center"/>
    </xf>
    <xf numFmtId="0" fontId="14" fillId="0" borderId="0" xfId="0" applyFont="1"/>
    <xf numFmtId="0" fontId="13" fillId="5" borderId="26" xfId="0" applyFont="1" applyFill="1" applyBorder="1" applyAlignment="1">
      <alignment horizontal="center" vertical="center"/>
    </xf>
    <xf numFmtId="42" fontId="2" fillId="0" borderId="11" xfId="0" applyNumberFormat="1" applyFont="1" applyBorder="1"/>
    <xf numFmtId="0" fontId="16" fillId="0" borderId="0" xfId="0" applyFont="1"/>
    <xf numFmtId="10" fontId="17" fillId="0" borderId="0" xfId="0" applyNumberFormat="1" applyFont="1" applyAlignment="1">
      <alignment horizontal="center"/>
    </xf>
    <xf numFmtId="0" fontId="13" fillId="5" borderId="29" xfId="0" applyFont="1" applyFill="1" applyBorder="1" applyAlignment="1">
      <alignment horizontal="center" vertical="center"/>
    </xf>
    <xf numFmtId="168" fontId="15" fillId="0" borderId="30" xfId="0" applyNumberFormat="1" applyFont="1" applyBorder="1" applyAlignment="1">
      <alignment horizontal="center"/>
    </xf>
    <xf numFmtId="168" fontId="15" fillId="0" borderId="31" xfId="0" applyNumberFormat="1" applyFont="1" applyBorder="1" applyAlignment="1">
      <alignment horizontal="center"/>
    </xf>
    <xf numFmtId="0" fontId="2" fillId="7" borderId="34" xfId="0" applyFont="1" applyFill="1" applyBorder="1"/>
    <xf numFmtId="167" fontId="0" fillId="0" borderId="34" xfId="0" applyNumberFormat="1" applyBorder="1"/>
    <xf numFmtId="166" fontId="0" fillId="0" borderId="34" xfId="0" applyNumberFormat="1" applyBorder="1" applyAlignment="1">
      <alignment horizontal="center"/>
    </xf>
    <xf numFmtId="168" fontId="15" fillId="0" borderId="33" xfId="0" applyNumberFormat="1" applyFont="1" applyBorder="1" applyAlignment="1">
      <alignment horizontal="center"/>
    </xf>
    <xf numFmtId="0" fontId="13" fillId="5" borderId="26" xfId="0" applyFont="1" applyFill="1" applyBorder="1" applyAlignment="1">
      <alignment horizontal="center" vertical="center" wrapText="1"/>
    </xf>
    <xf numFmtId="166" fontId="0" fillId="0" borderId="32" xfId="0" applyNumberFormat="1" applyBorder="1" applyAlignment="1">
      <alignment horizontal="center"/>
    </xf>
    <xf numFmtId="10" fontId="0" fillId="0" borderId="1" xfId="2" applyNumberFormat="1" applyFont="1" applyBorder="1" applyAlignment="1">
      <alignment horizontal="center" vertical="center"/>
    </xf>
    <xf numFmtId="10" fontId="2" fillId="0" borderId="23" xfId="2" applyNumberFormat="1" applyFont="1" applyBorder="1" applyAlignment="1">
      <alignment horizontal="center"/>
    </xf>
    <xf numFmtId="10" fontId="0" fillId="0" borderId="14" xfId="2" applyNumberFormat="1" applyFont="1" applyBorder="1" applyAlignment="1">
      <alignment horizontal="center" vertical="center"/>
    </xf>
    <xf numFmtId="10" fontId="2" fillId="0" borderId="5" xfId="0" applyNumberFormat="1" applyFont="1" applyBorder="1"/>
    <xf numFmtId="0" fontId="13" fillId="5" borderId="0" xfId="0" applyFont="1" applyFill="1" applyAlignment="1">
      <alignment horizontal="center" vertical="center"/>
    </xf>
    <xf numFmtId="10" fontId="0" fillId="0" borderId="34" xfId="0" applyNumberFormat="1" applyBorder="1" applyAlignment="1">
      <alignment horizontal="center"/>
    </xf>
    <xf numFmtId="10" fontId="0" fillId="0" borderId="25" xfId="0" applyNumberFormat="1" applyBorder="1" applyAlignment="1">
      <alignment horizontal="center"/>
    </xf>
    <xf numFmtId="10" fontId="0" fillId="0" borderId="27" xfId="0" applyNumberFormat="1" applyBorder="1" applyAlignment="1">
      <alignment horizontal="center"/>
    </xf>
    <xf numFmtId="168" fontId="0" fillId="0" borderId="0" xfId="0" applyNumberFormat="1" applyAlignment="1">
      <alignment horizontal="center"/>
    </xf>
    <xf numFmtId="42" fontId="0" fillId="6" borderId="11" xfId="1" applyFont="1" applyFill="1" applyBorder="1" applyAlignment="1">
      <alignment horizontal="center"/>
    </xf>
    <xf numFmtId="0" fontId="9" fillId="5" borderId="0" xfId="0" applyFont="1" applyFill="1" applyAlignment="1">
      <alignment horizontal="center"/>
    </xf>
    <xf numFmtId="0" fontId="10" fillId="6" borderId="0" xfId="0" applyFont="1" applyFill="1" applyAlignment="1">
      <alignment horizontal="center"/>
    </xf>
    <xf numFmtId="0" fontId="14" fillId="0" borderId="0" xfId="0" applyFont="1"/>
    <xf numFmtId="0" fontId="14" fillId="0" borderId="28" xfId="0" applyFont="1" applyBorder="1"/>
    <xf numFmtId="0" fontId="0" fillId="3" borderId="9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8" fillId="5" borderId="15" xfId="0" applyFont="1" applyFill="1" applyBorder="1" applyAlignment="1">
      <alignment horizontal="center"/>
    </xf>
    <xf numFmtId="0" fontId="6" fillId="5" borderId="24" xfId="0" applyFont="1" applyFill="1" applyBorder="1" applyAlignment="1">
      <alignment horizontal="center"/>
    </xf>
    <xf numFmtId="0" fontId="7" fillId="5" borderId="0" xfId="0" applyFont="1" applyFill="1" applyAlignment="1">
      <alignment horizontal="center"/>
    </xf>
  </cellXfs>
  <cellStyles count="5">
    <cellStyle name="Moneda [0]" xfId="1" builtinId="7"/>
    <cellStyle name="Moneda [0] 2" xfId="4" xr:uid="{00000000-0005-0000-0000-000001000000}"/>
    <cellStyle name="Normal" xfId="0" builtinId="0"/>
    <cellStyle name="Normal 2" xfId="3" xr:uid="{00000000-0005-0000-0000-000003000000}"/>
    <cellStyle name="Porcentaje" xfId="2" builtinId="5"/>
  </cellStyles>
  <dxfs count="12">
    <dxf>
      <font>
        <color rgb="FF006100"/>
      </font>
    </dxf>
    <dxf>
      <font>
        <b/>
        <i val="0"/>
        <color rgb="FFFF0000"/>
      </font>
    </dxf>
    <dxf>
      <font>
        <color rgb="FF006100"/>
      </font>
    </dxf>
    <dxf>
      <font>
        <b/>
        <i val="0"/>
        <color rgb="FFFF0000"/>
      </font>
    </dxf>
    <dxf>
      <font>
        <color rgb="FF006100"/>
      </font>
    </dxf>
    <dxf>
      <font>
        <b/>
        <i val="0"/>
        <color rgb="FFFF0000"/>
      </font>
    </dxf>
    <dxf>
      <font>
        <color rgb="FF006100"/>
      </font>
    </dxf>
    <dxf>
      <font>
        <b/>
        <i val="0"/>
        <color rgb="FFFF0000"/>
      </font>
    </dxf>
    <dxf>
      <font>
        <color rgb="FF9C0006"/>
      </font>
      <fill>
        <patternFill patternType="solid">
          <fgColor indexed="64"/>
          <bgColor rgb="FFFFC7CE"/>
        </patternFill>
      </fill>
    </dxf>
    <dxf>
      <font>
        <color rgb="FF006100"/>
      </font>
      <fill>
        <patternFill patternType="solid">
          <fgColor indexed="64"/>
          <bgColor rgb="FFC6EFCE"/>
        </patternFill>
      </fill>
    </dxf>
    <dxf>
      <font>
        <color rgb="FF006100"/>
      </font>
      <fill>
        <patternFill patternType="solid">
          <fgColor indexed="64"/>
          <bgColor rgb="FFC6EFCE"/>
        </patternFill>
      </fill>
    </dxf>
    <dxf>
      <font>
        <color rgb="FF9C0006"/>
      </font>
      <fill>
        <patternFill patternType="solid">
          <fgColor indexed="64"/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MX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1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PLACOM — Meta vs Real (acum.)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DASHBOARD!$L$5</c:f>
              <c:strCache>
                <c:ptCount val="1"/>
                <c:pt idx="0">
                  <c:v>Meta DABA</c:v>
                </c:pt>
              </c:strCache>
            </c:strRef>
          </c:tx>
          <c:spPr>
            <a:ln w="28575" cap="rnd">
              <a:solidFill>
                <a:srgbClr val="A6A6A6"/>
              </a:solidFill>
              <a:prstDash val="lgDash"/>
              <a:round/>
            </a:ln>
            <a:effectLst/>
          </c:spPr>
          <c:marker>
            <c:symbol val="none"/>
          </c:marker>
          <c:cat>
            <c:strRef>
              <c:f>DASHBOARD!$K$6:$K$16</c:f>
              <c:strCache>
                <c:ptCount val="11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</c:strCache>
            </c:strRef>
          </c:cat>
          <c:val>
            <c:numRef>
              <c:f>DASHBOARD!$L$6:$L$16</c:f>
              <c:numCache>
                <c:formatCode>0.0%</c:formatCode>
                <c:ptCount val="11"/>
                <c:pt idx="0">
                  <c:v>0</c:v>
                </c:pt>
                <c:pt idx="1">
                  <c:v>0.10100000000000001</c:v>
                </c:pt>
                <c:pt idx="2">
                  <c:v>0.14779999999999999</c:v>
                </c:pt>
                <c:pt idx="3">
                  <c:v>0.2671</c:v>
                </c:pt>
                <c:pt idx="4">
                  <c:v>0.38700000000000001</c:v>
                </c:pt>
                <c:pt idx="5">
                  <c:v>0.46989999999999998</c:v>
                </c:pt>
                <c:pt idx="6">
                  <c:v>0.60460000000000003</c:v>
                </c:pt>
                <c:pt idx="7">
                  <c:v>0.6915</c:v>
                </c:pt>
                <c:pt idx="8">
                  <c:v>0.82869999999999999</c:v>
                </c:pt>
                <c:pt idx="9">
                  <c:v>0.91920000000000002</c:v>
                </c:pt>
                <c:pt idx="1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A7F-584E-979E-C60A7964C745}"/>
            </c:ext>
          </c:extLst>
        </c:ser>
        <c:ser>
          <c:idx val="1"/>
          <c:order val="1"/>
          <c:tx>
            <c:strRef>
              <c:f>DASHBOARD!$M$5</c:f>
              <c:strCache>
                <c:ptCount val="1"/>
                <c:pt idx="0">
                  <c:v>Real</c:v>
                </c:pt>
              </c:strCache>
            </c:strRef>
          </c:tx>
          <c:spPr>
            <a:ln w="28575" cap="rnd">
              <a:solidFill>
                <a:srgbClr val="002060"/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DASHBOARD!$K$6:$K$16</c:f>
              <c:strCache>
                <c:ptCount val="11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</c:strCache>
            </c:strRef>
          </c:cat>
          <c:val>
            <c:numRef>
              <c:f>DASHBOARD!$M$6:$M$16</c:f>
              <c:numCache>
                <c:formatCode>0.0%</c:formatCode>
                <c:ptCount val="11"/>
                <c:pt idx="0">
                  <c:v>2.3832650409269809E-2</c:v>
                </c:pt>
                <c:pt idx="1">
                  <c:v>8.7632822499082524E-2</c:v>
                </c:pt>
                <c:pt idx="2">
                  <c:v>0.16573456476694309</c:v>
                </c:pt>
                <c:pt idx="3">
                  <c:v>0.25776914421540131</c:v>
                </c:pt>
                <c:pt idx="4">
                  <c:v>0.3449742593792377</c:v>
                </c:pt>
                <c:pt idx="5">
                  <c:v>0.45501363865789402</c:v>
                </c:pt>
                <c:pt idx="6">
                  <c:v>0.53467611698905237</c:v>
                </c:pt>
                <c:pt idx="7">
                  <c:v>0.62375564472072687</c:v>
                </c:pt>
                <c:pt idx="8">
                  <c:v>0.71283517245240136</c:v>
                </c:pt>
                <c:pt idx="9">
                  <c:v>0.80191470018407585</c:v>
                </c:pt>
                <c:pt idx="10">
                  <c:v>0.89099422791575034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A7F-584E-979E-C60A7964C7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91963247"/>
        <c:axId val="1392091743"/>
      </c:lineChart>
      <c:catAx>
        <c:axId val="139196324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392091743"/>
        <c:crosses val="autoZero"/>
        <c:auto val="1"/>
        <c:lblAlgn val="ctr"/>
        <c:lblOffset val="100"/>
        <c:noMultiLvlLbl val="0"/>
      </c:catAx>
      <c:valAx>
        <c:axId val="13920917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3919632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0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MX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1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Alimentación UU.RR. — Meta vs Real (acum.)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DASHBOARD!$L$19</c:f>
              <c:strCache>
                <c:ptCount val="1"/>
                <c:pt idx="0">
                  <c:v>Meta DABA</c:v>
                </c:pt>
              </c:strCache>
            </c:strRef>
          </c:tx>
          <c:spPr>
            <a:ln w="28575" cap="rnd">
              <a:solidFill>
                <a:srgbClr val="A6A6A6"/>
              </a:solidFill>
              <a:prstDash val="lgDash"/>
              <a:round/>
            </a:ln>
            <a:effectLst/>
          </c:spPr>
          <c:marker>
            <c:symbol val="none"/>
          </c:marker>
          <c:cat>
            <c:strRef>
              <c:f>DASHBOARD!$K$20:$K$30</c:f>
              <c:strCache>
                <c:ptCount val="11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</c:strCache>
            </c:strRef>
          </c:cat>
          <c:val>
            <c:numRef>
              <c:f>DASHBOARD!$L$20:$L$30</c:f>
              <c:numCache>
                <c:formatCode>0.0%</c:formatCode>
                <c:ptCount val="11"/>
                <c:pt idx="0">
                  <c:v>0</c:v>
                </c:pt>
                <c:pt idx="1">
                  <c:v>0.10100000000000001</c:v>
                </c:pt>
                <c:pt idx="2">
                  <c:v>0.14779999999999999</c:v>
                </c:pt>
                <c:pt idx="3">
                  <c:v>0.2671</c:v>
                </c:pt>
                <c:pt idx="4">
                  <c:v>0.38700000000000001</c:v>
                </c:pt>
                <c:pt idx="5">
                  <c:v>0.46989999999999998</c:v>
                </c:pt>
                <c:pt idx="6">
                  <c:v>0.60460000000000003</c:v>
                </c:pt>
                <c:pt idx="7">
                  <c:v>0.6915</c:v>
                </c:pt>
                <c:pt idx="8">
                  <c:v>0.82869999999999999</c:v>
                </c:pt>
                <c:pt idx="9">
                  <c:v>0.91920000000000002</c:v>
                </c:pt>
                <c:pt idx="1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CB6-0340-B925-67EDD670BC40}"/>
            </c:ext>
          </c:extLst>
        </c:ser>
        <c:ser>
          <c:idx val="1"/>
          <c:order val="1"/>
          <c:tx>
            <c:strRef>
              <c:f>DASHBOARD!$M$19</c:f>
              <c:strCache>
                <c:ptCount val="1"/>
                <c:pt idx="0">
                  <c:v>Real</c:v>
                </c:pt>
              </c:strCache>
            </c:strRef>
          </c:tx>
          <c:spPr>
            <a:ln w="28575" cap="rnd">
              <a:solidFill>
                <a:srgbClr val="002060"/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DASHBOARD!$K$20:$K$30</c:f>
              <c:strCache>
                <c:ptCount val="11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</c:strCache>
            </c:strRef>
          </c:cat>
          <c:val>
            <c:numRef>
              <c:f>DASHBOARD!$M$20:$M$30</c:f>
              <c:numCache>
                <c:formatCode>0.0%</c:formatCode>
                <c:ptCount val="11"/>
                <c:pt idx="0">
                  <c:v>2.6937685406307133E-2</c:v>
                </c:pt>
                <c:pt idx="1">
                  <c:v>0.11999123494701051</c:v>
                </c:pt>
                <c:pt idx="2">
                  <c:v>0.21827844259618134</c:v>
                </c:pt>
                <c:pt idx="3">
                  <c:v>0.31315439213913887</c:v>
                </c:pt>
                <c:pt idx="4">
                  <c:v>0.393952693753641</c:v>
                </c:pt>
                <c:pt idx="5">
                  <c:v>0.46805484206671477</c:v>
                </c:pt>
                <c:pt idx="6">
                  <c:v>0.53169538965423335</c:v>
                </c:pt>
                <c:pt idx="7">
                  <c:v>0.62496385211688166</c:v>
                </c:pt>
                <c:pt idx="8">
                  <c:v>0.71823231457952996</c:v>
                </c:pt>
                <c:pt idx="9">
                  <c:v>0.81150077704217827</c:v>
                </c:pt>
                <c:pt idx="10">
                  <c:v>0.90476923950482657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CB6-0340-B925-67EDD670BC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76843567"/>
        <c:axId val="1376845279"/>
      </c:lineChart>
      <c:catAx>
        <c:axId val="137684356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376845279"/>
        <c:crosses val="autoZero"/>
        <c:auto val="1"/>
        <c:lblAlgn val="ctr"/>
        <c:lblOffset val="100"/>
        <c:noMultiLvlLbl val="0"/>
      </c:catAx>
      <c:valAx>
        <c:axId val="13768452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37684356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0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MX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1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Alimentación Contratada — Meta vs Real (acum.)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DASHBOARD!$L$33</c:f>
              <c:strCache>
                <c:ptCount val="1"/>
                <c:pt idx="0">
                  <c:v>Meta DABA</c:v>
                </c:pt>
              </c:strCache>
            </c:strRef>
          </c:tx>
          <c:spPr>
            <a:ln w="28575" cap="rnd">
              <a:solidFill>
                <a:srgbClr val="A6A6A6"/>
              </a:solidFill>
              <a:prstDash val="lgDash"/>
              <a:round/>
            </a:ln>
            <a:effectLst/>
          </c:spPr>
          <c:marker>
            <c:symbol val="none"/>
          </c:marker>
          <c:cat>
            <c:strRef>
              <c:f>DASHBOARD!$K$34:$K$44</c:f>
              <c:strCache>
                <c:ptCount val="11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</c:strCache>
            </c:strRef>
          </c:cat>
          <c:val>
            <c:numRef>
              <c:f>DASHBOARD!$L$34:$L$44</c:f>
              <c:numCache>
                <c:formatCode>0.0%</c:formatCode>
                <c:ptCount val="11"/>
                <c:pt idx="0">
                  <c:v>0</c:v>
                </c:pt>
                <c:pt idx="1">
                  <c:v>0.10100000000000001</c:v>
                </c:pt>
                <c:pt idx="2">
                  <c:v>0.14779999999999999</c:v>
                </c:pt>
                <c:pt idx="3">
                  <c:v>0.2671</c:v>
                </c:pt>
                <c:pt idx="4">
                  <c:v>0.38700000000000001</c:v>
                </c:pt>
                <c:pt idx="5">
                  <c:v>0.46989999999999998</c:v>
                </c:pt>
                <c:pt idx="6">
                  <c:v>0.60460000000000003</c:v>
                </c:pt>
                <c:pt idx="7">
                  <c:v>0.6915</c:v>
                </c:pt>
                <c:pt idx="8">
                  <c:v>0.82869999999999999</c:v>
                </c:pt>
                <c:pt idx="9">
                  <c:v>0.91920000000000002</c:v>
                </c:pt>
                <c:pt idx="1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33E-F546-847A-46924A0111AF}"/>
            </c:ext>
          </c:extLst>
        </c:ser>
        <c:ser>
          <c:idx val="1"/>
          <c:order val="1"/>
          <c:tx>
            <c:strRef>
              <c:f>DASHBOARD!$M$33</c:f>
              <c:strCache>
                <c:ptCount val="1"/>
                <c:pt idx="0">
                  <c:v>Real</c:v>
                </c:pt>
              </c:strCache>
            </c:strRef>
          </c:tx>
          <c:spPr>
            <a:ln w="28575" cap="rnd">
              <a:solidFill>
                <a:srgbClr val="002060"/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DASHBOARD!$K$34:$K$44</c:f>
              <c:strCache>
                <c:ptCount val="11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</c:strCache>
            </c:strRef>
          </c:cat>
          <c:val>
            <c:numRef>
              <c:f>DASHBOARD!$M$34:$M$44</c:f>
              <c:numCache>
                <c:formatCode>0.0%</c:formatCode>
                <c:ptCount val="11"/>
                <c:pt idx="0">
                  <c:v>9.2644191378795874E-3</c:v>
                </c:pt>
                <c:pt idx="1">
                  <c:v>0.21176515986737973</c:v>
                </c:pt>
                <c:pt idx="2">
                  <c:v>0.35473284467521843</c:v>
                </c:pt>
                <c:pt idx="3">
                  <c:v>0.41346230436183695</c:v>
                </c:pt>
                <c:pt idx="4">
                  <c:v>0.46850227698791419</c:v>
                </c:pt>
                <c:pt idx="5">
                  <c:v>0.55963572703806164</c:v>
                </c:pt>
                <c:pt idx="6">
                  <c:v>0.66281481644318974</c:v>
                </c:pt>
                <c:pt idx="7">
                  <c:v>0.74882680370219501</c:v>
                </c:pt>
                <c:pt idx="8">
                  <c:v>0.83483879096120028</c:v>
                </c:pt>
                <c:pt idx="9">
                  <c:v>0.92085077822020556</c:v>
                </c:pt>
                <c:pt idx="10">
                  <c:v>0.99539450051134348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33E-F546-847A-46924A0111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06775919"/>
        <c:axId val="1706863599"/>
      </c:lineChart>
      <c:catAx>
        <c:axId val="170677591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706863599"/>
        <c:crosses val="autoZero"/>
        <c:auto val="1"/>
        <c:lblAlgn val="ctr"/>
        <c:lblOffset val="100"/>
        <c:noMultiLvlLbl val="0"/>
      </c:catAx>
      <c:valAx>
        <c:axId val="17068635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7067759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0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MX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1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Presupuesto General — Meta vs Real (acum.)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DASHBOARD!$L$47</c:f>
              <c:strCache>
                <c:ptCount val="1"/>
                <c:pt idx="0">
                  <c:v>Meta DABA</c:v>
                </c:pt>
              </c:strCache>
            </c:strRef>
          </c:tx>
          <c:spPr>
            <a:ln w="28575" cap="rnd">
              <a:solidFill>
                <a:srgbClr val="A6A6A6"/>
              </a:solidFill>
              <a:prstDash val="lgDash"/>
              <a:round/>
            </a:ln>
            <a:effectLst/>
          </c:spPr>
          <c:marker>
            <c:symbol val="none"/>
          </c:marker>
          <c:cat>
            <c:strRef>
              <c:f>DASHBOARD!$K$48:$K$58</c:f>
              <c:strCache>
                <c:ptCount val="11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</c:strCache>
            </c:strRef>
          </c:cat>
          <c:val>
            <c:numRef>
              <c:f>DASHBOARD!$L$48:$L$58</c:f>
              <c:numCache>
                <c:formatCode>0.0%</c:formatCode>
                <c:ptCount val="11"/>
                <c:pt idx="0">
                  <c:v>0</c:v>
                </c:pt>
                <c:pt idx="1">
                  <c:v>0.10100000000000001</c:v>
                </c:pt>
                <c:pt idx="2">
                  <c:v>0.14779999999999999</c:v>
                </c:pt>
                <c:pt idx="3">
                  <c:v>0.2671</c:v>
                </c:pt>
                <c:pt idx="4">
                  <c:v>0.38700000000000001</c:v>
                </c:pt>
                <c:pt idx="5">
                  <c:v>0.46989999999999998</c:v>
                </c:pt>
                <c:pt idx="6">
                  <c:v>0.60460000000000003</c:v>
                </c:pt>
                <c:pt idx="7">
                  <c:v>0.6915</c:v>
                </c:pt>
                <c:pt idx="8">
                  <c:v>0.82869999999999999</c:v>
                </c:pt>
                <c:pt idx="9">
                  <c:v>0.91920000000000002</c:v>
                </c:pt>
                <c:pt idx="1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93C-2D42-A6EE-60CAC350D837}"/>
            </c:ext>
          </c:extLst>
        </c:ser>
        <c:ser>
          <c:idx val="1"/>
          <c:order val="1"/>
          <c:tx>
            <c:strRef>
              <c:f>DASHBOARD!$M$47</c:f>
              <c:strCache>
                <c:ptCount val="1"/>
                <c:pt idx="0">
                  <c:v>Real</c:v>
                </c:pt>
              </c:strCache>
            </c:strRef>
          </c:tx>
          <c:spPr>
            <a:ln w="28575" cap="rnd">
              <a:solidFill>
                <a:srgbClr val="002060"/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DASHBOARD!$K$48:$K$58</c:f>
              <c:strCache>
                <c:ptCount val="11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</c:strCache>
            </c:strRef>
          </c:cat>
          <c:val>
            <c:numRef>
              <c:f>DASHBOARD!$M$48:$M$58</c:f>
              <c:numCache>
                <c:formatCode>0.0%</c:formatCode>
                <c:ptCount val="11"/>
                <c:pt idx="0">
                  <c:v>0</c:v>
                </c:pt>
                <c:pt idx="1">
                  <c:v>9.024538038375246E-2</c:v>
                </c:pt>
                <c:pt idx="2">
                  <c:v>0.18272297063898199</c:v>
                </c:pt>
                <c:pt idx="3">
                  <c:v>0.27145345605667126</c:v>
                </c:pt>
                <c:pt idx="4">
                  <c:v>0.35264227731715431</c:v>
                </c:pt>
                <c:pt idx="5">
                  <c:v>0.44921267757071098</c:v>
                </c:pt>
                <c:pt idx="6">
                  <c:v>0.52688091668769499</c:v>
                </c:pt>
                <c:pt idx="7">
                  <c:v>0.61686863272446335</c:v>
                </c:pt>
                <c:pt idx="8">
                  <c:v>0.70685634876123171</c:v>
                </c:pt>
                <c:pt idx="9">
                  <c:v>0.79684406479800007</c:v>
                </c:pt>
                <c:pt idx="10">
                  <c:v>0.8853919773781801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93C-2D42-A6EE-60CAC350D8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77060271"/>
        <c:axId val="1377084127"/>
      </c:lineChart>
      <c:catAx>
        <c:axId val="13770602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377084127"/>
        <c:crosses val="autoZero"/>
        <c:auto val="1"/>
        <c:lblAlgn val="ctr"/>
        <c:lblOffset val="100"/>
        <c:noMultiLvlLbl val="0"/>
      </c:catAx>
      <c:valAx>
        <c:axId val="13770841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37706027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0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0</xdr:rowOff>
    </xdr:from>
    <xdr:to>
      <xdr:col>4</xdr:col>
      <xdr:colOff>0</xdr:colOff>
      <xdr:row>27</xdr:row>
      <xdr:rowOff>0</xdr:rowOff>
    </xdr:to>
    <xdr:graphicFrame macro="">
      <xdr:nvGraphicFramePr>
        <xdr:cNvPr id="2" name="chPlacom">
          <a:extLst>
            <a:ext uri="{FF2B5EF4-FFF2-40B4-BE49-F238E27FC236}">
              <a16:creationId xmlns:a16="http://schemas.microsoft.com/office/drawing/2014/main" id="{E2E08F89-C184-64B2-C6E4-42B25FC3F81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0</xdr:colOff>
      <xdr:row>10</xdr:row>
      <xdr:rowOff>0</xdr:rowOff>
    </xdr:from>
    <xdr:to>
      <xdr:col>8</xdr:col>
      <xdr:colOff>0</xdr:colOff>
      <xdr:row>27</xdr:row>
      <xdr:rowOff>0</xdr:rowOff>
    </xdr:to>
    <xdr:graphicFrame macro="">
      <xdr:nvGraphicFramePr>
        <xdr:cNvPr id="3" name="chUURR">
          <a:extLst>
            <a:ext uri="{FF2B5EF4-FFF2-40B4-BE49-F238E27FC236}">
              <a16:creationId xmlns:a16="http://schemas.microsoft.com/office/drawing/2014/main" id="{A5624B76-27F9-AF80-768C-5EB8C6F9D2C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28</xdr:row>
      <xdr:rowOff>0</xdr:rowOff>
    </xdr:from>
    <xdr:to>
      <xdr:col>4</xdr:col>
      <xdr:colOff>0</xdr:colOff>
      <xdr:row>45</xdr:row>
      <xdr:rowOff>0</xdr:rowOff>
    </xdr:to>
    <xdr:graphicFrame macro="">
      <xdr:nvGraphicFramePr>
        <xdr:cNvPr id="4" name="chContratada">
          <a:extLst>
            <a:ext uri="{FF2B5EF4-FFF2-40B4-BE49-F238E27FC236}">
              <a16:creationId xmlns:a16="http://schemas.microsoft.com/office/drawing/2014/main" id="{0B93857A-FD6A-9420-62D6-5DFE00B165F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0</xdr:colOff>
      <xdr:row>28</xdr:row>
      <xdr:rowOff>0</xdr:rowOff>
    </xdr:from>
    <xdr:to>
      <xdr:col>8</xdr:col>
      <xdr:colOff>0</xdr:colOff>
      <xdr:row>45</xdr:row>
      <xdr:rowOff>0</xdr:rowOff>
    </xdr:to>
    <xdr:graphicFrame macro="">
      <xdr:nvGraphicFramePr>
        <xdr:cNvPr id="5" name="chGeneral">
          <a:extLst>
            <a:ext uri="{FF2B5EF4-FFF2-40B4-BE49-F238E27FC236}">
              <a16:creationId xmlns:a16="http://schemas.microsoft.com/office/drawing/2014/main" id="{43240174-FCE6-6B91-BD2D-8B27ECCD97E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2" Type="http://schemas.microsoft.com/office/2011/relationships/webextension" Target="webextension2.xml"/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0">
    <wetp:webextensionref xmlns:r="http://schemas.openxmlformats.org/officeDocument/2006/relationships" r:id="rId1"/>
  </wetp:taskpane>
  <wetp:taskpane dockstate="right" visibility="0" width="350" row="0">
    <wetp:webextensionref xmlns:r="http://schemas.openxmlformats.org/officeDocument/2006/relationships" r:id="rId2"/>
  </wetp:taskpane>
</wetp:taskpanes>
</file>

<file path=xl/webextensions/webextension1.xml><?xml version="1.0" encoding="utf-8"?>
<we:webextension xmlns:we="http://schemas.microsoft.com/office/webextensions/webextension/2010/11" id="{C1033823-BF9C-BF49-875B-DB6BB3B130B4}">
  <we:reference id="WA200009404" version="1.0.0.8" store="Omex" storeType="OMEX"/>
  <we:alternateReferences>
    <we:reference id="WA200009404" version="1.0.0.8" store="WA200009404" storeType="OMEX"/>
  </we:alternateReferences>
  <we:properties>
    <we:property name="claude.fileId" value="&quot;eebfa05f-278f-44b3-9cd5-444d533bd7c4&quot;"/>
  </we:properties>
  <we:bindings/>
  <we:snapshot xmlns:r="http://schemas.openxmlformats.org/officeDocument/2006/relationships"/>
</we:webextension>
</file>

<file path=xl/webextensions/webextension2.xml><?xml version="1.0" encoding="utf-8"?>
<we:webextension xmlns:we="http://schemas.microsoft.com/office/webextensions/webextension/2010/11" id="{0D6625DD-0CFD-BB48-A0B9-39DCA434B4FA}">
  <we:reference id="WA200010725" version="1.0.0.1" store="Omex" storeType="OMEX"/>
  <we:alternateReferences>
    <we:reference id="WA200010725" version="1.0.0.1" store="WA200010725" storeType="OMEX"/>
  </we:alternateReferences>
  <we:properties>
    <we:property name="claude.fileId" value="&quot;5482ba28-d1e3-448a-a433-ed9377860352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F571D-7B6E-CA43-B826-76F78AD49D5C}">
  <sheetPr>
    <tabColor rgb="FF002060"/>
  </sheetPr>
  <dimension ref="A1:Q58"/>
  <sheetViews>
    <sheetView showGridLines="0" tabSelected="1" zoomScale="80" zoomScaleNormal="80" workbookViewId="0">
      <pane ySplit="5" topLeftCell="A6" activePane="bottomLeft" state="frozen"/>
      <selection activeCell="C1" sqref="C1"/>
      <selection pane="bottomLeft" activeCell="C2" sqref="C2:D2"/>
    </sheetView>
  </sheetViews>
  <sheetFormatPr baseColWidth="10" defaultRowHeight="15" outlineLevelCol="1" x14ac:dyDescent="0.2"/>
  <cols>
    <col min="1" max="1" width="63.83203125" bestFit="1" customWidth="1"/>
    <col min="2" max="2" width="15.1640625" bestFit="1" customWidth="1"/>
    <col min="3" max="3" width="18.1640625" bestFit="1" customWidth="1"/>
    <col min="4" max="4" width="12.5" bestFit="1" customWidth="1"/>
    <col min="5" max="5" width="20.83203125" bestFit="1" customWidth="1"/>
    <col min="6" max="6" width="17.5" customWidth="1"/>
    <col min="7" max="7" width="13.5" bestFit="1" customWidth="1"/>
    <col min="8" max="8" width="15" customWidth="1"/>
    <col min="11" max="13" width="10.83203125" outlineLevel="1"/>
    <col min="14" max="14" width="19.5" bestFit="1" customWidth="1" outlineLevel="1"/>
    <col min="16" max="16" width="42.33203125" bestFit="1" customWidth="1"/>
    <col min="17" max="17" width="12.6640625" bestFit="1" customWidth="1"/>
  </cols>
  <sheetData>
    <row r="1" spans="1:17" ht="26" customHeight="1" x14ac:dyDescent="0.25">
      <c r="A1" s="98" t="s">
        <v>26</v>
      </c>
      <c r="B1" s="98"/>
      <c r="C1" s="98"/>
      <c r="D1" s="98"/>
      <c r="E1" s="98"/>
      <c r="F1" s="98"/>
      <c r="G1" s="98"/>
      <c r="H1" s="98"/>
      <c r="J1" s="64" t="s">
        <v>28</v>
      </c>
    </row>
    <row r="2" spans="1:17" x14ac:dyDescent="0.2">
      <c r="A2" s="62" t="s">
        <v>27</v>
      </c>
      <c r="C2" s="99" t="s">
        <v>3</v>
      </c>
      <c r="D2" s="99"/>
      <c r="J2" s="65">
        <f>MATCH($C$2,VIVERES!$D$2:$N$2,0)</f>
        <v>7</v>
      </c>
    </row>
    <row r="3" spans="1:17" x14ac:dyDescent="0.2">
      <c r="A3" s="63" t="s">
        <v>51</v>
      </c>
    </row>
    <row r="4" spans="1:17" ht="16" thickBot="1" x14ac:dyDescent="0.25">
      <c r="A4" s="100" t="s">
        <v>52</v>
      </c>
      <c r="B4" s="100"/>
      <c r="C4" s="100"/>
      <c r="D4" s="100"/>
      <c r="E4" s="100"/>
      <c r="F4" s="100"/>
      <c r="G4" s="100"/>
      <c r="H4" s="101"/>
      <c r="K4" s="61" t="s">
        <v>36</v>
      </c>
      <c r="P4" s="77" t="s">
        <v>44</v>
      </c>
    </row>
    <row r="5" spans="1:17" ht="48" x14ac:dyDescent="0.2">
      <c r="A5" s="75" t="s">
        <v>29</v>
      </c>
      <c r="B5" s="75" t="s">
        <v>30</v>
      </c>
      <c r="C5" s="75" t="s">
        <v>42</v>
      </c>
      <c r="D5" s="75" t="s">
        <v>31</v>
      </c>
      <c r="E5" s="79" t="s">
        <v>43</v>
      </c>
      <c r="F5" s="86" t="s">
        <v>47</v>
      </c>
      <c r="G5" s="86" t="s">
        <v>48</v>
      </c>
      <c r="K5" s="92" t="s">
        <v>37</v>
      </c>
      <c r="L5" s="92" t="s">
        <v>49</v>
      </c>
      <c r="M5" s="92" t="s">
        <v>38</v>
      </c>
      <c r="N5" s="92" t="s">
        <v>50</v>
      </c>
      <c r="P5" s="73" t="s">
        <v>37</v>
      </c>
      <c r="Q5" s="73" t="s">
        <v>45</v>
      </c>
    </row>
    <row r="6" spans="1:17" x14ac:dyDescent="0.2">
      <c r="A6" s="82" t="s">
        <v>32</v>
      </c>
      <c r="B6" s="83">
        <f>VIVERES!$C$2</f>
        <v>7858146735</v>
      </c>
      <c r="C6" s="93" cm="1">
        <f t="array" ref="C6">INDEX($Q$6:$Q$16,$J$2)</f>
        <v>0.60460000000000003</v>
      </c>
      <c r="D6" s="84" cm="1">
        <f t="array" ref="D6">INDEX(VIVERES!$D$8:$N$8,$J$2)</f>
        <v>0.53467611698905237</v>
      </c>
      <c r="E6" s="85">
        <f>C6-D6</f>
        <v>6.9923883010947652E-2</v>
      </c>
      <c r="F6" s="84" cm="1">
        <f t="array" ref="F6">INDEX(VIVERES!$D$7:$N$7,$J$2)</f>
        <v>7.9662478331158304E-2</v>
      </c>
      <c r="G6" s="84">
        <f>IFERROR(D6/C6,"")</f>
        <v>0.88434686898619308</v>
      </c>
      <c r="K6" t="str" cm="1">
        <f t="array" ref="K6">INDEX(VIVERES!$D$2:$N$2,ROW()-5)</f>
        <v>ENERO</v>
      </c>
      <c r="L6" s="66" cm="1">
        <f t="array" ref="L6">INDEX($Q$6:$Q$16,ROW()-5)</f>
        <v>0</v>
      </c>
      <c r="M6" s="66" cm="1">
        <f t="array" ref="M6">INDEX(VIVERES!$D$8:$N$8,ROW()-5)</f>
        <v>2.3832650409269809E-2</v>
      </c>
      <c r="N6" s="96">
        <f t="shared" ref="N6:N16" si="0">L6-M6</f>
        <v>-2.3832650409269809E-2</v>
      </c>
      <c r="P6" t="str" cm="1">
        <f t="array" ref="P6">INDEX(VIVERES!$D$2:$N$2,ROW()-5)</f>
        <v>ENERO</v>
      </c>
      <c r="Q6" s="78">
        <v>0</v>
      </c>
    </row>
    <row r="7" spans="1:17" x14ac:dyDescent="0.2">
      <c r="A7" s="67" t="s">
        <v>33</v>
      </c>
      <c r="B7" s="68">
        <f>VIVERES!$C$11</f>
        <v>4288695122</v>
      </c>
      <c r="C7" s="94" cm="1">
        <f t="array" ref="C7">INDEX($Q$6:$Q$16,$J$2)</f>
        <v>0.60460000000000003</v>
      </c>
      <c r="D7" s="69" cm="1">
        <f t="array" ref="D7">INDEX(VIVERES!$D$17:$N$17,$J$2)</f>
        <v>0.53169538965423335</v>
      </c>
      <c r="E7" s="80">
        <f>C7-D7</f>
        <v>7.2904610345766674E-2</v>
      </c>
      <c r="F7" s="69" cm="1">
        <f t="array" ref="F7">INDEX(VIVERES!$D$16:$N$16,$J$2)</f>
        <v>6.3640547587518623E-2</v>
      </c>
      <c r="G7" s="69">
        <f>IFERROR(D7/C7,"")</f>
        <v>0.87941678738708784</v>
      </c>
      <c r="K7" t="str" cm="1">
        <f t="array" ref="K7">INDEX(VIVERES!$D$2:$N$2,ROW()-5)</f>
        <v>FEBRERO</v>
      </c>
      <c r="L7" s="66" cm="1">
        <f t="array" ref="L7">INDEX($Q$6:$Q$16,ROW()-5)</f>
        <v>0.10100000000000001</v>
      </c>
      <c r="M7" s="66" cm="1">
        <f t="array" ref="M7">INDEX(VIVERES!$D$8:$N$8,ROW()-5)</f>
        <v>8.7632822499082524E-2</v>
      </c>
      <c r="N7" s="96">
        <f t="shared" si="0"/>
        <v>1.3367177500917482E-2</v>
      </c>
      <c r="P7" t="str" cm="1">
        <f t="array" ref="P7">INDEX(VIVERES!$D$2:$N$2,ROW()-5)</f>
        <v>FEBRERO</v>
      </c>
      <c r="Q7" s="78">
        <v>0.10100000000000001</v>
      </c>
    </row>
    <row r="8" spans="1:17" x14ac:dyDescent="0.2">
      <c r="A8" s="67" t="s">
        <v>34</v>
      </c>
      <c r="B8" s="68">
        <f>VIVERES!$C$20</f>
        <v>1743942964</v>
      </c>
      <c r="C8" s="94" cm="1">
        <f t="array" ref="C8">INDEX($Q$6:$Q$16,$J$2)</f>
        <v>0.60460000000000003</v>
      </c>
      <c r="D8" s="69" cm="1">
        <f t="array" ref="D8">INDEX(VIVERES!$D$26:$N$26,$J$2)</f>
        <v>0.66281481644318974</v>
      </c>
      <c r="E8" s="80">
        <f>C8-D8</f>
        <v>-5.821481644318971E-2</v>
      </c>
      <c r="F8" s="87" cm="1">
        <f t="array" ref="F8">INDEX(VIVERES!$D$25:$N$25,$J$2)</f>
        <v>0.10317908940512804</v>
      </c>
      <c r="G8" s="87">
        <f>IFERROR(D8/C8,"")</f>
        <v>1.096286497590456</v>
      </c>
      <c r="K8" t="str" cm="1">
        <f t="array" ref="K8">INDEX(VIVERES!$D$2:$N$2,ROW()-5)</f>
        <v>MARZO</v>
      </c>
      <c r="L8" s="66" cm="1">
        <f t="array" ref="L8">INDEX($Q$6:$Q$16,ROW()-5)</f>
        <v>0.14779999999999999</v>
      </c>
      <c r="M8" s="66" cm="1">
        <f t="array" ref="M8">INDEX(VIVERES!$D$8:$N$8,ROW()-5)</f>
        <v>0.16573456476694309</v>
      </c>
      <c r="N8" s="96">
        <f t="shared" si="0"/>
        <v>-1.7934564766943106E-2</v>
      </c>
      <c r="P8" t="str" cm="1">
        <f t="array" ref="P8">INDEX(VIVERES!$D$2:$N$2,ROW()-5)</f>
        <v>MARZO</v>
      </c>
      <c r="Q8" s="78">
        <v>0.14779999999999999</v>
      </c>
    </row>
    <row r="9" spans="1:17" ht="16" thickBot="1" x14ac:dyDescent="0.25">
      <c r="A9" s="70" t="s">
        <v>35</v>
      </c>
      <c r="B9" s="71">
        <f>VIVERES!$C$30</f>
        <v>13890784821</v>
      </c>
      <c r="C9" s="95" cm="1">
        <f t="array" ref="C9">INDEX($Q$6:$Q$16,$J$2)</f>
        <v>0.60460000000000003</v>
      </c>
      <c r="D9" s="72" cm="1">
        <f t="array" ref="D9">INDEX(VIVERES!$D$36:$N$36,$J$2)</f>
        <v>0.52688091668769499</v>
      </c>
      <c r="E9" s="81">
        <f>C9-D9</f>
        <v>7.7719083312305037E-2</v>
      </c>
      <c r="F9" s="72" cm="1">
        <f t="array" ref="F9">INDEX(VIVERES!$D$35:$N$35,$J$2)</f>
        <v>7.7668239116984006E-2</v>
      </c>
      <c r="G9" s="72">
        <f>IFERROR(D9/C9,"")</f>
        <v>0.87145371599023314</v>
      </c>
      <c r="K9" t="str" cm="1">
        <f t="array" ref="K9">INDEX(VIVERES!$D$2:$N$2,ROW()-5)</f>
        <v>ABRIL</v>
      </c>
      <c r="L9" s="66" cm="1">
        <f t="array" ref="L9">INDEX($Q$6:$Q$16,ROW()-5)</f>
        <v>0.2671</v>
      </c>
      <c r="M9" s="66" cm="1">
        <f t="array" ref="M9">INDEX(VIVERES!$D$8:$N$8,ROW()-5)</f>
        <v>0.25776914421540131</v>
      </c>
      <c r="N9" s="96">
        <f t="shared" si="0"/>
        <v>9.3308557845986906E-3</v>
      </c>
      <c r="P9" t="str" cm="1">
        <f t="array" ref="P9">INDEX(VIVERES!$D$2:$N$2,ROW()-5)</f>
        <v>ABRIL</v>
      </c>
      <c r="Q9" s="78">
        <v>0.2671</v>
      </c>
    </row>
    <row r="10" spans="1:17" x14ac:dyDescent="0.2">
      <c r="K10" t="str" cm="1">
        <f t="array" ref="K10">INDEX(VIVERES!$D$2:$N$2,ROW()-5)</f>
        <v>MAYO</v>
      </c>
      <c r="L10" s="66" cm="1">
        <f t="array" ref="L10">INDEX($Q$6:$Q$16,ROW()-5)</f>
        <v>0.38700000000000001</v>
      </c>
      <c r="M10" s="66" cm="1">
        <f t="array" ref="M10">INDEX(VIVERES!$D$8:$N$8,ROW()-5)</f>
        <v>0.3449742593792377</v>
      </c>
      <c r="N10" s="96">
        <f t="shared" si="0"/>
        <v>4.2025740620762309E-2</v>
      </c>
      <c r="P10" t="str" cm="1">
        <f t="array" ref="P10">INDEX(VIVERES!$D$2:$N$2,ROW()-5)</f>
        <v>MAYO</v>
      </c>
      <c r="Q10" s="78">
        <v>0.38700000000000001</v>
      </c>
    </row>
    <row r="11" spans="1:17" x14ac:dyDescent="0.2">
      <c r="K11" t="str" cm="1">
        <f t="array" ref="K11">INDEX(VIVERES!$D$2:$N$2,ROW()-5)</f>
        <v>JUNIO</v>
      </c>
      <c r="L11" s="66" cm="1">
        <f t="array" ref="L11">INDEX($Q$6:$Q$16,ROW()-5)</f>
        <v>0.46989999999999998</v>
      </c>
      <c r="M11" s="66" cm="1">
        <f t="array" ref="M11">INDEX(VIVERES!$D$8:$N$8,ROW()-5)</f>
        <v>0.45501363865789402</v>
      </c>
      <c r="N11" s="96">
        <f t="shared" si="0"/>
        <v>1.4886361342105969E-2</v>
      </c>
      <c r="P11" t="str" cm="1">
        <f t="array" ref="P11">INDEX(VIVERES!$D$2:$N$2,ROW()-5)</f>
        <v>JUNIO</v>
      </c>
      <c r="Q11" s="78">
        <v>0.46989999999999998</v>
      </c>
    </row>
    <row r="12" spans="1:17" x14ac:dyDescent="0.2">
      <c r="K12" t="str" cm="1">
        <f t="array" ref="K12">INDEX(VIVERES!$D$2:$N$2,ROW()-5)</f>
        <v>JULIO</v>
      </c>
      <c r="L12" s="66" cm="1">
        <f t="array" ref="L12">INDEX($Q$6:$Q$16,ROW()-5)</f>
        <v>0.60460000000000003</v>
      </c>
      <c r="M12" s="66" cm="1">
        <f t="array" ref="M12">INDEX(VIVERES!$D$8:$N$8,ROW()-5)</f>
        <v>0.53467611698905237</v>
      </c>
      <c r="N12" s="96">
        <f t="shared" si="0"/>
        <v>6.9923883010947652E-2</v>
      </c>
      <c r="P12" t="str" cm="1">
        <f t="array" ref="P12">INDEX(VIVERES!$D$2:$N$2,ROW()-5)</f>
        <v>JULIO</v>
      </c>
      <c r="Q12" s="78">
        <v>0.60460000000000003</v>
      </c>
    </row>
    <row r="13" spans="1:17" x14ac:dyDescent="0.2">
      <c r="K13" t="str" cm="1">
        <f t="array" ref="K13">INDEX(VIVERES!$D$2:$N$2,ROW()-5)</f>
        <v>AGOSTO</v>
      </c>
      <c r="L13" s="66" cm="1">
        <f t="array" ref="L13">INDEX($Q$6:$Q$16,ROW()-5)</f>
        <v>0.6915</v>
      </c>
      <c r="M13" s="66" cm="1">
        <f t="array" ref="M13">INDEX(VIVERES!$D$8:$N$8,ROW()-5)</f>
        <v>0.62375564472072687</v>
      </c>
      <c r="N13" s="96">
        <f t="shared" si="0"/>
        <v>6.7744355279273138E-2</v>
      </c>
      <c r="P13" t="str" cm="1">
        <f t="array" ref="P13">INDEX(VIVERES!$D$2:$N$2,ROW()-5)</f>
        <v>AGOSTO</v>
      </c>
      <c r="Q13" s="78">
        <v>0.6915</v>
      </c>
    </row>
    <row r="14" spans="1:17" x14ac:dyDescent="0.2">
      <c r="K14" t="str" cm="1">
        <f t="array" ref="K14">INDEX(VIVERES!$D$2:$N$2,ROW()-5)</f>
        <v>SEPTIEMBRE</v>
      </c>
      <c r="L14" s="66" cm="1">
        <f t="array" ref="L14">INDEX($Q$6:$Q$16,ROW()-5)</f>
        <v>0.82869999999999999</v>
      </c>
      <c r="M14" s="66" cm="1">
        <f t="array" ref="M14">INDEX(VIVERES!$D$8:$N$8,ROW()-5)</f>
        <v>0.71283517245240136</v>
      </c>
      <c r="N14" s="96">
        <f t="shared" si="0"/>
        <v>0.11586482754759864</v>
      </c>
      <c r="P14" t="str" cm="1">
        <f t="array" ref="P14">INDEX(VIVERES!$D$2:$N$2,ROW()-5)</f>
        <v>SEPTIEMBRE</v>
      </c>
      <c r="Q14" s="78">
        <v>0.82869999999999999</v>
      </c>
    </row>
    <row r="15" spans="1:17" x14ac:dyDescent="0.2">
      <c r="K15" t="str" cm="1">
        <f t="array" ref="K15">INDEX(VIVERES!$D$2:$N$2,ROW()-5)</f>
        <v>OCTUBRE</v>
      </c>
      <c r="L15" s="66" cm="1">
        <f t="array" ref="L15">INDEX($Q$6:$Q$16,ROW()-5)</f>
        <v>0.91920000000000002</v>
      </c>
      <c r="M15" s="66" cm="1">
        <f t="array" ref="M15">INDEX(VIVERES!$D$8:$N$8,ROW()-5)</f>
        <v>0.80191470018407585</v>
      </c>
      <c r="N15" s="96">
        <f t="shared" si="0"/>
        <v>0.11728529981592417</v>
      </c>
      <c r="P15" t="str" cm="1">
        <f t="array" ref="P15">INDEX(VIVERES!$D$2:$N$2,ROW()-5)</f>
        <v>OCTUBRE</v>
      </c>
      <c r="Q15" s="78">
        <v>0.91920000000000002</v>
      </c>
    </row>
    <row r="16" spans="1:17" x14ac:dyDescent="0.2">
      <c r="K16" t="str" cm="1">
        <f t="array" ref="K16">INDEX(VIVERES!$D$2:$N$2,ROW()-5)</f>
        <v>NOVIEMBRE</v>
      </c>
      <c r="L16" s="66" cm="1">
        <f t="array" ref="L16">INDEX($Q$6:$Q$16,ROW()-5)</f>
        <v>1</v>
      </c>
      <c r="M16" s="66" cm="1">
        <f t="array" ref="M16">INDEX(VIVERES!$D$8:$N$8,ROW()-5)</f>
        <v>0.89099422791575034</v>
      </c>
      <c r="N16" s="96">
        <f t="shared" si="0"/>
        <v>0.10900577208424966</v>
      </c>
      <c r="P16" t="str" cm="1">
        <f t="array" ref="P16">INDEX(VIVERES!$D$2:$N$2,ROW()-5)</f>
        <v>NOVIEMBRE</v>
      </c>
      <c r="Q16" s="78">
        <v>1</v>
      </c>
    </row>
    <row r="18" spans="11:16" x14ac:dyDescent="0.2">
      <c r="K18" s="61" t="s">
        <v>39</v>
      </c>
      <c r="P18" s="74" t="s">
        <v>46</v>
      </c>
    </row>
    <row r="19" spans="11:16" x14ac:dyDescent="0.2">
      <c r="K19" s="92" t="s">
        <v>37</v>
      </c>
      <c r="L19" s="92" t="s">
        <v>49</v>
      </c>
      <c r="M19" s="92" t="s">
        <v>38</v>
      </c>
      <c r="N19" s="92" t="s">
        <v>50</v>
      </c>
    </row>
    <row r="20" spans="11:16" x14ac:dyDescent="0.2">
      <c r="K20" t="str" cm="1">
        <f t="array" ref="K20">INDEX(VIVERES!$D$2:$N$2,ROW()-19)</f>
        <v>ENERO</v>
      </c>
      <c r="L20" s="66" cm="1">
        <f t="array" ref="L20">INDEX($Q$6:$Q$16,ROW()-19)</f>
        <v>0</v>
      </c>
      <c r="M20" s="66" cm="1">
        <f t="array" ref="M20">INDEX(VIVERES!$D$17:$N$17,ROW()-19)</f>
        <v>2.6937685406307133E-2</v>
      </c>
      <c r="N20" s="96">
        <f t="shared" ref="N20:N30" si="1">L20-M20</f>
        <v>-2.6937685406307133E-2</v>
      </c>
    </row>
    <row r="21" spans="11:16" x14ac:dyDescent="0.2">
      <c r="K21" t="str" cm="1">
        <f t="array" ref="K21">INDEX(VIVERES!$D$2:$N$2,ROW()-19)</f>
        <v>FEBRERO</v>
      </c>
      <c r="L21" s="66" cm="1">
        <f t="array" ref="L21">INDEX($Q$6:$Q$16,ROW()-19)</f>
        <v>0.10100000000000001</v>
      </c>
      <c r="M21" s="66" cm="1">
        <f t="array" ref="M21">INDEX(VIVERES!$D$17:$N$17,ROW()-19)</f>
        <v>0.11999123494701051</v>
      </c>
      <c r="N21" s="96">
        <f t="shared" si="1"/>
        <v>-1.8991234947010507E-2</v>
      </c>
    </row>
    <row r="22" spans="11:16" x14ac:dyDescent="0.2">
      <c r="K22" t="str" cm="1">
        <f t="array" ref="K22">INDEX(VIVERES!$D$2:$N$2,ROW()-19)</f>
        <v>MARZO</v>
      </c>
      <c r="L22" s="66" cm="1">
        <f t="array" ref="L22">INDEX($Q$6:$Q$16,ROW()-19)</f>
        <v>0.14779999999999999</v>
      </c>
      <c r="M22" s="66" cm="1">
        <f t="array" ref="M22">INDEX(VIVERES!$D$17:$N$17,ROW()-19)</f>
        <v>0.21827844259618134</v>
      </c>
      <c r="N22" s="96">
        <f t="shared" si="1"/>
        <v>-7.0478442596181357E-2</v>
      </c>
    </row>
    <row r="23" spans="11:16" x14ac:dyDescent="0.2">
      <c r="K23" t="str" cm="1">
        <f t="array" ref="K23">INDEX(VIVERES!$D$2:$N$2,ROW()-19)</f>
        <v>ABRIL</v>
      </c>
      <c r="L23" s="66" cm="1">
        <f t="array" ref="L23">INDEX($Q$6:$Q$16,ROW()-19)</f>
        <v>0.2671</v>
      </c>
      <c r="M23" s="66" cm="1">
        <f t="array" ref="M23">INDEX(VIVERES!$D$17:$N$17,ROW()-19)</f>
        <v>0.31315439213913887</v>
      </c>
      <c r="N23" s="96">
        <f t="shared" si="1"/>
        <v>-4.6054392139138867E-2</v>
      </c>
    </row>
    <row r="24" spans="11:16" x14ac:dyDescent="0.2">
      <c r="K24" t="str" cm="1">
        <f t="array" ref="K24">INDEX(VIVERES!$D$2:$N$2,ROW()-19)</f>
        <v>MAYO</v>
      </c>
      <c r="L24" s="66" cm="1">
        <f t="array" ref="L24">INDEX($Q$6:$Q$16,ROW()-19)</f>
        <v>0.38700000000000001</v>
      </c>
      <c r="M24" s="66" cm="1">
        <f t="array" ref="M24">INDEX(VIVERES!$D$17:$N$17,ROW()-19)</f>
        <v>0.393952693753641</v>
      </c>
      <c r="N24" s="96">
        <f t="shared" si="1"/>
        <v>-6.9526937536409927E-3</v>
      </c>
    </row>
    <row r="25" spans="11:16" x14ac:dyDescent="0.2">
      <c r="K25" t="str" cm="1">
        <f t="array" ref="K25">INDEX(VIVERES!$D$2:$N$2,ROW()-19)</f>
        <v>JUNIO</v>
      </c>
      <c r="L25" s="66" cm="1">
        <f t="array" ref="L25">INDEX($Q$6:$Q$16,ROW()-19)</f>
        <v>0.46989999999999998</v>
      </c>
      <c r="M25" s="66" cm="1">
        <f t="array" ref="M25">INDEX(VIVERES!$D$17:$N$17,ROW()-19)</f>
        <v>0.46805484206671477</v>
      </c>
      <c r="N25" s="96">
        <f t="shared" si="1"/>
        <v>1.845157933285213E-3</v>
      </c>
    </row>
    <row r="26" spans="11:16" x14ac:dyDescent="0.2">
      <c r="K26" t="str" cm="1">
        <f t="array" ref="K26">INDEX(VIVERES!$D$2:$N$2,ROW()-19)</f>
        <v>JULIO</v>
      </c>
      <c r="L26" s="66" cm="1">
        <f t="array" ref="L26">INDEX($Q$6:$Q$16,ROW()-19)</f>
        <v>0.60460000000000003</v>
      </c>
      <c r="M26" s="66" cm="1">
        <f t="array" ref="M26">INDEX(VIVERES!$D$17:$N$17,ROW()-19)</f>
        <v>0.53169538965423335</v>
      </c>
      <c r="N26" s="96">
        <f t="shared" si="1"/>
        <v>7.2904610345766674E-2</v>
      </c>
    </row>
    <row r="27" spans="11:16" x14ac:dyDescent="0.2">
      <c r="K27" t="str" cm="1">
        <f t="array" ref="K27">INDEX(VIVERES!$D$2:$N$2,ROW()-19)</f>
        <v>AGOSTO</v>
      </c>
      <c r="L27" s="66" cm="1">
        <f t="array" ref="L27">INDEX($Q$6:$Q$16,ROW()-19)</f>
        <v>0.6915</v>
      </c>
      <c r="M27" s="66" cm="1">
        <f t="array" ref="M27">INDEX(VIVERES!$D$17:$N$17,ROW()-19)</f>
        <v>0.62496385211688166</v>
      </c>
      <c r="N27" s="96">
        <f t="shared" si="1"/>
        <v>6.6536147883118346E-2</v>
      </c>
    </row>
    <row r="28" spans="11:16" x14ac:dyDescent="0.2">
      <c r="K28" t="str" cm="1">
        <f t="array" ref="K28">INDEX(VIVERES!$D$2:$N$2,ROW()-19)</f>
        <v>SEPTIEMBRE</v>
      </c>
      <c r="L28" s="66" cm="1">
        <f t="array" ref="L28">INDEX($Q$6:$Q$16,ROW()-19)</f>
        <v>0.82869999999999999</v>
      </c>
      <c r="M28" s="66" cm="1">
        <f t="array" ref="M28">INDEX(VIVERES!$D$17:$N$17,ROW()-19)</f>
        <v>0.71823231457952996</v>
      </c>
      <c r="N28" s="96">
        <f t="shared" si="1"/>
        <v>0.11046768542047003</v>
      </c>
    </row>
    <row r="29" spans="11:16" x14ac:dyDescent="0.2">
      <c r="K29" t="str" cm="1">
        <f t="array" ref="K29">INDEX(VIVERES!$D$2:$N$2,ROW()-19)</f>
        <v>OCTUBRE</v>
      </c>
      <c r="L29" s="66" cm="1">
        <f t="array" ref="L29">INDEX($Q$6:$Q$16,ROW()-19)</f>
        <v>0.91920000000000002</v>
      </c>
      <c r="M29" s="66" cm="1">
        <f t="array" ref="M29">INDEX(VIVERES!$D$17:$N$17,ROW()-19)</f>
        <v>0.81150077704217827</v>
      </c>
      <c r="N29" s="96">
        <f t="shared" si="1"/>
        <v>0.10769922295782175</v>
      </c>
    </row>
    <row r="30" spans="11:16" x14ac:dyDescent="0.2">
      <c r="K30" t="str" cm="1">
        <f t="array" ref="K30">INDEX(VIVERES!$D$2:$N$2,ROW()-19)</f>
        <v>NOVIEMBRE</v>
      </c>
      <c r="L30" s="66" cm="1">
        <f t="array" ref="L30">INDEX($Q$6:$Q$16,ROW()-19)</f>
        <v>1</v>
      </c>
      <c r="M30" s="66" cm="1">
        <f t="array" ref="M30">INDEX(VIVERES!$D$17:$N$17,ROW()-19)</f>
        <v>0.90476923950482657</v>
      </c>
      <c r="N30" s="96">
        <f t="shared" si="1"/>
        <v>9.5230760495173428E-2</v>
      </c>
    </row>
    <row r="32" spans="11:16" x14ac:dyDescent="0.2">
      <c r="K32" s="61" t="s">
        <v>40</v>
      </c>
    </row>
    <row r="33" spans="11:14" x14ac:dyDescent="0.2">
      <c r="K33" s="92" t="s">
        <v>37</v>
      </c>
      <c r="L33" s="92" t="s">
        <v>49</v>
      </c>
      <c r="M33" s="92" t="s">
        <v>38</v>
      </c>
      <c r="N33" s="92" t="s">
        <v>50</v>
      </c>
    </row>
    <row r="34" spans="11:14" x14ac:dyDescent="0.2">
      <c r="K34" t="str" cm="1">
        <f t="array" ref="K34">INDEX(VIVERES!$D$2:$N$2,ROW()-33)</f>
        <v>ENERO</v>
      </c>
      <c r="L34" s="66" cm="1">
        <f t="array" ref="L34">INDEX($Q$6:$Q$16,ROW()-33)</f>
        <v>0</v>
      </c>
      <c r="M34" s="66" cm="1">
        <f t="array" ref="M34">INDEX(VIVERES!$D$26:$N$26,ROW()-33)</f>
        <v>9.2644191378795874E-3</v>
      </c>
      <c r="N34" s="96">
        <f t="shared" ref="N34:N44" si="2">L34-M34</f>
        <v>-9.2644191378795874E-3</v>
      </c>
    </row>
    <row r="35" spans="11:14" x14ac:dyDescent="0.2">
      <c r="K35" t="str" cm="1">
        <f t="array" ref="K35">INDEX(VIVERES!$D$2:$N$2,ROW()-33)</f>
        <v>FEBRERO</v>
      </c>
      <c r="L35" s="66" cm="1">
        <f t="array" ref="L35">INDEX($Q$6:$Q$16,ROW()-33)</f>
        <v>0.10100000000000001</v>
      </c>
      <c r="M35" s="66" cm="1">
        <f t="array" ref="M35">INDEX(VIVERES!$D$26:$N$26,ROW()-33)</f>
        <v>0.21176515986737973</v>
      </c>
      <c r="N35" s="96">
        <f t="shared" si="2"/>
        <v>-0.11076515986737973</v>
      </c>
    </row>
    <row r="36" spans="11:14" x14ac:dyDescent="0.2">
      <c r="K36" t="str" cm="1">
        <f t="array" ref="K36">INDEX(VIVERES!$D$2:$N$2,ROW()-33)</f>
        <v>MARZO</v>
      </c>
      <c r="L36" s="66" cm="1">
        <f t="array" ref="L36">INDEX($Q$6:$Q$16,ROW()-33)</f>
        <v>0.14779999999999999</v>
      </c>
      <c r="M36" s="66" cm="1">
        <f t="array" ref="M36">INDEX(VIVERES!$D$26:$N$26,ROW()-33)</f>
        <v>0.35473284467521843</v>
      </c>
      <c r="N36" s="96">
        <f t="shared" si="2"/>
        <v>-0.20693284467521844</v>
      </c>
    </row>
    <row r="37" spans="11:14" x14ac:dyDescent="0.2">
      <c r="K37" t="str" cm="1">
        <f t="array" ref="K37">INDEX(VIVERES!$D$2:$N$2,ROW()-33)</f>
        <v>ABRIL</v>
      </c>
      <c r="L37" s="66" cm="1">
        <f t="array" ref="L37">INDEX($Q$6:$Q$16,ROW()-33)</f>
        <v>0.2671</v>
      </c>
      <c r="M37" s="66" cm="1">
        <f t="array" ref="M37">INDEX(VIVERES!$D$26:$N$26,ROW()-33)</f>
        <v>0.41346230436183695</v>
      </c>
      <c r="N37" s="96">
        <f t="shared" si="2"/>
        <v>-0.14636230436183695</v>
      </c>
    </row>
    <row r="38" spans="11:14" x14ac:dyDescent="0.2">
      <c r="K38" t="str" cm="1">
        <f t="array" ref="K38">INDEX(VIVERES!$D$2:$N$2,ROW()-33)</f>
        <v>MAYO</v>
      </c>
      <c r="L38" s="66" cm="1">
        <f t="array" ref="L38">INDEX($Q$6:$Q$16,ROW()-33)</f>
        <v>0.38700000000000001</v>
      </c>
      <c r="M38" s="66" cm="1">
        <f t="array" ref="M38">INDEX(VIVERES!$D$26:$N$26,ROW()-33)</f>
        <v>0.46850227698791419</v>
      </c>
      <c r="N38" s="96">
        <f t="shared" si="2"/>
        <v>-8.150227698791418E-2</v>
      </c>
    </row>
    <row r="39" spans="11:14" x14ac:dyDescent="0.2">
      <c r="K39" t="str" cm="1">
        <f t="array" ref="K39">INDEX(VIVERES!$D$2:$N$2,ROW()-33)</f>
        <v>JUNIO</v>
      </c>
      <c r="L39" s="66" cm="1">
        <f t="array" ref="L39">INDEX($Q$6:$Q$16,ROW()-33)</f>
        <v>0.46989999999999998</v>
      </c>
      <c r="M39" s="66" cm="1">
        <f t="array" ref="M39">INDEX(VIVERES!$D$26:$N$26,ROW()-33)</f>
        <v>0.55963572703806164</v>
      </c>
      <c r="N39" s="96">
        <f t="shared" si="2"/>
        <v>-8.9735727038061652E-2</v>
      </c>
    </row>
    <row r="40" spans="11:14" x14ac:dyDescent="0.2">
      <c r="K40" t="str" cm="1">
        <f t="array" ref="K40">INDEX(VIVERES!$D$2:$N$2,ROW()-33)</f>
        <v>JULIO</v>
      </c>
      <c r="L40" s="66" cm="1">
        <f t="array" ref="L40">INDEX($Q$6:$Q$16,ROW()-33)</f>
        <v>0.60460000000000003</v>
      </c>
      <c r="M40" s="66" cm="1">
        <f t="array" ref="M40">INDEX(VIVERES!$D$26:$N$26,ROW()-33)</f>
        <v>0.66281481644318974</v>
      </c>
      <c r="N40" s="96">
        <f t="shared" si="2"/>
        <v>-5.821481644318971E-2</v>
      </c>
    </row>
    <row r="41" spans="11:14" x14ac:dyDescent="0.2">
      <c r="K41" t="str" cm="1">
        <f t="array" ref="K41">INDEX(VIVERES!$D$2:$N$2,ROW()-33)</f>
        <v>AGOSTO</v>
      </c>
      <c r="L41" s="66" cm="1">
        <f t="array" ref="L41">INDEX($Q$6:$Q$16,ROW()-33)</f>
        <v>0.6915</v>
      </c>
      <c r="M41" s="66" cm="1">
        <f t="array" ref="M41">INDEX(VIVERES!$D$26:$N$26,ROW()-33)</f>
        <v>0.74882680370219501</v>
      </c>
      <c r="N41" s="96">
        <f t="shared" si="2"/>
        <v>-5.7326803702195006E-2</v>
      </c>
    </row>
    <row r="42" spans="11:14" x14ac:dyDescent="0.2">
      <c r="K42" t="str" cm="1">
        <f t="array" ref="K42">INDEX(VIVERES!$D$2:$N$2,ROW()-33)</f>
        <v>SEPTIEMBRE</v>
      </c>
      <c r="L42" s="66" cm="1">
        <f t="array" ref="L42">INDEX($Q$6:$Q$16,ROW()-33)</f>
        <v>0.82869999999999999</v>
      </c>
      <c r="M42" s="66" cm="1">
        <f t="array" ref="M42">INDEX(VIVERES!$D$26:$N$26,ROW()-33)</f>
        <v>0.83483879096120028</v>
      </c>
      <c r="N42" s="96">
        <f t="shared" si="2"/>
        <v>-6.1387909612002911E-3</v>
      </c>
    </row>
    <row r="43" spans="11:14" x14ac:dyDescent="0.2">
      <c r="K43" t="str" cm="1">
        <f t="array" ref="K43">INDEX(VIVERES!$D$2:$N$2,ROW()-33)</f>
        <v>OCTUBRE</v>
      </c>
      <c r="L43" s="66" cm="1">
        <f t="array" ref="L43">INDEX($Q$6:$Q$16,ROW()-33)</f>
        <v>0.91920000000000002</v>
      </c>
      <c r="M43" s="66" cm="1">
        <f t="array" ref="M43">INDEX(VIVERES!$D$26:$N$26,ROW()-33)</f>
        <v>0.92085077822020556</v>
      </c>
      <c r="N43" s="96">
        <f t="shared" si="2"/>
        <v>-1.6507782202055399E-3</v>
      </c>
    </row>
    <row r="44" spans="11:14" x14ac:dyDescent="0.2">
      <c r="K44" t="str" cm="1">
        <f t="array" ref="K44">INDEX(VIVERES!$D$2:$N$2,ROW()-33)</f>
        <v>NOVIEMBRE</v>
      </c>
      <c r="L44" s="66" cm="1">
        <f t="array" ref="L44">INDEX($Q$6:$Q$16,ROW()-33)</f>
        <v>1</v>
      </c>
      <c r="M44" s="66" cm="1">
        <f t="array" ref="M44">INDEX(VIVERES!$D$26:$N$26,ROW()-33)</f>
        <v>0.99539450051134348</v>
      </c>
      <c r="N44" s="96">
        <f t="shared" si="2"/>
        <v>4.605499488656517E-3</v>
      </c>
    </row>
    <row r="46" spans="11:14" x14ac:dyDescent="0.2">
      <c r="K46" s="61" t="s">
        <v>41</v>
      </c>
    </row>
    <row r="47" spans="11:14" x14ac:dyDescent="0.2">
      <c r="K47" s="92" t="s">
        <v>37</v>
      </c>
      <c r="L47" s="92" t="s">
        <v>49</v>
      </c>
      <c r="M47" s="92" t="s">
        <v>38</v>
      </c>
      <c r="N47" s="92" t="s">
        <v>50</v>
      </c>
    </row>
    <row r="48" spans="11:14" x14ac:dyDescent="0.2">
      <c r="K48" t="str" cm="1">
        <f t="array" ref="K48">INDEX(VIVERES!$D$2:$N$2,ROW()-47)</f>
        <v>ENERO</v>
      </c>
      <c r="L48" s="66" cm="1">
        <f t="array" ref="L48">INDEX($Q$6:$Q$16,ROW()-47)</f>
        <v>0</v>
      </c>
      <c r="M48" s="66" cm="1">
        <f t="array" ref="M48">INDEX(VIVERES!$D$36:$N$36,ROW()-47)</f>
        <v>0</v>
      </c>
      <c r="N48" s="96">
        <f t="shared" ref="N48:N58" si="3">L48-M48</f>
        <v>0</v>
      </c>
    </row>
    <row r="49" spans="11:14" x14ac:dyDescent="0.2">
      <c r="K49" t="str" cm="1">
        <f t="array" ref="K49">INDEX(VIVERES!$D$2:$N$2,ROW()-47)</f>
        <v>FEBRERO</v>
      </c>
      <c r="L49" s="66" cm="1">
        <f t="array" ref="L49">INDEX($Q$6:$Q$16,ROW()-47)</f>
        <v>0.10100000000000001</v>
      </c>
      <c r="M49" s="66" cm="1">
        <f t="array" ref="M49">INDEX(VIVERES!$D$36:$N$36,ROW()-47)</f>
        <v>9.024538038375246E-2</v>
      </c>
      <c r="N49" s="96">
        <f t="shared" si="3"/>
        <v>1.0754619616247546E-2</v>
      </c>
    </row>
    <row r="50" spans="11:14" x14ac:dyDescent="0.2">
      <c r="K50" t="str" cm="1">
        <f t="array" ref="K50">INDEX(VIVERES!$D$2:$N$2,ROW()-47)</f>
        <v>MARZO</v>
      </c>
      <c r="L50" s="66" cm="1">
        <f t="array" ref="L50">INDEX($Q$6:$Q$16,ROW()-47)</f>
        <v>0.14779999999999999</v>
      </c>
      <c r="M50" s="66" cm="1">
        <f t="array" ref="M50">INDEX(VIVERES!$D$36:$N$36,ROW()-47)</f>
        <v>0.18272297063898199</v>
      </c>
      <c r="N50" s="96">
        <f t="shared" si="3"/>
        <v>-3.4922970638982004E-2</v>
      </c>
    </row>
    <row r="51" spans="11:14" x14ac:dyDescent="0.2">
      <c r="K51" t="str" cm="1">
        <f t="array" ref="K51">INDEX(VIVERES!$D$2:$N$2,ROW()-47)</f>
        <v>ABRIL</v>
      </c>
      <c r="L51" s="66" cm="1">
        <f t="array" ref="L51">INDEX($Q$6:$Q$16,ROW()-47)</f>
        <v>0.2671</v>
      </c>
      <c r="M51" s="66" cm="1">
        <f t="array" ref="M51">INDEX(VIVERES!$D$36:$N$36,ROW()-47)</f>
        <v>0.27145345605667126</v>
      </c>
      <c r="N51" s="96">
        <f t="shared" si="3"/>
        <v>-4.3534560566712566E-3</v>
      </c>
    </row>
    <row r="52" spans="11:14" x14ac:dyDescent="0.2">
      <c r="K52" t="str" cm="1">
        <f t="array" ref="K52">INDEX(VIVERES!$D$2:$N$2,ROW()-47)</f>
        <v>MAYO</v>
      </c>
      <c r="L52" s="66" cm="1">
        <f t="array" ref="L52">INDEX($Q$6:$Q$16,ROW()-47)</f>
        <v>0.38700000000000001</v>
      </c>
      <c r="M52" s="66" cm="1">
        <f t="array" ref="M52">INDEX(VIVERES!$D$36:$N$36,ROW()-47)</f>
        <v>0.35264227731715431</v>
      </c>
      <c r="N52" s="96">
        <f t="shared" si="3"/>
        <v>3.4357722682845704E-2</v>
      </c>
    </row>
    <row r="53" spans="11:14" x14ac:dyDescent="0.2">
      <c r="K53" t="str" cm="1">
        <f t="array" ref="K53">INDEX(VIVERES!$D$2:$N$2,ROW()-47)</f>
        <v>JUNIO</v>
      </c>
      <c r="L53" s="66" cm="1">
        <f t="array" ref="L53">INDEX($Q$6:$Q$16,ROW()-47)</f>
        <v>0.46989999999999998</v>
      </c>
      <c r="M53" s="66" cm="1">
        <f t="array" ref="M53">INDEX(VIVERES!$D$36:$N$36,ROW()-47)</f>
        <v>0.44921267757071098</v>
      </c>
      <c r="N53" s="96">
        <f t="shared" si="3"/>
        <v>2.0687322429289001E-2</v>
      </c>
    </row>
    <row r="54" spans="11:14" x14ac:dyDescent="0.2">
      <c r="K54" t="str" cm="1">
        <f t="array" ref="K54">INDEX(VIVERES!$D$2:$N$2,ROW()-47)</f>
        <v>JULIO</v>
      </c>
      <c r="L54" s="66" cm="1">
        <f t="array" ref="L54">INDEX($Q$6:$Q$16,ROW()-47)</f>
        <v>0.60460000000000003</v>
      </c>
      <c r="M54" s="66" cm="1">
        <f t="array" ref="M54">INDEX(VIVERES!$D$36:$N$36,ROW()-47)</f>
        <v>0.52688091668769499</v>
      </c>
      <c r="N54" s="96">
        <f t="shared" si="3"/>
        <v>7.7719083312305037E-2</v>
      </c>
    </row>
    <row r="55" spans="11:14" x14ac:dyDescent="0.2">
      <c r="K55" t="str" cm="1">
        <f t="array" ref="K55">INDEX(VIVERES!$D$2:$N$2,ROW()-47)</f>
        <v>AGOSTO</v>
      </c>
      <c r="L55" s="66" cm="1">
        <f t="array" ref="L55">INDEX($Q$6:$Q$16,ROW()-47)</f>
        <v>0.6915</v>
      </c>
      <c r="M55" s="66" cm="1">
        <f t="array" ref="M55">INDEX(VIVERES!$D$36:$N$36,ROW()-47)</f>
        <v>0.61686863272446335</v>
      </c>
      <c r="N55" s="96">
        <f t="shared" si="3"/>
        <v>7.4631367275536653E-2</v>
      </c>
    </row>
    <row r="56" spans="11:14" x14ac:dyDescent="0.2">
      <c r="K56" t="str" cm="1">
        <f t="array" ref="K56">INDEX(VIVERES!$D$2:$N$2,ROW()-47)</f>
        <v>SEPTIEMBRE</v>
      </c>
      <c r="L56" s="66" cm="1">
        <f t="array" ref="L56">INDEX($Q$6:$Q$16,ROW()-47)</f>
        <v>0.82869999999999999</v>
      </c>
      <c r="M56" s="66" cm="1">
        <f t="array" ref="M56">INDEX(VIVERES!$D$36:$N$36,ROW()-47)</f>
        <v>0.70685634876123171</v>
      </c>
      <c r="N56" s="96">
        <f t="shared" si="3"/>
        <v>0.12184365123876828</v>
      </c>
    </row>
    <row r="57" spans="11:14" x14ac:dyDescent="0.2">
      <c r="K57" t="str" cm="1">
        <f t="array" ref="K57">INDEX(VIVERES!$D$2:$N$2,ROW()-47)</f>
        <v>OCTUBRE</v>
      </c>
      <c r="L57" s="66" cm="1">
        <f t="array" ref="L57">INDEX($Q$6:$Q$16,ROW()-47)</f>
        <v>0.91920000000000002</v>
      </c>
      <c r="M57" s="66" cm="1">
        <f t="array" ref="M57">INDEX(VIVERES!$D$36:$N$36,ROW()-47)</f>
        <v>0.79684406479800007</v>
      </c>
      <c r="N57" s="96">
        <f t="shared" si="3"/>
        <v>0.12235593520199994</v>
      </c>
    </row>
    <row r="58" spans="11:14" x14ac:dyDescent="0.2">
      <c r="K58" t="str" cm="1">
        <f t="array" ref="K58">INDEX(VIVERES!$D$2:$N$2,ROW()-47)</f>
        <v>NOVIEMBRE</v>
      </c>
      <c r="L58" s="66" cm="1">
        <f t="array" ref="L58">INDEX($Q$6:$Q$16,ROW()-47)</f>
        <v>1</v>
      </c>
      <c r="M58" s="66" cm="1">
        <f t="array" ref="M58">INDEX(VIVERES!$D$36:$N$36,ROW()-47)</f>
        <v>0.8853919773781801</v>
      </c>
      <c r="N58" s="96">
        <f t="shared" si="3"/>
        <v>0.1146080226218199</v>
      </c>
    </row>
  </sheetData>
  <mergeCells count="3">
    <mergeCell ref="A1:H1"/>
    <mergeCell ref="C2:D2"/>
    <mergeCell ref="A4:H4"/>
  </mergeCells>
  <conditionalFormatting sqref="E6:E9">
    <cfRule type="cellIs" dxfId="11" priority="1" operator="greaterThan">
      <formula>0</formula>
    </cfRule>
    <cfRule type="cellIs" dxfId="10" priority="2" operator="lessThanOrEqual">
      <formula>0</formula>
    </cfRule>
  </conditionalFormatting>
  <conditionalFormatting sqref="G6:G9">
    <cfRule type="cellIs" dxfId="9" priority="3" operator="greaterThanOrEqual">
      <formula>1</formula>
    </cfRule>
    <cfRule type="cellIs" dxfId="8" priority="4" operator="lessThan">
      <formula>1</formula>
    </cfRule>
  </conditionalFormatting>
  <conditionalFormatting sqref="N6:N16">
    <cfRule type="cellIs" dxfId="7" priority="5" operator="greaterThan">
      <formula>0</formula>
    </cfRule>
    <cfRule type="cellIs" dxfId="6" priority="6" operator="lessThanOrEqual">
      <formula>0</formula>
    </cfRule>
  </conditionalFormatting>
  <conditionalFormatting sqref="N20:N30">
    <cfRule type="cellIs" dxfId="5" priority="7" operator="greaterThan">
      <formula>0</formula>
    </cfRule>
    <cfRule type="cellIs" dxfId="4" priority="8" operator="lessThanOrEqual">
      <formula>0</formula>
    </cfRule>
  </conditionalFormatting>
  <conditionalFormatting sqref="N34:N44">
    <cfRule type="cellIs" dxfId="3" priority="9" operator="greaterThan">
      <formula>0</formula>
    </cfRule>
    <cfRule type="cellIs" dxfId="2" priority="10" operator="lessThanOrEqual">
      <formula>0</formula>
    </cfRule>
  </conditionalFormatting>
  <conditionalFormatting sqref="N48:N58">
    <cfRule type="cellIs" dxfId="1" priority="11" operator="greaterThan">
      <formula>0</formula>
    </cfRule>
    <cfRule type="cellIs" dxfId="0" priority="12" operator="lessThanOrEqual">
      <formula>0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9F241BF-D0CD-E348-910E-4B042EEC88B0}">
          <x14:formula1>
            <xm:f>VIVERES!$D$2:$N$2</xm:f>
          </x14:formula1>
          <xm:sqref>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BA80E-41FF-AD42-96B2-00706A67641C}">
  <dimension ref="A1:Q128"/>
  <sheetViews>
    <sheetView showGridLines="0" topLeftCell="B5" zoomScale="90" zoomScaleNormal="90" workbookViewId="0">
      <selection activeCell="C30" sqref="C30"/>
    </sheetView>
  </sheetViews>
  <sheetFormatPr baseColWidth="10" defaultColWidth="11.33203125" defaultRowHeight="15" x14ac:dyDescent="0.2"/>
  <cols>
    <col min="1" max="1" width="20.1640625" bestFit="1" customWidth="1"/>
    <col min="2" max="2" width="45.33203125" bestFit="1" customWidth="1"/>
    <col min="3" max="3" width="15.6640625" bestFit="1" customWidth="1"/>
    <col min="4" max="9" width="17" customWidth="1"/>
    <col min="10" max="14" width="17" bestFit="1" customWidth="1"/>
    <col min="15" max="15" width="16.1640625" customWidth="1"/>
    <col min="16" max="16" width="3.5" customWidth="1"/>
    <col min="17" max="17" width="13.33203125" bestFit="1" customWidth="1"/>
  </cols>
  <sheetData>
    <row r="1" spans="1:17" ht="16" x14ac:dyDescent="0.2">
      <c r="B1" s="107" t="s">
        <v>23</v>
      </c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</row>
    <row r="2" spans="1:17" ht="16" thickBot="1" x14ac:dyDescent="0.25">
      <c r="B2" s="16" t="s">
        <v>24</v>
      </c>
      <c r="C2" s="17">
        <v>7858146735</v>
      </c>
      <c r="D2" s="18" t="s">
        <v>6</v>
      </c>
      <c r="E2" s="18" t="s">
        <v>7</v>
      </c>
      <c r="F2" s="18" t="s">
        <v>5</v>
      </c>
      <c r="G2" s="18" t="s">
        <v>8</v>
      </c>
      <c r="H2" s="18" t="s">
        <v>2</v>
      </c>
      <c r="I2" s="18" t="s">
        <v>4</v>
      </c>
      <c r="J2" s="18" t="s">
        <v>3</v>
      </c>
      <c r="K2" s="18" t="s">
        <v>1</v>
      </c>
      <c r="L2" s="18" t="s">
        <v>9</v>
      </c>
      <c r="M2" s="18" t="s">
        <v>10</v>
      </c>
      <c r="N2" s="18" t="s">
        <v>0</v>
      </c>
      <c r="O2" s="18" t="s">
        <v>17</v>
      </c>
    </row>
    <row r="3" spans="1:17" x14ac:dyDescent="0.2">
      <c r="A3" s="102" t="s">
        <v>18</v>
      </c>
      <c r="B3" s="19" t="s">
        <v>11</v>
      </c>
      <c r="C3" s="37"/>
      <c r="D3" s="21">
        <f>$C$2*D$4</f>
        <v>715091352.88499999</v>
      </c>
      <c r="E3" s="21">
        <f t="shared" ref="E3:N3" si="0">$C$2*E$4</f>
        <v>715091352.88499999</v>
      </c>
      <c r="F3" s="21">
        <f t="shared" si="0"/>
        <v>715091352.88499999</v>
      </c>
      <c r="G3" s="21">
        <f t="shared" si="0"/>
        <v>715091352.88499999</v>
      </c>
      <c r="H3" s="21">
        <f t="shared" si="0"/>
        <v>715091352.88499999</v>
      </c>
      <c r="I3" s="21">
        <f t="shared" si="0"/>
        <v>715091352.88499999</v>
      </c>
      <c r="J3" s="21">
        <f t="shared" si="0"/>
        <v>715091352.88499999</v>
      </c>
      <c r="K3" s="21">
        <f t="shared" si="0"/>
        <v>715091352.88499999</v>
      </c>
      <c r="L3" s="21">
        <f t="shared" si="0"/>
        <v>715091352.88499999</v>
      </c>
      <c r="M3" s="21">
        <f t="shared" si="0"/>
        <v>715091352.88499999</v>
      </c>
      <c r="N3" s="21">
        <f t="shared" si="0"/>
        <v>707233206.14999998</v>
      </c>
      <c r="O3" s="22">
        <f>SUM(D3:N3)</f>
        <v>7858146735.000001</v>
      </c>
    </row>
    <row r="4" spans="1:17" x14ac:dyDescent="0.2">
      <c r="A4" s="103"/>
      <c r="B4" s="15" t="s">
        <v>12</v>
      </c>
      <c r="C4" s="1"/>
      <c r="D4" s="3">
        <v>9.0999999999999998E-2</v>
      </c>
      <c r="E4" s="3">
        <v>9.0999999999999998E-2</v>
      </c>
      <c r="F4" s="3">
        <v>9.0999999999999998E-2</v>
      </c>
      <c r="G4" s="3">
        <v>9.0999999999999998E-2</v>
      </c>
      <c r="H4" s="3">
        <v>9.0999999999999998E-2</v>
      </c>
      <c r="I4" s="3">
        <v>9.0999999999999998E-2</v>
      </c>
      <c r="J4" s="3">
        <v>9.0999999999999998E-2</v>
      </c>
      <c r="K4" s="3">
        <v>9.0999999999999998E-2</v>
      </c>
      <c r="L4" s="3">
        <v>9.0999999999999998E-2</v>
      </c>
      <c r="M4" s="3">
        <v>9.0999999999999998E-2</v>
      </c>
      <c r="N4" s="3">
        <v>0.09</v>
      </c>
      <c r="O4" s="23">
        <f>SUM(D4:N4)</f>
        <v>0.99999999999999978</v>
      </c>
    </row>
    <row r="5" spans="1:17" ht="16" thickBot="1" x14ac:dyDescent="0.25">
      <c r="A5" s="104"/>
      <c r="B5" s="24" t="s">
        <v>16</v>
      </c>
      <c r="C5" s="25"/>
      <c r="D5" s="58">
        <f>D4</f>
        <v>9.0999999999999998E-2</v>
      </c>
      <c r="E5" s="58">
        <f t="shared" ref="E5:N5" si="1">D5+E4</f>
        <v>0.182</v>
      </c>
      <c r="F5" s="58">
        <f t="shared" si="1"/>
        <v>0.27300000000000002</v>
      </c>
      <c r="G5" s="58">
        <f t="shared" si="1"/>
        <v>0.36399999999999999</v>
      </c>
      <c r="H5" s="58">
        <f t="shared" si="1"/>
        <v>0.45499999999999996</v>
      </c>
      <c r="I5" s="58">
        <f t="shared" si="1"/>
        <v>0.54599999999999993</v>
      </c>
      <c r="J5" s="58">
        <f t="shared" si="1"/>
        <v>0.6369999999999999</v>
      </c>
      <c r="K5" s="58">
        <f t="shared" si="1"/>
        <v>0.72799999999999987</v>
      </c>
      <c r="L5" s="59">
        <f t="shared" si="1"/>
        <v>0.81899999999999984</v>
      </c>
      <c r="M5" s="60">
        <f t="shared" si="1"/>
        <v>0.90999999999999981</v>
      </c>
      <c r="N5" s="60">
        <f t="shared" si="1"/>
        <v>0.99999999999999978</v>
      </c>
      <c r="O5" s="34"/>
    </row>
    <row r="6" spans="1:17" x14ac:dyDescent="0.2">
      <c r="A6" s="102" t="s">
        <v>19</v>
      </c>
      <c r="B6" s="19" t="s">
        <v>53</v>
      </c>
      <c r="C6" s="20"/>
      <c r="D6" s="29">
        <v>187280464</v>
      </c>
      <c r="E6" s="29">
        <v>501351114</v>
      </c>
      <c r="F6" s="29">
        <v>613734951</v>
      </c>
      <c r="G6" s="29">
        <v>723221230</v>
      </c>
      <c r="H6" s="29">
        <v>685270591</v>
      </c>
      <c r="I6" s="29">
        <v>864705589</v>
      </c>
      <c r="J6" s="97">
        <v>625999444</v>
      </c>
      <c r="K6" s="39">
        <v>700000000</v>
      </c>
      <c r="L6" s="39">
        <v>700000000</v>
      </c>
      <c r="M6" s="39">
        <v>700000000</v>
      </c>
      <c r="N6" s="39">
        <v>700000000</v>
      </c>
      <c r="O6" s="27">
        <f>SUM(D6:N6)</f>
        <v>7001563383</v>
      </c>
    </row>
    <row r="7" spans="1:17" x14ac:dyDescent="0.2">
      <c r="A7" s="103"/>
      <c r="B7" s="15" t="s">
        <v>14</v>
      </c>
      <c r="C7" s="1"/>
      <c r="D7" s="4">
        <f>D6/$O$3</f>
        <v>2.3832650409269809E-2</v>
      </c>
      <c r="E7" s="5">
        <f>E6/$O$3</f>
        <v>6.3800172089812715E-2</v>
      </c>
      <c r="F7" s="5">
        <f t="shared" ref="F7:N7" si="2">F6/$O$3</f>
        <v>7.8101742267860555E-2</v>
      </c>
      <c r="G7" s="5">
        <f t="shared" si="2"/>
        <v>9.2034579448458206E-2</v>
      </c>
      <c r="H7" s="5">
        <f t="shared" si="2"/>
        <v>8.7205115163836389E-2</v>
      </c>
      <c r="I7" s="5">
        <f t="shared" si="2"/>
        <v>0.11003937927865633</v>
      </c>
      <c r="J7" s="5">
        <f t="shared" si="2"/>
        <v>7.9662478331158304E-2</v>
      </c>
      <c r="K7" s="5">
        <f t="shared" si="2"/>
        <v>8.9079527731674504E-2</v>
      </c>
      <c r="L7" s="5">
        <f t="shared" si="2"/>
        <v>8.9079527731674504E-2</v>
      </c>
      <c r="M7" s="5">
        <f t="shared" si="2"/>
        <v>8.9079527731674504E-2</v>
      </c>
      <c r="N7" s="30">
        <f t="shared" si="2"/>
        <v>8.9079527731674504E-2</v>
      </c>
      <c r="O7" s="28">
        <f>SUM(D7:N7)</f>
        <v>0.89099422791575034</v>
      </c>
    </row>
    <row r="8" spans="1:17" ht="16" thickBot="1" x14ac:dyDescent="0.25">
      <c r="A8" s="104"/>
      <c r="B8" s="31" t="s">
        <v>15</v>
      </c>
      <c r="C8" s="32"/>
      <c r="D8" s="33">
        <f>D7</f>
        <v>2.3832650409269809E-2</v>
      </c>
      <c r="E8" s="26">
        <f>D8+E7</f>
        <v>8.7632822499082524E-2</v>
      </c>
      <c r="F8" s="26">
        <f>E8+F7</f>
        <v>0.16573456476694309</v>
      </c>
      <c r="G8" s="26">
        <f t="shared" ref="G8:J8" si="3">F8+G7</f>
        <v>0.25776914421540131</v>
      </c>
      <c r="H8" s="26">
        <f t="shared" si="3"/>
        <v>0.3449742593792377</v>
      </c>
      <c r="I8" s="26">
        <f>H8+I7</f>
        <v>0.45501363865789402</v>
      </c>
      <c r="J8" s="26">
        <f t="shared" si="3"/>
        <v>0.53467611698905237</v>
      </c>
      <c r="K8" s="26">
        <f>J8+K7</f>
        <v>0.62375564472072687</v>
      </c>
      <c r="L8" s="38">
        <f>K8+L7</f>
        <v>0.71283517245240136</v>
      </c>
      <c r="M8" s="35">
        <f>L8+M7</f>
        <v>0.80191470018407585</v>
      </c>
      <c r="N8" s="36">
        <f>M8+N7</f>
        <v>0.89099422791575034</v>
      </c>
      <c r="O8" s="6"/>
    </row>
    <row r="9" spans="1:17" x14ac:dyDescent="0.2">
      <c r="H9" s="2"/>
      <c r="O9" s="7"/>
    </row>
    <row r="10" spans="1:17" ht="16" x14ac:dyDescent="0.2">
      <c r="B10" s="106" t="s">
        <v>22</v>
      </c>
      <c r="C10" s="106"/>
      <c r="D10" s="106"/>
      <c r="E10" s="106"/>
      <c r="F10" s="106"/>
      <c r="G10" s="106"/>
      <c r="H10" s="106"/>
      <c r="I10" s="106"/>
      <c r="J10" s="106"/>
      <c r="K10" s="106"/>
      <c r="L10" s="106"/>
      <c r="M10" s="106"/>
      <c r="N10" s="106"/>
      <c r="O10" s="106"/>
    </row>
    <row r="11" spans="1:17" ht="16" thickBot="1" x14ac:dyDescent="0.25">
      <c r="B11" s="16" t="s">
        <v>24</v>
      </c>
      <c r="C11" s="17">
        <v>4288695122</v>
      </c>
      <c r="D11" s="18" t="s">
        <v>6</v>
      </c>
      <c r="E11" s="18" t="s">
        <v>7</v>
      </c>
      <c r="F11" s="18" t="s">
        <v>5</v>
      </c>
      <c r="G11" s="18" t="s">
        <v>8</v>
      </c>
      <c r="H11" s="18" t="s">
        <v>2</v>
      </c>
      <c r="I11" s="18" t="s">
        <v>4</v>
      </c>
      <c r="J11" s="18" t="s">
        <v>3</v>
      </c>
      <c r="K11" s="18" t="s">
        <v>1</v>
      </c>
      <c r="L11" s="18" t="s">
        <v>9</v>
      </c>
      <c r="M11" s="18" t="s">
        <v>10</v>
      </c>
      <c r="N11" s="18" t="s">
        <v>0</v>
      </c>
      <c r="O11" s="18" t="s">
        <v>17</v>
      </c>
    </row>
    <row r="12" spans="1:17" x14ac:dyDescent="0.2">
      <c r="A12" s="102" t="s">
        <v>18</v>
      </c>
      <c r="B12" s="19" t="s">
        <v>11</v>
      </c>
      <c r="C12" s="37"/>
      <c r="D12" s="21">
        <f>$C$11*D$13</f>
        <v>390271256.102</v>
      </c>
      <c r="E12" s="21">
        <f t="shared" ref="E12:N12" si="4">$C$11*E$13</f>
        <v>390271256.102</v>
      </c>
      <c r="F12" s="21">
        <f t="shared" si="4"/>
        <v>390271256.102</v>
      </c>
      <c r="G12" s="21">
        <f t="shared" si="4"/>
        <v>390271256.102</v>
      </c>
      <c r="H12" s="21">
        <f t="shared" si="4"/>
        <v>390271256.102</v>
      </c>
      <c r="I12" s="21">
        <f t="shared" si="4"/>
        <v>390271256.102</v>
      </c>
      <c r="J12" s="21">
        <f t="shared" si="4"/>
        <v>390271256.102</v>
      </c>
      <c r="K12" s="21">
        <f t="shared" si="4"/>
        <v>390271256.102</v>
      </c>
      <c r="L12" s="21">
        <f t="shared" si="4"/>
        <v>390271256.102</v>
      </c>
      <c r="M12" s="21">
        <f t="shared" si="4"/>
        <v>390271256.102</v>
      </c>
      <c r="N12" s="21">
        <f t="shared" si="4"/>
        <v>385982560.97999996</v>
      </c>
      <c r="O12" s="22">
        <f>SUM(D12:N12)</f>
        <v>4288695122.0000005</v>
      </c>
    </row>
    <row r="13" spans="1:17" x14ac:dyDescent="0.2">
      <c r="A13" s="103"/>
      <c r="B13" s="15" t="s">
        <v>12</v>
      </c>
      <c r="C13" s="1"/>
      <c r="D13" s="3">
        <v>9.0999999999999998E-2</v>
      </c>
      <c r="E13" s="3">
        <v>9.0999999999999998E-2</v>
      </c>
      <c r="F13" s="3">
        <v>9.0999999999999998E-2</v>
      </c>
      <c r="G13" s="3">
        <v>9.0999999999999998E-2</v>
      </c>
      <c r="H13" s="3">
        <v>9.0999999999999998E-2</v>
      </c>
      <c r="I13" s="3">
        <v>9.0999999999999998E-2</v>
      </c>
      <c r="J13" s="3">
        <v>9.0999999999999998E-2</v>
      </c>
      <c r="K13" s="3">
        <v>9.0999999999999998E-2</v>
      </c>
      <c r="L13" s="3">
        <v>9.0999999999999998E-2</v>
      </c>
      <c r="M13" s="3">
        <v>9.0999999999999998E-2</v>
      </c>
      <c r="N13" s="3">
        <v>0.09</v>
      </c>
      <c r="O13" s="23">
        <f>SUM(D13:N13)</f>
        <v>0.99999999999999978</v>
      </c>
    </row>
    <row r="14" spans="1:17" ht="16" thickBot="1" x14ac:dyDescent="0.25">
      <c r="A14" s="104"/>
      <c r="B14" s="24" t="s">
        <v>16</v>
      </c>
      <c r="C14" s="25"/>
      <c r="D14" s="26">
        <f>D13</f>
        <v>9.0999999999999998E-2</v>
      </c>
      <c r="E14" s="26">
        <f t="shared" ref="E14" si="5">D14+E13</f>
        <v>0.182</v>
      </c>
      <c r="F14" s="26">
        <f t="shared" ref="F14" si="6">E14+F13</f>
        <v>0.27300000000000002</v>
      </c>
      <c r="G14" s="26">
        <f t="shared" ref="G14" si="7">F14+G13</f>
        <v>0.36399999999999999</v>
      </c>
      <c r="H14" s="26">
        <f t="shared" ref="H14" si="8">G14+H13</f>
        <v>0.45499999999999996</v>
      </c>
      <c r="I14" s="26">
        <f t="shared" ref="I14" si="9">H14+I13</f>
        <v>0.54599999999999993</v>
      </c>
      <c r="J14" s="26">
        <f t="shared" ref="J14" si="10">I14+J13</f>
        <v>0.6369999999999999</v>
      </c>
      <c r="K14" s="26">
        <f t="shared" ref="K14" si="11">J14+K13</f>
        <v>0.72799999999999987</v>
      </c>
      <c r="L14" s="26">
        <f t="shared" ref="L14" si="12">K14+L13</f>
        <v>0.81899999999999984</v>
      </c>
      <c r="M14" s="35">
        <f t="shared" ref="M14" si="13">L14+M13</f>
        <v>0.90999999999999981</v>
      </c>
      <c r="N14" s="35">
        <f t="shared" ref="N14" si="14">M14+N13</f>
        <v>0.99999999999999978</v>
      </c>
      <c r="O14" s="34"/>
    </row>
    <row r="15" spans="1:17" x14ac:dyDescent="0.2">
      <c r="A15" s="102" t="s">
        <v>19</v>
      </c>
      <c r="B15" s="19" t="s">
        <v>13</v>
      </c>
      <c r="C15" s="20"/>
      <c r="D15" s="29">
        <v>115527520</v>
      </c>
      <c r="E15" s="29">
        <v>399078304</v>
      </c>
      <c r="F15" s="29">
        <v>421523868</v>
      </c>
      <c r="G15" s="29">
        <v>406894022</v>
      </c>
      <c r="H15" s="29">
        <v>346519282</v>
      </c>
      <c r="I15" s="29">
        <v>317801522</v>
      </c>
      <c r="J15" s="97">
        <v>272934906</v>
      </c>
      <c r="K15" s="39">
        <v>400000000</v>
      </c>
      <c r="L15" s="39">
        <v>400000000</v>
      </c>
      <c r="M15" s="39">
        <v>400000000</v>
      </c>
      <c r="N15" s="39">
        <v>400000000</v>
      </c>
      <c r="O15" s="27">
        <f>SUM(D15:N15)</f>
        <v>3880279424</v>
      </c>
      <c r="Q15" s="2"/>
    </row>
    <row r="16" spans="1:17" x14ac:dyDescent="0.2">
      <c r="A16" s="103"/>
      <c r="B16" s="15" t="s">
        <v>14</v>
      </c>
      <c r="C16" s="1"/>
      <c r="D16" s="4">
        <f>D15/$O$12</f>
        <v>2.6937685406307133E-2</v>
      </c>
      <c r="E16" s="5">
        <f>E15/$O$12</f>
        <v>9.3053549540703384E-2</v>
      </c>
      <c r="F16" s="5">
        <f t="shared" ref="F16:N16" si="15">F15/$O$12</f>
        <v>9.8287207649170816E-2</v>
      </c>
      <c r="G16" s="5">
        <f t="shared" si="15"/>
        <v>9.4875949542957499E-2</v>
      </c>
      <c r="H16" s="5">
        <f t="shared" si="15"/>
        <v>8.0798301614502119E-2</v>
      </c>
      <c r="I16" s="5">
        <f t="shared" si="15"/>
        <v>7.4102148313073754E-2</v>
      </c>
      <c r="J16" s="5">
        <f t="shared" si="15"/>
        <v>6.3640547587518623E-2</v>
      </c>
      <c r="K16" s="5">
        <f t="shared" si="15"/>
        <v>9.3268462462648319E-2</v>
      </c>
      <c r="L16" s="5">
        <f t="shared" si="15"/>
        <v>9.3268462462648319E-2</v>
      </c>
      <c r="M16" s="5">
        <f t="shared" si="15"/>
        <v>9.3268462462648319E-2</v>
      </c>
      <c r="N16" s="5">
        <f t="shared" si="15"/>
        <v>9.3268462462648319E-2</v>
      </c>
      <c r="O16" s="28">
        <f>SUM(D16:N16)</f>
        <v>0.90476923950482657</v>
      </c>
    </row>
    <row r="17" spans="1:15" ht="16" thickBot="1" x14ac:dyDescent="0.25">
      <c r="A17" s="104"/>
      <c r="B17" s="31" t="s">
        <v>15</v>
      </c>
      <c r="C17" s="32"/>
      <c r="D17" s="33">
        <f>D16</f>
        <v>2.6937685406307133E-2</v>
      </c>
      <c r="E17" s="26">
        <f>D17+E16</f>
        <v>0.11999123494701051</v>
      </c>
      <c r="F17" s="26">
        <f>E17+F16</f>
        <v>0.21827844259618134</v>
      </c>
      <c r="G17" s="26">
        <f t="shared" ref="G17" si="16">F17+G16</f>
        <v>0.31315439213913887</v>
      </c>
      <c r="H17" s="26">
        <f t="shared" ref="H17" si="17">G17+H16</f>
        <v>0.393952693753641</v>
      </c>
      <c r="I17" s="26">
        <f t="shared" ref="I17" si="18">H17+I16</f>
        <v>0.46805484206671477</v>
      </c>
      <c r="J17" s="26">
        <f t="shared" ref="J17" si="19">I17+J16</f>
        <v>0.53169538965423335</v>
      </c>
      <c r="K17" s="26">
        <f>J17+K16</f>
        <v>0.62496385211688166</v>
      </c>
      <c r="L17" s="26">
        <f>K17+L16</f>
        <v>0.71823231457952996</v>
      </c>
      <c r="M17" s="35">
        <f>L17+M16</f>
        <v>0.81150077704217827</v>
      </c>
      <c r="N17" s="36">
        <f>M17+N16</f>
        <v>0.90476923950482657</v>
      </c>
      <c r="O17" s="6"/>
    </row>
    <row r="19" spans="1:15" ht="16" x14ac:dyDescent="0.2">
      <c r="B19" s="106" t="s">
        <v>21</v>
      </c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M19" s="106"/>
      <c r="N19" s="106"/>
      <c r="O19" s="106"/>
    </row>
    <row r="20" spans="1:15" ht="16" thickBot="1" x14ac:dyDescent="0.25">
      <c r="B20" s="16" t="s">
        <v>24</v>
      </c>
      <c r="C20" s="17">
        <v>1743942964</v>
      </c>
      <c r="D20" s="18" t="s">
        <v>6</v>
      </c>
      <c r="E20" s="18" t="s">
        <v>7</v>
      </c>
      <c r="F20" s="18" t="s">
        <v>5</v>
      </c>
      <c r="G20" s="18" t="s">
        <v>8</v>
      </c>
      <c r="H20" s="18" t="s">
        <v>2</v>
      </c>
      <c r="I20" s="18" t="s">
        <v>4</v>
      </c>
      <c r="J20" s="18" t="s">
        <v>3</v>
      </c>
      <c r="K20" s="18" t="s">
        <v>1</v>
      </c>
      <c r="L20" s="18" t="s">
        <v>9</v>
      </c>
      <c r="M20" s="18" t="s">
        <v>10</v>
      </c>
      <c r="N20" s="18" t="s">
        <v>0</v>
      </c>
      <c r="O20" s="18" t="s">
        <v>17</v>
      </c>
    </row>
    <row r="21" spans="1:15" x14ac:dyDescent="0.2">
      <c r="A21" s="102" t="s">
        <v>18</v>
      </c>
      <c r="B21" s="19" t="s">
        <v>11</v>
      </c>
      <c r="C21" s="37"/>
      <c r="D21" s="21">
        <f>$C$20*D$22</f>
        <v>158698809.72400001</v>
      </c>
      <c r="E21" s="21">
        <f t="shared" ref="E21:N21" si="20">$C$20*E$22</f>
        <v>158698809.72400001</v>
      </c>
      <c r="F21" s="21">
        <f t="shared" si="20"/>
        <v>158698809.72400001</v>
      </c>
      <c r="G21" s="21">
        <f t="shared" si="20"/>
        <v>158698809.72400001</v>
      </c>
      <c r="H21" s="21">
        <f t="shared" si="20"/>
        <v>158698809.72400001</v>
      </c>
      <c r="I21" s="21">
        <f t="shared" si="20"/>
        <v>158698809.72400001</v>
      </c>
      <c r="J21" s="21">
        <f t="shared" si="20"/>
        <v>158698809.72400001</v>
      </c>
      <c r="K21" s="21">
        <f t="shared" si="20"/>
        <v>158698809.72400001</v>
      </c>
      <c r="L21" s="21">
        <f t="shared" si="20"/>
        <v>158698809.72400001</v>
      </c>
      <c r="M21" s="21">
        <f t="shared" si="20"/>
        <v>158698809.72400001</v>
      </c>
      <c r="N21" s="21">
        <f t="shared" si="20"/>
        <v>156954866.75999999</v>
      </c>
      <c r="O21" s="22">
        <f>SUM(D21:N21)</f>
        <v>1743942964</v>
      </c>
    </row>
    <row r="22" spans="1:15" x14ac:dyDescent="0.2">
      <c r="A22" s="103"/>
      <c r="B22" s="15" t="s">
        <v>12</v>
      </c>
      <c r="C22" s="1"/>
      <c r="D22" s="3">
        <v>9.0999999999999998E-2</v>
      </c>
      <c r="E22" s="3">
        <v>9.0999999999999998E-2</v>
      </c>
      <c r="F22" s="3">
        <v>9.0999999999999998E-2</v>
      </c>
      <c r="G22" s="3">
        <v>9.0999999999999998E-2</v>
      </c>
      <c r="H22" s="3">
        <v>9.0999999999999998E-2</v>
      </c>
      <c r="I22" s="3">
        <v>9.0999999999999998E-2</v>
      </c>
      <c r="J22" s="3">
        <v>9.0999999999999998E-2</v>
      </c>
      <c r="K22" s="3">
        <v>9.0999999999999998E-2</v>
      </c>
      <c r="L22" s="3">
        <v>9.0999999999999998E-2</v>
      </c>
      <c r="M22" s="3">
        <v>9.0999999999999998E-2</v>
      </c>
      <c r="N22" s="3">
        <v>0.09</v>
      </c>
      <c r="O22" s="23">
        <f>SUM(D22:N22)</f>
        <v>0.99999999999999978</v>
      </c>
    </row>
    <row r="23" spans="1:15" ht="16" thickBot="1" x14ac:dyDescent="0.25">
      <c r="A23" s="104"/>
      <c r="B23" s="24" t="s">
        <v>16</v>
      </c>
      <c r="C23" s="25"/>
      <c r="D23" s="26">
        <f>D22</f>
        <v>9.0999999999999998E-2</v>
      </c>
      <c r="E23" s="26">
        <f t="shared" ref="E23" si="21">D23+E22</f>
        <v>0.182</v>
      </c>
      <c r="F23" s="26">
        <f t="shared" ref="F23" si="22">E23+F22</f>
        <v>0.27300000000000002</v>
      </c>
      <c r="G23" s="26">
        <f t="shared" ref="G23" si="23">F23+G22</f>
        <v>0.36399999999999999</v>
      </c>
      <c r="H23" s="26">
        <f t="shared" ref="H23" si="24">G23+H22</f>
        <v>0.45499999999999996</v>
      </c>
      <c r="I23" s="26">
        <f t="shared" ref="I23" si="25">H23+I22</f>
        <v>0.54599999999999993</v>
      </c>
      <c r="J23" s="26">
        <f t="shared" ref="J23" si="26">I23+J22</f>
        <v>0.6369999999999999</v>
      </c>
      <c r="K23" s="26">
        <f t="shared" ref="K23" si="27">J23+K22</f>
        <v>0.72799999999999987</v>
      </c>
      <c r="L23" s="26">
        <f t="shared" ref="L23" si="28">K23+L22</f>
        <v>0.81899999999999984</v>
      </c>
      <c r="M23" s="35">
        <f t="shared" ref="M23" si="29">L23+M22</f>
        <v>0.90999999999999981</v>
      </c>
      <c r="N23" s="35">
        <f t="shared" ref="N23" si="30">M23+N22</f>
        <v>0.99999999999999978</v>
      </c>
      <c r="O23" s="34"/>
    </row>
    <row r="24" spans="1:15" x14ac:dyDescent="0.2">
      <c r="A24" s="102" t="s">
        <v>19</v>
      </c>
      <c r="B24" s="19" t="s">
        <v>13</v>
      </c>
      <c r="C24" s="20"/>
      <c r="D24" s="29">
        <v>72801165</v>
      </c>
      <c r="E24" s="29">
        <v>353149742</v>
      </c>
      <c r="F24" s="29">
        <v>249327488</v>
      </c>
      <c r="G24" s="29">
        <v>102420828</v>
      </c>
      <c r="H24" s="29">
        <v>95986573</v>
      </c>
      <c r="I24" s="29">
        <v>158931539</v>
      </c>
      <c r="J24" s="97">
        <v>179938447</v>
      </c>
      <c r="K24" s="39">
        <v>150000000</v>
      </c>
      <c r="L24" s="39">
        <v>150000000</v>
      </c>
      <c r="M24" s="39">
        <v>150000000</v>
      </c>
      <c r="N24" s="39">
        <v>130000000</v>
      </c>
      <c r="O24" s="27">
        <f>SUM(D24:N24)</f>
        <v>1792555782</v>
      </c>
    </row>
    <row r="25" spans="1:15" x14ac:dyDescent="0.2">
      <c r="A25" s="103"/>
      <c r="B25" s="15" t="s">
        <v>14</v>
      </c>
      <c r="C25" s="1"/>
      <c r="D25" s="4">
        <f>D24/$O$3</f>
        <v>9.2644191378795874E-3</v>
      </c>
      <c r="E25" s="5">
        <f>E24/$O$21</f>
        <v>0.20250074072950014</v>
      </c>
      <c r="F25" s="5">
        <f t="shared" ref="F25:N25" si="31">F24/$O$21</f>
        <v>0.1429676848078387</v>
      </c>
      <c r="G25" s="5">
        <f t="shared" si="31"/>
        <v>5.872945968661851E-2</v>
      </c>
      <c r="H25" s="5">
        <f t="shared" si="31"/>
        <v>5.5039972626077238E-2</v>
      </c>
      <c r="I25" s="5">
        <f t="shared" si="31"/>
        <v>9.1133450050147391E-2</v>
      </c>
      <c r="J25" s="5">
        <f t="shared" si="31"/>
        <v>0.10317908940512804</v>
      </c>
      <c r="K25" s="5">
        <f t="shared" si="31"/>
        <v>8.6011987259005329E-2</v>
      </c>
      <c r="L25" s="5">
        <f t="shared" si="31"/>
        <v>8.6011987259005329E-2</v>
      </c>
      <c r="M25" s="5">
        <f t="shared" si="31"/>
        <v>8.6011987259005329E-2</v>
      </c>
      <c r="N25" s="5">
        <f t="shared" si="31"/>
        <v>7.4543722291137954E-2</v>
      </c>
      <c r="O25" s="28">
        <f>SUM(D25:N25)</f>
        <v>0.99539450051134348</v>
      </c>
    </row>
    <row r="26" spans="1:15" ht="16" thickBot="1" x14ac:dyDescent="0.25">
      <c r="A26" s="104"/>
      <c r="B26" s="31" t="s">
        <v>15</v>
      </c>
      <c r="C26" s="32"/>
      <c r="D26" s="33">
        <f>D25</f>
        <v>9.2644191378795874E-3</v>
      </c>
      <c r="E26" s="26">
        <f>D26+E25</f>
        <v>0.21176515986737973</v>
      </c>
      <c r="F26" s="26">
        <f>E26+F25</f>
        <v>0.35473284467521843</v>
      </c>
      <c r="G26" s="26">
        <f t="shared" ref="G26" si="32">F26+G25</f>
        <v>0.41346230436183695</v>
      </c>
      <c r="H26" s="26">
        <f t="shared" ref="H26" si="33">G26+H25</f>
        <v>0.46850227698791419</v>
      </c>
      <c r="I26" s="26">
        <f t="shared" ref="I26" si="34">H26+I25</f>
        <v>0.55963572703806164</v>
      </c>
      <c r="J26" s="26">
        <f t="shared" ref="J26" si="35">I26+J25</f>
        <v>0.66281481644318974</v>
      </c>
      <c r="K26" s="26">
        <f>J26+K25</f>
        <v>0.74882680370219501</v>
      </c>
      <c r="L26" s="26">
        <f>K26+L25</f>
        <v>0.83483879096120028</v>
      </c>
      <c r="M26" s="35">
        <f>L26+M25</f>
        <v>0.92085077822020556</v>
      </c>
      <c r="N26" s="36">
        <f>M26+N25</f>
        <v>0.99539450051134348</v>
      </c>
      <c r="O26" s="6"/>
    </row>
    <row r="29" spans="1:15" ht="22" thickBot="1" x14ac:dyDescent="0.3">
      <c r="B29" s="105" t="s">
        <v>20</v>
      </c>
      <c r="C29" s="105"/>
      <c r="D29" s="105"/>
      <c r="E29" s="105"/>
      <c r="F29" s="105"/>
      <c r="G29" s="105"/>
      <c r="H29" s="105"/>
      <c r="I29" s="105"/>
      <c r="J29" s="105"/>
      <c r="K29" s="105"/>
      <c r="L29" s="105"/>
      <c r="M29" s="105"/>
      <c r="N29" s="105"/>
      <c r="O29" s="105"/>
    </row>
    <row r="30" spans="1:15" x14ac:dyDescent="0.2">
      <c r="B30" s="42" t="s">
        <v>25</v>
      </c>
      <c r="C30" s="76">
        <f>+C2+C11+C20</f>
        <v>13890784821</v>
      </c>
      <c r="D30" s="43" t="s">
        <v>6</v>
      </c>
      <c r="E30" s="43" t="s">
        <v>7</v>
      </c>
      <c r="F30" s="43" t="s">
        <v>5</v>
      </c>
      <c r="G30" s="43" t="s">
        <v>8</v>
      </c>
      <c r="H30" s="43" t="s">
        <v>2</v>
      </c>
      <c r="I30" s="43" t="s">
        <v>4</v>
      </c>
      <c r="J30" s="43" t="s">
        <v>3</v>
      </c>
      <c r="K30" s="43" t="s">
        <v>1</v>
      </c>
      <c r="L30" s="43" t="s">
        <v>9</v>
      </c>
      <c r="M30" s="43" t="s">
        <v>10</v>
      </c>
      <c r="N30" s="43" t="s">
        <v>0</v>
      </c>
      <c r="O30" s="44" t="s">
        <v>17</v>
      </c>
    </row>
    <row r="31" spans="1:15" x14ac:dyDescent="0.2">
      <c r="B31" s="45" t="s">
        <v>11</v>
      </c>
      <c r="C31" s="40"/>
      <c r="D31" s="49">
        <f t="shared" ref="D31:N31" si="36">+D3+D12+D21</f>
        <v>1264061418.711</v>
      </c>
      <c r="E31" s="49">
        <f t="shared" si="36"/>
        <v>1264061418.711</v>
      </c>
      <c r="F31" s="49">
        <f t="shared" si="36"/>
        <v>1264061418.711</v>
      </c>
      <c r="G31" s="49">
        <f t="shared" si="36"/>
        <v>1264061418.711</v>
      </c>
      <c r="H31" s="49">
        <f t="shared" si="36"/>
        <v>1264061418.711</v>
      </c>
      <c r="I31" s="49">
        <f t="shared" si="36"/>
        <v>1264061418.711</v>
      </c>
      <c r="J31" s="49">
        <f t="shared" si="36"/>
        <v>1264061418.711</v>
      </c>
      <c r="K31" s="49">
        <f t="shared" si="36"/>
        <v>1264061418.711</v>
      </c>
      <c r="L31" s="49">
        <f t="shared" si="36"/>
        <v>1264061418.711</v>
      </c>
      <c r="M31" s="49">
        <f t="shared" si="36"/>
        <v>1264061418.711</v>
      </c>
      <c r="N31" s="49">
        <f t="shared" si="36"/>
        <v>1250170633.8899999</v>
      </c>
      <c r="O31" s="53">
        <f>+SUM(D31:N31)</f>
        <v>13890784821.000002</v>
      </c>
    </row>
    <row r="32" spans="1:15" x14ac:dyDescent="0.2">
      <c r="B32" s="45" t="s">
        <v>12</v>
      </c>
      <c r="C32" s="40"/>
      <c r="D32" s="56">
        <v>9.0999999999999998E-2</v>
      </c>
      <c r="E32" s="56">
        <v>9.0999999999999998E-2</v>
      </c>
      <c r="F32" s="56">
        <v>9.0999999999999998E-2</v>
      </c>
      <c r="G32" s="56">
        <v>9.0999999999999998E-2</v>
      </c>
      <c r="H32" s="56">
        <v>9.0999999999999998E-2</v>
      </c>
      <c r="I32" s="56">
        <v>9.0999999999999998E-2</v>
      </c>
      <c r="J32" s="56">
        <v>9.0999999999999998E-2</v>
      </c>
      <c r="K32" s="56">
        <v>9.0999999999999998E-2</v>
      </c>
      <c r="L32" s="56">
        <v>9.0999999999999998E-2</v>
      </c>
      <c r="M32" s="56">
        <v>9.0999999999999998E-2</v>
      </c>
      <c r="N32" s="56">
        <v>0.09</v>
      </c>
      <c r="O32" s="23">
        <f>+SUM(D32:N32)</f>
        <v>0.99999999999999978</v>
      </c>
    </row>
    <row r="33" spans="2:17" ht="16" thickBot="1" x14ac:dyDescent="0.25">
      <c r="B33" s="46" t="s">
        <v>16</v>
      </c>
      <c r="C33" s="47"/>
      <c r="D33" s="57">
        <v>9.0999999999999998E-2</v>
      </c>
      <c r="E33" s="57">
        <f>+E32+D33</f>
        <v>0.182</v>
      </c>
      <c r="F33" s="57">
        <f t="shared" ref="F33:N33" si="37">+F32+E33</f>
        <v>0.27300000000000002</v>
      </c>
      <c r="G33" s="57">
        <f t="shared" si="37"/>
        <v>0.36399999999999999</v>
      </c>
      <c r="H33" s="57">
        <f t="shared" si="37"/>
        <v>0.45499999999999996</v>
      </c>
      <c r="I33" s="57">
        <f t="shared" si="37"/>
        <v>0.54599999999999993</v>
      </c>
      <c r="J33" s="57">
        <f t="shared" si="37"/>
        <v>0.6369999999999999</v>
      </c>
      <c r="K33" s="57">
        <f t="shared" si="37"/>
        <v>0.72799999999999987</v>
      </c>
      <c r="L33" s="57">
        <f t="shared" si="37"/>
        <v>0.81899999999999984</v>
      </c>
      <c r="M33" s="57">
        <f t="shared" si="37"/>
        <v>0.90999999999999981</v>
      </c>
      <c r="N33" s="57">
        <f t="shared" si="37"/>
        <v>0.99999999999999978</v>
      </c>
      <c r="O33" s="54"/>
    </row>
    <row r="34" spans="2:17" x14ac:dyDescent="0.2">
      <c r="B34" s="48" t="s">
        <v>13</v>
      </c>
      <c r="C34" s="41"/>
      <c r="D34" s="50">
        <f t="shared" ref="D34:N34" si="38">+D6+D15+D24</f>
        <v>375609149</v>
      </c>
      <c r="E34" s="50">
        <f t="shared" si="38"/>
        <v>1253579160</v>
      </c>
      <c r="F34" s="50">
        <f t="shared" si="38"/>
        <v>1284586307</v>
      </c>
      <c r="G34" s="50">
        <f t="shared" si="38"/>
        <v>1232536080</v>
      </c>
      <c r="H34" s="50">
        <f t="shared" si="38"/>
        <v>1127776446</v>
      </c>
      <c r="I34" s="50">
        <f t="shared" si="38"/>
        <v>1341438650</v>
      </c>
      <c r="J34" s="50">
        <f t="shared" si="38"/>
        <v>1078872797</v>
      </c>
      <c r="K34" s="50">
        <f t="shared" si="38"/>
        <v>1250000000</v>
      </c>
      <c r="L34" s="50">
        <f t="shared" si="38"/>
        <v>1250000000</v>
      </c>
      <c r="M34" s="50">
        <f t="shared" si="38"/>
        <v>1250000000</v>
      </c>
      <c r="N34" s="50">
        <f t="shared" si="38"/>
        <v>1230000000</v>
      </c>
      <c r="O34" s="55">
        <f>+SUM(D34:N34)</f>
        <v>12674398589</v>
      </c>
      <c r="Q34" s="2"/>
    </row>
    <row r="35" spans="2:17" x14ac:dyDescent="0.2">
      <c r="B35" s="45" t="s">
        <v>14</v>
      </c>
      <c r="C35" s="40"/>
      <c r="D35" s="51">
        <f>+D34/$O$31</f>
        <v>2.7040167552819364E-2</v>
      </c>
      <c r="E35" s="51">
        <f t="shared" ref="E35:N35" si="39">+E34/$O$31</f>
        <v>9.024538038375246E-2</v>
      </c>
      <c r="F35" s="51">
        <f t="shared" si="39"/>
        <v>9.247759025522953E-2</v>
      </c>
      <c r="G35" s="51">
        <f t="shared" si="39"/>
        <v>8.8730485417689256E-2</v>
      </c>
      <c r="H35" s="51">
        <f t="shared" si="39"/>
        <v>8.1188821260483032E-2</v>
      </c>
      <c r="I35" s="51">
        <f t="shared" si="39"/>
        <v>9.657040025355669E-2</v>
      </c>
      <c r="J35" s="88">
        <f t="shared" si="39"/>
        <v>7.7668239116984006E-2</v>
      </c>
      <c r="K35" s="88">
        <f t="shared" si="39"/>
        <v>8.9987716036768334E-2</v>
      </c>
      <c r="L35" s="88">
        <f t="shared" si="39"/>
        <v>8.9987716036768334E-2</v>
      </c>
      <c r="M35" s="88">
        <f t="shared" si="39"/>
        <v>8.9987716036768334E-2</v>
      </c>
      <c r="N35" s="88">
        <f t="shared" si="39"/>
        <v>8.8547912580180035E-2</v>
      </c>
      <c r="O35" s="89">
        <f>+SUM(D35:N35)</f>
        <v>0.91243214493099944</v>
      </c>
    </row>
    <row r="36" spans="2:17" ht="16" thickBot="1" x14ac:dyDescent="0.25">
      <c r="B36" s="46" t="s">
        <v>15</v>
      </c>
      <c r="C36" s="47"/>
      <c r="D36" s="52">
        <v>0</v>
      </c>
      <c r="E36" s="52">
        <f>+D36+E35</f>
        <v>9.024538038375246E-2</v>
      </c>
      <c r="F36" s="52">
        <f t="shared" ref="F36:N36" si="40">+E36+F35</f>
        <v>0.18272297063898199</v>
      </c>
      <c r="G36" s="52">
        <f t="shared" si="40"/>
        <v>0.27145345605667126</v>
      </c>
      <c r="H36" s="52">
        <f t="shared" si="40"/>
        <v>0.35264227731715431</v>
      </c>
      <c r="I36" s="52">
        <f t="shared" si="40"/>
        <v>0.44921267757071098</v>
      </c>
      <c r="J36" s="90">
        <f t="shared" si="40"/>
        <v>0.52688091668769499</v>
      </c>
      <c r="K36" s="90">
        <f t="shared" si="40"/>
        <v>0.61686863272446335</v>
      </c>
      <c r="L36" s="90">
        <f t="shared" si="40"/>
        <v>0.70685634876123171</v>
      </c>
      <c r="M36" s="90">
        <f t="shared" si="40"/>
        <v>0.79684406479800007</v>
      </c>
      <c r="N36" s="90">
        <f t="shared" si="40"/>
        <v>0.8853919773781801</v>
      </c>
      <c r="O36" s="91"/>
    </row>
    <row r="83" spans="4:10" x14ac:dyDescent="0.2">
      <c r="J83" s="8"/>
    </row>
    <row r="90" spans="4:10" x14ac:dyDescent="0.2">
      <c r="D90" s="9"/>
      <c r="J90" s="8"/>
    </row>
    <row r="108" spans="1:10" x14ac:dyDescent="0.2">
      <c r="A108" s="10"/>
      <c r="B108" s="10"/>
      <c r="C108" s="11"/>
      <c r="D108" s="8"/>
      <c r="E108" s="12"/>
      <c r="F108" s="9"/>
      <c r="G108" s="9"/>
      <c r="H108" s="9"/>
      <c r="I108" s="9"/>
      <c r="J108" s="9"/>
    </row>
    <row r="109" spans="1:10" x14ac:dyDescent="0.2">
      <c r="A109" s="13"/>
      <c r="B109" s="13"/>
      <c r="C109" s="14"/>
      <c r="D109" s="8"/>
      <c r="E109" s="12"/>
      <c r="F109" s="9"/>
      <c r="G109" s="9"/>
      <c r="H109" s="9"/>
      <c r="I109" s="9"/>
      <c r="J109" s="9"/>
    </row>
    <row r="110" spans="1:10" x14ac:dyDescent="0.2">
      <c r="D110" s="8"/>
    </row>
    <row r="111" spans="1:10" x14ac:dyDescent="0.2">
      <c r="D111" s="8"/>
    </row>
    <row r="126" spans="4:10" x14ac:dyDescent="0.2">
      <c r="D126" s="8">
        <v>5862749</v>
      </c>
      <c r="J126" s="8">
        <v>5862749</v>
      </c>
    </row>
    <row r="128" spans="4:10" x14ac:dyDescent="0.2">
      <c r="J128" s="8"/>
    </row>
  </sheetData>
  <mergeCells count="10">
    <mergeCell ref="A24:A26"/>
    <mergeCell ref="B29:O29"/>
    <mergeCell ref="B19:O19"/>
    <mergeCell ref="B10:O10"/>
    <mergeCell ref="B1:O1"/>
    <mergeCell ref="A3:A5"/>
    <mergeCell ref="A6:A8"/>
    <mergeCell ref="A12:A14"/>
    <mergeCell ref="A15:A17"/>
    <mergeCell ref="A21:A23"/>
  </mergeCells>
  <pageMargins left="0.7" right="0.7" top="0.75" bottom="0.75" header="0.3" footer="0.3"/>
  <pageSetup paperSize="5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DASHBOARD</vt:lpstr>
      <vt:lpstr>VIVERES</vt:lpstr>
      <vt:lpstr>VIVERES!Área_de_impresión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173434022</dc:creator>
  <cp:lastModifiedBy>Cx 2985</cp:lastModifiedBy>
  <dcterms:created xsi:type="dcterms:W3CDTF">2026-03-09T17:52:45Z</dcterms:created>
  <dcterms:modified xsi:type="dcterms:W3CDTF">2026-08-05T12:21:45Z</dcterms:modified>
</cp:coreProperties>
</file>