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11"/>
  <workbookPr/>
  <mc:AlternateContent xmlns:mc="http://schemas.openxmlformats.org/markup-compatibility/2006">
    <mc:Choice Requires="x15">
      <x15ac:absPath xmlns:x15ac="http://schemas.microsoft.com/office/spreadsheetml/2010/11/ac" url="/Users/cristobalmelkonian/Documents/Documents/ESCUELA NAVAL/"/>
    </mc:Choice>
  </mc:AlternateContent>
  <xr:revisionPtr revIDLastSave="0" documentId="13_ncr:1_{6EB244AD-CD88-C34E-A430-9AEF5E8C6C27}" xr6:coauthVersionLast="47" xr6:coauthVersionMax="47" xr10:uidLastSave="{00000000-0000-0000-0000-000000000000}"/>
  <bookViews>
    <workbookView xWindow="0" yWindow="460" windowWidth="25600" windowHeight="12180" xr2:uid="{00000000-000D-0000-FFFF-FFFF00000000}"/>
  </bookViews>
  <sheets>
    <sheet name="ANÁLISIS" sheetId="1" r:id="rId1"/>
    <sheet name="DESVIACIÓN DE CAJA" sheetId="3" r:id="rId2"/>
    <sheet name="RIESGO CAE" sheetId="2" r:id="rId3"/>
  </sheets>
  <externalReferences>
    <externalReference r:id="rId4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21" i="2" l="1"/>
  <c r="B8" i="1"/>
  <c r="B17" i="1" l="1"/>
  <c r="E18" i="2" l="1"/>
  <c r="D17" i="2"/>
  <c r="B9" i="1"/>
  <c r="F18" i="2" l="1"/>
  <c r="C35" i="1"/>
  <c r="B42" i="1" s="1"/>
  <c r="E42" i="1" s="1"/>
  <c r="F42" i="1" s="1"/>
  <c r="C42" i="1" l="1"/>
  <c r="D42" i="1"/>
  <c r="C36" i="1"/>
  <c r="B36" i="1" s="1"/>
  <c r="B41" i="1" s="1"/>
  <c r="B43" i="1" s="1"/>
  <c r="D35" i="1"/>
  <c r="D36" i="1" s="1"/>
  <c r="B23" i="1" l="1"/>
  <c r="C22" i="2"/>
  <c r="C16" i="2"/>
  <c r="D16" i="2" s="1"/>
  <c r="E16" i="2" s="1"/>
  <c r="D15" i="2"/>
  <c r="D14" i="2"/>
  <c r="F11" i="2"/>
  <c r="L10" i="2"/>
  <c r="L11" i="2" s="1"/>
  <c r="K10" i="2"/>
  <c r="J10" i="2"/>
  <c r="I10" i="2"/>
  <c r="I11" i="2" s="1"/>
  <c r="H10" i="2"/>
  <c r="H11" i="2" s="1"/>
  <c r="G10" i="2"/>
  <c r="F10" i="2"/>
  <c r="E10" i="2"/>
  <c r="E11" i="2" s="1"/>
  <c r="D10" i="2"/>
  <c r="D11" i="2" s="1"/>
  <c r="C10" i="2"/>
  <c r="C11" i="2" s="1"/>
  <c r="M8" i="2"/>
  <c r="M7" i="2"/>
  <c r="G11" i="2" l="1"/>
  <c r="E15" i="2"/>
  <c r="J11" i="2"/>
  <c r="K11" i="2"/>
  <c r="E14" i="2"/>
  <c r="E23" i="1"/>
  <c r="F23" i="1" s="1"/>
  <c r="C23" i="1"/>
  <c r="B18" i="1"/>
  <c r="D23" i="1"/>
  <c r="M10" i="2"/>
  <c r="E41" i="1" l="1"/>
  <c r="F41" i="1" s="1"/>
  <c r="D41" i="1"/>
  <c r="C41" i="1"/>
  <c r="B24" i="1"/>
  <c r="E24" i="1" s="1"/>
  <c r="F24" i="1" s="1"/>
  <c r="M11" i="2"/>
  <c r="N10" i="2"/>
  <c r="C24" i="1" l="1"/>
  <c r="E17" i="2"/>
  <c r="B25" i="1"/>
  <c r="D24" i="1"/>
  <c r="B26" i="1"/>
  <c r="D26" i="1" s="1"/>
  <c r="C43" i="1"/>
  <c r="E43" i="1"/>
  <c r="F43" i="1" s="1"/>
  <c r="D43" i="1"/>
  <c r="E26" i="1"/>
  <c r="F26" i="1" s="1"/>
  <c r="C26" i="1" l="1"/>
  <c r="C25" i="1"/>
  <c r="D25" i="1"/>
  <c r="E25" i="1"/>
  <c r="F25" i="1" s="1"/>
  <c r="F17" i="2"/>
  <c r="D18" i="2"/>
  <c r="B35" i="1" s="1"/>
  <c r="B40" i="1" s="1"/>
  <c r="C40" i="1" l="1"/>
  <c r="D40" i="1"/>
  <c r="E40" i="1"/>
  <c r="F40" i="1" s="1"/>
</calcChain>
</file>

<file path=xl/sharedStrings.xml><?xml version="1.0" encoding="utf-8"?>
<sst xmlns="http://schemas.openxmlformats.org/spreadsheetml/2006/main" count="113" uniqueCount="92">
  <si>
    <t>MONTO CAE</t>
  </si>
  <si>
    <t>MONTO FES</t>
  </si>
  <si>
    <t>ALUMNOS CAE</t>
  </si>
  <si>
    <t>ALUMNOS FES</t>
  </si>
  <si>
    <t>RIESGO CAE</t>
  </si>
  <si>
    <t>RIESGO FES</t>
  </si>
  <si>
    <t>Valor UF</t>
  </si>
  <si>
    <t>PERÍODO: AÑOS 2016 - 2025</t>
  </si>
  <si>
    <t>Valor Arancel UF</t>
  </si>
  <si>
    <t>Pagos porcentuales</t>
  </si>
  <si>
    <t>Detalle</t>
  </si>
  <si>
    <t>TOTALES</t>
  </si>
  <si>
    <t>Año Cursado</t>
  </si>
  <si>
    <t>Escuela</t>
  </si>
  <si>
    <t>Estado</t>
  </si>
  <si>
    <t>Banco</t>
  </si>
  <si>
    <t>Cadetes con crédito (CAE)</t>
  </si>
  <si>
    <t>Desertores</t>
  </si>
  <si>
    <t>Años cursados</t>
  </si>
  <si>
    <t>Valor a pagar Escuela UF</t>
  </si>
  <si>
    <t>% de ingresos UF</t>
  </si>
  <si>
    <t>UF</t>
  </si>
  <si>
    <t>% Ingresos UF</t>
  </si>
  <si>
    <t>Deuda superior a 3 meses</t>
  </si>
  <si>
    <t>Deuda de arrastre hasta ene 2025</t>
  </si>
  <si>
    <t>Totales</t>
  </si>
  <si>
    <t>MENSUALIDAD</t>
  </si>
  <si>
    <t>MESUALIDADES ANUALES</t>
  </si>
  <si>
    <t>COBERTURA CAE PROMEDIO</t>
  </si>
  <si>
    <t>VALOR UF</t>
  </si>
  <si>
    <t>INGRESOS PROYECTADOS</t>
  </si>
  <si>
    <t>DETALLE</t>
  </si>
  <si>
    <t>CLP</t>
  </si>
  <si>
    <t>% INGRESOS</t>
  </si>
  <si>
    <t>1.- ANÁLISIS CAE V/FES</t>
  </si>
  <si>
    <t>Considerando que la misma cantidad de alumnos CAE optan al FES.</t>
  </si>
  <si>
    <t>Consideraciones:</t>
  </si>
  <si>
    <t>DESVIACIÓN DE CAJA PRESUPUESTARIA (AGOSTO)</t>
  </si>
  <si>
    <t>AÑO</t>
  </si>
  <si>
    <t>CENFIN</t>
  </si>
  <si>
    <t>CONSOLIDADO</t>
  </si>
  <si>
    <t>SALDO INICIAL CAJA</t>
  </si>
  <si>
    <t>CAJA</t>
  </si>
  <si>
    <t>MES</t>
  </si>
  <si>
    <t>INGRESO LINEAL PROYECTADO</t>
  </si>
  <si>
    <t>INGRESO REAL DE CAJA COMPROMETIDO</t>
  </si>
  <si>
    <t>INGRESO EFECTIVO DE CAJA</t>
  </si>
  <si>
    <t>DESVIACIÓN DE CAJA REAL</t>
  </si>
  <si>
    <t>DESVIACIÓN DE CAJA MENSUAL</t>
  </si>
  <si>
    <t>DESVIACIÓN DE CAJA ACUMULADA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</si>
  <si>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</si>
  <si>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</si>
  <si>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</si>
  <si>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</si>
  <si>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</si>
  <si>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</si>
  <si>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</si>
  <si>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</si>
  <si>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</si>
  <si>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</si>
  <si>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</si>
  <si>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</si>
  <si>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PRESUPUESTO VIGENTE</t>
  </si>
  <si>
    <t>( + ) SEGUROS POR COBRAR</t>
  </si>
  <si>
    <t>ADMINOGASTO 10</t>
  </si>
  <si>
    <t>( + ) BECAS POR COBRAR</t>
  </si>
  <si>
    <t>PRESUPUESTO DISTRIBUIDO</t>
  </si>
  <si>
    <t>SUBEJECUCIÓN POR INGRESOS</t>
  </si>
  <si>
    <t>DIFERENCIA</t>
  </si>
  <si>
    <t>( = ) DESVIACIÓN TOTAL</t>
  </si>
  <si>
    <t>INGRESO CONSOLIDADO PROMEDIO</t>
  </si>
  <si>
    <t>TIEMPO EN INGRESOS</t>
  </si>
  <si>
    <t>DIAS</t>
  </si>
  <si>
    <t>2.- ANÁLISIS CAPACIDAD FES</t>
  </si>
  <si>
    <t>3.1.-</t>
  </si>
  <si>
    <t>3.2.-</t>
  </si>
  <si>
    <t>3.3.-</t>
  </si>
  <si>
    <t>PARÁMETROS DE MEDICIÓN</t>
  </si>
  <si>
    <t>Se debe considerar que el riesgo del CAE es el pago por deserción, mientras que el FES es la Oportunidad de pago.</t>
  </si>
  <si>
    <t>El riesgo que presenta el FES, equivale a casi dos meses de ingresos de la Escuela Naval, significando dificultades en su operación. Se requieriría de una caja base de 500 MM, sin disponibilidad de inversión para poder optar a la alternativa de financiamiento en comento.</t>
  </si>
  <si>
    <t>El riesgo presentado en el CAE podría tener una tolerancia de  hasta el 1% de los ingresos podría ser aceptable, en atención a que dicho monto resulta considerable para efectuar recuperación de infraestructura.</t>
  </si>
  <si>
    <t>TOTAL TOLERANCIA CAE</t>
  </si>
  <si>
    <t>PROEMDIO CAE 2016-2025</t>
  </si>
  <si>
    <t>CATEGORRÁ ALUMNO</t>
  </si>
  <si>
    <t>CANTIDAD</t>
  </si>
  <si>
    <t>RIESGO TOLERABLE</t>
  </si>
  <si>
    <t>3.- CONCLUSIONES</t>
  </si>
  <si>
    <t>ANÁLISIS FES V/S CAE</t>
  </si>
  <si>
    <t>3.4.-</t>
  </si>
  <si>
    <t>Si bien la máxima tolerancia de CAE implica un esfuerzo en la planificación de las adquisiciones y pagos respecto a la desviación de caja, dado su oportunidad de pago sigue siendo aceptable.</t>
  </si>
  <si>
    <t>ingresos Poryectados $CLP</t>
  </si>
  <si>
    <t>ingresos Poryectados UF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</si>
</sst>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 &quot;$&quot;* #,##0_ ;_ &quot;$&quot;* \-#,##0_ ;_ &quot;$&quot;* &quot;-&quot;_ ;_ @_ "/>
    <numFmt numFmtId="165" formatCode="_ [$$-340A]* #,##0_ ;_ [$$-340A]* \-#,##0_ ;_ [$$-340A]* &quot;-&quot;_ ;_ @_ "/>
    <numFmt numFmtId="166" formatCode="0.0"/>
  </numFmts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lightUp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2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0" xfId="0" applyFont="1"/>
    <xf numFmtId="164" fontId="3" fillId="0" borderId="0" xfId="1" applyFont="1"/>
    <xf numFmtId="0" fontId="3" fillId="0" borderId="0" xfId="0" applyFont="1" applyAlignment="1">
      <alignment horizontal="center"/>
    </xf>
    <xf numFmtId="0" fontId="4" fillId="2" borderId="2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9" fontId="3" fillId="0" borderId="2" xfId="2" applyFont="1" applyBorder="1" applyAlignment="1">
      <alignment horizontal="center"/>
    </xf>
    <xf numFmtId="9" fontId="4" fillId="0" borderId="2" xfId="2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/>
    </xf>
    <xf numFmtId="0" fontId="2" fillId="3" borderId="2" xfId="0" applyFont="1" applyFill="1" applyBorder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164" fontId="5" fillId="0" borderId="3" xfId="1" applyFont="1" applyFill="1" applyBorder="1" applyAlignment="1">
      <alignment horizontal="center" vertical="center" wrapText="1"/>
    </xf>
    <xf numFmtId="10" fontId="3" fillId="0" borderId="2" xfId="2" applyNumberFormat="1" applyFont="1" applyBorder="1" applyAlignment="1">
      <alignment horizontal="center"/>
    </xf>
    <xf numFmtId="10" fontId="2" fillId="0" borderId="2" xfId="2" applyNumberFormat="1" applyFont="1" applyBorder="1" applyAlignment="1">
      <alignment horizontal="center"/>
    </xf>
    <xf numFmtId="164" fontId="3" fillId="0" borderId="2" xfId="1" applyFont="1" applyBorder="1"/>
    <xf numFmtId="2" fontId="5" fillId="0" borderId="2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right"/>
    </xf>
    <xf numFmtId="164" fontId="2" fillId="0" borderId="2" xfId="0" applyNumberFormat="1" applyFont="1" applyBorder="1"/>
    <xf numFmtId="2" fontId="4" fillId="0" borderId="2" xfId="0" applyNumberFormat="1" applyFont="1" applyBorder="1" applyAlignment="1">
      <alignment horizontal="center" vertical="center" wrapText="1"/>
    </xf>
    <xf numFmtId="9" fontId="3" fillId="0" borderId="0" xfId="0" applyNumberFormat="1" applyFont="1"/>
    <xf numFmtId="164" fontId="3" fillId="0" borderId="0" xfId="0" applyNumberFormat="1" applyFont="1"/>
    <xf numFmtId="10" fontId="3" fillId="0" borderId="0" xfId="2" applyNumberFormat="1" applyFont="1"/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wrapText="1"/>
    </xf>
    <xf numFmtId="0" fontId="3" fillId="0" borderId="2" xfId="0" quotePrefix="1" applyFont="1" applyBorder="1" applyAlignment="1">
      <alignment horizontal="center" wrapText="1"/>
    </xf>
    <xf numFmtId="0" fontId="3" fillId="0" borderId="0" xfId="0" applyFont="1" applyAlignment="1">
      <alignment wrapText="1"/>
    </xf>
    <xf numFmtId="0" fontId="3" fillId="0" borderId="4" xfId="0" applyFont="1" applyBorder="1" applyAlignment="1">
      <alignment wrapText="1"/>
    </xf>
    <xf numFmtId="165" fontId="3" fillId="0" borderId="4" xfId="0" applyNumberFormat="1" applyFont="1" applyBorder="1" applyAlignment="1">
      <alignment wrapText="1"/>
    </xf>
    <xf numFmtId="0" fontId="2" fillId="0" borderId="2" xfId="0" applyFont="1" applyBorder="1" applyAlignment="1">
      <alignment horizontal="center" vertical="center" wrapText="1"/>
    </xf>
    <xf numFmtId="165" fontId="3" fillId="0" borderId="2" xfId="0" applyNumberFormat="1" applyFont="1" applyBorder="1" applyAlignment="1">
      <alignment wrapText="1"/>
    </xf>
    <xf numFmtId="10" fontId="3" fillId="0" borderId="2" xfId="0" applyNumberFormat="1" applyFont="1" applyBorder="1" applyAlignment="1">
      <alignment horizontal="center" vertical="center" wrapText="1"/>
    </xf>
    <xf numFmtId="164" fontId="3" fillId="0" borderId="4" xfId="1" applyFont="1" applyBorder="1" applyAlignment="1">
      <alignment wrapText="1"/>
    </xf>
    <xf numFmtId="10" fontId="3" fillId="0" borderId="2" xfId="2" applyNumberFormat="1" applyFont="1" applyBorder="1" applyAlignment="1">
      <alignment horizontal="center" wrapText="1"/>
    </xf>
    <xf numFmtId="165" fontId="3" fillId="0" borderId="1" xfId="0" applyNumberFormat="1" applyFont="1" applyBorder="1" applyAlignment="1">
      <alignment wrapText="1"/>
    </xf>
    <xf numFmtId="165" fontId="3" fillId="0" borderId="0" xfId="0" applyNumberFormat="1" applyFont="1" applyAlignment="1">
      <alignment wrapText="1"/>
    </xf>
    <xf numFmtId="165" fontId="3" fillId="0" borderId="0" xfId="0" applyNumberFormat="1" applyFont="1" applyAlignment="1">
      <alignment horizontal="center" wrapText="1"/>
    </xf>
    <xf numFmtId="165" fontId="3" fillId="0" borderId="2" xfId="0" applyNumberFormat="1" applyFont="1" applyBorder="1" applyAlignment="1">
      <alignment vertical="center" wrapText="1"/>
    </xf>
    <xf numFmtId="0" fontId="3" fillId="0" borderId="2" xfId="0" applyFont="1" applyBorder="1" applyAlignment="1">
      <alignment vertical="center" wrapText="1"/>
    </xf>
    <xf numFmtId="165" fontId="2" fillId="0" borderId="2" xfId="0" applyNumberFormat="1" applyFont="1" applyBorder="1" applyAlignment="1">
      <alignment wrapText="1"/>
    </xf>
    <xf numFmtId="164" fontId="2" fillId="0" borderId="2" xfId="1" applyFont="1" applyBorder="1" applyAlignment="1">
      <alignment wrapText="1"/>
    </xf>
    <xf numFmtId="1" fontId="3" fillId="0" borderId="0" xfId="0" applyNumberFormat="1" applyFont="1"/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0" fontId="3" fillId="0" borderId="10" xfId="0" applyFont="1" applyBorder="1" applyAlignment="1">
      <alignment horizontal="center"/>
    </xf>
    <xf numFmtId="10" fontId="3" fillId="0" borderId="12" xfId="2" applyNumberFormat="1" applyFont="1" applyBorder="1"/>
    <xf numFmtId="10" fontId="3" fillId="0" borderId="13" xfId="2" applyNumberFormat="1" applyFont="1" applyBorder="1"/>
    <xf numFmtId="0" fontId="3" fillId="0" borderId="12" xfId="0" applyFont="1" applyBorder="1"/>
    <xf numFmtId="0" fontId="3" fillId="0" borderId="13" xfId="0" applyFont="1" applyBorder="1"/>
    <xf numFmtId="164" fontId="3" fillId="0" borderId="12" xfId="1" applyFont="1" applyBorder="1"/>
    <xf numFmtId="164" fontId="3" fillId="0" borderId="13" xfId="0" applyNumberFormat="1" applyFont="1" applyBorder="1"/>
    <xf numFmtId="0" fontId="3" fillId="0" borderId="0" xfId="0" applyFont="1" applyAlignment="1">
      <alignment horizontal="left" vertical="top" wrapText="1"/>
    </xf>
    <xf numFmtId="10" fontId="3" fillId="0" borderId="0" xfId="0" applyNumberFormat="1" applyFont="1"/>
    <xf numFmtId="0" fontId="3" fillId="0" borderId="7" xfId="0" applyFont="1" applyBorder="1"/>
    <xf numFmtId="0" fontId="3" fillId="0" borderId="8" xfId="0" applyFont="1" applyBorder="1"/>
    <xf numFmtId="164" fontId="3" fillId="0" borderId="8" xfId="1" applyFont="1" applyBorder="1"/>
    <xf numFmtId="0" fontId="3" fillId="0" borderId="9" xfId="0" applyFont="1" applyBorder="1"/>
    <xf numFmtId="9" fontId="3" fillId="0" borderId="10" xfId="0" applyNumberFormat="1" applyFont="1" applyBorder="1"/>
    <xf numFmtId="10" fontId="3" fillId="0" borderId="0" xfId="2" applyNumberFormat="1" applyFont="1" applyBorder="1"/>
    <xf numFmtId="0" fontId="3" fillId="0" borderId="0" xfId="0" applyFont="1" applyAlignment="1">
      <alignment horizontal="left" vertical="top" wrapText="1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0" borderId="11" xfId="0" applyFont="1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2" fillId="0" borderId="0" xfId="0" applyFont="1" applyAlignment="1">
      <alignment horizontal="center"/>
    </xf>
    <xf numFmtId="9" fontId="3" fillId="0" borderId="11" xfId="0" applyNumberFormat="1" applyFont="1" applyBorder="1" applyAlignment="1">
      <alignment horizontal="center" vertical="center"/>
    </xf>
    <xf numFmtId="9" fontId="3" fillId="0" borderId="12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2" fillId="0" borderId="2" xfId="0" applyFont="1" applyBorder="1" applyAlignment="1">
      <alignment horizontal="center" wrapText="1"/>
    </xf>
    <xf numFmtId="0" fontId="2" fillId="0" borderId="0" xfId="0" applyFont="1" applyAlignment="1">
      <alignment horizontal="left"/>
    </xf>
    <xf numFmtId="166" fontId="3" fillId="0" borderId="12" xfId="0" applyNumberFormat="1" applyFont="1" applyBorder="1"/>
    <xf numFmtId="166" fontId="3" fillId="0" borderId="13" xfId="0" applyNumberFormat="1" applyFont="1" applyBorder="1"/>
    <xf numFmtId="166" fontId="3" fillId="0" borderId="0" xfId="0" applyNumberFormat="1" applyFont="1"/>
  </cellXfs>
  <cellStyles count="3">
    <cellStyle name="Moneda [0]" xfId="1" builtinId="7"/>
    <cellStyle name="Normal" xfId="0" builtinId="0"/>
    <cellStyle name="Porcentaje" xfId="2" builtinId="5"/>
  </cellStyles>
  <dxfs count="8"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  <dxf>
      <font>
        <b/>
        <i val="0"/>
        <color rgb="FF0070C0"/>
      </font>
    </dxf>
    <dxf>
      <font>
        <b/>
        <i val="0"/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/Users/cristobalmelkonian/Documents/Documents/ESCUELA%20NAVAL/ANA&#769;LISIS%20FES.xlsx" TargetMode="External"/><Relationship Id="rId1" Type="http://schemas.openxmlformats.org/officeDocument/2006/relationships/externalLinkPath" Target="ANA&#769;LISIS%20FE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ES"/>
      <sheetName val="DESIVACIÓN DE CAJA"/>
      <sheetName val="PROYECCIÓN PRESUPUESTARIA"/>
      <sheetName val="REGISTRO DE RETIROS"/>
      <sheetName val="CTAS X COBRAR"/>
      <sheetName val="CADETES"/>
      <sheetName val="FLUJOS 2022-2024"/>
    </sheetNames>
    <sheetDataSet>
      <sheetData sheetId="0">
        <row r="40">
          <cell r="E40">
            <v>4367714521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F51"/>
  <sheetViews>
    <sheetView showGridLines="0" tabSelected="1" zoomScale="145" zoomScaleNormal="145" workbookViewId="0">
      <selection activeCell="G4" sqref="G4"/>
    </sheetView>
  </sheetViews>
  <sheetFormatPr baseColWidth="10" defaultColWidth="11.5" defaultRowHeight="13" x14ac:dyDescent="0.15"/>
  <cols>
    <col min="1" max="1" width="35.5" style="3" bestFit="1" customWidth="1"/>
    <col min="2" max="2" width="15.33203125" style="3" bestFit="1" customWidth="1"/>
    <col min="3" max="3" width="20.33203125" style="3" bestFit="1" customWidth="1"/>
    <col min="4" max="4" width="13.1640625" style="3" bestFit="1" customWidth="1"/>
    <col min="5" max="6" width="12.5" style="3" customWidth="1"/>
    <col min="7" max="16384" width="11.5" style="3"/>
  </cols>
  <sheetData>
    <row r="2" spans="1:6" x14ac:dyDescent="0.15">
      <c r="A2" s="75" t="s">
        <v>87</v>
      </c>
      <c r="B2" s="75"/>
      <c r="C2" s="75"/>
      <c r="D2" s="75"/>
      <c r="E2" s="75"/>
      <c r="F2" s="75"/>
    </row>
    <row r="3" spans="1:6" ht="14" thickBot="1" x14ac:dyDescent="0.2">
      <c r="A3" s="5"/>
      <c r="B3" s="5"/>
      <c r="C3" s="5"/>
      <c r="D3" s="5"/>
      <c r="E3" s="5"/>
      <c r="F3" s="5"/>
    </row>
    <row r="4" spans="1:6" x14ac:dyDescent="0.15">
      <c r="A4" s="71" t="s">
        <v>77</v>
      </c>
      <c r="B4" s="72"/>
      <c r="C4" s="5"/>
      <c r="D4" s="5"/>
      <c r="E4" s="5"/>
      <c r="F4" s="5"/>
    </row>
    <row r="5" spans="1:6" x14ac:dyDescent="0.15">
      <c r="A5" s="64" t="s">
        <v>27</v>
      </c>
      <c r="B5" s="65">
        <v>11</v>
      </c>
    </row>
    <row r="6" spans="1:6" x14ac:dyDescent="0.15">
      <c r="A6" s="64" t="s">
        <v>26</v>
      </c>
      <c r="B6" s="65">
        <v>11</v>
      </c>
    </row>
    <row r="7" spans="1:6" x14ac:dyDescent="0.15">
      <c r="A7" s="64" t="s">
        <v>29</v>
      </c>
      <c r="B7" s="66">
        <v>41000</v>
      </c>
    </row>
    <row r="8" spans="1:6" x14ac:dyDescent="0.15">
      <c r="A8" s="64" t="s">
        <v>30</v>
      </c>
      <c r="B8" s="66">
        <f>[1]FES!$E$40</f>
        <v>4367714521</v>
      </c>
    </row>
    <row r="9" spans="1:6" x14ac:dyDescent="0.15">
      <c r="A9" s="64" t="s">
        <v>70</v>
      </c>
      <c r="B9" s="66">
        <f>AVERAGE('DESVIACIÓN DE CAJA'!D12:D18)</f>
        <v>253222218.85714287</v>
      </c>
    </row>
    <row r="10" spans="1:6" ht="14" thickBot="1" x14ac:dyDescent="0.2">
      <c r="A10" s="67" t="s">
        <v>28</v>
      </c>
      <c r="B10" s="68">
        <v>0.61</v>
      </c>
      <c r="C10" s="23"/>
    </row>
    <row r="11" spans="1:6" x14ac:dyDescent="0.15">
      <c r="C11" s="23"/>
    </row>
    <row r="12" spans="1:6" x14ac:dyDescent="0.15">
      <c r="A12" s="78" t="s">
        <v>34</v>
      </c>
      <c r="B12" s="78"/>
      <c r="C12" s="78"/>
      <c r="D12" s="78"/>
      <c r="E12" s="78"/>
      <c r="F12" s="78"/>
    </row>
    <row r="13" spans="1:6" x14ac:dyDescent="0.15">
      <c r="A13" s="49" t="s">
        <v>36</v>
      </c>
      <c r="C13" s="23"/>
    </row>
    <row r="14" spans="1:6" ht="33" customHeight="1" x14ac:dyDescent="0.15">
      <c r="B14" s="70" t="s">
        <v>78</v>
      </c>
      <c r="C14" s="70"/>
      <c r="D14" s="70"/>
      <c r="E14" s="70"/>
      <c r="F14" s="70"/>
    </row>
    <row r="15" spans="1:6" x14ac:dyDescent="0.15">
      <c r="B15" s="70" t="s">
        <v>35</v>
      </c>
      <c r="C15" s="70"/>
      <c r="D15" s="70"/>
      <c r="E15" s="70"/>
      <c r="F15" s="70"/>
    </row>
    <row r="16" spans="1:6" x14ac:dyDescent="0.15">
      <c r="C16" s="23"/>
    </row>
    <row r="17" spans="1:6" x14ac:dyDescent="0.15">
      <c r="A17" s="3" t="s">
        <v>2</v>
      </c>
      <c r="B17" s="50">
        <f>'RIESGO CAE'!L7</f>
        <v>103</v>
      </c>
      <c r="C17" s="23"/>
    </row>
    <row r="18" spans="1:6" x14ac:dyDescent="0.15">
      <c r="A18" s="3" t="s">
        <v>3</v>
      </c>
      <c r="B18" s="50">
        <f>B17</f>
        <v>103</v>
      </c>
      <c r="C18" s="23"/>
    </row>
    <row r="19" spans="1:6" x14ac:dyDescent="0.15">
      <c r="C19" s="23"/>
    </row>
    <row r="20" spans="1:6" ht="14" thickBot="1" x14ac:dyDescent="0.2">
      <c r="B20" s="23"/>
      <c r="C20" s="23"/>
    </row>
    <row r="21" spans="1:6" x14ac:dyDescent="0.15">
      <c r="A21" s="73" t="s">
        <v>31</v>
      </c>
      <c r="B21" s="76" t="s">
        <v>32</v>
      </c>
      <c r="C21" s="76" t="s">
        <v>21</v>
      </c>
      <c r="D21" s="76" t="s">
        <v>33</v>
      </c>
      <c r="E21" s="71" t="s">
        <v>71</v>
      </c>
      <c r="F21" s="72"/>
    </row>
    <row r="22" spans="1:6" x14ac:dyDescent="0.15">
      <c r="A22" s="74"/>
      <c r="B22" s="77"/>
      <c r="C22" s="77"/>
      <c r="D22" s="77"/>
      <c r="E22" s="51" t="s">
        <v>43</v>
      </c>
      <c r="F22" s="52" t="s">
        <v>72</v>
      </c>
    </row>
    <row r="23" spans="1:6" x14ac:dyDescent="0.15">
      <c r="A23" s="58" t="s">
        <v>0</v>
      </c>
      <c r="B23" s="60">
        <f>B17*$B$5*$B$6*$B$7*$B$10</f>
        <v>311699630</v>
      </c>
      <c r="C23" s="82">
        <f t="shared" ref="C23:C25" si="0">B23/$B$7</f>
        <v>7602.43</v>
      </c>
      <c r="D23" s="56">
        <f t="shared" ref="D23:D24" si="1">B23/$B$8</f>
        <v>7.1364469564424632E-2</v>
      </c>
      <c r="E23" s="53">
        <f>INT(B23/$B$9)</f>
        <v>1</v>
      </c>
      <c r="F23" s="52">
        <f>INT(30*((B23/$B$9)-E23))</f>
        <v>6</v>
      </c>
    </row>
    <row r="24" spans="1:6" x14ac:dyDescent="0.15">
      <c r="A24" s="58" t="s">
        <v>1</v>
      </c>
      <c r="B24" s="60">
        <f>$B$5*$B$6*$B$7*$B$18</f>
        <v>510983000</v>
      </c>
      <c r="C24" s="82">
        <f t="shared" si="0"/>
        <v>12463</v>
      </c>
      <c r="D24" s="56">
        <f t="shared" si="1"/>
        <v>0.11699093371217152</v>
      </c>
      <c r="E24" s="53">
        <f t="shared" ref="E24:E26" si="2">INT(B24/$B$9)</f>
        <v>2</v>
      </c>
      <c r="F24" s="52">
        <f t="shared" ref="F24:F26" si="3">INT(30*((B24/$B$9)-E24))</f>
        <v>0</v>
      </c>
    </row>
    <row r="25" spans="1:6" x14ac:dyDescent="0.15">
      <c r="A25" s="58" t="s">
        <v>4</v>
      </c>
      <c r="B25" s="60">
        <f>'RIESGO CAE'!N10</f>
        <v>20836200.000000004</v>
      </c>
      <c r="C25" s="82">
        <f t="shared" si="0"/>
        <v>508.2000000000001</v>
      </c>
      <c r="D25" s="56">
        <f>B25/$B$8</f>
        <v>4.7705040931176742E-3</v>
      </c>
      <c r="E25" s="53">
        <f t="shared" si="2"/>
        <v>0</v>
      </c>
      <c r="F25" s="52">
        <f t="shared" si="3"/>
        <v>2</v>
      </c>
    </row>
    <row r="26" spans="1:6" ht="14" thickBot="1" x14ac:dyDescent="0.2">
      <c r="A26" s="59" t="s">
        <v>5</v>
      </c>
      <c r="B26" s="61">
        <f>B24</f>
        <v>510983000</v>
      </c>
      <c r="C26" s="83">
        <f>B26/$B$7</f>
        <v>12463</v>
      </c>
      <c r="D26" s="57">
        <f>B26/$B$8</f>
        <v>0.11699093371217152</v>
      </c>
      <c r="E26" s="54">
        <f t="shared" si="2"/>
        <v>2</v>
      </c>
      <c r="F26" s="55">
        <f t="shared" si="3"/>
        <v>0</v>
      </c>
    </row>
    <row r="29" spans="1:6" x14ac:dyDescent="0.15">
      <c r="A29" s="3" t="s">
        <v>73</v>
      </c>
    </row>
    <row r="30" spans="1:6" x14ac:dyDescent="0.15">
      <c r="A30" s="49" t="s">
        <v>36</v>
      </c>
      <c r="C30" s="23"/>
    </row>
    <row r="31" spans="1:6" x14ac:dyDescent="0.15">
      <c r="B31" s="70" t="s">
        <v>78</v>
      </c>
      <c r="C31" s="70"/>
      <c r="D31" s="70"/>
      <c r="E31" s="70"/>
      <c r="F31" s="70"/>
    </row>
    <row r="32" spans="1:6" ht="12.75" customHeight="1" x14ac:dyDescent="0.15">
      <c r="B32" s="70"/>
      <c r="C32" s="70"/>
      <c r="D32" s="70"/>
      <c r="E32" s="70"/>
      <c r="F32" s="70"/>
    </row>
    <row r="33" spans="1:6" ht="12.75" customHeight="1" x14ac:dyDescent="0.15">
      <c r="B33" s="62"/>
      <c r="C33" s="62"/>
      <c r="D33" s="62"/>
      <c r="E33" s="62"/>
      <c r="F33" s="62"/>
    </row>
    <row r="34" spans="1:6" x14ac:dyDescent="0.15">
      <c r="A34" s="3" t="s">
        <v>83</v>
      </c>
      <c r="B34" s="3" t="s">
        <v>84</v>
      </c>
      <c r="C34" s="23" t="s">
        <v>85</v>
      </c>
    </row>
    <row r="35" spans="1:6" x14ac:dyDescent="0.15">
      <c r="A35" s="3" t="s">
        <v>2</v>
      </c>
      <c r="B35" s="47">
        <f>'RIESGO CAE'!D18</f>
        <v>166.02019085207473</v>
      </c>
      <c r="C35" s="24">
        <f>'RIESGO CAE'!E18</f>
        <v>43677145.210000001</v>
      </c>
      <c r="D35" s="25">
        <f>C35/$B$8</f>
        <v>0.01</v>
      </c>
    </row>
    <row r="36" spans="1:6" x14ac:dyDescent="0.15">
      <c r="A36" s="3" t="s">
        <v>3</v>
      </c>
      <c r="B36" s="47">
        <f>C36/(B5*B6*B7)</f>
        <v>8.8041010300342677</v>
      </c>
      <c r="C36" s="24">
        <f>C35</f>
        <v>43677145.210000001</v>
      </c>
      <c r="D36" s="63">
        <f>D35</f>
        <v>0.01</v>
      </c>
    </row>
    <row r="37" spans="1:6" ht="14" thickBot="1" x14ac:dyDescent="0.2">
      <c r="C37" s="23"/>
    </row>
    <row r="38" spans="1:6" x14ac:dyDescent="0.15">
      <c r="A38" s="73" t="s">
        <v>31</v>
      </c>
      <c r="B38" s="76" t="s">
        <v>32</v>
      </c>
      <c r="C38" s="76" t="s">
        <v>21</v>
      </c>
      <c r="D38" s="76" t="s">
        <v>33</v>
      </c>
      <c r="E38" s="71" t="s">
        <v>71</v>
      </c>
      <c r="F38" s="72"/>
    </row>
    <row r="39" spans="1:6" x14ac:dyDescent="0.15">
      <c r="A39" s="74"/>
      <c r="B39" s="77"/>
      <c r="C39" s="77"/>
      <c r="D39" s="77"/>
      <c r="E39" s="51" t="s">
        <v>43</v>
      </c>
      <c r="F39" s="52" t="s">
        <v>72</v>
      </c>
    </row>
    <row r="40" spans="1:6" x14ac:dyDescent="0.15">
      <c r="A40" s="58" t="s">
        <v>0</v>
      </c>
      <c r="B40" s="60">
        <f>B35*$B$5*$B$6*$B$7*$B$10</f>
        <v>502411961.75845706</v>
      </c>
      <c r="C40" s="82">
        <f t="shared" ref="C40:C42" si="4">B40/$B$7</f>
        <v>12253.950286791636</v>
      </c>
      <c r="D40" s="56">
        <f t="shared" ref="D40:D41" si="5">B40/$B$8</f>
        <v>0.11502857142857141</v>
      </c>
      <c r="E40" s="53">
        <f>INT(B40/$B$9)</f>
        <v>1</v>
      </c>
      <c r="F40" s="52">
        <f>INT(30*((B40/$B$9)-E40))</f>
        <v>29</v>
      </c>
    </row>
    <row r="41" spans="1:6" x14ac:dyDescent="0.15">
      <c r="A41" s="58" t="s">
        <v>1</v>
      </c>
      <c r="B41" s="60">
        <f>$B$5*$B$6*$B$7*$B$36</f>
        <v>43677145.210000001</v>
      </c>
      <c r="C41" s="82">
        <f t="shared" si="4"/>
        <v>1065.2962246341463</v>
      </c>
      <c r="D41" s="56">
        <f t="shared" si="5"/>
        <v>0.01</v>
      </c>
      <c r="E41" s="53">
        <f t="shared" ref="E41:E43" si="6">INT(B41/$B$9)</f>
        <v>0</v>
      </c>
      <c r="F41" s="52">
        <f t="shared" ref="F41:F43" si="7">INT(30*((B41/$B$9)-E41))</f>
        <v>5</v>
      </c>
    </row>
    <row r="42" spans="1:6" x14ac:dyDescent="0.15">
      <c r="A42" s="58" t="s">
        <v>4</v>
      </c>
      <c r="B42" s="60">
        <f>C35</f>
        <v>43677145.210000001</v>
      </c>
      <c r="C42" s="82">
        <f t="shared" si="4"/>
        <v>1065.2962246341463</v>
      </c>
      <c r="D42" s="56">
        <f>B42/$B$8</f>
        <v>0.01</v>
      </c>
      <c r="E42" s="53">
        <f t="shared" si="6"/>
        <v>0</v>
      </c>
      <c r="F42" s="52">
        <f t="shared" si="7"/>
        <v>5</v>
      </c>
    </row>
    <row r="43" spans="1:6" ht="14" thickBot="1" x14ac:dyDescent="0.2">
      <c r="A43" s="59" t="s">
        <v>5</v>
      </c>
      <c r="B43" s="61">
        <f>B41</f>
        <v>43677145.210000001</v>
      </c>
      <c r="C43" s="83">
        <f>B43/$B$7</f>
        <v>1065.2962246341463</v>
      </c>
      <c r="D43" s="57">
        <f>B43/$B$8</f>
        <v>0.01</v>
      </c>
      <c r="E43" s="54">
        <f t="shared" si="6"/>
        <v>0</v>
      </c>
      <c r="F43" s="55">
        <f t="shared" si="7"/>
        <v>5</v>
      </c>
    </row>
    <row r="44" spans="1:6" x14ac:dyDescent="0.15">
      <c r="B44" s="24"/>
      <c r="D44" s="69"/>
      <c r="E44" s="47"/>
      <c r="F44" s="5"/>
    </row>
    <row r="45" spans="1:6" x14ac:dyDescent="0.15">
      <c r="B45" s="24"/>
      <c r="D45" s="69"/>
      <c r="E45" s="47"/>
      <c r="F45" s="5"/>
    </row>
    <row r="46" spans="1:6" x14ac:dyDescent="0.15">
      <c r="B46" s="24"/>
      <c r="D46" s="69"/>
      <c r="E46" s="47"/>
      <c r="F46" s="5"/>
    </row>
    <row r="47" spans="1:6" x14ac:dyDescent="0.15">
      <c r="A47" s="3" t="s">
        <v>86</v>
      </c>
    </row>
    <row r="48" spans="1:6" ht="59.25" customHeight="1" x14ac:dyDescent="0.15">
      <c r="A48" s="48" t="s">
        <v>74</v>
      </c>
      <c r="B48" s="70" t="s">
        <v>79</v>
      </c>
      <c r="C48" s="70"/>
      <c r="D48" s="70"/>
      <c r="E48" s="70"/>
      <c r="F48" s="70"/>
    </row>
    <row r="49" spans="1:6" ht="14" x14ac:dyDescent="0.15">
      <c r="A49" s="48" t="s">
        <v>75</v>
      </c>
      <c r="B49" s="70" t="s">
        <v>80</v>
      </c>
      <c r="C49" s="70"/>
      <c r="D49" s="70"/>
      <c r="E49" s="70"/>
      <c r="F49" s="70"/>
    </row>
    <row r="50" spans="1:6" ht="58.5" customHeight="1" x14ac:dyDescent="0.15">
      <c r="A50" s="48" t="s">
        <v>76</v>
      </c>
      <c r="B50" s="70" t="s">
        <v>79</v>
      </c>
      <c r="C50" s="70"/>
      <c r="D50" s="70"/>
      <c r="E50" s="70"/>
      <c r="F50" s="70"/>
    </row>
    <row r="51" spans="1:6" ht="44.25" customHeight="1" x14ac:dyDescent="0.15">
      <c r="A51" s="48" t="s">
        <v>88</v>
      </c>
      <c r="B51" s="70" t="s">
        <v>89</v>
      </c>
      <c r="C51" s="70"/>
      <c r="D51" s="70"/>
      <c r="E51" s="70"/>
      <c r="F51" s="70"/>
    </row>
  </sheetData>
  <mergeCells count="21">
    <mergeCell ref="A38:A39"/>
    <mergeCell ref="B38:B39"/>
    <mergeCell ref="C38:C39"/>
    <mergeCell ref="D38:D39"/>
    <mergeCell ref="E38:F38"/>
    <mergeCell ref="B51:F51"/>
    <mergeCell ref="A4:B4"/>
    <mergeCell ref="A21:A22"/>
    <mergeCell ref="A2:F2"/>
    <mergeCell ref="B14:F14"/>
    <mergeCell ref="B15:F15"/>
    <mergeCell ref="E21:F21"/>
    <mergeCell ref="B21:B22"/>
    <mergeCell ref="C21:C22"/>
    <mergeCell ref="D21:D22"/>
    <mergeCell ref="B50:F50"/>
    <mergeCell ref="B49:F49"/>
    <mergeCell ref="B48:F48"/>
    <mergeCell ref="B31:F31"/>
    <mergeCell ref="A12:F12"/>
    <mergeCell ref="B32:F32"/>
  </mergeCells>
  <pageMargins left="0.7" right="0.7" top="0.75" bottom="0.75" header="0.3" footer="0.3"/>
  <pageSetup scale="8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3:H27"/>
  <sheetViews>
    <sheetView topLeftCell="A3" workbookViewId="0">
      <selection activeCell="C37" sqref="C37"/>
    </sheetView>
  </sheetViews>
  <sheetFormatPr baseColWidth="10" defaultRowHeight="15" x14ac:dyDescent="0.2"/>
  <cols>
    <col min="1" max="1" width="23.83203125" bestFit="1" customWidth="1"/>
    <col min="2" max="2" width="16.6640625" bestFit="1" customWidth="1"/>
    <col min="3" max="3" width="23.5" bestFit="1" customWidth="1"/>
    <col min="4" max="4" width="30.5" bestFit="1" customWidth="1"/>
    <col min="5" max="7" width="21" bestFit="1" customWidth="1"/>
  </cols>
  <sheetData>
    <row r="3" spans="1:8" ht="16" x14ac:dyDescent="0.2">
      <c r="A3" s="79" t="s">
        <v>37</v>
      </c>
      <c r="B3" s="79"/>
      <c r="C3" s="79"/>
      <c r="D3" s="79"/>
      <c r="E3" s="79"/>
      <c r="F3" s="79"/>
      <c r="G3" s="79"/>
      <c r="H3" s="79"/>
    </row>
    <row r="4" spans="1:8" x14ac:dyDescent="0.2">
      <c r="A4" s="26"/>
      <c r="B4" s="26"/>
      <c r="C4" s="26"/>
      <c r="D4" s="26"/>
      <c r="E4" s="26"/>
      <c r="F4" s="26"/>
      <c r="G4" s="26"/>
      <c r="H4" s="26"/>
    </row>
    <row r="5" spans="1:8" x14ac:dyDescent="0.2">
      <c r="A5" s="27" t="s">
        <v>38</v>
      </c>
      <c r="B5" s="28">
        <v>2025</v>
      </c>
      <c r="C5" s="26"/>
      <c r="D5" s="26"/>
      <c r="E5" s="26"/>
      <c r="F5" s="26"/>
      <c r="G5" s="26"/>
      <c r="H5" s="26"/>
    </row>
    <row r="6" spans="1:8" x14ac:dyDescent="0.2">
      <c r="A6" s="29" t="s">
        <v>39</v>
      </c>
      <c r="B6" s="30" t="s">
        <v>40</v>
      </c>
      <c r="C6" s="31"/>
      <c r="D6" s="31"/>
      <c r="E6" s="31"/>
      <c r="F6" s="31"/>
      <c r="G6" s="31"/>
      <c r="H6" s="26"/>
    </row>
    <row r="7" spans="1:8" x14ac:dyDescent="0.2">
      <c r="A7" s="32" t="s">
        <v>41</v>
      </c>
      <c r="B7" s="33">
        <v>538994817</v>
      </c>
      <c r="C7" s="31"/>
      <c r="D7" s="31"/>
      <c r="E7" s="31"/>
      <c r="F7" s="31"/>
      <c r="G7" s="31"/>
      <c r="H7" s="26"/>
    </row>
    <row r="8" spans="1:8" x14ac:dyDescent="0.2">
      <c r="A8" s="80" t="s">
        <v>42</v>
      </c>
      <c r="B8" s="80"/>
      <c r="C8" s="80"/>
      <c r="D8" s="80"/>
      <c r="E8" s="80"/>
      <c r="F8" s="80"/>
      <c r="G8" s="80"/>
      <c r="H8" s="26"/>
    </row>
    <row r="9" spans="1:8" ht="28" x14ac:dyDescent="0.2">
      <c r="A9" s="34" t="s">
        <v>43</v>
      </c>
      <c r="B9" s="34" t="s">
        <v>44</v>
      </c>
      <c r="C9" s="34" t="s">
        <v>45</v>
      </c>
      <c r="D9" s="34" t="s">
        <v>46</v>
      </c>
      <c r="E9" s="34" t="s">
        <v>47</v>
      </c>
      <c r="F9" s="34" t="s">
        <v>48</v>
      </c>
      <c r="G9" s="34" t="s">
        <v>49</v>
      </c>
      <c r="H9" s="26"/>
    </row>
    <row r="10" spans="1:8" x14ac:dyDescent="0.2">
      <c r="A10" s="29" t="s">
        <v>41</v>
      </c>
      <c r="B10" s="35">
        <v>538994817</v>
      </c>
      <c r="C10" s="35">
        <v>538994817</v>
      </c>
      <c r="D10" s="35">
        <v>538994817</v>
      </c>
      <c r="E10" s="35">
        <v>0</v>
      </c>
      <c r="F10" s="36">
        <v>0</v>
      </c>
      <c r="G10" s="36">
        <v>0</v>
      </c>
      <c r="H10" s="26"/>
    </row>
    <row r="11" spans="1:8" x14ac:dyDescent="0.2">
      <c r="A11" s="29" t="s">
        <v>50</v>
      </c>
      <c r="B11" s="35">
        <v>702005946.5</v>
      </c>
      <c r="C11" s="35">
        <v>683169390</v>
      </c>
      <c r="D11" s="35">
        <v>831978651</v>
      </c>
      <c r="E11" s="35">
        <v>148809261</v>
      </c>
      <c r="F11" s="36">
        <v>0.21782190943888749</v>
      </c>
      <c r="G11" s="36">
        <v>0.21782190943888749</v>
      </c>
      <c r="H11" s="26"/>
    </row>
    <row r="12" spans="1:8" x14ac:dyDescent="0.2">
      <c r="A12" s="29" t="s">
        <v>51</v>
      </c>
      <c r="B12" s="35">
        <v>299237761</v>
      </c>
      <c r="C12" s="35">
        <v>286713376</v>
      </c>
      <c r="D12" s="35">
        <v>276679738</v>
      </c>
      <c r="E12" s="35">
        <v>-10033638</v>
      </c>
      <c r="F12" s="36">
        <v>-3.4995360662908169E-2</v>
      </c>
      <c r="G12" s="36">
        <v>0.18282654877597931</v>
      </c>
      <c r="H12" s="26"/>
    </row>
    <row r="13" spans="1:8" x14ac:dyDescent="0.2">
      <c r="A13" s="29" t="s">
        <v>52</v>
      </c>
      <c r="B13" s="35">
        <v>297976014</v>
      </c>
      <c r="C13" s="35">
        <v>279689694</v>
      </c>
      <c r="D13" s="35">
        <v>283422089</v>
      </c>
      <c r="E13" s="35">
        <v>3732395</v>
      </c>
      <c r="F13" s="36">
        <v>1.3344771295005243E-2</v>
      </c>
      <c r="G13" s="36">
        <v>-2.1650589367902928E-2</v>
      </c>
      <c r="H13" s="26"/>
    </row>
    <row r="14" spans="1:8" x14ac:dyDescent="0.2">
      <c r="A14" s="29" t="s">
        <v>53</v>
      </c>
      <c r="B14" s="35">
        <v>302389579.66666663</v>
      </c>
      <c r="C14" s="35">
        <v>310886399</v>
      </c>
      <c r="D14" s="35">
        <v>284230867</v>
      </c>
      <c r="E14" s="35">
        <v>-26655532</v>
      </c>
      <c r="F14" s="36">
        <v>-8.5740425074047708E-2</v>
      </c>
      <c r="G14" s="36">
        <v>-7.239565377904246E-2</v>
      </c>
      <c r="H14" s="26"/>
    </row>
    <row r="15" spans="1:8" x14ac:dyDescent="0.2">
      <c r="A15" s="29" t="s">
        <v>54</v>
      </c>
      <c r="B15" s="35">
        <v>300155073.66666663</v>
      </c>
      <c r="C15" s="35">
        <v>296979844</v>
      </c>
      <c r="D15" s="35">
        <v>236326837</v>
      </c>
      <c r="E15" s="35">
        <v>-60653007</v>
      </c>
      <c r="F15" s="36">
        <v>-0.20423273910804532</v>
      </c>
      <c r="G15" s="36">
        <v>-0.28997316418209301</v>
      </c>
      <c r="H15" s="26"/>
    </row>
    <row r="16" spans="1:8" x14ac:dyDescent="0.2">
      <c r="A16" s="29" t="s">
        <v>55</v>
      </c>
      <c r="B16" s="35">
        <v>297864965.01666665</v>
      </c>
      <c r="C16" s="35">
        <v>283656868</v>
      </c>
      <c r="D16" s="35">
        <v>239519295</v>
      </c>
      <c r="E16" s="35">
        <v>-44137573</v>
      </c>
      <c r="F16" s="36">
        <v>-0.15560198951361193</v>
      </c>
      <c r="G16" s="36">
        <v>-0.35983472862165722</v>
      </c>
      <c r="H16" s="26"/>
    </row>
    <row r="17" spans="1:8" x14ac:dyDescent="0.2">
      <c r="A17" s="29" t="s">
        <v>56</v>
      </c>
      <c r="B17" s="35">
        <v>295574959.61666667</v>
      </c>
      <c r="C17" s="35">
        <v>284702247</v>
      </c>
      <c r="D17" s="35">
        <v>239174685</v>
      </c>
      <c r="E17" s="35">
        <v>-45527562</v>
      </c>
      <c r="F17" s="36">
        <v>-0.1599129001605667</v>
      </c>
      <c r="G17" s="36">
        <v>-0.31551488967417862</v>
      </c>
      <c r="H17" s="26"/>
    </row>
    <row r="18" spans="1:8" x14ac:dyDescent="0.2">
      <c r="A18" s="29" t="s">
        <v>57</v>
      </c>
      <c r="B18" s="35">
        <v>293172513.91666663</v>
      </c>
      <c r="C18" s="35">
        <v>287575055</v>
      </c>
      <c r="D18" s="35">
        <v>213202021</v>
      </c>
      <c r="E18" s="35">
        <v>-74373034</v>
      </c>
      <c r="F18" s="36">
        <v>-0.25862129801209638</v>
      </c>
      <c r="G18" s="36">
        <v>-0.41853419817266307</v>
      </c>
      <c r="H18" s="26"/>
    </row>
    <row r="19" spans="1:8" x14ac:dyDescent="0.2">
      <c r="A19" s="29" t="s">
        <v>58</v>
      </c>
      <c r="B19" s="35">
        <v>291012582.4666667</v>
      </c>
      <c r="C19" s="35">
        <v>261291834</v>
      </c>
      <c r="D19" s="35">
        <v>0</v>
      </c>
      <c r="E19" s="35">
        <v>0</v>
      </c>
      <c r="F19" s="36">
        <v>0</v>
      </c>
      <c r="G19" s="36">
        <v>-0.25862129801209638</v>
      </c>
      <c r="H19" s="26"/>
    </row>
    <row r="20" spans="1:8" x14ac:dyDescent="0.2">
      <c r="A20" s="29" t="s">
        <v>59</v>
      </c>
      <c r="B20" s="35">
        <v>282018788.5</v>
      </c>
      <c r="C20" s="35">
        <v>261291834</v>
      </c>
      <c r="D20" s="35">
        <v>0</v>
      </c>
      <c r="E20" s="35">
        <v>0</v>
      </c>
      <c r="F20" s="36">
        <v>0</v>
      </c>
      <c r="G20" s="36">
        <v>0</v>
      </c>
      <c r="H20" s="26"/>
    </row>
    <row r="21" spans="1:8" x14ac:dyDescent="0.2">
      <c r="A21" s="29" t="s">
        <v>60</v>
      </c>
      <c r="B21" s="35">
        <v>260826856</v>
      </c>
      <c r="C21" s="35">
        <v>261291834</v>
      </c>
      <c r="D21" s="35">
        <v>0</v>
      </c>
      <c r="E21" s="35">
        <v>0</v>
      </c>
      <c r="F21" s="36">
        <v>0</v>
      </c>
      <c r="G21" s="36">
        <v>0</v>
      </c>
      <c r="H21" s="26"/>
    </row>
    <row r="22" spans="1:8" x14ac:dyDescent="0.2">
      <c r="A22" s="29" t="s">
        <v>61</v>
      </c>
      <c r="B22" s="35">
        <v>251349271</v>
      </c>
      <c r="C22" s="35">
        <v>261291834</v>
      </c>
      <c r="D22" s="35">
        <v>0</v>
      </c>
      <c r="E22" s="35">
        <v>0</v>
      </c>
      <c r="F22" s="36">
        <v>0</v>
      </c>
      <c r="G22" s="36">
        <v>0</v>
      </c>
      <c r="H22" s="26"/>
    </row>
    <row r="23" spans="1:8" x14ac:dyDescent="0.2">
      <c r="A23" s="29" t="s">
        <v>11</v>
      </c>
      <c r="B23" s="35">
        <v>4412579128.3500004</v>
      </c>
      <c r="C23" s="35">
        <v>4297535026</v>
      </c>
      <c r="D23" s="33">
        <v>3143529000</v>
      </c>
      <c r="E23" s="37">
        <v>-108838690</v>
      </c>
      <c r="F23" s="38">
        <v>-2.5325841288442823E-2</v>
      </c>
      <c r="G23" s="38">
        <v>-1.3358760635947668</v>
      </c>
      <c r="H23" s="26"/>
    </row>
    <row r="24" spans="1:8" x14ac:dyDescent="0.2">
      <c r="A24" s="29" t="s">
        <v>62</v>
      </c>
      <c r="B24" s="35">
        <v>4475775855</v>
      </c>
      <c r="C24" s="39">
        <v>4475775855</v>
      </c>
      <c r="D24" s="35" t="s">
        <v>63</v>
      </c>
      <c r="E24" s="35">
        <v>81968237</v>
      </c>
      <c r="F24" s="40"/>
      <c r="G24" s="40"/>
      <c r="H24" s="26"/>
    </row>
    <row r="25" spans="1:8" x14ac:dyDescent="0.2">
      <c r="A25" s="29" t="s">
        <v>64</v>
      </c>
      <c r="B25" s="35">
        <v>276765629</v>
      </c>
      <c r="C25" s="39">
        <v>276765629</v>
      </c>
      <c r="D25" s="35" t="s">
        <v>65</v>
      </c>
      <c r="E25" s="35">
        <v>186819642.15468991</v>
      </c>
      <c r="F25" s="40"/>
      <c r="G25" s="40"/>
      <c r="H25" s="41"/>
    </row>
    <row r="26" spans="1:8" ht="29" x14ac:dyDescent="0.2">
      <c r="A26" s="29" t="s">
        <v>66</v>
      </c>
      <c r="B26" s="42">
        <v>4199010226</v>
      </c>
      <c r="C26" s="42">
        <v>4199010226</v>
      </c>
      <c r="D26" s="43" t="s">
        <v>67</v>
      </c>
      <c r="E26" s="42">
        <v>98524800</v>
      </c>
      <c r="F26" s="40"/>
      <c r="G26" s="40"/>
      <c r="H26" s="26"/>
    </row>
    <row r="27" spans="1:8" x14ac:dyDescent="0.2">
      <c r="A27" s="29" t="s">
        <v>68</v>
      </c>
      <c r="B27" s="44">
        <v>213568902.35000038</v>
      </c>
      <c r="C27" s="44">
        <v>98524800</v>
      </c>
      <c r="D27" s="44" t="s">
        <v>69</v>
      </c>
      <c r="E27" s="45">
        <v>258473989.15468991</v>
      </c>
      <c r="F27" s="40"/>
      <c r="G27" s="40"/>
      <c r="H27" s="26"/>
    </row>
  </sheetData>
  <mergeCells count="2">
    <mergeCell ref="A3:H3"/>
    <mergeCell ref="A8:G8"/>
  </mergeCells>
  <conditionalFormatting sqref="E23">
    <cfRule type="cellIs" dxfId="7" priority="7" operator="lessThan">
      <formula>0</formula>
    </cfRule>
    <cfRule type="cellIs" dxfId="6" priority="8" operator="greaterThanOrEqual">
      <formula>0</formula>
    </cfRule>
  </conditionalFormatting>
  <conditionalFormatting sqref="F23">
    <cfRule type="cellIs" dxfId="5" priority="5" operator="lessThan">
      <formula>0</formula>
    </cfRule>
    <cfRule type="cellIs" dxfId="4" priority="6" operator="greaterThanOrEqual">
      <formula>0</formula>
    </cfRule>
  </conditionalFormatting>
  <conditionalFormatting sqref="G23">
    <cfRule type="cellIs" dxfId="3" priority="3" operator="lessThan">
      <formula>0</formula>
    </cfRule>
    <cfRule type="cellIs" dxfId="2" priority="4" operator="greaterThanOrEqual">
      <formula>0</formula>
    </cfRule>
  </conditionalFormatting>
  <conditionalFormatting sqref="E27">
    <cfRule type="cellIs" dxfId="1" priority="1" operator="lessThan">
      <formula>0</formula>
    </cfRule>
    <cfRule type="cellIs" dxfId="0" priority="2" operator="greaterThanOr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4:Q22"/>
  <sheetViews>
    <sheetView workbookViewId="0">
      <selection activeCell="C21" sqref="C21"/>
    </sheetView>
  </sheetViews>
  <sheetFormatPr baseColWidth="10" defaultColWidth="11.5" defaultRowHeight="13" x14ac:dyDescent="0.15"/>
  <cols>
    <col min="1" max="1" width="11.5" style="3"/>
    <col min="2" max="2" width="30.5" style="3" bestFit="1" customWidth="1"/>
    <col min="3" max="3" width="24.83203125" style="3" bestFit="1" customWidth="1"/>
    <col min="4" max="4" width="9.6640625" style="3" bestFit="1" customWidth="1"/>
    <col min="5" max="5" width="15.33203125" style="3" bestFit="1" customWidth="1"/>
    <col min="6" max="13" width="11.5" style="3" bestFit="1" customWidth="1"/>
    <col min="14" max="14" width="12.6640625" style="3" bestFit="1" customWidth="1"/>
    <col min="15" max="17" width="7.33203125" style="3" customWidth="1"/>
    <col min="18" max="16384" width="11.5" style="3"/>
  </cols>
  <sheetData>
    <row r="4" spans="2:17" x14ac:dyDescent="0.15">
      <c r="B4" s="81" t="s">
        <v>7</v>
      </c>
      <c r="C4" s="81"/>
      <c r="D4" s="81"/>
      <c r="E4" s="81"/>
      <c r="F4" s="81"/>
      <c r="G4" s="81"/>
      <c r="H4" s="81"/>
      <c r="I4" s="81"/>
      <c r="J4" s="81"/>
      <c r="K4" s="81"/>
      <c r="L4" s="81"/>
    </row>
    <row r="5" spans="2:17" x14ac:dyDescent="0.15">
      <c r="B5" s="3" t="s">
        <v>8</v>
      </c>
      <c r="C5" s="5">
        <v>11</v>
      </c>
      <c r="N5" s="3" t="s">
        <v>9</v>
      </c>
    </row>
    <row r="6" spans="2:17" ht="28" x14ac:dyDescent="0.15">
      <c r="B6" s="6" t="s">
        <v>10</v>
      </c>
      <c r="C6" s="7">
        <v>2016</v>
      </c>
      <c r="D6" s="7">
        <v>2017</v>
      </c>
      <c r="E6" s="7">
        <v>2018</v>
      </c>
      <c r="F6" s="7">
        <v>2019</v>
      </c>
      <c r="G6" s="7">
        <v>2020</v>
      </c>
      <c r="H6" s="7">
        <v>2021</v>
      </c>
      <c r="I6" s="7">
        <v>2022</v>
      </c>
      <c r="J6" s="7">
        <v>2023</v>
      </c>
      <c r="K6" s="7">
        <v>2024</v>
      </c>
      <c r="L6" s="7">
        <v>2025</v>
      </c>
      <c r="M6" s="7" t="s">
        <v>11</v>
      </c>
      <c r="N6" s="7" t="s">
        <v>12</v>
      </c>
      <c r="O6" s="7" t="s">
        <v>13</v>
      </c>
      <c r="P6" s="7" t="s">
        <v>14</v>
      </c>
      <c r="Q6" s="7" t="s">
        <v>15</v>
      </c>
    </row>
    <row r="7" spans="2:17" ht="14" x14ac:dyDescent="0.15">
      <c r="B7" s="8" t="s">
        <v>16</v>
      </c>
      <c r="C7" s="9">
        <v>40</v>
      </c>
      <c r="D7" s="9">
        <v>64</v>
      </c>
      <c r="E7" s="9">
        <v>82</v>
      </c>
      <c r="F7" s="9">
        <v>90</v>
      </c>
      <c r="G7" s="9">
        <v>90</v>
      </c>
      <c r="H7" s="9">
        <v>92</v>
      </c>
      <c r="I7" s="9">
        <v>78</v>
      </c>
      <c r="J7" s="9">
        <v>73</v>
      </c>
      <c r="K7" s="9">
        <v>80</v>
      </c>
      <c r="L7" s="9">
        <v>103</v>
      </c>
      <c r="M7" s="1">
        <f>SUM(C7:L7)</f>
        <v>792</v>
      </c>
      <c r="N7" s="2">
        <v>1</v>
      </c>
      <c r="O7" s="10">
        <v>0.9</v>
      </c>
      <c r="P7" s="10">
        <v>0</v>
      </c>
      <c r="Q7" s="10">
        <v>0.1</v>
      </c>
    </row>
    <row r="8" spans="2:17" ht="14" x14ac:dyDescent="0.15">
      <c r="B8" s="11" t="s">
        <v>17</v>
      </c>
      <c r="C8" s="9">
        <v>1</v>
      </c>
      <c r="D8" s="9">
        <v>0</v>
      </c>
      <c r="E8" s="9">
        <v>1</v>
      </c>
      <c r="F8" s="9">
        <v>1</v>
      </c>
      <c r="G8" s="9">
        <v>1</v>
      </c>
      <c r="H8" s="9">
        <v>0</v>
      </c>
      <c r="I8" s="9">
        <v>1</v>
      </c>
      <c r="J8" s="9">
        <v>1</v>
      </c>
      <c r="K8" s="9">
        <v>0</v>
      </c>
      <c r="L8" s="9">
        <v>0</v>
      </c>
      <c r="M8" s="1">
        <f>SUM(C8:L8)</f>
        <v>6</v>
      </c>
      <c r="N8" s="2">
        <v>2</v>
      </c>
      <c r="O8" s="10">
        <v>0.7</v>
      </c>
      <c r="P8" s="10">
        <v>0.2</v>
      </c>
      <c r="Q8" s="10">
        <v>0.1</v>
      </c>
    </row>
    <row r="9" spans="2:17" x14ac:dyDescent="0.15">
      <c r="B9" s="12" t="s">
        <v>18</v>
      </c>
      <c r="C9" s="9">
        <v>1</v>
      </c>
      <c r="D9" s="9">
        <v>0</v>
      </c>
      <c r="E9" s="9">
        <v>3</v>
      </c>
      <c r="F9" s="9">
        <v>1</v>
      </c>
      <c r="G9" s="9">
        <v>3</v>
      </c>
      <c r="H9" s="9">
        <v>0</v>
      </c>
      <c r="I9" s="9">
        <v>3</v>
      </c>
      <c r="J9" s="9">
        <v>3</v>
      </c>
      <c r="K9" s="9">
        <v>0</v>
      </c>
      <c r="L9" s="9">
        <v>0</v>
      </c>
      <c r="M9" s="13"/>
      <c r="N9" s="2">
        <v>3</v>
      </c>
      <c r="O9" s="10">
        <v>0.6</v>
      </c>
      <c r="P9" s="10">
        <v>0.3</v>
      </c>
      <c r="Q9" s="10">
        <v>0.1</v>
      </c>
    </row>
    <row r="10" spans="2:17" x14ac:dyDescent="0.15">
      <c r="B10" s="12" t="s">
        <v>19</v>
      </c>
      <c r="C10" s="9">
        <f t="shared" ref="C10:L10" si="0">IF(C9=$N$7,$O$7*$C$5*11,IF(C9=$N$8,$O$8*$C$5*11,IF(C9=$N$9,$O$9*$C$5*11,0)))</f>
        <v>108.9</v>
      </c>
      <c r="D10" s="9">
        <f t="shared" si="0"/>
        <v>0</v>
      </c>
      <c r="E10" s="9">
        <f t="shared" si="0"/>
        <v>72.599999999999994</v>
      </c>
      <c r="F10" s="9">
        <f t="shared" si="0"/>
        <v>108.9</v>
      </c>
      <c r="G10" s="9">
        <f t="shared" si="0"/>
        <v>72.599999999999994</v>
      </c>
      <c r="H10" s="9">
        <f t="shared" si="0"/>
        <v>0</v>
      </c>
      <c r="I10" s="9">
        <f t="shared" si="0"/>
        <v>72.599999999999994</v>
      </c>
      <c r="J10" s="9">
        <f t="shared" si="0"/>
        <v>72.599999999999994</v>
      </c>
      <c r="K10" s="9">
        <f t="shared" si="0"/>
        <v>0</v>
      </c>
      <c r="L10" s="9">
        <f t="shared" si="0"/>
        <v>0</v>
      </c>
      <c r="M10" s="14">
        <f>SUM(C10:L10)</f>
        <v>508.20000000000005</v>
      </c>
      <c r="N10" s="15">
        <f>M10*C20</f>
        <v>20836200.000000004</v>
      </c>
    </row>
    <row r="11" spans="2:17" x14ac:dyDescent="0.15">
      <c r="B11" s="12" t="s">
        <v>20</v>
      </c>
      <c r="C11" s="16">
        <f>C10/$C$22</f>
        <v>1.0222508770966444E-3</v>
      </c>
      <c r="D11" s="16">
        <f>D10/$C$22</f>
        <v>0</v>
      </c>
      <c r="E11" s="16">
        <f>E10/$C$22</f>
        <v>6.8150058473109615E-4</v>
      </c>
      <c r="F11" s="16">
        <f>F10/$C$22</f>
        <v>1.0222508770966444E-3</v>
      </c>
      <c r="G11" s="16">
        <f>G10/$C$22</f>
        <v>6.8150058473109615E-4</v>
      </c>
      <c r="H11" s="16">
        <f>H10/$C$22</f>
        <v>0</v>
      </c>
      <c r="I11" s="16">
        <f>I10/$C$22</f>
        <v>6.8150058473109615E-4</v>
      </c>
      <c r="J11" s="16">
        <f>J10/$C$22</f>
        <v>6.8150058473109615E-4</v>
      </c>
      <c r="K11" s="16">
        <f>K10/$C$22</f>
        <v>0</v>
      </c>
      <c r="L11" s="16">
        <f>L10/$C$22</f>
        <v>0</v>
      </c>
      <c r="M11" s="17">
        <f>M10/$C$22</f>
        <v>4.7705040931176742E-3</v>
      </c>
    </row>
    <row r="13" spans="2:17" ht="14" x14ac:dyDescent="0.15">
      <c r="B13" s="6" t="s">
        <v>10</v>
      </c>
      <c r="C13" s="7"/>
      <c r="D13" s="7" t="s">
        <v>21</v>
      </c>
      <c r="E13" s="7" t="s">
        <v>22</v>
      </c>
    </row>
    <row r="14" spans="2:17" x14ac:dyDescent="0.15">
      <c r="B14" s="12" t="s">
        <v>23</v>
      </c>
      <c r="C14" s="18">
        <v>63000000</v>
      </c>
      <c r="D14" s="19">
        <f>C14/$C$20</f>
        <v>1536.5853658536585</v>
      </c>
      <c r="E14" s="16">
        <f>D14/$C$22</f>
        <v>1.4424019632486415E-2</v>
      </c>
    </row>
    <row r="15" spans="2:17" x14ac:dyDescent="0.15">
      <c r="B15" s="12" t="s">
        <v>24</v>
      </c>
      <c r="C15" s="18">
        <v>42000000</v>
      </c>
      <c r="D15" s="19">
        <f>C15/$C$20</f>
        <v>1024.3902439024391</v>
      </c>
      <c r="E15" s="16">
        <f>D15/$C$22</f>
        <v>9.6160130883242781E-3</v>
      </c>
    </row>
    <row r="16" spans="2:17" x14ac:dyDescent="0.15">
      <c r="B16" s="20" t="s">
        <v>25</v>
      </c>
      <c r="C16" s="21">
        <f>SUM(C14:C15)</f>
        <v>105000000</v>
      </c>
      <c r="D16" s="22">
        <f>C16/$C$20</f>
        <v>2560.9756097560976</v>
      </c>
      <c r="E16" s="17">
        <f>D16/$C$22</f>
        <v>2.4040032720810692E-2</v>
      </c>
    </row>
    <row r="17" spans="2:6" x14ac:dyDescent="0.15">
      <c r="C17" s="3" t="s">
        <v>82</v>
      </c>
      <c r="D17" s="46">
        <f>AVERAGE(C7:L7)</f>
        <v>79.2</v>
      </c>
      <c r="E17" s="24">
        <f>N10</f>
        <v>20836200.000000004</v>
      </c>
      <c r="F17" s="25">
        <f>E17/$C$21</f>
        <v>4.7705040931176742E-3</v>
      </c>
    </row>
    <row r="18" spans="2:6" x14ac:dyDescent="0.15">
      <c r="C18" s="3" t="s">
        <v>81</v>
      </c>
      <c r="D18" s="46">
        <f>E18/(E17/D17)</f>
        <v>166.02019085207473</v>
      </c>
      <c r="E18" s="24">
        <f>ANÁLISIS!B8*0.01</f>
        <v>43677145.210000001</v>
      </c>
      <c r="F18" s="25">
        <f>E18/$C$21</f>
        <v>0.01</v>
      </c>
    </row>
    <row r="20" spans="2:6" x14ac:dyDescent="0.15">
      <c r="B20" s="3" t="s">
        <v>6</v>
      </c>
      <c r="C20" s="3">
        <v>41000</v>
      </c>
    </row>
    <row r="21" spans="2:6" x14ac:dyDescent="0.15">
      <c r="B21" s="3" t="s">
        <v>90</v>
      </c>
      <c r="C21" s="4">
        <f>ANÁLISIS!B8</f>
        <v>4367714521</v>
      </c>
    </row>
    <row r="22" spans="2:6" x14ac:dyDescent="0.15">
      <c r="B22" s="3" t="s">
        <v>91</v>
      </c>
      <c r="C22" s="84">
        <f>C21/C20</f>
        <v>106529.62246341463</v>
      </c>
    </row>
  </sheetData>
  <mergeCells count="1">
    <mergeCell ref="B4:L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ANÁLISIS</vt:lpstr>
      <vt:lpstr>DESVIACIÓN DE CAJA</vt:lpstr>
      <vt:lpstr>RIESGO CAE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13692879-1</dc:creator>
  <cp:lastModifiedBy>Microsoft Office User</cp:lastModifiedBy>
  <cp:lastPrinted>2025-09-25T17:36:12Z</cp:lastPrinted>
  <dcterms:created xsi:type="dcterms:W3CDTF">2025-09-25T13:20:49Z</dcterms:created>
  <dcterms:modified xsi:type="dcterms:W3CDTF">2025-10-08T21:55:31Z</dcterms:modified>
</cp:coreProperties>
</file>