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 activeTab="3"/>
  </bookViews>
  <sheets>
    <sheet name="Sit. Actual" sheetId="3" r:id="rId1"/>
    <sheet name="Sit. Propuesta" sheetId="4" r:id="rId2"/>
    <sheet name="RESUMEN" sheetId="6" r:id="rId3"/>
    <sheet name="Sensibilidad Horas diarias" sheetId="5" r:id="rId4"/>
  </sheets>
  <calcPr calcId="125725"/>
</workbook>
</file>

<file path=xl/calcChain.xml><?xml version="1.0" encoding="utf-8"?>
<calcChain xmlns="http://schemas.openxmlformats.org/spreadsheetml/2006/main">
  <c r="A8" i="6"/>
  <c r="C7"/>
  <c r="C8"/>
  <c r="C6"/>
  <c r="B6"/>
  <c r="B7"/>
  <c r="B8"/>
  <c r="A7"/>
  <c r="A6"/>
  <c r="C3"/>
  <c r="C4"/>
  <c r="C2"/>
  <c r="A3"/>
  <c r="B3"/>
  <c r="B4"/>
  <c r="A2"/>
  <c r="B2"/>
  <c r="N12" i="3"/>
  <c r="N11"/>
  <c r="N11" i="4"/>
  <c r="N12"/>
  <c r="J16"/>
  <c r="J15"/>
  <c r="N18" l="1"/>
  <c r="N18" i="3"/>
  <c r="C13" i="5"/>
  <c r="D13"/>
  <c r="E13"/>
  <c r="F13"/>
  <c r="G13"/>
  <c r="H13"/>
  <c r="B13"/>
  <c r="C8"/>
  <c r="D8"/>
  <c r="E8"/>
  <c r="F8"/>
  <c r="G8"/>
  <c r="H8"/>
  <c r="C9"/>
  <c r="D9"/>
  <c r="E9"/>
  <c r="F9"/>
  <c r="G9"/>
  <c r="H9"/>
  <c r="B9"/>
  <c r="B8"/>
  <c r="C7"/>
  <c r="C11" s="1"/>
  <c r="D7"/>
  <c r="D11" s="1"/>
  <c r="E7"/>
  <c r="E11" s="1"/>
  <c r="F7"/>
  <c r="F11" s="1"/>
  <c r="G7"/>
  <c r="G11" s="1"/>
  <c r="H7"/>
  <c r="H11" s="1"/>
  <c r="B7"/>
  <c r="B12" s="1"/>
  <c r="N16" i="4"/>
  <c r="C5" i="5"/>
  <c r="D5"/>
  <c r="E5"/>
  <c r="F5"/>
  <c r="G5"/>
  <c r="H5"/>
  <c r="B5"/>
  <c r="B2"/>
  <c r="N10" i="4"/>
  <c r="C22"/>
  <c r="C21"/>
  <c r="J20"/>
  <c r="J14"/>
  <c r="J11"/>
  <c r="J7"/>
  <c r="B5"/>
  <c r="B22" s="1"/>
  <c r="F4"/>
  <c r="B23" s="1"/>
  <c r="C4"/>
  <c r="D10" s="1"/>
  <c r="B21"/>
  <c r="N16" i="3"/>
  <c r="B11" i="5" l="1"/>
  <c r="H12"/>
  <c r="F12"/>
  <c r="D12"/>
  <c r="G12"/>
  <c r="E12"/>
  <c r="C12"/>
  <c r="E9" i="4"/>
  <c r="E11"/>
  <c r="E8"/>
  <c r="E10"/>
  <c r="B25"/>
  <c r="D8"/>
  <c r="D9"/>
  <c r="D11"/>
  <c r="J20" i="3"/>
  <c r="J14"/>
  <c r="J15" s="1"/>
  <c r="J16" s="1"/>
  <c r="J11"/>
  <c r="J7"/>
  <c r="C4"/>
  <c r="C21" s="1"/>
  <c r="B4"/>
  <c r="B21" s="1"/>
  <c r="C22"/>
  <c r="B5"/>
  <c r="B22" s="1"/>
  <c r="F14" i="4" l="1"/>
  <c r="D12"/>
  <c r="F4" i="3"/>
  <c r="B23" s="1"/>
  <c r="D8"/>
  <c r="D9"/>
  <c r="D10"/>
  <c r="D11"/>
  <c r="B25"/>
  <c r="E9"/>
  <c r="B26" i="4" l="1"/>
  <c r="F17"/>
  <c r="E11" i="3"/>
  <c r="E10"/>
  <c r="E8"/>
  <c r="D12"/>
  <c r="B27" i="4" l="1"/>
  <c r="F14" i="3"/>
  <c r="B26" s="1"/>
  <c r="F17"/>
  <c r="B27" l="1"/>
</calcChain>
</file>

<file path=xl/sharedStrings.xml><?xml version="1.0" encoding="utf-8"?>
<sst xmlns="http://schemas.openxmlformats.org/spreadsheetml/2006/main" count="137" uniqueCount="65">
  <si>
    <t>Turnos por día</t>
  </si>
  <si>
    <t>Horas por turno</t>
  </si>
  <si>
    <t>CANT. EQ</t>
  </si>
  <si>
    <t>MTTR</t>
  </si>
  <si>
    <t>COSTO</t>
  </si>
  <si>
    <t>MTBF</t>
  </si>
  <si>
    <t>Semanas por año</t>
  </si>
  <si>
    <t>Dias de la semana</t>
  </si>
  <si>
    <t>Horas totales (H)</t>
  </si>
  <si>
    <t>Capacidad prod</t>
  </si>
  <si>
    <t>un/h</t>
  </si>
  <si>
    <t>Precio venta</t>
  </si>
  <si>
    <t>$/un</t>
  </si>
  <si>
    <t>Utilidad</t>
  </si>
  <si>
    <t>costos totales</t>
  </si>
  <si>
    <t>costos fijos</t>
  </si>
  <si>
    <t>costos variables</t>
  </si>
  <si>
    <t>Ci'</t>
  </si>
  <si>
    <t>Ci</t>
  </si>
  <si>
    <t>$/h</t>
  </si>
  <si>
    <t>Horizonte</t>
  </si>
  <si>
    <t>años</t>
  </si>
  <si>
    <t>tasa de descuento</t>
  </si>
  <si>
    <t>Fa</t>
  </si>
  <si>
    <t>RICOH PRO 751</t>
  </si>
  <si>
    <t>RICOH PRO C7110</t>
  </si>
  <si>
    <t>Capacidad del Sistema</t>
  </si>
  <si>
    <t>Disponibilidad</t>
  </si>
  <si>
    <t>Páginas/Hr</t>
  </si>
  <si>
    <t>Capacidad</t>
  </si>
  <si>
    <t>% tiempo</t>
  </si>
  <si>
    <t>Escenario 1</t>
  </si>
  <si>
    <t>Escenario 2</t>
  </si>
  <si>
    <t>Escenario 3</t>
  </si>
  <si>
    <t>Escenario 4</t>
  </si>
  <si>
    <t>Capacidad Promedio</t>
  </si>
  <si>
    <t>Disponibilidad Productiva</t>
  </si>
  <si>
    <t>Resumen</t>
  </si>
  <si>
    <t>Capacidad [pág/h]</t>
  </si>
  <si>
    <t>Capacidad Sistema[pág/h]</t>
  </si>
  <si>
    <t>Disponibilidad temporal</t>
  </si>
  <si>
    <t>Capacidad Promedio [Pág/H]</t>
  </si>
  <si>
    <t>INVERSION</t>
  </si>
  <si>
    <t>Capacidad [páginas/hr]</t>
  </si>
  <si>
    <t>EQUIPO</t>
  </si>
  <si>
    <t>COSTO GLOBAL</t>
  </si>
  <si>
    <t>PÁGINA</t>
  </si>
  <si>
    <t>VENTAS ÚLTIMO AÑO</t>
  </si>
  <si>
    <t>META PRODUCCIÓN ANUAL 93% Prob de logro</t>
  </si>
  <si>
    <t>HORAS DIARIAS</t>
  </si>
  <si>
    <t>DIAS A LA SEMANA</t>
  </si>
  <si>
    <t>SEMANAS POR AÑO</t>
  </si>
  <si>
    <t>Capac. Producción</t>
  </si>
  <si>
    <t>Disp. Sit. Actual</t>
  </si>
  <si>
    <t>Disp. Sit Propuesta</t>
  </si>
  <si>
    <t>Produccíon Sit. Actual</t>
  </si>
  <si>
    <t>Produccíon Sit. Propuesta</t>
  </si>
  <si>
    <t>Demanda último año</t>
  </si>
  <si>
    <t>HORAS TOTALES</t>
  </si>
  <si>
    <t>PRODUCCIÓN ANUAL ESPERADA</t>
  </si>
  <si>
    <t>COSTOS DE NO DISPONIBILIDAD</t>
  </si>
  <si>
    <t>COSTO GLOBAL SITUACIÓN ACTUAL</t>
  </si>
  <si>
    <t>COSTO GLOBAL SITUACIÓN PROPUESTA</t>
  </si>
  <si>
    <t>SITUACIÓN ACTUAL</t>
  </si>
  <si>
    <t>SITUACIÓN PROPUESTA</t>
  </si>
</sst>
</file>

<file path=xl/styles.xml><?xml version="1.0" encoding="utf-8"?>
<styleSheet xmlns="http://schemas.openxmlformats.org/spreadsheetml/2006/main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6" formatCode="_-* #,##0_-;\-* #,##0_-;_-* &quot;-&quot;??_-;_-@_-"/>
    <numFmt numFmtId="171" formatCode="#,##0_ ;\-#,##0\ "/>
    <numFmt numFmtId="172" formatCode="_ * #,##0_ ;_ * \-#,##0_ ;_ * &quot;-&quot;_ ;_ @_ "/>
    <numFmt numFmtId="173" formatCode="_ * #,##0.00_ ;_ * \-#,##0.00_ ;_ * &quot;-&quot;_ ;_ @_ "/>
    <numFmt numFmtId="174" formatCode="0.0%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2" applyNumberFormat="1" applyFont="1" applyFill="1" applyBorder="1"/>
    <xf numFmtId="0" fontId="2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4" fontId="0" fillId="0" borderId="0" xfId="0" applyNumberFormat="1"/>
    <xf numFmtId="2" fontId="0" fillId="0" borderId="1" xfId="0" applyNumberFormat="1" applyBorder="1" applyAlignment="1">
      <alignment horizontal="center"/>
    </xf>
    <xf numFmtId="44" fontId="0" fillId="0" borderId="0" xfId="2" applyFont="1"/>
    <xf numFmtId="0" fontId="3" fillId="0" borderId="0" xfId="0" applyFont="1" applyAlignment="1">
      <alignment horizontal="left"/>
    </xf>
    <xf numFmtId="10" fontId="0" fillId="0" borderId="0" xfId="0" applyNumberFormat="1"/>
    <xf numFmtId="171" fontId="0" fillId="0" borderId="0" xfId="1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horizontal="center"/>
    </xf>
    <xf numFmtId="10" fontId="0" fillId="0" borderId="2" xfId="0" applyNumberFormat="1" applyBorder="1"/>
    <xf numFmtId="173" fontId="0" fillId="0" borderId="0" xfId="4" applyNumberFormat="1" applyFont="1"/>
    <xf numFmtId="10" fontId="0" fillId="0" borderId="0" xfId="3" applyNumberFormat="1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72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171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4" fontId="0" fillId="0" borderId="1" xfId="2" applyNumberFormat="1" applyFont="1" applyFill="1" applyBorder="1" applyAlignment="1">
      <alignment horizontal="center"/>
    </xf>
    <xf numFmtId="166" fontId="0" fillId="0" borderId="1" xfId="1" applyNumberFormat="1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3" borderId="1" xfId="0" applyFont="1" applyFill="1" applyBorder="1"/>
    <xf numFmtId="164" fontId="2" fillId="3" borderId="1" xfId="2" applyNumberFormat="1" applyFont="1" applyFill="1" applyBorder="1"/>
    <xf numFmtId="166" fontId="0" fillId="0" borderId="1" xfId="1" applyNumberFormat="1" applyFont="1" applyBorder="1"/>
    <xf numFmtId="0" fontId="0" fillId="0" borderId="1" xfId="0" applyBorder="1" applyAlignment="1">
      <alignment horizontal="left"/>
    </xf>
    <xf numFmtId="166" fontId="0" fillId="0" borderId="1" xfId="1" applyNumberFormat="1" applyFont="1" applyBorder="1" applyAlignment="1">
      <alignment horizontal="left"/>
    </xf>
    <xf numFmtId="174" fontId="0" fillId="0" borderId="2" xfId="0" applyNumberFormat="1" applyBorder="1"/>
    <xf numFmtId="164" fontId="0" fillId="0" borderId="1" xfId="2" applyNumberFormat="1" applyFont="1" applyBorder="1"/>
  </cellXfs>
  <cellStyles count="5">
    <cellStyle name="Millares" xfId="1" builtinId="3"/>
    <cellStyle name="Millares [0] 2" xfId="4"/>
    <cellStyle name="Moneda" xfId="2" builtinId="4"/>
    <cellStyle name="Normal" xfId="0" builtinId="0"/>
    <cellStyle name="Porcentual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14"/>
  <sheetViews>
    <sheetView topLeftCell="L4" workbookViewId="0">
      <selection activeCell="M13" sqref="M13"/>
    </sheetView>
  </sheetViews>
  <sheetFormatPr baseColWidth="10" defaultRowHeight="15"/>
  <cols>
    <col min="1" max="1" width="26.7109375" bestFit="1" customWidth="1"/>
    <col min="2" max="2" width="14.140625" bestFit="1" customWidth="1"/>
    <col min="3" max="3" width="16.42578125" bestFit="1" customWidth="1"/>
    <col min="5" max="5" width="11.42578125" style="2"/>
    <col min="9" max="9" width="25.28515625" customWidth="1"/>
    <col min="10" max="10" width="11.5703125" bestFit="1" customWidth="1"/>
    <col min="13" max="13" width="42.140625" bestFit="1" customWidth="1"/>
    <col min="14" max="14" width="15.5703125" bestFit="1" customWidth="1"/>
  </cols>
  <sheetData>
    <row r="1" spans="1:41">
      <c r="A1" s="19"/>
      <c r="B1" s="19" t="s">
        <v>24</v>
      </c>
      <c r="C1" s="19" t="s">
        <v>25</v>
      </c>
    </row>
    <row r="2" spans="1:41">
      <c r="A2" s="19" t="s">
        <v>5</v>
      </c>
      <c r="B2" s="22">
        <v>248.92099999999999</v>
      </c>
      <c r="C2" s="22">
        <v>267.01600000000002</v>
      </c>
    </row>
    <row r="3" spans="1:41">
      <c r="A3" s="19" t="s">
        <v>3</v>
      </c>
      <c r="B3" s="33">
        <v>3.5209999999999999</v>
      </c>
      <c r="C3" s="22">
        <v>3.4980000000000002</v>
      </c>
      <c r="E3" s="9" t="s">
        <v>26</v>
      </c>
      <c r="I3" s="1" t="s">
        <v>0</v>
      </c>
      <c r="J3" s="1">
        <v>1</v>
      </c>
      <c r="K3" s="2"/>
    </row>
    <row r="4" spans="1:41">
      <c r="A4" s="19" t="s">
        <v>27</v>
      </c>
      <c r="B4" s="34">
        <f>B2/(B2+B3)</f>
        <v>0.98605224170304473</v>
      </c>
      <c r="C4" s="34">
        <f>C2/(C2+C3)</f>
        <v>0.98706906112068138</v>
      </c>
      <c r="F4" s="11">
        <f>SUM(B5:C5)</f>
        <v>9900</v>
      </c>
      <c r="G4" t="s">
        <v>28</v>
      </c>
      <c r="I4" s="1" t="s">
        <v>1</v>
      </c>
      <c r="J4" s="1">
        <v>8</v>
      </c>
      <c r="K4" s="2"/>
      <c r="M4" s="1" t="s">
        <v>44</v>
      </c>
      <c r="N4" s="1" t="s">
        <v>2</v>
      </c>
      <c r="O4" s="1" t="s">
        <v>4</v>
      </c>
    </row>
    <row r="5" spans="1:41">
      <c r="A5" s="19" t="s">
        <v>43</v>
      </c>
      <c r="B5" s="35">
        <f>75*60</f>
        <v>4500</v>
      </c>
      <c r="C5" s="35">
        <v>5400</v>
      </c>
      <c r="D5" s="13"/>
      <c r="F5" s="11"/>
      <c r="I5" s="1" t="s">
        <v>6</v>
      </c>
      <c r="J5" s="1">
        <v>52</v>
      </c>
      <c r="K5" s="2"/>
      <c r="M5" s="1" t="s">
        <v>24</v>
      </c>
      <c r="N5" s="1">
        <v>1</v>
      </c>
      <c r="O5" s="37">
        <v>50000</v>
      </c>
    </row>
    <row r="6" spans="1:41">
      <c r="A6" s="12"/>
      <c r="B6" s="11"/>
      <c r="C6" s="11"/>
      <c r="D6" s="13"/>
      <c r="F6" s="11"/>
      <c r="I6" s="1" t="s">
        <v>7</v>
      </c>
      <c r="J6" s="1">
        <v>5</v>
      </c>
      <c r="K6" s="2"/>
      <c r="M6" s="1" t="s">
        <v>25</v>
      </c>
      <c r="N6" s="1">
        <v>1</v>
      </c>
      <c r="O6" s="37">
        <v>50000</v>
      </c>
    </row>
    <row r="7" spans="1:41">
      <c r="B7" s="19" t="s">
        <v>24</v>
      </c>
      <c r="C7" s="19" t="s">
        <v>25</v>
      </c>
      <c r="D7" s="14" t="s">
        <v>30</v>
      </c>
      <c r="E7" s="14" t="s">
        <v>29</v>
      </c>
      <c r="F7" s="11"/>
      <c r="I7" s="4" t="s">
        <v>8</v>
      </c>
      <c r="J7" s="4">
        <f>+J6*J5*J4*J3</f>
        <v>2080</v>
      </c>
      <c r="K7" s="2"/>
      <c r="O7" s="3"/>
    </row>
    <row r="8" spans="1:41">
      <c r="A8" t="s">
        <v>31</v>
      </c>
      <c r="B8" s="2">
        <v>1</v>
      </c>
      <c r="C8" s="2">
        <v>1</v>
      </c>
      <c r="D8" s="10">
        <f>B4*C4</f>
        <v>0.97330166043376753</v>
      </c>
      <c r="E8" s="11">
        <f>MIN($F$4,B8*$B$5+C8*$C$5)</f>
        <v>9900</v>
      </c>
      <c r="I8" s="2"/>
      <c r="J8" s="2"/>
      <c r="K8" s="2"/>
      <c r="O8" s="3"/>
    </row>
    <row r="9" spans="1:41">
      <c r="A9" t="s">
        <v>32</v>
      </c>
      <c r="B9" s="2">
        <v>1</v>
      </c>
      <c r="C9" s="2">
        <v>0</v>
      </c>
      <c r="D9" s="10">
        <f>B4*(1-C4)</f>
        <v>1.2750581269277183E-2</v>
      </c>
      <c r="E9" s="11">
        <f>MIN($F$4,B9*$B$5+C9*$C$5)</f>
        <v>4500</v>
      </c>
      <c r="I9" s="1" t="s">
        <v>9</v>
      </c>
      <c r="J9" s="1">
        <v>9900</v>
      </c>
      <c r="K9" s="1" t="s">
        <v>10</v>
      </c>
    </row>
    <row r="10" spans="1:41">
      <c r="A10" t="s">
        <v>33</v>
      </c>
      <c r="B10" s="2">
        <v>0</v>
      </c>
      <c r="C10" s="2">
        <v>1</v>
      </c>
      <c r="D10" s="10">
        <f>C4*(1-B4)</f>
        <v>1.3767400686913832E-2</v>
      </c>
      <c r="E10" s="11">
        <f>MIN($F$4,B10*$B$5+C10*$C$5)</f>
        <v>5400</v>
      </c>
      <c r="I10" s="1" t="s">
        <v>11</v>
      </c>
      <c r="J10" s="1">
        <v>75</v>
      </c>
      <c r="K10" s="1" t="s">
        <v>12</v>
      </c>
      <c r="M10" s="36" t="s">
        <v>42</v>
      </c>
      <c r="N10" s="47">
        <v>0</v>
      </c>
    </row>
    <row r="11" spans="1:41">
      <c r="A11" t="s">
        <v>34</v>
      </c>
      <c r="B11" s="2">
        <v>0</v>
      </c>
      <c r="C11" s="2">
        <v>0</v>
      </c>
      <c r="D11" s="15">
        <f>(1-B4)*(1-C4)</f>
        <v>1.8035761004143777E-4</v>
      </c>
      <c r="E11" s="11">
        <f t="shared" ref="E11" si="0">MIN($F$4,B11*$B$5+C11*$C$5)</f>
        <v>0</v>
      </c>
      <c r="I11" s="1" t="s">
        <v>13</v>
      </c>
      <c r="J11" s="1">
        <f>J10*K11</f>
        <v>0</v>
      </c>
      <c r="K11" s="5">
        <v>0</v>
      </c>
      <c r="M11" s="36" t="s">
        <v>60</v>
      </c>
      <c r="N11" s="47">
        <f>J20*((1-F17)*J7*J16)</f>
        <v>20997477.467157528</v>
      </c>
    </row>
    <row r="12" spans="1:41">
      <c r="D12" s="10">
        <f>SUM(D8:D11)</f>
        <v>1</v>
      </c>
      <c r="I12" s="1" t="s">
        <v>14</v>
      </c>
      <c r="J12" s="1"/>
      <c r="K12" s="5"/>
      <c r="M12" s="41" t="s">
        <v>61</v>
      </c>
      <c r="N12" s="42">
        <f>N10+J20*((1-F17)*J7*J16)</f>
        <v>20997477.467157528</v>
      </c>
    </row>
    <row r="13" spans="1:41">
      <c r="F13" s="9" t="s">
        <v>35</v>
      </c>
      <c r="I13" s="1" t="s">
        <v>15</v>
      </c>
      <c r="J13" s="1"/>
      <c r="K13" s="5"/>
    </row>
    <row r="14" spans="1:41">
      <c r="F14" s="16">
        <f>SUMPRODUCT(D8:D11,E8:E11)</f>
        <v>9767.408017715381</v>
      </c>
      <c r="I14" s="1" t="s">
        <v>16</v>
      </c>
      <c r="J14" s="1">
        <f>J10*K14</f>
        <v>60</v>
      </c>
      <c r="K14" s="5">
        <v>0.8</v>
      </c>
      <c r="N14" s="6"/>
      <c r="AO14">
        <v>1</v>
      </c>
    </row>
    <row r="15" spans="1:41">
      <c r="I15" s="4" t="s">
        <v>17</v>
      </c>
      <c r="J15" s="4">
        <f>J10-J14</f>
        <v>15</v>
      </c>
      <c r="K15" s="4" t="s">
        <v>12</v>
      </c>
      <c r="AO15">
        <v>2</v>
      </c>
    </row>
    <row r="16" spans="1:41">
      <c r="F16" s="9" t="s">
        <v>36</v>
      </c>
      <c r="I16" s="4" t="s">
        <v>18</v>
      </c>
      <c r="J16" s="4">
        <f>+J15*J9</f>
        <v>148500</v>
      </c>
      <c r="K16" s="4" t="s">
        <v>19</v>
      </c>
      <c r="M16" s="44" t="s">
        <v>59</v>
      </c>
      <c r="N16" s="45">
        <f>J7*J9*F17</f>
        <v>20316208.676847994</v>
      </c>
      <c r="O16" s="44" t="s">
        <v>46</v>
      </c>
      <c r="AO16">
        <v>3</v>
      </c>
    </row>
    <row r="17" spans="1:41">
      <c r="F17" s="17">
        <f>F14/F4</f>
        <v>0.98660687047630113</v>
      </c>
      <c r="M17" s="44" t="s">
        <v>48</v>
      </c>
      <c r="N17" s="45">
        <v>19961452</v>
      </c>
      <c r="O17" s="44" t="s">
        <v>46</v>
      </c>
      <c r="AO17">
        <v>4</v>
      </c>
    </row>
    <row r="18" spans="1:41">
      <c r="I18" s="1" t="s">
        <v>20</v>
      </c>
      <c r="J18" s="1">
        <v>6</v>
      </c>
      <c r="K18" s="1" t="s">
        <v>21</v>
      </c>
      <c r="M18" s="44" t="s">
        <v>47</v>
      </c>
      <c r="N18" s="45">
        <f>768*1000</f>
        <v>768000</v>
      </c>
      <c r="O18" s="44" t="s">
        <v>46</v>
      </c>
      <c r="AO18">
        <v>5</v>
      </c>
    </row>
    <row r="19" spans="1:41">
      <c r="A19" s="18" t="s">
        <v>37</v>
      </c>
      <c r="I19" s="1" t="s">
        <v>22</v>
      </c>
      <c r="J19" s="7">
        <v>0.05</v>
      </c>
      <c r="K19" s="1"/>
      <c r="AO19">
        <v>6</v>
      </c>
    </row>
    <row r="20" spans="1:41">
      <c r="A20" s="19"/>
      <c r="B20" s="19" t="s">
        <v>24</v>
      </c>
      <c r="C20" s="19" t="s">
        <v>25</v>
      </c>
      <c r="I20" s="4" t="s">
        <v>23</v>
      </c>
      <c r="J20" s="4">
        <f>(((1+J19)^J18)-1)/(((1+J19)^J18)*J19)</f>
        <v>5.0756920672674468</v>
      </c>
      <c r="K20" s="1"/>
      <c r="AO20">
        <v>7</v>
      </c>
    </row>
    <row r="21" spans="1:41">
      <c r="A21" s="19" t="s">
        <v>27</v>
      </c>
      <c r="B21" s="20">
        <f>B4</f>
        <v>0.98605224170304473</v>
      </c>
      <c r="C21" s="20">
        <f>C4</f>
        <v>0.98706906112068138</v>
      </c>
      <c r="AO21">
        <v>8</v>
      </c>
    </row>
    <row r="22" spans="1:41">
      <c r="A22" s="19" t="s">
        <v>38</v>
      </c>
      <c r="B22" s="21">
        <f>B5</f>
        <v>4500</v>
      </c>
      <c r="C22" s="22">
        <f>C5</f>
        <v>5400</v>
      </c>
      <c r="M22" s="45"/>
      <c r="AO22">
        <v>9</v>
      </c>
    </row>
    <row r="23" spans="1:41">
      <c r="A23" s="19" t="s">
        <v>39</v>
      </c>
      <c r="B23" s="23">
        <f>F4</f>
        <v>9900</v>
      </c>
      <c r="C23" s="23"/>
    </row>
    <row r="24" spans="1:41">
      <c r="A24" s="24"/>
      <c r="B24" s="25"/>
      <c r="C24" s="25"/>
      <c r="AO24">
        <v>10</v>
      </c>
    </row>
    <row r="25" spans="1:41">
      <c r="A25" s="26" t="s">
        <v>40</v>
      </c>
      <c r="B25" s="27">
        <f>1-((1-B4)*(1-C4))</f>
        <v>0.99981964238995857</v>
      </c>
      <c r="J25" s="8"/>
      <c r="AO25">
        <v>11</v>
      </c>
    </row>
    <row r="26" spans="1:41">
      <c r="A26" s="28" t="s">
        <v>41</v>
      </c>
      <c r="B26" s="29">
        <f>F14</f>
        <v>9767.408017715381</v>
      </c>
      <c r="AO26">
        <v>12</v>
      </c>
    </row>
    <row r="27" spans="1:41">
      <c r="A27" s="28" t="s">
        <v>36</v>
      </c>
      <c r="B27" s="30">
        <f>F17</f>
        <v>0.98660687047630113</v>
      </c>
      <c r="AO27">
        <v>13</v>
      </c>
    </row>
    <row r="28" spans="1:41">
      <c r="AO28">
        <v>14</v>
      </c>
    </row>
    <row r="29" spans="1:41">
      <c r="AO29">
        <v>15</v>
      </c>
    </row>
    <row r="30" spans="1:41">
      <c r="AO30">
        <v>16</v>
      </c>
    </row>
    <row r="31" spans="1:41">
      <c r="AO31">
        <v>17</v>
      </c>
    </row>
    <row r="32" spans="1:41">
      <c r="AO32">
        <v>18</v>
      </c>
    </row>
    <row r="33" spans="41:41">
      <c r="AO33">
        <v>19</v>
      </c>
    </row>
    <row r="34" spans="41:41">
      <c r="AO34">
        <v>20</v>
      </c>
    </row>
    <row r="35" spans="41:41">
      <c r="AO35">
        <v>21</v>
      </c>
    </row>
    <row r="36" spans="41:41">
      <c r="AO36">
        <v>22</v>
      </c>
    </row>
    <row r="37" spans="41:41">
      <c r="AO37">
        <v>23</v>
      </c>
    </row>
    <row r="38" spans="41:41">
      <c r="AO38">
        <v>24</v>
      </c>
    </row>
    <row r="39" spans="41:41">
      <c r="AO39">
        <v>25</v>
      </c>
    </row>
    <row r="40" spans="41:41">
      <c r="AO40">
        <v>26</v>
      </c>
    </row>
    <row r="41" spans="41:41">
      <c r="AO41">
        <v>27</v>
      </c>
    </row>
    <row r="42" spans="41:41">
      <c r="AO42">
        <v>28</v>
      </c>
    </row>
    <row r="43" spans="41:41">
      <c r="AO43">
        <v>29</v>
      </c>
    </row>
    <row r="44" spans="41:41">
      <c r="AO44">
        <v>30</v>
      </c>
    </row>
    <row r="45" spans="41:41">
      <c r="AO45">
        <v>31</v>
      </c>
    </row>
    <row r="46" spans="41:41">
      <c r="AO46">
        <v>32</v>
      </c>
    </row>
    <row r="47" spans="41:41">
      <c r="AO47">
        <v>33</v>
      </c>
    </row>
    <row r="48" spans="41:41">
      <c r="AO48">
        <v>34</v>
      </c>
    </row>
    <row r="49" spans="41:41">
      <c r="AO49">
        <v>35</v>
      </c>
    </row>
    <row r="50" spans="41:41">
      <c r="AO50">
        <v>36</v>
      </c>
    </row>
    <row r="51" spans="41:41">
      <c r="AO51">
        <v>37</v>
      </c>
    </row>
    <row r="52" spans="41:41">
      <c r="AO52">
        <v>38</v>
      </c>
    </row>
    <row r="53" spans="41:41">
      <c r="AO53">
        <v>39</v>
      </c>
    </row>
    <row r="54" spans="41:41">
      <c r="AO54">
        <v>40</v>
      </c>
    </row>
    <row r="55" spans="41:41">
      <c r="AO55">
        <v>41</v>
      </c>
    </row>
    <row r="56" spans="41:41">
      <c r="AO56">
        <v>42</v>
      </c>
    </row>
    <row r="57" spans="41:41">
      <c r="AO57">
        <v>43</v>
      </c>
    </row>
    <row r="58" spans="41:41">
      <c r="AO58">
        <v>44</v>
      </c>
    </row>
    <row r="59" spans="41:41">
      <c r="AO59">
        <v>45</v>
      </c>
    </row>
    <row r="60" spans="41:41">
      <c r="AO60">
        <v>46</v>
      </c>
    </row>
    <row r="61" spans="41:41">
      <c r="AO61">
        <v>47</v>
      </c>
    </row>
    <row r="62" spans="41:41">
      <c r="AO62">
        <v>48</v>
      </c>
    </row>
    <row r="63" spans="41:41">
      <c r="AO63">
        <v>49</v>
      </c>
    </row>
    <row r="64" spans="41:41">
      <c r="AO64">
        <v>50</v>
      </c>
    </row>
    <row r="65" spans="41:41">
      <c r="AO65">
        <v>51</v>
      </c>
    </row>
    <row r="66" spans="41:41">
      <c r="AO66">
        <v>52</v>
      </c>
    </row>
    <row r="67" spans="41:41">
      <c r="AO67">
        <v>53</v>
      </c>
    </row>
    <row r="68" spans="41:41">
      <c r="AO68">
        <v>54</v>
      </c>
    </row>
    <row r="69" spans="41:41">
      <c r="AO69">
        <v>55</v>
      </c>
    </row>
    <row r="70" spans="41:41">
      <c r="AO70">
        <v>56</v>
      </c>
    </row>
    <row r="71" spans="41:41">
      <c r="AO71">
        <v>57</v>
      </c>
    </row>
    <row r="72" spans="41:41">
      <c r="AO72">
        <v>58</v>
      </c>
    </row>
    <row r="73" spans="41:41">
      <c r="AO73">
        <v>59</v>
      </c>
    </row>
    <row r="74" spans="41:41">
      <c r="AO74">
        <v>60</v>
      </c>
    </row>
    <row r="75" spans="41:41">
      <c r="AO75">
        <v>61</v>
      </c>
    </row>
    <row r="76" spans="41:41">
      <c r="AO76">
        <v>62</v>
      </c>
    </row>
    <row r="77" spans="41:41">
      <c r="AO77">
        <v>63</v>
      </c>
    </row>
    <row r="78" spans="41:41">
      <c r="AO78">
        <v>64</v>
      </c>
    </row>
    <row r="79" spans="41:41">
      <c r="AO79">
        <v>65</v>
      </c>
    </row>
    <row r="80" spans="41:41">
      <c r="AO80">
        <v>66</v>
      </c>
    </row>
    <row r="81" spans="41:41">
      <c r="AO81">
        <v>67</v>
      </c>
    </row>
    <row r="82" spans="41:41">
      <c r="AO82">
        <v>68</v>
      </c>
    </row>
    <row r="83" spans="41:41">
      <c r="AO83">
        <v>69</v>
      </c>
    </row>
    <row r="84" spans="41:41">
      <c r="AO84">
        <v>70</v>
      </c>
    </row>
    <row r="85" spans="41:41">
      <c r="AO85">
        <v>71</v>
      </c>
    </row>
    <row r="86" spans="41:41">
      <c r="AO86">
        <v>72</v>
      </c>
    </row>
    <row r="87" spans="41:41">
      <c r="AO87">
        <v>73</v>
      </c>
    </row>
    <row r="88" spans="41:41">
      <c r="AO88">
        <v>74</v>
      </c>
    </row>
    <row r="89" spans="41:41">
      <c r="AO89">
        <v>75</v>
      </c>
    </row>
    <row r="90" spans="41:41">
      <c r="AO90">
        <v>76</v>
      </c>
    </row>
    <row r="91" spans="41:41">
      <c r="AO91">
        <v>77</v>
      </c>
    </row>
    <row r="92" spans="41:41">
      <c r="AO92">
        <v>78</v>
      </c>
    </row>
    <row r="93" spans="41:41">
      <c r="AO93">
        <v>79</v>
      </c>
    </row>
    <row r="94" spans="41:41">
      <c r="AO94">
        <v>80</v>
      </c>
    </row>
    <row r="95" spans="41:41">
      <c r="AO95">
        <v>81</v>
      </c>
    </row>
    <row r="96" spans="41:41">
      <c r="AO96">
        <v>82</v>
      </c>
    </row>
    <row r="97" spans="41:41">
      <c r="AO97">
        <v>83</v>
      </c>
    </row>
    <row r="98" spans="41:41">
      <c r="AO98">
        <v>84</v>
      </c>
    </row>
    <row r="99" spans="41:41">
      <c r="AO99">
        <v>85</v>
      </c>
    </row>
    <row r="100" spans="41:41">
      <c r="AO100">
        <v>86</v>
      </c>
    </row>
    <row r="101" spans="41:41">
      <c r="AO101">
        <v>87</v>
      </c>
    </row>
    <row r="102" spans="41:41">
      <c r="AO102">
        <v>88</v>
      </c>
    </row>
    <row r="103" spans="41:41">
      <c r="AO103">
        <v>89</v>
      </c>
    </row>
    <row r="104" spans="41:41">
      <c r="AO104">
        <v>90</v>
      </c>
    </row>
    <row r="105" spans="41:41">
      <c r="AO105">
        <v>91</v>
      </c>
    </row>
    <row r="106" spans="41:41">
      <c r="AO106">
        <v>92</v>
      </c>
    </row>
    <row r="107" spans="41:41">
      <c r="AO107">
        <v>93</v>
      </c>
    </row>
    <row r="108" spans="41:41">
      <c r="AO108">
        <v>94</v>
      </c>
    </row>
    <row r="109" spans="41:41">
      <c r="AO109">
        <v>95</v>
      </c>
    </row>
    <row r="110" spans="41:41">
      <c r="AO110">
        <v>96</v>
      </c>
    </row>
    <row r="111" spans="41:41">
      <c r="AO111">
        <v>97</v>
      </c>
    </row>
    <row r="112" spans="41:41">
      <c r="AO112">
        <v>98</v>
      </c>
    </row>
    <row r="113" spans="41:41">
      <c r="AO113">
        <v>99</v>
      </c>
    </row>
    <row r="114" spans="41:41">
      <c r="AO114">
        <v>100</v>
      </c>
    </row>
  </sheetData>
  <mergeCells count="1">
    <mergeCell ref="B23:C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114"/>
  <sheetViews>
    <sheetView topLeftCell="D1" workbookViewId="0">
      <selection activeCell="U25" sqref="S25:U25"/>
    </sheetView>
  </sheetViews>
  <sheetFormatPr baseColWidth="10" defaultRowHeight="15"/>
  <cols>
    <col min="1" max="1" width="26.7109375" bestFit="1" customWidth="1"/>
    <col min="2" max="2" width="14.140625" bestFit="1" customWidth="1"/>
    <col min="3" max="3" width="16.42578125" bestFit="1" customWidth="1"/>
    <col min="5" max="5" width="11.42578125" style="2"/>
    <col min="9" max="9" width="25.28515625" customWidth="1"/>
    <col min="10" max="10" width="11.5703125" bestFit="1" customWidth="1"/>
    <col min="13" max="13" width="42.140625" bestFit="1" customWidth="1"/>
    <col min="14" max="14" width="15.5703125" bestFit="1" customWidth="1"/>
    <col min="15" max="15" width="13" bestFit="1" customWidth="1"/>
  </cols>
  <sheetData>
    <row r="1" spans="1:41">
      <c r="A1" s="19"/>
      <c r="B1" s="19" t="s">
        <v>24</v>
      </c>
      <c r="C1" s="19" t="s">
        <v>25</v>
      </c>
    </row>
    <row r="2" spans="1:41">
      <c r="A2" s="19" t="s">
        <v>5</v>
      </c>
      <c r="B2" s="22">
        <v>248.92099999999999</v>
      </c>
      <c r="C2" s="22">
        <v>267.01600000000002</v>
      </c>
    </row>
    <row r="3" spans="1:41">
      <c r="A3" s="19" t="s">
        <v>3</v>
      </c>
      <c r="B3" s="33">
        <v>3.5209999999999999</v>
      </c>
      <c r="C3" s="22">
        <v>3.4980000000000002</v>
      </c>
      <c r="E3" s="9" t="s">
        <v>26</v>
      </c>
      <c r="I3" s="1" t="s">
        <v>0</v>
      </c>
      <c r="J3" s="1">
        <v>1</v>
      </c>
      <c r="K3" s="2"/>
    </row>
    <row r="4" spans="1:41">
      <c r="A4" s="19" t="s">
        <v>27</v>
      </c>
      <c r="B4" s="34">
        <v>1</v>
      </c>
      <c r="C4" s="34">
        <f>C2/(C2+C3)</f>
        <v>0.98706906112068138</v>
      </c>
      <c r="F4" s="11">
        <f>SUM(B5:C5)</f>
        <v>9900</v>
      </c>
      <c r="G4" t="s">
        <v>28</v>
      </c>
      <c r="I4" s="1" t="s">
        <v>1</v>
      </c>
      <c r="J4" s="1">
        <v>8</v>
      </c>
      <c r="K4" s="2"/>
      <c r="M4" s="1" t="s">
        <v>44</v>
      </c>
      <c r="N4" s="1" t="s">
        <v>2</v>
      </c>
      <c r="O4" s="1" t="s">
        <v>4</v>
      </c>
    </row>
    <row r="5" spans="1:41">
      <c r="A5" s="19" t="s">
        <v>43</v>
      </c>
      <c r="B5" s="35">
        <f>75*60</f>
        <v>4500</v>
      </c>
      <c r="C5" s="35">
        <v>5400</v>
      </c>
      <c r="D5" s="13"/>
      <c r="F5" s="11"/>
      <c r="I5" s="1" t="s">
        <v>6</v>
      </c>
      <c r="J5" s="1">
        <v>52</v>
      </c>
      <c r="K5" s="2"/>
      <c r="M5" s="1" t="s">
        <v>24</v>
      </c>
      <c r="N5" s="1">
        <v>1</v>
      </c>
      <c r="O5" s="37">
        <v>6000000</v>
      </c>
    </row>
    <row r="6" spans="1:41">
      <c r="A6" s="12"/>
      <c r="B6" s="11"/>
      <c r="C6" s="11"/>
      <c r="D6" s="13"/>
      <c r="F6" s="11"/>
      <c r="I6" s="1" t="s">
        <v>7</v>
      </c>
      <c r="J6" s="1">
        <v>5</v>
      </c>
      <c r="K6" s="2"/>
      <c r="M6" s="1" t="s">
        <v>25</v>
      </c>
      <c r="N6" s="1">
        <v>1</v>
      </c>
      <c r="O6" s="37">
        <v>6500000</v>
      </c>
    </row>
    <row r="7" spans="1:41">
      <c r="B7" s="19" t="s">
        <v>24</v>
      </c>
      <c r="C7" s="19" t="s">
        <v>25</v>
      </c>
      <c r="D7" s="14" t="s">
        <v>30</v>
      </c>
      <c r="E7" s="14" t="s">
        <v>29</v>
      </c>
      <c r="F7" s="11"/>
      <c r="I7" s="4" t="s">
        <v>8</v>
      </c>
      <c r="J7" s="4">
        <f>+J6*J5*J4*J3</f>
        <v>2080</v>
      </c>
      <c r="K7" s="2"/>
      <c r="O7" s="3"/>
    </row>
    <row r="8" spans="1:41">
      <c r="A8" t="s">
        <v>31</v>
      </c>
      <c r="B8" s="2">
        <v>1</v>
      </c>
      <c r="C8" s="2">
        <v>1</v>
      </c>
      <c r="D8" s="10">
        <f>B4*C4</f>
        <v>0.98706906112068138</v>
      </c>
      <c r="E8" s="11">
        <f>MIN($F$4,B8*$B$5+C8*$C$5)</f>
        <v>9900</v>
      </c>
      <c r="I8" s="2"/>
      <c r="J8" s="2"/>
      <c r="K8" s="2"/>
      <c r="O8" s="3"/>
    </row>
    <row r="9" spans="1:41">
      <c r="A9" t="s">
        <v>32</v>
      </c>
      <c r="B9" s="2">
        <v>1</v>
      </c>
      <c r="C9" s="2">
        <v>0</v>
      </c>
      <c r="D9" s="10">
        <f>B4*(1-C4)</f>
        <v>1.2930938879318621E-2</v>
      </c>
      <c r="E9" s="11">
        <f>MIN($F$4,B9*$B$5+C9*$C$5)</f>
        <v>4500</v>
      </c>
      <c r="I9" s="1" t="s">
        <v>9</v>
      </c>
      <c r="J9" s="1">
        <v>9900</v>
      </c>
      <c r="K9" s="1" t="s">
        <v>10</v>
      </c>
    </row>
    <row r="10" spans="1:41">
      <c r="A10" t="s">
        <v>33</v>
      </c>
      <c r="B10" s="2">
        <v>0</v>
      </c>
      <c r="C10" s="2">
        <v>1</v>
      </c>
      <c r="D10" s="10">
        <f>C4*(1-B4)</f>
        <v>0</v>
      </c>
      <c r="E10" s="11">
        <f>MIN($F$4,B10*$B$5+C10*$C$5)</f>
        <v>5400</v>
      </c>
      <c r="I10" s="1" t="s">
        <v>11</v>
      </c>
      <c r="J10" s="1">
        <v>75</v>
      </c>
      <c r="K10" s="1" t="s">
        <v>12</v>
      </c>
      <c r="M10" s="36" t="s">
        <v>42</v>
      </c>
      <c r="N10" s="47">
        <f>N5*O5</f>
        <v>6000000</v>
      </c>
    </row>
    <row r="11" spans="1:41">
      <c r="A11" t="s">
        <v>34</v>
      </c>
      <c r="B11" s="2">
        <v>0</v>
      </c>
      <c r="C11" s="2">
        <v>0</v>
      </c>
      <c r="D11" s="46">
        <f>(1-B4)*(1-C4)</f>
        <v>0</v>
      </c>
      <c r="E11" s="11">
        <f t="shared" ref="E11" si="0">MIN($F$4,B11*$B$5+C11*$C$5)</f>
        <v>0</v>
      </c>
      <c r="I11" s="1" t="s">
        <v>13</v>
      </c>
      <c r="J11" s="1">
        <f>J10*K11</f>
        <v>0</v>
      </c>
      <c r="K11" s="5">
        <v>0</v>
      </c>
      <c r="M11" s="36" t="s">
        <v>60</v>
      </c>
      <c r="N11" s="47">
        <f>J20*((1-F17)*J7*J16)</f>
        <v>11057925.996537114</v>
      </c>
    </row>
    <row r="12" spans="1:41">
      <c r="D12" s="10">
        <f>SUM(D8:D11)</f>
        <v>1</v>
      </c>
      <c r="I12" s="1" t="s">
        <v>14</v>
      </c>
      <c r="J12" s="1"/>
      <c r="K12" s="5"/>
      <c r="M12" s="41" t="s">
        <v>62</v>
      </c>
      <c r="N12" s="42">
        <f>N10+J20*((1-F17)*J7*J16)</f>
        <v>17057925.996537112</v>
      </c>
    </row>
    <row r="13" spans="1:41">
      <c r="F13" s="9" t="s">
        <v>35</v>
      </c>
      <c r="I13" s="1" t="s">
        <v>15</v>
      </c>
      <c r="J13" s="1"/>
      <c r="K13" s="5"/>
    </row>
    <row r="14" spans="1:41">
      <c r="F14" s="16">
        <f>SUMPRODUCT(D8:D11,E8:E11)</f>
        <v>9830.1729300516799</v>
      </c>
      <c r="I14" s="1" t="s">
        <v>16</v>
      </c>
      <c r="J14" s="1">
        <f>J10*K14</f>
        <v>60</v>
      </c>
      <c r="K14" s="5">
        <v>0.8</v>
      </c>
      <c r="N14" s="6"/>
      <c r="AO14">
        <v>1</v>
      </c>
    </row>
    <row r="15" spans="1:41">
      <c r="I15" s="4" t="s">
        <v>17</v>
      </c>
      <c r="J15" s="4">
        <f>J10-J14</f>
        <v>15</v>
      </c>
      <c r="K15" s="4" t="s">
        <v>12</v>
      </c>
      <c r="AO15">
        <v>2</v>
      </c>
    </row>
    <row r="16" spans="1:41">
      <c r="F16" s="9" t="s">
        <v>36</v>
      </c>
      <c r="I16" s="4" t="s">
        <v>18</v>
      </c>
      <c r="J16" s="4">
        <f>+J15*J9</f>
        <v>148500</v>
      </c>
      <c r="K16" s="4" t="s">
        <v>19</v>
      </c>
      <c r="M16" s="44" t="s">
        <v>59</v>
      </c>
      <c r="N16" s="45">
        <f>J7*J9*F17</f>
        <v>20446759.694507495</v>
      </c>
      <c r="O16" s="44" t="s">
        <v>46</v>
      </c>
      <c r="AO16">
        <v>3</v>
      </c>
    </row>
    <row r="17" spans="1:41">
      <c r="F17" s="17">
        <f>F14/F4</f>
        <v>0.99294676061128084</v>
      </c>
      <c r="M17" s="44" t="s">
        <v>48</v>
      </c>
      <c r="N17" s="45">
        <v>19961452</v>
      </c>
      <c r="O17" s="44" t="s">
        <v>46</v>
      </c>
      <c r="AO17">
        <v>4</v>
      </c>
    </row>
    <row r="18" spans="1:41">
      <c r="I18" s="1" t="s">
        <v>20</v>
      </c>
      <c r="J18" s="1">
        <v>6</v>
      </c>
      <c r="K18" s="1" t="s">
        <v>21</v>
      </c>
      <c r="M18" s="44" t="s">
        <v>47</v>
      </c>
      <c r="N18" s="45">
        <f>768*1000</f>
        <v>768000</v>
      </c>
      <c r="O18" s="44" t="s">
        <v>46</v>
      </c>
      <c r="AO18">
        <v>5</v>
      </c>
    </row>
    <row r="19" spans="1:41">
      <c r="A19" s="18" t="s">
        <v>37</v>
      </c>
      <c r="I19" s="1" t="s">
        <v>22</v>
      </c>
      <c r="J19" s="7">
        <v>0.05</v>
      </c>
      <c r="K19" s="1"/>
      <c r="AO19">
        <v>6</v>
      </c>
    </row>
    <row r="20" spans="1:41">
      <c r="A20" s="19"/>
      <c r="B20" s="19" t="s">
        <v>24</v>
      </c>
      <c r="C20" s="19" t="s">
        <v>25</v>
      </c>
      <c r="I20" s="4" t="s">
        <v>23</v>
      </c>
      <c r="J20" s="4">
        <f>(((1+J19)^J18)-1)/(((1+J19)^J18)*J19)</f>
        <v>5.0756920672674468</v>
      </c>
      <c r="K20" s="1"/>
      <c r="AO20">
        <v>7</v>
      </c>
    </row>
    <row r="21" spans="1:41">
      <c r="A21" s="19" t="s">
        <v>27</v>
      </c>
      <c r="B21" s="20">
        <f>B4</f>
        <v>1</v>
      </c>
      <c r="C21" s="20">
        <f>C4</f>
        <v>0.98706906112068138</v>
      </c>
      <c r="AO21">
        <v>8</v>
      </c>
    </row>
    <row r="22" spans="1:41">
      <c r="A22" s="19" t="s">
        <v>38</v>
      </c>
      <c r="B22" s="21">
        <f>B5</f>
        <v>4500</v>
      </c>
      <c r="C22" s="22">
        <f>C5</f>
        <v>5400</v>
      </c>
      <c r="AO22">
        <v>9</v>
      </c>
    </row>
    <row r="23" spans="1:41">
      <c r="A23" s="19" t="s">
        <v>39</v>
      </c>
      <c r="B23" s="23">
        <f>F4</f>
        <v>9900</v>
      </c>
      <c r="C23" s="23"/>
    </row>
    <row r="24" spans="1:41">
      <c r="A24" s="24"/>
      <c r="B24" s="25"/>
      <c r="C24" s="25"/>
      <c r="AO24">
        <v>10</v>
      </c>
    </row>
    <row r="25" spans="1:41">
      <c r="A25" s="26" t="s">
        <v>40</v>
      </c>
      <c r="B25" s="27">
        <f>1-((1-B4)*(1-C4))</f>
        <v>1</v>
      </c>
      <c r="J25" s="8"/>
      <c r="AO25">
        <v>11</v>
      </c>
    </row>
    <row r="26" spans="1:41">
      <c r="A26" s="28" t="s">
        <v>41</v>
      </c>
      <c r="B26" s="29">
        <f>F14</f>
        <v>9830.1729300516799</v>
      </c>
      <c r="AO26">
        <v>12</v>
      </c>
    </row>
    <row r="27" spans="1:41">
      <c r="A27" s="28" t="s">
        <v>36</v>
      </c>
      <c r="B27" s="30">
        <f>F17</f>
        <v>0.99294676061128084</v>
      </c>
      <c r="AO27">
        <v>13</v>
      </c>
    </row>
    <row r="28" spans="1:41">
      <c r="AO28">
        <v>14</v>
      </c>
    </row>
    <row r="29" spans="1:41">
      <c r="AO29">
        <v>15</v>
      </c>
    </row>
    <row r="30" spans="1:41">
      <c r="AO30">
        <v>16</v>
      </c>
    </row>
    <row r="31" spans="1:41">
      <c r="AO31">
        <v>17</v>
      </c>
    </row>
    <row r="32" spans="1:41">
      <c r="AO32">
        <v>18</v>
      </c>
    </row>
    <row r="33" spans="41:41">
      <c r="AO33">
        <v>19</v>
      </c>
    </row>
    <row r="34" spans="41:41">
      <c r="AO34">
        <v>20</v>
      </c>
    </row>
    <row r="35" spans="41:41">
      <c r="AO35">
        <v>21</v>
      </c>
    </row>
    <row r="36" spans="41:41">
      <c r="AO36">
        <v>22</v>
      </c>
    </row>
    <row r="37" spans="41:41">
      <c r="AO37">
        <v>23</v>
      </c>
    </row>
    <row r="38" spans="41:41">
      <c r="AO38">
        <v>24</v>
      </c>
    </row>
    <row r="39" spans="41:41">
      <c r="AO39">
        <v>25</v>
      </c>
    </row>
    <row r="40" spans="41:41">
      <c r="AO40">
        <v>26</v>
      </c>
    </row>
    <row r="41" spans="41:41">
      <c r="AO41">
        <v>27</v>
      </c>
    </row>
    <row r="42" spans="41:41">
      <c r="AO42">
        <v>28</v>
      </c>
    </row>
    <row r="43" spans="41:41">
      <c r="AO43">
        <v>29</v>
      </c>
    </row>
    <row r="44" spans="41:41">
      <c r="AO44">
        <v>30</v>
      </c>
    </row>
    <row r="45" spans="41:41">
      <c r="AO45">
        <v>31</v>
      </c>
    </row>
    <row r="46" spans="41:41">
      <c r="AO46">
        <v>32</v>
      </c>
    </row>
    <row r="47" spans="41:41">
      <c r="AO47">
        <v>33</v>
      </c>
    </row>
    <row r="48" spans="41:41">
      <c r="AO48">
        <v>34</v>
      </c>
    </row>
    <row r="49" spans="41:41">
      <c r="AO49">
        <v>35</v>
      </c>
    </row>
    <row r="50" spans="41:41">
      <c r="AO50">
        <v>36</v>
      </c>
    </row>
    <row r="51" spans="41:41">
      <c r="AO51">
        <v>37</v>
      </c>
    </row>
    <row r="52" spans="41:41">
      <c r="AO52">
        <v>38</v>
      </c>
    </row>
    <row r="53" spans="41:41">
      <c r="AO53">
        <v>39</v>
      </c>
    </row>
    <row r="54" spans="41:41">
      <c r="AO54">
        <v>40</v>
      </c>
    </row>
    <row r="55" spans="41:41">
      <c r="AO55">
        <v>41</v>
      </c>
    </row>
    <row r="56" spans="41:41">
      <c r="AO56">
        <v>42</v>
      </c>
    </row>
    <row r="57" spans="41:41">
      <c r="AO57">
        <v>43</v>
      </c>
    </row>
    <row r="58" spans="41:41">
      <c r="AO58">
        <v>44</v>
      </c>
    </row>
    <row r="59" spans="41:41">
      <c r="AO59">
        <v>45</v>
      </c>
    </row>
    <row r="60" spans="41:41">
      <c r="AO60">
        <v>46</v>
      </c>
    </row>
    <row r="61" spans="41:41">
      <c r="AO61">
        <v>47</v>
      </c>
    </row>
    <row r="62" spans="41:41">
      <c r="AO62">
        <v>48</v>
      </c>
    </row>
    <row r="63" spans="41:41">
      <c r="AO63">
        <v>49</v>
      </c>
    </row>
    <row r="64" spans="41:41">
      <c r="AO64">
        <v>50</v>
      </c>
    </row>
    <row r="65" spans="41:41">
      <c r="AO65">
        <v>51</v>
      </c>
    </row>
    <row r="66" spans="41:41">
      <c r="AO66">
        <v>52</v>
      </c>
    </row>
    <row r="67" spans="41:41">
      <c r="AO67">
        <v>53</v>
      </c>
    </row>
    <row r="68" spans="41:41">
      <c r="AO68">
        <v>54</v>
      </c>
    </row>
    <row r="69" spans="41:41">
      <c r="AO69">
        <v>55</v>
      </c>
    </row>
    <row r="70" spans="41:41">
      <c r="AO70">
        <v>56</v>
      </c>
    </row>
    <row r="71" spans="41:41">
      <c r="AO71">
        <v>57</v>
      </c>
    </row>
    <row r="72" spans="41:41">
      <c r="AO72">
        <v>58</v>
      </c>
    </row>
    <row r="73" spans="41:41">
      <c r="AO73">
        <v>59</v>
      </c>
    </row>
    <row r="74" spans="41:41">
      <c r="AO74">
        <v>60</v>
      </c>
    </row>
    <row r="75" spans="41:41">
      <c r="AO75">
        <v>61</v>
      </c>
    </row>
    <row r="76" spans="41:41">
      <c r="AO76">
        <v>62</v>
      </c>
    </row>
    <row r="77" spans="41:41">
      <c r="AO77">
        <v>63</v>
      </c>
    </row>
    <row r="78" spans="41:41">
      <c r="AO78">
        <v>64</v>
      </c>
    </row>
    <row r="79" spans="41:41">
      <c r="AO79">
        <v>65</v>
      </c>
    </row>
    <row r="80" spans="41:41">
      <c r="AO80">
        <v>66</v>
      </c>
    </row>
    <row r="81" spans="41:41">
      <c r="AO81">
        <v>67</v>
      </c>
    </row>
    <row r="82" spans="41:41">
      <c r="AO82">
        <v>68</v>
      </c>
    </row>
    <row r="83" spans="41:41">
      <c r="AO83">
        <v>69</v>
      </c>
    </row>
    <row r="84" spans="41:41">
      <c r="AO84">
        <v>70</v>
      </c>
    </row>
    <row r="85" spans="41:41">
      <c r="AO85">
        <v>71</v>
      </c>
    </row>
    <row r="86" spans="41:41">
      <c r="AO86">
        <v>72</v>
      </c>
    </row>
    <row r="87" spans="41:41">
      <c r="AO87">
        <v>73</v>
      </c>
    </row>
    <row r="88" spans="41:41">
      <c r="AO88">
        <v>74</v>
      </c>
    </row>
    <row r="89" spans="41:41">
      <c r="AO89">
        <v>75</v>
      </c>
    </row>
    <row r="90" spans="41:41">
      <c r="AO90">
        <v>76</v>
      </c>
    </row>
    <row r="91" spans="41:41">
      <c r="AO91">
        <v>77</v>
      </c>
    </row>
    <row r="92" spans="41:41">
      <c r="AO92">
        <v>78</v>
      </c>
    </row>
    <row r="93" spans="41:41">
      <c r="AO93">
        <v>79</v>
      </c>
    </row>
    <row r="94" spans="41:41">
      <c r="AO94">
        <v>80</v>
      </c>
    </row>
    <row r="95" spans="41:41">
      <c r="AO95">
        <v>81</v>
      </c>
    </row>
    <row r="96" spans="41:41">
      <c r="AO96">
        <v>82</v>
      </c>
    </row>
    <row r="97" spans="41:41">
      <c r="AO97">
        <v>83</v>
      </c>
    </row>
    <row r="98" spans="41:41">
      <c r="AO98">
        <v>84</v>
      </c>
    </row>
    <row r="99" spans="41:41">
      <c r="AO99">
        <v>85</v>
      </c>
    </row>
    <row r="100" spans="41:41">
      <c r="AO100">
        <v>86</v>
      </c>
    </row>
    <row r="101" spans="41:41">
      <c r="AO101">
        <v>87</v>
      </c>
    </row>
    <row r="102" spans="41:41">
      <c r="AO102">
        <v>88</v>
      </c>
    </row>
    <row r="103" spans="41:41">
      <c r="AO103">
        <v>89</v>
      </c>
    </row>
    <row r="104" spans="41:41">
      <c r="AO104">
        <v>90</v>
      </c>
    </row>
    <row r="105" spans="41:41">
      <c r="AO105">
        <v>91</v>
      </c>
    </row>
    <row r="106" spans="41:41">
      <c r="AO106">
        <v>92</v>
      </c>
    </row>
    <row r="107" spans="41:41">
      <c r="AO107">
        <v>93</v>
      </c>
    </row>
    <row r="108" spans="41:41">
      <c r="AO108">
        <v>94</v>
      </c>
    </row>
    <row r="109" spans="41:41">
      <c r="AO109">
        <v>95</v>
      </c>
    </row>
    <row r="110" spans="41:41">
      <c r="AO110">
        <v>96</v>
      </c>
    </row>
    <row r="111" spans="41:41">
      <c r="AO111">
        <v>97</v>
      </c>
    </row>
    <row r="112" spans="41:41">
      <c r="AO112">
        <v>98</v>
      </c>
    </row>
    <row r="113" spans="41:41">
      <c r="AO113">
        <v>99</v>
      </c>
    </row>
    <row r="114" spans="41:41">
      <c r="AO114">
        <v>100</v>
      </c>
    </row>
  </sheetData>
  <mergeCells count="1">
    <mergeCell ref="B23: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sqref="A1:C8"/>
    </sheetView>
  </sheetViews>
  <sheetFormatPr baseColWidth="10" defaultRowHeight="15"/>
  <cols>
    <col min="1" max="1" width="42.140625" bestFit="1" customWidth="1"/>
    <col min="2" max="2" width="18.7109375" bestFit="1" customWidth="1"/>
    <col min="3" max="3" width="22" bestFit="1" customWidth="1"/>
  </cols>
  <sheetData>
    <row r="1" spans="1:3" s="39" customFormat="1">
      <c r="A1" s="40"/>
      <c r="B1" s="40" t="s">
        <v>63</v>
      </c>
      <c r="C1" s="40" t="s">
        <v>64</v>
      </c>
    </row>
    <row r="2" spans="1:3">
      <c r="A2" s="36" t="str">
        <f>'Sit. Actual'!M10</f>
        <v>INVERSION</v>
      </c>
      <c r="B2" s="47">
        <f>'Sit. Actual'!N10</f>
        <v>0</v>
      </c>
      <c r="C2" s="47">
        <f>'Sit. Propuesta'!N10</f>
        <v>6000000</v>
      </c>
    </row>
    <row r="3" spans="1:3">
      <c r="A3" s="36" t="str">
        <f>'Sit. Actual'!M11</f>
        <v>COSTOS DE NO DISPONIBILIDAD</v>
      </c>
      <c r="B3" s="47">
        <f>'Sit. Actual'!N11</f>
        <v>20997477.467157528</v>
      </c>
      <c r="C3" s="47">
        <f>'Sit. Propuesta'!N11</f>
        <v>11057925.996537114</v>
      </c>
    </row>
    <row r="4" spans="1:3">
      <c r="A4" s="41" t="s">
        <v>45</v>
      </c>
      <c r="B4" s="42">
        <f>'Sit. Actual'!N12</f>
        <v>20997477.467157528</v>
      </c>
      <c r="C4" s="42">
        <f>'Sit. Propuesta'!N12</f>
        <v>17057925.996537112</v>
      </c>
    </row>
    <row r="5" spans="1:3" ht="6" customHeight="1">
      <c r="A5" s="36"/>
      <c r="B5" s="36"/>
      <c r="C5" s="36"/>
    </row>
    <row r="6" spans="1:3">
      <c r="A6" s="36" t="str">
        <f>'Sit. Actual'!M16</f>
        <v>PRODUCCIÓN ANUAL ESPERADA</v>
      </c>
      <c r="B6" s="43">
        <f>'Sit. Actual'!N16</f>
        <v>20316208.676847994</v>
      </c>
      <c r="C6" s="43">
        <f>'Sit. Propuesta'!N16</f>
        <v>20446759.694507495</v>
      </c>
    </row>
    <row r="7" spans="1:3">
      <c r="A7" s="36" t="str">
        <f>'Sit. Actual'!M17</f>
        <v>META PRODUCCIÓN ANUAL 93% Prob de logro</v>
      </c>
      <c r="B7" s="43">
        <f>'Sit. Actual'!N17</f>
        <v>19961452</v>
      </c>
      <c r="C7" s="43">
        <f>'Sit. Propuesta'!N17</f>
        <v>19961452</v>
      </c>
    </row>
    <row r="8" spans="1:3">
      <c r="A8" s="36" t="str">
        <f>'Sit. Actual'!M18</f>
        <v>VENTAS ÚLTIMO AÑO</v>
      </c>
      <c r="B8" s="43">
        <f>'Sit. Actual'!N18</f>
        <v>768000</v>
      </c>
      <c r="C8" s="43">
        <f>'Sit. Propuesta'!N18</f>
        <v>768000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H13"/>
  <sheetViews>
    <sheetView tabSelected="1" workbookViewId="0">
      <selection activeCell="A2" sqref="A2:H13"/>
    </sheetView>
  </sheetViews>
  <sheetFormatPr baseColWidth="10" defaultRowHeight="15"/>
  <cols>
    <col min="1" max="1" width="23.7109375" style="31" bestFit="1" customWidth="1"/>
    <col min="2" max="6" width="14.140625" style="32" bestFit="1" customWidth="1"/>
    <col min="7" max="8" width="13.140625" style="32" bestFit="1" customWidth="1"/>
  </cols>
  <sheetData>
    <row r="2" spans="1:8">
      <c r="A2" s="19" t="s">
        <v>49</v>
      </c>
      <c r="B2" s="22">
        <f>8</f>
        <v>8</v>
      </c>
      <c r="C2" s="22">
        <v>7</v>
      </c>
      <c r="D2" s="22">
        <v>6</v>
      </c>
      <c r="E2" s="22">
        <v>5</v>
      </c>
      <c r="F2" s="22">
        <v>4</v>
      </c>
      <c r="G2" s="22">
        <v>3</v>
      </c>
      <c r="H2" s="22">
        <v>2</v>
      </c>
    </row>
    <row r="3" spans="1:8">
      <c r="A3" s="19" t="s">
        <v>50</v>
      </c>
      <c r="B3" s="22">
        <v>5</v>
      </c>
      <c r="C3" s="22">
        <v>5</v>
      </c>
      <c r="D3" s="22">
        <v>5</v>
      </c>
      <c r="E3" s="22">
        <v>5</v>
      </c>
      <c r="F3" s="22">
        <v>5</v>
      </c>
      <c r="G3" s="22">
        <v>5</v>
      </c>
      <c r="H3" s="22">
        <v>5</v>
      </c>
    </row>
    <row r="4" spans="1:8">
      <c r="A4" s="19" t="s">
        <v>51</v>
      </c>
      <c r="B4" s="22">
        <v>52</v>
      </c>
      <c r="C4" s="22">
        <v>52</v>
      </c>
      <c r="D4" s="22">
        <v>52</v>
      </c>
      <c r="E4" s="22">
        <v>52</v>
      </c>
      <c r="F4" s="22">
        <v>52</v>
      </c>
      <c r="G4" s="22">
        <v>52</v>
      </c>
      <c r="H4" s="22">
        <v>52</v>
      </c>
    </row>
    <row r="5" spans="1:8">
      <c r="A5" s="19" t="s">
        <v>58</v>
      </c>
      <c r="B5" s="22">
        <f>B2*B3*B4</f>
        <v>2080</v>
      </c>
      <c r="C5" s="22">
        <f t="shared" ref="C5:H5" si="0">C2*C3*C4</f>
        <v>1820</v>
      </c>
      <c r="D5" s="22">
        <f t="shared" si="0"/>
        <v>1560</v>
      </c>
      <c r="E5" s="22">
        <f t="shared" si="0"/>
        <v>1300</v>
      </c>
      <c r="F5" s="22">
        <f t="shared" si="0"/>
        <v>1040</v>
      </c>
      <c r="G5" s="22">
        <f t="shared" si="0"/>
        <v>780</v>
      </c>
      <c r="H5" s="22">
        <f t="shared" si="0"/>
        <v>520</v>
      </c>
    </row>
    <row r="6" spans="1:8" ht="4.5" customHeight="1">
      <c r="A6" s="19"/>
      <c r="B6" s="22"/>
      <c r="C6" s="22"/>
      <c r="D6" s="22"/>
      <c r="E6" s="22"/>
      <c r="F6" s="22"/>
      <c r="G6" s="22"/>
      <c r="H6" s="22"/>
    </row>
    <row r="7" spans="1:8">
      <c r="A7" s="19" t="s">
        <v>52</v>
      </c>
      <c r="B7" s="22">
        <f>'Sit. Actual'!$J$9</f>
        <v>9900</v>
      </c>
      <c r="C7" s="22">
        <f>'Sit. Actual'!$J$9</f>
        <v>9900</v>
      </c>
      <c r="D7" s="22">
        <f>'Sit. Actual'!$J$9</f>
        <v>9900</v>
      </c>
      <c r="E7" s="22">
        <f>'Sit. Actual'!$J$9</f>
        <v>9900</v>
      </c>
      <c r="F7" s="22">
        <f>'Sit. Actual'!$J$9</f>
        <v>9900</v>
      </c>
      <c r="G7" s="22">
        <f>'Sit. Actual'!$J$9</f>
        <v>9900</v>
      </c>
      <c r="H7" s="22">
        <f>'Sit. Actual'!$J$9</f>
        <v>9900</v>
      </c>
    </row>
    <row r="8" spans="1:8">
      <c r="A8" s="19" t="s">
        <v>53</v>
      </c>
      <c r="B8" s="20">
        <f>'Sit. Actual'!$F$17</f>
        <v>0.98660687047630113</v>
      </c>
      <c r="C8" s="20">
        <f>'Sit. Actual'!$F$17</f>
        <v>0.98660687047630113</v>
      </c>
      <c r="D8" s="20">
        <f>'Sit. Actual'!$F$17</f>
        <v>0.98660687047630113</v>
      </c>
      <c r="E8" s="20">
        <f>'Sit. Actual'!$F$17</f>
        <v>0.98660687047630113</v>
      </c>
      <c r="F8" s="20">
        <f>'Sit. Actual'!$F$17</f>
        <v>0.98660687047630113</v>
      </c>
      <c r="G8" s="20">
        <f>'Sit. Actual'!$F$17</f>
        <v>0.98660687047630113</v>
      </c>
      <c r="H8" s="20">
        <f>'Sit. Actual'!$F$17</f>
        <v>0.98660687047630113</v>
      </c>
    </row>
    <row r="9" spans="1:8">
      <c r="A9" s="19" t="s">
        <v>54</v>
      </c>
      <c r="B9" s="20">
        <f>'Sit. Propuesta'!$F$17</f>
        <v>0.99294676061128084</v>
      </c>
      <c r="C9" s="20">
        <f>'Sit. Propuesta'!$F$17</f>
        <v>0.99294676061128084</v>
      </c>
      <c r="D9" s="20">
        <f>'Sit. Propuesta'!$F$17</f>
        <v>0.99294676061128084</v>
      </c>
      <c r="E9" s="20">
        <f>'Sit. Propuesta'!$F$17</f>
        <v>0.99294676061128084</v>
      </c>
      <c r="F9" s="20">
        <f>'Sit. Propuesta'!$F$17</f>
        <v>0.99294676061128084</v>
      </c>
      <c r="G9" s="20">
        <f>'Sit. Propuesta'!$F$17</f>
        <v>0.99294676061128084</v>
      </c>
      <c r="H9" s="20">
        <f>'Sit. Propuesta'!$F$17</f>
        <v>0.99294676061128084</v>
      </c>
    </row>
    <row r="10" spans="1:8" ht="9" customHeight="1">
      <c r="A10" s="19"/>
      <c r="B10" s="20"/>
      <c r="C10" s="20"/>
      <c r="D10" s="20"/>
      <c r="E10" s="20"/>
      <c r="F10" s="20"/>
      <c r="G10" s="20"/>
      <c r="H10" s="20"/>
    </row>
    <row r="11" spans="1:8">
      <c r="A11" s="19" t="s">
        <v>55</v>
      </c>
      <c r="B11" s="38">
        <f>B5*B7*B8</f>
        <v>20316208.676847994</v>
      </c>
      <c r="C11" s="38">
        <f t="shared" ref="C11:H11" si="1">C5*C7*C8</f>
        <v>17776682.592241995</v>
      </c>
      <c r="D11" s="38">
        <f t="shared" si="1"/>
        <v>15237156.507635994</v>
      </c>
      <c r="E11" s="38">
        <f t="shared" si="1"/>
        <v>12697630.423029996</v>
      </c>
      <c r="F11" s="38">
        <f t="shared" si="1"/>
        <v>10158104.338423997</v>
      </c>
      <c r="G11" s="38">
        <f t="shared" si="1"/>
        <v>7618578.2538179969</v>
      </c>
      <c r="H11" s="38">
        <f t="shared" si="1"/>
        <v>5079052.1692119986</v>
      </c>
    </row>
    <row r="12" spans="1:8">
      <c r="A12" s="19" t="s">
        <v>56</v>
      </c>
      <c r="B12" s="38">
        <f>B5*B7*B9</f>
        <v>20446759.694507495</v>
      </c>
      <c r="C12" s="38">
        <f t="shared" ref="C12:H12" si="2">C5*C7*C9</f>
        <v>17890914.73269406</v>
      </c>
      <c r="D12" s="38">
        <f t="shared" si="2"/>
        <v>15335069.770880621</v>
      </c>
      <c r="E12" s="38">
        <f t="shared" si="2"/>
        <v>12779224.809067184</v>
      </c>
      <c r="F12" s="38">
        <f t="shared" si="2"/>
        <v>10223379.847253747</v>
      </c>
      <c r="G12" s="38">
        <f t="shared" si="2"/>
        <v>7667534.8854403105</v>
      </c>
      <c r="H12" s="38">
        <f t="shared" si="2"/>
        <v>5111689.9236268736</v>
      </c>
    </row>
    <row r="13" spans="1:8">
      <c r="A13" s="19" t="s">
        <v>57</v>
      </c>
      <c r="B13" s="38">
        <f>768*1000</f>
        <v>768000</v>
      </c>
      <c r="C13" s="38">
        <f t="shared" ref="C13:H13" si="3">768*1000</f>
        <v>768000</v>
      </c>
      <c r="D13" s="38">
        <f t="shared" si="3"/>
        <v>768000</v>
      </c>
      <c r="E13" s="38">
        <f t="shared" si="3"/>
        <v>768000</v>
      </c>
      <c r="F13" s="38">
        <f t="shared" si="3"/>
        <v>768000</v>
      </c>
      <c r="G13" s="38">
        <f t="shared" si="3"/>
        <v>768000</v>
      </c>
      <c r="H13" s="38">
        <f t="shared" si="3"/>
        <v>768000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Sit. Actual</vt:lpstr>
      <vt:lpstr>Sit. Propuesta</vt:lpstr>
      <vt:lpstr>RESUMEN</vt:lpstr>
      <vt:lpstr>Sensibilidad Horas diarias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2022-02-15T19:49:44Z</dcterms:created>
  <dcterms:modified xsi:type="dcterms:W3CDTF">2022-02-17T22:09:19Z</dcterms:modified>
</cp:coreProperties>
</file>