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5.xml.rels" ContentType="application/vnd.openxmlformats-package.relationships+xml"/>
  <Override PartName="/xl/worksheets/_rels/sheet4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_DATOS" sheetId="1" state="visible" r:id="rId3"/>
    <sheet name="2_CALCULOS" sheetId="2" state="visible" r:id="rId4"/>
    <sheet name="3_MONTECARLO" sheetId="3" state="visible" r:id="rId5"/>
    <sheet name="4_COBERTURA" sheetId="4" state="visible" r:id="rId6"/>
    <sheet name="5_RADIOS" sheetId="5" state="visible" r:id="rId7"/>
    <sheet name="6_RESUMEN" sheetId="6" state="visible" r:id="rId8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<sst xmlns="http://schemas.openxmlformats.org/spreadsheetml/2006/main" count="527" uniqueCount="419">
  <si>
    <t xml:space="preserve">SIMULACION TACTICA DEFENSA ANTIMISIL – DATOS VARIABLES</t>
  </si>
  <si>
    <t xml:space="preserve">Modifique SOLO las celdas de fondo amarillo. Todos los calculos se actualizan automaticamente.</t>
  </si>
  <si>
    <t xml:space="preserve">A.  MISILES DEFENSIVOS</t>
  </si>
  <si>
    <t xml:space="preserve">Fuente / Nota</t>
  </si>
  <si>
    <t xml:space="preserve">Rango max ESSM (mn)</t>
  </si>
  <si>
    <t xml:space="preserve">FFG Adelaide – RIM-162</t>
  </si>
  <si>
    <t xml:space="preserve">Rango max SM-2 (mn)</t>
  </si>
  <si>
    <t xml:space="preserve">FFG Adelaide – RIM-66</t>
  </si>
  <si>
    <t xml:space="preserve">Rango max Sea Ceptor (mn)</t>
  </si>
  <si>
    <t xml:space="preserve">FF23 – MBDA CAMM</t>
  </si>
  <si>
    <t xml:space="preserve">Velocidad ESSM (nudos)</t>
  </si>
  <si>
    <t xml:space="preserve">Aprox. Mach 1</t>
  </si>
  <si>
    <t xml:space="preserve">Velocidad SM-2 (nudos)</t>
  </si>
  <si>
    <t xml:space="preserve">Aprox. Mach 2+</t>
  </si>
  <si>
    <t xml:space="preserve">Velocidad Sea Ceptor (nudos)</t>
  </si>
  <si>
    <t xml:space="preserve">Aprox. Mach 3 terminal</t>
  </si>
  <si>
    <t xml:space="preserve">T. lanzamiento ESSM (s)</t>
  </si>
  <si>
    <t xml:space="preserve">Salva simple = 1 misil</t>
  </si>
  <si>
    <t xml:space="preserve">T. lanzamiento SC (s)</t>
  </si>
  <si>
    <t xml:space="preserve">Salvas ESSM por engagement</t>
  </si>
  <si>
    <t xml:space="preserve">1=simple  2=doble</t>
  </si>
  <si>
    <t xml:space="preserve">Salvas SC por engagement</t>
  </si>
  <si>
    <t xml:space="preserve">B.  MISIL DE SUPERFICIE ENEMIGO (ASM)</t>
  </si>
  <si>
    <t xml:space="preserve">Velocidad ASM (nudos)</t>
  </si>
  <si>
    <t xml:space="preserve">Misil crucero antibuque</t>
  </si>
  <si>
    <t xml:space="preserve">Altura vuelo ASM (pies)</t>
  </si>
  <si>
    <t xml:space="preserve">Sea-skimmer rasante</t>
  </si>
  <si>
    <t xml:space="preserve">Pd deteccion a 10 mn (%)</t>
  </si>
  <si>
    <t xml:space="preserve">Limite exterior horizonte radar</t>
  </si>
  <si>
    <t xml:space="preserve">Pd deteccion a 5 mn (%)</t>
  </si>
  <si>
    <t xml:space="preserve">Adquisicion segura</t>
  </si>
  <si>
    <t xml:space="preserve">Distancia deteccion inicial (mn)</t>
  </si>
  <si>
    <t xml:space="preserve">Zona alerta temprana</t>
  </si>
  <si>
    <t xml:space="preserve">C.  VENTANAS DE ENFRENTAMIENTO</t>
  </si>
  <si>
    <t xml:space="preserve">ESSM engagement max (mn)</t>
  </si>
  <si>
    <t xml:space="preserve">Limite exterior zona ESSM</t>
  </si>
  <si>
    <t xml:space="preserve">ESSM engagement min (mn)</t>
  </si>
  <si>
    <t xml:space="preserve">Limite interior zona ESSM</t>
  </si>
  <si>
    <t xml:space="preserve">Sea Ceptor engagement max (mn)</t>
  </si>
  <si>
    <t xml:space="preserve">Limite exterior zona SC</t>
  </si>
  <si>
    <t xml:space="preserve">Sea Ceptor engagement min (mn)</t>
  </si>
  <si>
    <t xml:space="preserve">Limite interior zona SC</t>
  </si>
  <si>
    <t xml:space="preserve">Pd ESSM en zona engagement (%)</t>
  </si>
  <si>
    <t xml:space="preserve">Track en ventana ESSM</t>
  </si>
  <si>
    <t xml:space="preserve">Pd SC en zona engagement (%)</t>
  </si>
  <si>
    <t xml:space="preserve">Track en ventana SC</t>
  </si>
  <si>
    <t xml:space="preserve">D.  POSICIONAMIENTO Y EJE DE AMENAZA</t>
  </si>
  <si>
    <t xml:space="preserve">Eje de amenaza (grados 0-359)</t>
  </si>
  <si>
    <t xml:space="preserve">000=Norte. DATO CLAVE – impacta todo</t>
  </si>
  <si>
    <t xml:space="preserve">Dist FFG-1 al HVU (yardas)</t>
  </si>
  <si>
    <t xml:space="preserve">Cobertura optima 2000-5000 yd</t>
  </si>
  <si>
    <t xml:space="preserve">Marcacion FFG-1 desde HVU (grd)</t>
  </si>
  <si>
    <t xml:space="preserve">Sobre el eje de amenaza opuesto</t>
  </si>
  <si>
    <t xml:space="preserve">Dist FFG-2 al HVU (yardas)</t>
  </si>
  <si>
    <t xml:space="preserve">Segunda FFG (si activa)</t>
  </si>
  <si>
    <t xml:space="preserve">Marcacion FFG-2 desde HVU (grd)</t>
  </si>
  <si>
    <t xml:space="preserve">Offset 20° para doble capa</t>
  </si>
  <si>
    <t xml:space="preserve">Dist FF23-1 al HVU (yardas)</t>
  </si>
  <si>
    <t xml:space="preserve">Cobertura optima 500-2000 yd</t>
  </si>
  <si>
    <t xml:space="preserve">Marcacion FF23-1 desde HVU (grd)</t>
  </si>
  <si>
    <t xml:space="preserve">Sector oblicuo izquierdo</t>
  </si>
  <si>
    <t xml:space="preserve">Dist FF23-2 al HVU (yardas)</t>
  </si>
  <si>
    <t xml:space="preserve">Segunda FF23 (si activa)</t>
  </si>
  <si>
    <t xml:space="preserve">Marcacion FF23-2 desde HVU (grd)</t>
  </si>
  <si>
    <t xml:space="preserve">Sector oblicuo derecho</t>
  </si>
  <si>
    <t xml:space="preserve">Dist FF23-3 al HVU (yardas)</t>
  </si>
  <si>
    <t xml:space="preserve">Tercera FF23 (si activa)</t>
  </si>
  <si>
    <t xml:space="preserve">Marcacion FF23-3 desde HVU (grd)</t>
  </si>
  <si>
    <t xml:space="preserve">Sector lateral</t>
  </si>
  <si>
    <t xml:space="preserve">E.  CONFIGURACION DE FLOTA ACTIVA</t>
  </si>
  <si>
    <t xml:space="preserve">Configuracion activa:</t>
  </si>
  <si>
    <t xml:space="preserve">2-FFG+2-FF23</t>
  </si>
  <si>
    <t xml:space="preserve">Seleccione de la lista desplegable</t>
  </si>
  <si>
    <t xml:space="preserve">Numero FFG activas (automatico):</t>
  </si>
  <si>
    <t xml:space="preserve">Numero FF23 activas (automatico):</t>
  </si>
  <si>
    <t xml:space="preserve">LEYENDA COLORES:  Azul oscuro = misiles defensivos  |  Rojo oscuro = amenaza  |  Verde = engagement  |  Morado = posicionamiento</t>
  </si>
  <si>
    <t xml:space="preserve">CALCULOS DE PROBABILIDAD Y SIMULACION (Pk)</t>
  </si>
  <si>
    <t xml:space="preserve">1.  VELOCIDADES RELATIVAS  (misil defensor vs ASM)</t>
  </si>
  <si>
    <t xml:space="preserve">Parametro</t>
  </si>
  <si>
    <t xml:space="preserve">ESSM</t>
  </si>
  <si>
    <t xml:space="preserve">SM-2</t>
  </si>
  <si>
    <t xml:space="preserve">Sea Ceptor</t>
  </si>
  <si>
    <t xml:space="preserve">Unidad</t>
  </si>
  <si>
    <t xml:space="preserve">V. defensor (kn)</t>
  </si>
  <si>
    <t xml:space="preserve">kn</t>
  </si>
  <si>
    <t xml:space="preserve">V. ASM (kn)</t>
  </si>
  <si>
    <t xml:space="preserve">Vel. rel head-on(kn)</t>
  </si>
  <si>
    <t xml:space="preserve">Vel. rel tail-on(kn)</t>
  </si>
  <si>
    <t xml:space="preserve">Vel. rel (mn/s)</t>
  </si>
  <si>
    <t xml:space="preserve">mn/s</t>
  </si>
  <si>
    <t xml:space="preserve">2.  TIEMPOS DE VUELO Y VENTANA DE INTERCEPCION</t>
  </si>
  <si>
    <t xml:space="preserve">Rango max engagement (mn)</t>
  </si>
  <si>
    <t xml:space="preserve">mn</t>
  </si>
  <si>
    <t xml:space="preserve">T vuelo ASM en rango (s)</t>
  </si>
  <si>
    <t xml:space="preserve">s</t>
  </si>
  <si>
    <t xml:space="preserve">T vuelo defensor (s)</t>
  </si>
  <si>
    <t xml:space="preserve">Ventana intercepcion (s)</t>
  </si>
  <si>
    <t xml:space="preserve">T lanzamiento (s)</t>
  </si>
  <si>
    <t xml:space="preserve">Tiempo disponible neto(s)</t>
  </si>
  <si>
    <t xml:space="preserve">3.  PROBABILIDAD DE DETECCION Pd(D) — interpolacion lineal</t>
  </si>
  <si>
    <t xml:space="preserve">Pd(D) = Pd10 + (D10-D)/(D10-D5) * (Pd5-Pd10)  para D en [D5, D10];  Pd=Pd5 si D&lt;D5;  Pd=Pd10 si D&gt;D10</t>
  </si>
  <si>
    <t xml:space="preserve">Dist (mn)</t>
  </si>
  <si>
    <t xml:space="preserve">Pd (%)</t>
  </si>
  <si>
    <t xml:space="preserve">Estado</t>
  </si>
  <si>
    <t xml:space="preserve">D = 10 mn</t>
  </si>
  <si>
    <t xml:space="preserve">D = 9 mn</t>
  </si>
  <si>
    <t xml:space="preserve">D = 8 mn</t>
  </si>
  <si>
    <t xml:space="preserve">D = 7 mn</t>
  </si>
  <si>
    <t xml:space="preserve">D = 6 mn</t>
  </si>
  <si>
    <t xml:space="preserve">D = 5 mn</t>
  </si>
  <si>
    <t xml:space="preserve">D = 4 mn</t>
  </si>
  <si>
    <t xml:space="preserve">D = 3 mn</t>
  </si>
  <si>
    <t xml:space="preserve">D = 2 mn</t>
  </si>
  <si>
    <t xml:space="preserve">D = 1 mn</t>
  </si>
  <si>
    <t xml:space="preserve">4.  PROBABILIDAD DE DESTRUCCION  Pk = 1 - (1 - Pd·Pss)^n</t>
  </si>
  <si>
    <t xml:space="preserve">Pd=prob.deteccion  Pss=kill prob misil individual  n=salvas configuradas</t>
  </si>
  <si>
    <t xml:space="preserve">Pd en zona engagement</t>
  </si>
  <si>
    <t xml:space="preserve">%</t>
  </si>
  <si>
    <t xml:space="preserve">Pss misil individual</t>
  </si>
  <si>
    <t xml:space="preserve">est.</t>
  </si>
  <si>
    <t xml:space="preserve">n salvas (configurado)</t>
  </si>
  <si>
    <t xml:space="preserve">ud</t>
  </si>
  <si>
    <t xml:space="preserve">Pk salva SIMPLE (n=1)</t>
  </si>
  <si>
    <t xml:space="preserve">Pk salva DOBLE (n=2)</t>
  </si>
  <si>
    <t xml:space="preserve">Pk con n config.</t>
  </si>
  <si>
    <t xml:space="preserve">Pk TOTAL grupo (capas)</t>
  </si>
  <si>
    <t xml:space="preserve">5.  Pk POR DISTANCIA DEL ASM AL BUQUE DEFENSOR</t>
  </si>
  <si>
    <t xml:space="preserve">Dist ASM (mn)</t>
  </si>
  <si>
    <t xml:space="preserve">T vuelo ASM(s)</t>
  </si>
  <si>
    <t xml:space="preserve">Pk ESSM</t>
  </si>
  <si>
    <t xml:space="preserve">Pk SC</t>
  </si>
  <si>
    <t xml:space="preserve">Pk Total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</si>
  <si>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</si>
  <si>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</si>
  <si>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</si>
  <si>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</si>
  <si>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</si>
  <si>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</si>
  <si>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</si>
  <si>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</si>
  <si>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</si>
  <si>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</si>
  <si>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</si>
  <si>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</si>
  <si>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13</t>
  </si>
  <si>
    <t xml:space="preserve">14</t>
  </si>
  <si>
    <t xml:space="preserve">15</t>
  </si>
  <si>
    <t xml:space="preserve">SIMULACION MONTE CARLO (100 escenarios) + POSICIONES OPTIMAS POR EJE DE AMENAZA</t>
  </si>
  <si>
    <t xml:space="preserve">F9 = recalcular escenarios aleatorios. El eje de amenaza (1_DATOS!C32) impacta directamente en las posiciones optimas calculadas en la seccion inferior.</t>
  </si>
  <si>
    <t xml:space="preserve">ESCENARIOS ALEATORIOS DE ATAQUE ASM</t>
  </si>
  <si>
    <t xml:space="preserve">Escenario</t>
  </si>
  <si>
    <t xml:space="preserve">Dist lanz (mn)</t>
  </si>
  <si>
    <t xml:space="preserve">Pk TOTAL</t>
  </si>
  <si>
    <t xml:space="preserve">Neutralizado?</t>
  </si>
  <si>
    <t xml:space="preserve">Impacto HVU?</t>
  </si>
  <si>
    <t xml:space="preserve">Esc. 001</t>
  </si>
  <si>
    <t xml:space="preserve">Esc. 002</t>
  </si>
  <si>
    <t xml:space="preserve">Esc. 003</t>
  </si>
  <si>
    <t xml:space="preserve">Esc. 004</t>
  </si>
  <si>
    <t xml:space="preserve">Esc. 005</t>
  </si>
  <si>
    <t xml:space="preserve">Esc. 006</t>
  </si>
  <si>
    <t xml:space="preserve">Esc. 007</t>
  </si>
  <si>
    <t xml:space="preserve">Esc. 008</t>
  </si>
  <si>
    <t xml:space="preserve">Esc. 009</t>
  </si>
  <si>
    <t xml:space="preserve">Esc. 010</t>
  </si>
  <si>
    <t xml:space="preserve">Esc. 011</t>
  </si>
  <si>
    <t xml:space="preserve">Esc. 012</t>
  </si>
  <si>
    <t xml:space="preserve">Esc. 013</t>
  </si>
  <si>
    <t xml:space="preserve">Esc. 014</t>
  </si>
  <si>
    <t xml:space="preserve">Esc. 015</t>
  </si>
  <si>
    <t xml:space="preserve">Esc. 016</t>
  </si>
  <si>
    <t xml:space="preserve">Esc. 017</t>
  </si>
  <si>
    <t xml:space="preserve">Esc. 018</t>
  </si>
  <si>
    <t xml:space="preserve">Esc. 019</t>
  </si>
  <si>
    <t xml:space="preserve">Esc. 020</t>
  </si>
  <si>
    <t xml:space="preserve">Esc. 021</t>
  </si>
  <si>
    <t xml:space="preserve">Esc. 022</t>
  </si>
  <si>
    <t xml:space="preserve">Esc. 023</t>
  </si>
  <si>
    <t xml:space="preserve">Esc. 024</t>
  </si>
  <si>
    <t xml:space="preserve">Esc. 025</t>
  </si>
  <si>
    <t xml:space="preserve">Esc. 026</t>
  </si>
  <si>
    <t xml:space="preserve">Esc. 027</t>
  </si>
  <si>
    <t xml:space="preserve">Esc. 028</t>
  </si>
  <si>
    <t xml:space="preserve">Esc. 029</t>
  </si>
  <si>
    <t xml:space="preserve">Esc. 030</t>
  </si>
  <si>
    <t xml:space="preserve">Esc. 031</t>
  </si>
  <si>
    <t xml:space="preserve">Esc. 032</t>
  </si>
  <si>
    <t xml:space="preserve">Esc. 033</t>
  </si>
  <si>
    <t xml:space="preserve">Esc. 034</t>
  </si>
  <si>
    <t xml:space="preserve">Esc. 035</t>
  </si>
  <si>
    <t xml:space="preserve">Esc. 036</t>
  </si>
  <si>
    <t xml:space="preserve">Esc. 037</t>
  </si>
  <si>
    <t xml:space="preserve">Esc. 038</t>
  </si>
  <si>
    <t xml:space="preserve">Esc. 039</t>
  </si>
  <si>
    <t xml:space="preserve">Esc. 040</t>
  </si>
  <si>
    <t xml:space="preserve">Esc. 041</t>
  </si>
  <si>
    <t xml:space="preserve">Esc. 042</t>
  </si>
  <si>
    <t xml:space="preserve">Esc. 043</t>
  </si>
  <si>
    <t xml:space="preserve">Esc. 044</t>
  </si>
  <si>
    <t xml:space="preserve">Esc. 045</t>
  </si>
  <si>
    <t xml:space="preserve">Esc. 046</t>
  </si>
  <si>
    <t xml:space="preserve">Esc. 047</t>
  </si>
  <si>
    <t xml:space="preserve">Esc. 048</t>
  </si>
  <si>
    <t xml:space="preserve">Esc. 049</t>
  </si>
  <si>
    <t xml:space="preserve">Esc. 050</t>
  </si>
  <si>
    <t xml:space="preserve">Esc. 051</t>
  </si>
  <si>
    <t xml:space="preserve">Esc. 052</t>
  </si>
  <si>
    <t xml:space="preserve">Esc. 053</t>
  </si>
  <si>
    <t xml:space="preserve">Esc. 054</t>
  </si>
  <si>
    <t xml:space="preserve">Esc. 055</t>
  </si>
  <si>
    <t xml:space="preserve">Esc. 056</t>
  </si>
  <si>
    <t xml:space="preserve">Esc. 057</t>
  </si>
  <si>
    <t xml:space="preserve">Esc. 058</t>
  </si>
  <si>
    <t xml:space="preserve">Esc. 059</t>
  </si>
  <si>
    <t xml:space="preserve">Esc. 060</t>
  </si>
  <si>
    <t xml:space="preserve">Esc. 061</t>
  </si>
  <si>
    <t xml:space="preserve">Esc. 062</t>
  </si>
  <si>
    <t xml:space="preserve">Esc. 063</t>
  </si>
  <si>
    <t xml:space="preserve">Esc. 064</t>
  </si>
  <si>
    <t xml:space="preserve">Esc. 065</t>
  </si>
  <si>
    <t xml:space="preserve">Esc. 066</t>
  </si>
  <si>
    <t xml:space="preserve">Esc. 067</t>
  </si>
  <si>
    <t xml:space="preserve">Esc. 068</t>
  </si>
  <si>
    <t xml:space="preserve">Esc. 069</t>
  </si>
  <si>
    <t xml:space="preserve">Esc. 070</t>
  </si>
  <si>
    <t xml:space="preserve">Esc. 071</t>
  </si>
  <si>
    <t xml:space="preserve">Esc. 072</t>
  </si>
  <si>
    <t xml:space="preserve">Esc. 073</t>
  </si>
  <si>
    <t xml:space="preserve">Esc. 074</t>
  </si>
  <si>
    <t xml:space="preserve">Esc. 075</t>
  </si>
  <si>
    <t xml:space="preserve">Esc. 076</t>
  </si>
  <si>
    <t xml:space="preserve">Esc. 077</t>
  </si>
  <si>
    <t xml:space="preserve">Esc. 078</t>
  </si>
  <si>
    <t xml:space="preserve">Esc. 079</t>
  </si>
  <si>
    <t xml:space="preserve">Esc. 080</t>
  </si>
  <si>
    <t xml:space="preserve">Esc. 081</t>
  </si>
  <si>
    <t xml:space="preserve">Esc. 082</t>
  </si>
  <si>
    <t xml:space="preserve">Esc. 083</t>
  </si>
  <si>
    <t xml:space="preserve">Esc. 084</t>
  </si>
  <si>
    <t xml:space="preserve">Esc. 085</t>
  </si>
  <si>
    <t xml:space="preserve">Esc. 086</t>
  </si>
  <si>
    <t xml:space="preserve">Esc. 087</t>
  </si>
  <si>
    <t xml:space="preserve">Esc. 088</t>
  </si>
  <si>
    <t xml:space="preserve">Esc. 089</t>
  </si>
  <si>
    <t xml:space="preserve">Esc. 090</t>
  </si>
  <si>
    <t xml:space="preserve">Esc. 091</t>
  </si>
  <si>
    <t xml:space="preserve">Esc. 092</t>
  </si>
  <si>
    <t xml:space="preserve">Esc. 093</t>
  </si>
  <si>
    <t xml:space="preserve">Esc. 094</t>
  </si>
  <si>
    <t xml:space="preserve">Esc. 095</t>
  </si>
  <si>
    <t xml:space="preserve">Esc. 096</t>
  </si>
  <si>
    <t xml:space="preserve">Esc. 097</t>
  </si>
  <si>
    <t xml:space="preserve">Esc. 098</t>
  </si>
  <si>
    <t xml:space="preserve">Esc. 099</t>
  </si>
  <si>
    <t xml:space="preserve">Esc. 100</t>
  </si>
  <si>
    <t xml:space="preserve">RESUMEN ESTADISTICO MONTE CARLO</t>
  </si>
  <si>
    <t xml:space="preserve">Pk TOTAL promedio:</t>
  </si>
  <si>
    <t xml:space="preserve">Pk maximo:</t>
  </si>
  <si>
    <t xml:space="preserve">Pk minimo:</t>
  </si>
  <si>
    <t xml:space="preserve">Escenarios neutralizados:</t>
  </si>
  <si>
    <t xml:space="preserve">% escenarios neutralizados:</t>
  </si>
  <si>
    <t xml:space="preserve">Escenarios con impacto HVU:</t>
  </si>
  <si>
    <t xml:space="preserve">POSICIONES OPTIMAS CALCULADAS SEGUN EJE DE AMENAZA</t>
  </si>
  <si>
    <t xml:space="preserve">Eje de amenaza actual: referenciado desde 1_DATOS!C32. Las posiciones optimas calculadas colocan a los buques interpuestos entre el HVU y el sector de amenaza, maximizando la superposicion de coberturas ESSM y Sea Ceptor sobre el vector de aproximacion del ASM.</t>
  </si>
  <si>
    <t xml:space="preserve">Buque</t>
  </si>
  <si>
    <t xml:space="preserve">Dist optima (yd)</t>
  </si>
  <si>
    <t xml:space="preserve">Marcacion optima (grd)</t>
  </si>
  <si>
    <t xml:space="preserve">X optimo (yd)</t>
  </si>
  <si>
    <t xml:space="preserve">Y optimo (yd)</t>
  </si>
  <si>
    <t xml:space="preserve">Posicion actual (yd)</t>
  </si>
  <si>
    <t xml:space="preserve">Marcacion actual (grd)</t>
  </si>
  <si>
    <t xml:space="preserve">Delta eficiencia</t>
  </si>
  <si>
    <t xml:space="preserve">FFG Adelaide 1</t>
  </si>
  <si>
    <t xml:space="preserve">FFG Adelaide 2</t>
  </si>
  <si>
    <t xml:space="preserve">FF23 Nro.1</t>
  </si>
  <si>
    <t xml:space="preserve">FF23 Nro.2</t>
  </si>
  <si>
    <t xml:space="preserve">FF23 Nro.3</t>
  </si>
  <si>
    <t xml:space="preserve">NOTA: Delta eficiencia = 1 - (diferencia angular / 180°). Valor 100% = posicion actual identica a optima. Valor &lt;70% indica reposicionamiento recomendado. Ver comparacion detallada en hoja 4_COBERTURA.</t>
  </si>
  <si>
    <t xml:space="preserve">COBERTURA VISUAL TACTICA – HVU AL CENTRO – EJE AMENAZA VARIABLE</t>
  </si>
  <si>
    <t xml:space="preserve">Panel superior: modifique posiciones. Seccion inferior: comparacion automatica vs posiciones optimas del Montecarlo.</t>
  </si>
  <si>
    <t xml:space="preserve">PANEL DE CONFIGURACION DE FLOTA</t>
  </si>
  <si>
    <t xml:space="preserve">Configuracion:</t>
  </si>
  <si>
    <t xml:space="preserve">Eje amenaza (°):</t>
  </si>
  <si>
    <t xml:space="preserve">FFG activas:</t>
  </si>
  <si>
    <t xml:space="preserve">Dist HVU (yd)</t>
  </si>
  <si>
    <t xml:space="preserve">Marcacion (grd)</t>
  </si>
  <si>
    <t xml:space="preserve">Activo</t>
  </si>
  <si>
    <t xml:space="preserve">ESSM radio(mn)</t>
  </si>
  <si>
    <t xml:space="preserve">SC radio(mn)</t>
  </si>
  <si>
    <t xml:space="preserve">X buque (yd)</t>
  </si>
  <si>
    <t xml:space="preserve">Y buque (yd)</t>
  </si>
  <si>
    <t xml:space="preserve">—</t>
  </si>
  <si>
    <t xml:space="preserve">⚠  Nota: Los valores de distancia y marcacion se toman de 1_DATOS. Para probar posiciones alternativas, cambie directamente los valores en 1_DATOS (filas 33-42).</t>
  </si>
  <si>
    <t xml:space="preserve">COMPARACION DE EFICIENCIA: POSICION ACTUAL vs OPTIMA (MONTECARLO)</t>
  </si>
  <si>
    <t xml:space="preserve">Eficiencia angular = 1 - min(|marc_actual - marc_optima|, 360 - |marc_actual - marc_optima|) / 180. 100% = perfectamente alineado con posicion optima calculada por Montecarlo.</t>
  </si>
  <si>
    <t xml:space="preserve">Marc.Actual(°)</t>
  </si>
  <si>
    <t xml:space="preserve">Marc.Optima(°)</t>
  </si>
  <si>
    <t xml:space="preserve">Dist.Actual(yd)</t>
  </si>
  <si>
    <t xml:space="preserve">Dist.Optima(yd)</t>
  </si>
  <si>
    <t xml:space="preserve">Efic.Angular</t>
  </si>
  <si>
    <t xml:space="preserve">Efic.Distancia</t>
  </si>
  <si>
    <t xml:space="preserve">Efic.TOTAL</t>
  </si>
  <si>
    <t xml:space="preserve">Evaluacion</t>
  </si>
  <si>
    <t xml:space="preserve">COORDENADAS XY PARA GRAFICO POLAR (yardas, HVU en origen)</t>
  </si>
  <si>
    <t xml:space="preserve">Angulo</t>
  </si>
  <si>
    <t xml:space="preserve">R500_X</t>
  </si>
  <si>
    <t xml:space="preserve">R500_Y</t>
  </si>
  <si>
    <t xml:space="preserve">R2000_X</t>
  </si>
  <si>
    <t xml:space="preserve">R2000_Y</t>
  </si>
  <si>
    <t xml:space="preserve">R5000_X</t>
  </si>
  <si>
    <t xml:space="preserve">R5000_Y</t>
  </si>
  <si>
    <t xml:space="preserve">FFG1_ESSM_X</t>
  </si>
  <si>
    <t xml:space="preserve">FFG1_ESSM_Y</t>
  </si>
  <si>
    <t xml:space="preserve">FFG2_ESSM_X</t>
  </si>
  <si>
    <t xml:space="preserve">FFG2_ESSM_Y</t>
  </si>
  <si>
    <t xml:space="preserve">FF231_SC_X</t>
  </si>
  <si>
    <t xml:space="preserve">FF231_SC_Y</t>
  </si>
  <si>
    <t xml:space="preserve">FF232_SC_X</t>
  </si>
  <si>
    <t xml:space="preserve">FF232_SC_Y</t>
  </si>
  <si>
    <t xml:space="preserve">FF233_SC_X</t>
  </si>
  <si>
    <t xml:space="preserve">FF233_SC_Y</t>
  </si>
  <si>
    <t xml:space="preserve">HVU</t>
  </si>
  <si>
    <t xml:space="preserve">FFG-1</t>
  </si>
  <si>
    <t xml:space="preserve">FFG-2</t>
  </si>
  <si>
    <t xml:space="preserve">FF23-1</t>
  </si>
  <si>
    <t xml:space="preserve">FF23-2</t>
  </si>
  <si>
    <t xml:space="preserve">FF23-3</t>
  </si>
  <si>
    <t xml:space="preserve">RADIOS DE MISILES POR UNIDAD – MULTICONFIGURACION (1 FFG+1 FF23 hasta 2 FFG+3 FF23)</t>
  </si>
  <si>
    <t xml:space="preserve">Seleccione configuracion en C5. Ajuste posiciones en el Panel (filas 7-11). El grafico muestra SOLO los buques activos, con sus radios de misiles centrados en su posicion real.</t>
  </si>
  <si>
    <t xml:space="preserve">PANEL DE CONFIGURACION</t>
  </si>
  <si>
    <t xml:space="preserve">FF23 activas:</t>
  </si>
  <si>
    <t xml:space="preserve">Dist HVU(yd)</t>
  </si>
  <si>
    <t xml:space="preserve">Marc.(grd)</t>
  </si>
  <si>
    <t xml:space="preserve">Activo?</t>
  </si>
  <si>
    <t xml:space="preserve">Sistema misil</t>
  </si>
  <si>
    <t xml:space="preserve">Radio(mn)</t>
  </si>
  <si>
    <t xml:space="preserve">SeaCeptor</t>
  </si>
  <si>
    <t xml:space="preserve">Los radios de los circulos se calculan: Radio_yd = Radio_mn × 2025.4 yd/mn. Centrado en posicion de cada buque. Solo buques activos aparecen en el grafico.</t>
  </si>
  <si>
    <t xml:space="preserve">ANALISIS COMPARATIVO DE LAS 6 CONFIGURACIONES</t>
  </si>
  <si>
    <t xml:space="preserve">Configuracion</t>
  </si>
  <si>
    <t xml:space="preserve">FFG</t>
  </si>
  <si>
    <t xml:space="preserve">FF23</t>
  </si>
  <si>
    <t xml:space="preserve">Capas ESSM</t>
  </si>
  <si>
    <t xml:space="preserve">Capas SC</t>
  </si>
  <si>
    <t xml:space="preserve">Cobertura estimada</t>
  </si>
  <si>
    <t xml:space="preserve">Recomendacion</t>
  </si>
  <si>
    <t xml:space="preserve">1-FFG+1-FF23</t>
  </si>
  <si>
    <t xml:space="preserve">Basica – solo eje principal</t>
  </si>
  <si>
    <t xml:space="preserve">Solo eje amenaza 000°</t>
  </si>
  <si>
    <t xml:space="preserve">1-FFG+2-FF23</t>
  </si>
  <si>
    <t xml:space="preserve">Media – sectores oblicuos cubiertos</t>
  </si>
  <si>
    <t xml:space="preserve">FF23 en 225° y 315°</t>
  </si>
  <si>
    <t xml:space="preserve">1-FFG+3-FF23</t>
  </si>
  <si>
    <t xml:space="preserve">Alta punto – triple SC</t>
  </si>
  <si>
    <t xml:space="preserve">FF23 en 225°, 315° y 090°</t>
  </si>
  <si>
    <t xml:space="preserve">2-FFG+1-FF23</t>
  </si>
  <si>
    <t xml:space="preserve">Alta area – doble ESSM frontal</t>
  </si>
  <si>
    <t xml:space="preserve">FFG en 180° y 160°</t>
  </si>
  <si>
    <t xml:space="preserve">OPTIMA – doble capa + flancos</t>
  </si>
  <si>
    <t xml:space="preserve">FFG 180°/160°; FF23 225°/315°</t>
  </si>
  <si>
    <t xml:space="preserve">2-FFG+3-FF23</t>
  </si>
  <si>
    <t xml:space="preserve">Maxima – maxima densidad de fuego</t>
  </si>
  <si>
    <t xml:space="preserve">Maxima inversion de medios</t>
  </si>
  <si>
    <t xml:space="preserve">DATOS COORDENADAS (yardas, HVU en origen) – generados automaticamente</t>
  </si>
  <si>
    <t xml:space="preserve">Ang</t>
  </si>
  <si>
    <t xml:space="preserve">FFG1X</t>
  </si>
  <si>
    <t xml:space="preserve">FFG1Y</t>
  </si>
  <si>
    <t xml:space="preserve">FFG2X</t>
  </si>
  <si>
    <t xml:space="preserve">FFG2Y</t>
  </si>
  <si>
    <t xml:space="preserve">FF231X</t>
  </si>
  <si>
    <t xml:space="preserve">FF231Y</t>
  </si>
  <si>
    <t xml:space="preserve">FF232X</t>
  </si>
  <si>
    <t xml:space="preserve">FF232Y</t>
  </si>
  <si>
    <t xml:space="preserve">FF233X</t>
  </si>
  <si>
    <t xml:space="preserve">FF233Y</t>
  </si>
  <si>
    <t xml:space="preserve">RESUMEN EJECUTIVO – CAPACIDAD DEFENSIVA DEL GRUPO DE TAREA</t>
  </si>
  <si>
    <t xml:space="preserve">SISTEMAS DE ARMAS</t>
  </si>
  <si>
    <t xml:space="preserve">FFG Adelaide</t>
  </si>
  <si>
    <t xml:space="preserve">Misil primario</t>
  </si>
  <si>
    <t xml:space="preserve">ESSM (RIM-162)</t>
  </si>
  <si>
    <t xml:space="preserve">Sea Ceptor (CAMM)</t>
  </si>
  <si>
    <t xml:space="preserve">Misil secundario</t>
  </si>
  <si>
    <t xml:space="preserve">SM-2 (RIM-66)</t>
  </si>
  <si>
    <t xml:space="preserve">Rango max (mn)</t>
  </si>
  <si>
    <t xml:space="preserve">Velocidad misil (kn)</t>
  </si>
  <si>
    <t xml:space="preserve">Zona engagement (mn)</t>
  </si>
  <si>
    <t xml:space="preserve">Pd en engagement</t>
  </si>
  <si>
    <t xml:space="preserve">Pk salva simple</t>
  </si>
  <si>
    <t xml:space="preserve">Pk salva doble</t>
  </si>
  <si>
    <t xml:space="preserve">Pk configurado</t>
  </si>
  <si>
    <t xml:space="preserve">RESUMEN MONTECARLO (100 escenarios)</t>
  </si>
  <si>
    <t xml:space="preserve">Pk promedio:</t>
  </si>
  <si>
    <t xml:space="preserve">Eje amenaza actual (°):</t>
  </si>
  <si>
    <t xml:space="preserve">Eficiencia flota actual:</t>
  </si>
  <si>
    <t xml:space="preserve">LINEA DE TIEMPO DEL ATAQUE ASM (desde eje amenaza hasta HVU)</t>
  </si>
  <si>
    <t xml:space="preserve">Evento</t>
  </si>
  <si>
    <t xml:space="preserve">Distancia (mn)</t>
  </si>
  <si>
    <t xml:space="preserve">Tiempo restante (s)</t>
  </si>
  <si>
    <t xml:space="preserve">Sistema</t>
  </si>
  <si>
    <t xml:space="preserve">Lanzamiento ASM</t>
  </si>
  <si>
    <t xml:space="preserve">Ninguno</t>
  </si>
  <si>
    <t xml:space="preserve">Deteccion inicial (Pd=60%)</t>
  </si>
  <si>
    <t xml:space="preserve">Radar</t>
  </si>
  <si>
    <t xml:space="preserve">Alcance SM-2</t>
  </si>
  <si>
    <t xml:space="preserve">SM-2 FFG</t>
  </si>
  <si>
    <t xml:space="preserve">Alcance ESSM</t>
  </si>
  <si>
    <t xml:space="preserve">ESSM FFG</t>
  </si>
  <si>
    <t xml:space="preserve">Deteccion alta (Pd=95%)</t>
  </si>
  <si>
    <t xml:space="preserve">ESSM+SC</t>
  </si>
  <si>
    <t xml:space="preserve">Alcance Sea Ceptor</t>
  </si>
  <si>
    <t xml:space="preserve">SC FF23</t>
  </si>
  <si>
    <t xml:space="preserve">Zona FFG (5000yd)</t>
  </si>
  <si>
    <t xml:space="preserve">Zona FF23 (2000yd)</t>
  </si>
  <si>
    <t xml:space="preserve">Terminal SC (500yd)</t>
  </si>
  <si>
    <t xml:space="preserve">FF23 terminal</t>
  </si>
  <si>
    <t xml:space="preserve">SIN defensa</t>
  </si>
  <si>
    <t xml:space="preserve">POSICIONES OPTIMAS RECOMENDADAS (segun eje amenaza actual)</t>
  </si>
  <si>
    <t xml:space="preserve">Marc. optima (grd)</t>
  </si>
  <si>
    <t xml:space="preserve">Eficiencia actual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</si>
</sst>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.0"/>
    <numFmt numFmtId="166" formatCode="0"/>
    <numFmt numFmtId="167" formatCode="0.00"/>
    <numFmt numFmtId="168" formatCode="0.0%"/>
    <numFmt numFmtId="169" formatCode="@"/>
  </numFmts>
  <fonts count="4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i val="true"/>
      <sz val="9"/>
      <color rgb="FF595959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9"/>
      <color rgb="FFFFFFFF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0"/>
      <color rgb="FF00008B"/>
      <name val="Arial"/>
      <family val="0"/>
      <charset val="1"/>
    </font>
    <font>
      <b val="true"/>
      <sz val="10"/>
      <color rgb="FF8B0000"/>
      <name val="Arial"/>
      <family val="0"/>
      <charset val="1"/>
    </font>
    <font>
      <b val="true"/>
      <sz val="10"/>
      <color rgb="FF006400"/>
      <name val="Arial"/>
      <family val="0"/>
      <charset val="1"/>
    </font>
    <font>
      <b val="true"/>
      <sz val="10"/>
      <color rgb="FF4B0082"/>
      <name val="Arial"/>
      <family val="0"/>
      <charset val="1"/>
    </font>
    <font>
      <b val="true"/>
      <sz val="10"/>
      <color rgb="FF6A0DAD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1F3864"/>
      <name val="Arial"/>
      <family val="0"/>
      <charset val="1"/>
    </font>
    <font>
      <b val="true"/>
      <sz val="13"/>
      <color rgb="FFFFFFFF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9"/>
      <color rgb="FF000000"/>
      <name val="Arial"/>
      <family val="0"/>
      <charset val="1"/>
    </font>
    <font>
      <sz val="10"/>
      <color rgb="FF00008B"/>
      <name val="Arial"/>
      <family val="0"/>
      <charset val="1"/>
    </font>
    <font>
      <sz val="9"/>
      <color rgb="FF595959"/>
      <name val="Arial"/>
      <family val="0"/>
      <charset val="1"/>
    </font>
    <font>
      <sz val="10"/>
      <color rgb="FF006400"/>
      <name val="Arial"/>
      <family val="0"/>
      <charset val="1"/>
    </font>
    <font>
      <sz val="10"/>
      <color rgb="FF1F3864"/>
      <name val="Arial"/>
      <family val="0"/>
      <charset val="1"/>
    </font>
    <font>
      <b val="true"/>
      <sz val="12"/>
      <color rgb="FFFFFFFF"/>
      <name val="Arial"/>
      <family val="0"/>
      <charset val="1"/>
    </font>
    <font>
      <sz val="10"/>
      <color rgb="FF8B0000"/>
      <name val="Arial"/>
      <family val="0"/>
      <charset val="1"/>
    </font>
    <font>
      <sz val="8"/>
      <color rgb="FF000000"/>
      <name val="Arial"/>
      <family val="0"/>
      <charset val="1"/>
    </font>
    <font>
      <b val="true"/>
      <sz val="9"/>
      <name val="Arial"/>
      <family val="0"/>
      <charset val="1"/>
    </font>
    <font>
      <b val="true"/>
      <sz val="11"/>
      <color rgb="FF1F3864"/>
      <name val="Arial"/>
      <family val="0"/>
      <charset val="1"/>
    </font>
    <font>
      <b val="true"/>
      <sz val="9"/>
      <color rgb="FF1F3864"/>
      <name val="Arial"/>
      <family val="0"/>
      <charset val="1"/>
    </font>
    <font>
      <sz val="10"/>
      <color rgb="FF4B0082"/>
      <name val="Arial"/>
      <family val="0"/>
      <charset val="1"/>
    </font>
    <font>
      <sz val="10"/>
      <color rgb="FF666666"/>
      <name val="Arial"/>
      <family val="0"/>
      <charset val="1"/>
    </font>
    <font>
      <b val="true"/>
      <sz val="9"/>
      <color rgb="FF006400"/>
      <name val="Arial"/>
      <family val="0"/>
      <charset val="1"/>
    </font>
    <font>
      <i val="true"/>
      <sz val="9"/>
      <color rgb="FF8B4500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b val="true"/>
      <sz val="10"/>
      <color rgb="FF2E5090"/>
      <name val="Arial"/>
      <family val="0"/>
      <charset val="1"/>
    </font>
    <font>
      <b val="true"/>
      <sz val="9"/>
      <color rgb="FF00008B"/>
      <name val="Arial"/>
      <family val="0"/>
      <charset val="1"/>
    </font>
    <font>
      <sz val="9"/>
      <color rgb="FF8B0000"/>
      <name val="Arial"/>
      <family val="0"/>
      <charset val="1"/>
    </font>
    <font>
      <sz val="9"/>
      <color rgb="FF006400"/>
      <name val="Arial"/>
      <family val="0"/>
      <charset val="1"/>
    </font>
    <font>
      <sz val="10"/>
      <color rgb="FF555555"/>
      <name val="Arial"/>
      <family val="0"/>
      <charset val="1"/>
    </font>
    <font>
      <b val="true"/>
      <sz val="8"/>
      <color rgb="FFFFFFFF"/>
      <name val="Arial"/>
      <family val="0"/>
      <charset val="1"/>
    </font>
    <font>
      <sz val="7"/>
      <name val="Arial"/>
      <family val="0"/>
      <charset val="1"/>
    </font>
    <font>
      <b val="true"/>
      <sz val="8"/>
      <name val="Arial"/>
      <family val="0"/>
      <charset val="1"/>
    </font>
    <font>
      <sz val="8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000000"/>
      <name val="Calibri"/>
      <family val="2"/>
    </font>
    <font>
      <b val="true"/>
      <sz val="7"/>
      <color rgb="FFFFFFFF"/>
      <name val="Arial"/>
      <family val="0"/>
      <charset val="1"/>
    </font>
    <font>
      <sz val="9"/>
      <name val="Arial"/>
      <family val="0"/>
      <charset val="1"/>
    </font>
    <font>
      <sz val="9"/>
      <color rgb="FF1F3864"/>
      <name val="Arial"/>
      <family val="0"/>
      <charset val="1"/>
    </font>
  </fonts>
  <fills count="26">
    <fill>
      <patternFill patternType="none"/>
    </fill>
    <fill>
      <patternFill patternType="gray125"/>
    </fill>
    <fill>
      <patternFill patternType="solid">
        <fgColor rgb="FF1F3864"/>
        <bgColor rgb="FF2E5090"/>
      </patternFill>
    </fill>
    <fill>
      <patternFill patternType="solid">
        <fgColor rgb="FFF0F4FF"/>
        <bgColor rgb="FFF0F8FF"/>
      </patternFill>
    </fill>
    <fill>
      <patternFill patternType="solid">
        <fgColor rgb="FF2E5090"/>
        <bgColor rgb="FF1F3864"/>
      </patternFill>
    </fill>
    <fill>
      <patternFill patternType="solid">
        <fgColor rgb="FFFFFACD"/>
        <bgColor rgb="FFFFF8E1"/>
      </patternFill>
    </fill>
    <fill>
      <patternFill patternType="solid">
        <fgColor rgb="FF8B0000"/>
        <bgColor rgb="FF800000"/>
      </patternFill>
    </fill>
    <fill>
      <patternFill patternType="solid">
        <fgColor rgb="FF006400"/>
        <bgColor rgb="FF228B22"/>
      </patternFill>
    </fill>
    <fill>
      <patternFill patternType="solid">
        <fgColor rgb="FF6A0DAD"/>
        <bgColor rgb="FF800080"/>
      </patternFill>
    </fill>
    <fill>
      <patternFill patternType="solid">
        <fgColor rgb="FF4B0082"/>
        <bgColor rgb="FF6A0DAD"/>
      </patternFill>
    </fill>
    <fill>
      <patternFill patternType="solid">
        <fgColor rgb="FFFFFDE7"/>
        <bgColor rgb="FFFFF8E1"/>
      </patternFill>
    </fill>
    <fill>
      <patternFill patternType="solid">
        <fgColor rgb="FFFFF0F0"/>
        <bgColor rgb="FFFFE8E8"/>
      </patternFill>
    </fill>
    <fill>
      <patternFill patternType="solid">
        <fgColor rgb="FFDFFFDF"/>
        <bgColor rgb="FFE8FFE8"/>
      </patternFill>
    </fill>
    <fill>
      <patternFill patternType="solid">
        <fgColor rgb="FFFF6600"/>
        <bgColor rgb="FFFF9900"/>
      </patternFill>
    </fill>
    <fill>
      <patternFill patternType="solid">
        <fgColor rgb="FFFFF8E1"/>
        <bgColor rgb="FFFFFDE7"/>
      </patternFill>
    </fill>
    <fill>
      <patternFill patternType="solid">
        <fgColor rgb="FFF3E5FF"/>
        <bgColor rgb="FFFFE8E8"/>
      </patternFill>
    </fill>
    <fill>
      <patternFill patternType="solid">
        <fgColor rgb="FFE8F0FF"/>
        <bgColor rgb="FFF0F4FF"/>
      </patternFill>
    </fill>
    <fill>
      <patternFill patternType="solid">
        <fgColor rgb="FFF0F8FF"/>
        <bgColor rgb="FFF0F4FF"/>
      </patternFill>
    </fill>
    <fill>
      <patternFill patternType="solid">
        <fgColor rgb="FFDEEAF1"/>
        <bgColor rgb="FFD6E8F4"/>
      </patternFill>
    </fill>
    <fill>
      <patternFill patternType="solid">
        <fgColor rgb="FFFFE8E8"/>
        <bgColor rgb="FFFFF0F0"/>
      </patternFill>
    </fill>
    <fill>
      <patternFill patternType="solid">
        <fgColor rgb="FFD6E8F4"/>
        <bgColor rgb="FFDEEAF1"/>
      </patternFill>
    </fill>
    <fill>
      <patternFill patternType="solid">
        <fgColor rgb="FFE2F0D4"/>
        <bgColor rgb="FFDEEAF1"/>
      </patternFill>
    </fill>
    <fill>
      <patternFill patternType="solid">
        <fgColor rgb="FFE8FFE8"/>
        <bgColor rgb="FFDFFFDF"/>
      </patternFill>
    </fill>
    <fill>
      <patternFill patternType="solid">
        <fgColor rgb="FFFFFFFF"/>
        <bgColor rgb="FFFFFDE7"/>
      </patternFill>
    </fill>
    <fill>
      <patternFill patternType="solid">
        <fgColor rgb="FFF5F5F5"/>
        <bgColor rgb="FFF0F4FF"/>
      </patternFill>
    </fill>
    <fill>
      <patternFill patternType="solid">
        <fgColor rgb="FF595959"/>
        <bgColor rgb="FF555555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  <diagonal/>
    </border>
    <border diagonalUp="false" diagonalDown="false">
      <left style="thin">
        <color rgb="FFBBBBBB"/>
      </left>
      <right/>
      <top style="thin">
        <color rgb="FFBBBBBB"/>
      </top>
      <bottom style="thin">
        <color rgb="FFBBBBB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9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6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0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7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7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8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2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9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9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6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1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9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15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2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1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2" fillId="1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3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7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9" fontId="15" fillId="18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6" fontId="10" fillId="19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6" fontId="1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5" fillId="2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3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21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1" fillId="2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9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9" fontId="12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18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6" fontId="11" fillId="21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2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2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2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2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2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1" fillId="2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5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6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1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32CD32"/>
      <rgbColor rgb="FF0000CD"/>
      <rgbColor rgb="FFE2F0D4"/>
      <rgbColor rgb="FFFF00FF"/>
      <rgbColor rgb="FF00FFFF"/>
      <rgbColor rgb="FF8B0000"/>
      <rgbColor rgb="FF006400"/>
      <rgbColor rgb="FF00008B"/>
      <rgbColor rgb="FF808000"/>
      <rgbColor rgb="FF6A0DAD"/>
      <rgbColor rgb="FF008080"/>
      <rgbColor rgb="FFBBBBBB"/>
      <rgbColor rgb="FF878787"/>
      <rgbColor rgb="FFF0F4FF"/>
      <rgbColor rgb="FFCC2200"/>
      <rgbColor rgb="FFFFFACD"/>
      <rgbColor rgb="FFE8FFE8"/>
      <rgbColor rgb="FF4B0082"/>
      <rgbColor rgb="FFF0F8FF"/>
      <rgbColor rgb="FF0066CC"/>
      <rgbColor rgb="FFD9D9D9"/>
      <rgbColor rgb="FF000080"/>
      <rgbColor rgb="FFFF00FF"/>
      <rgbColor rgb="FFFFFDE7"/>
      <rgbColor rgb="FF00FFFF"/>
      <rgbColor rgb="FF800080"/>
      <rgbColor rgb="FF800000"/>
      <rgbColor rgb="FF008080"/>
      <rgbColor rgb="FF0000FF"/>
      <rgbColor rgb="FF00CCFF"/>
      <rgbColor rgb="FFD6E8F4"/>
      <rgbColor rgb="FFDFFFDF"/>
      <rgbColor rgb="FFFFF8E1"/>
      <rgbColor rgb="FFDEEAF1"/>
      <rgbColor rgb="FFF3E5FF"/>
      <rgbColor rgb="FFE8F0FF"/>
      <rgbColor rgb="FFFFE8E8"/>
      <rgbColor rgb="FF3366FF"/>
      <rgbColor rgb="FF33CCCC"/>
      <rgbColor rgb="FF99CC00"/>
      <rgbColor rgb="FFFFF0F0"/>
      <rgbColor rgb="FFFF9900"/>
      <rgbColor rgb="FFFF6600"/>
      <rgbColor rgb="FF666666"/>
      <rgbColor rgb="FFF5F5F5"/>
      <rgbColor rgb="FF1F3864"/>
      <rgbColor rgb="FF228B22"/>
      <rgbColor rgb="FF003300"/>
      <rgbColor rgb="FF333300"/>
      <rgbColor rgb="FF8B4500"/>
      <rgbColor rgb="FF595959"/>
      <rgbColor rgb="FF2E5090"/>
      <rgbColor rgb="FF55555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Cobertura Tactica – Radios de Misiles vs HVU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scatterChart>
        <c:scatterStyle val="lineMarker"/>
        <c:varyColors val="0"/>
        <c:ser>
          <c:idx val="0"/>
          <c:order val="0"/>
          <c:tx>
            <c:strRef>
              <c:f>"R=500yd (FF23 inner)"</c:f>
              <c:strCache>
                <c:ptCount val="1"/>
                <c:pt idx="0">
                  <c:v>R=500yd (FF23 inner)</c:v>
                </c:pt>
              </c:strCache>
            </c:strRef>
          </c:tx>
          <c:spPr>
            <a:solidFill>
              <a:srgbClr val="228b22"/>
            </a:solidFill>
            <a:ln w="15120">
              <a:solidFill>
                <a:srgbClr val="228b22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4_COBERTURA!$C$28:$C$100</c:f>
              <c:numCache>
                <c:formatCode>0.0</c:formatCode>
                <c:ptCount val="73"/>
                <c:pt idx="0">
                  <c:v>0</c:v>
                </c:pt>
                <c:pt idx="1">
                  <c:v>43.5778713738291</c:v>
                </c:pt>
                <c:pt idx="2">
                  <c:v>86.8240888334652</c:v>
                </c:pt>
                <c:pt idx="3">
                  <c:v>129.40952255126</c:v>
                </c:pt>
                <c:pt idx="4">
                  <c:v>171.010071662834</c:v>
                </c:pt>
                <c:pt idx="5">
                  <c:v>211.30913087035</c:v>
                </c:pt>
                <c:pt idx="6">
                  <c:v>250</c:v>
                </c:pt>
                <c:pt idx="7">
                  <c:v>286.788218175523</c:v>
                </c:pt>
                <c:pt idx="8">
                  <c:v>321.39380484327</c:v>
                </c:pt>
                <c:pt idx="9">
                  <c:v>353.553390593274</c:v>
                </c:pt>
                <c:pt idx="10">
                  <c:v>383.022221559489</c:v>
                </c:pt>
                <c:pt idx="11">
                  <c:v>409.576022144496</c:v>
                </c:pt>
                <c:pt idx="12">
                  <c:v>433.012701892219</c:v>
                </c:pt>
                <c:pt idx="13">
                  <c:v>453.153893518325</c:v>
                </c:pt>
                <c:pt idx="14">
                  <c:v>469.846310392954</c:v>
                </c:pt>
                <c:pt idx="15">
                  <c:v>482.962913144534</c:v>
                </c:pt>
                <c:pt idx="16">
                  <c:v>492.403876506104</c:v>
                </c:pt>
                <c:pt idx="17">
                  <c:v>498.097349045873</c:v>
                </c:pt>
                <c:pt idx="18">
                  <c:v>500</c:v>
                </c:pt>
                <c:pt idx="19">
                  <c:v>498.097349045873</c:v>
                </c:pt>
                <c:pt idx="20">
                  <c:v>492.403876506104</c:v>
                </c:pt>
                <c:pt idx="21">
                  <c:v>482.962913144534</c:v>
                </c:pt>
                <c:pt idx="22">
                  <c:v>469.846310392954</c:v>
                </c:pt>
                <c:pt idx="23">
                  <c:v>453.153893518325</c:v>
                </c:pt>
                <c:pt idx="24">
                  <c:v>433.012701892219</c:v>
                </c:pt>
                <c:pt idx="25">
                  <c:v>409.576022144496</c:v>
                </c:pt>
                <c:pt idx="26">
                  <c:v>383.022221559489</c:v>
                </c:pt>
                <c:pt idx="27">
                  <c:v>353.553390593274</c:v>
                </c:pt>
                <c:pt idx="28">
                  <c:v>321.39380484327</c:v>
                </c:pt>
                <c:pt idx="29">
                  <c:v>286.788218175523</c:v>
                </c:pt>
                <c:pt idx="30">
                  <c:v>250</c:v>
                </c:pt>
                <c:pt idx="31">
                  <c:v>211.30913087035</c:v>
                </c:pt>
                <c:pt idx="32">
                  <c:v>171.010071662834</c:v>
                </c:pt>
                <c:pt idx="33">
                  <c:v>129.409522551261</c:v>
                </c:pt>
                <c:pt idx="34">
                  <c:v>86.8240888334653</c:v>
                </c:pt>
                <c:pt idx="35">
                  <c:v>43.5778713738291</c:v>
                </c:pt>
                <c:pt idx="36">
                  <c:v>6.12323399573677E-014</c:v>
                </c:pt>
                <c:pt idx="37">
                  <c:v>-43.577871373829</c:v>
                </c:pt>
                <c:pt idx="38">
                  <c:v>-86.8240888334652</c:v>
                </c:pt>
                <c:pt idx="39">
                  <c:v>-129.40952255126</c:v>
                </c:pt>
                <c:pt idx="40">
                  <c:v>-171.010071662834</c:v>
                </c:pt>
                <c:pt idx="41">
                  <c:v>-211.30913087035</c:v>
                </c:pt>
                <c:pt idx="42">
                  <c:v>-250</c:v>
                </c:pt>
                <c:pt idx="43">
                  <c:v>-286.788218175523</c:v>
                </c:pt>
                <c:pt idx="44">
                  <c:v>-321.39380484327</c:v>
                </c:pt>
                <c:pt idx="45">
                  <c:v>-353.553390593274</c:v>
                </c:pt>
                <c:pt idx="46">
                  <c:v>-383.022221559489</c:v>
                </c:pt>
                <c:pt idx="47">
                  <c:v>-409.576022144496</c:v>
                </c:pt>
                <c:pt idx="48">
                  <c:v>-433.012701892219</c:v>
                </c:pt>
                <c:pt idx="49">
                  <c:v>-453.153893518325</c:v>
                </c:pt>
                <c:pt idx="50">
                  <c:v>-469.846310392954</c:v>
                </c:pt>
                <c:pt idx="51">
                  <c:v>-482.962913144534</c:v>
                </c:pt>
                <c:pt idx="52">
                  <c:v>-492.403876506104</c:v>
                </c:pt>
                <c:pt idx="53">
                  <c:v>-498.097349045873</c:v>
                </c:pt>
                <c:pt idx="54">
                  <c:v>-500</c:v>
                </c:pt>
                <c:pt idx="55">
                  <c:v>-498.097349045873</c:v>
                </c:pt>
                <c:pt idx="56">
                  <c:v>-492.403876506104</c:v>
                </c:pt>
                <c:pt idx="57">
                  <c:v>-482.962913144534</c:v>
                </c:pt>
                <c:pt idx="58">
                  <c:v>-469.846310392954</c:v>
                </c:pt>
                <c:pt idx="59">
                  <c:v>-453.153893518325</c:v>
                </c:pt>
                <c:pt idx="60">
                  <c:v>-433.012701892219</c:v>
                </c:pt>
                <c:pt idx="61">
                  <c:v>-409.576022144496</c:v>
                </c:pt>
                <c:pt idx="62">
                  <c:v>-383.022221559489</c:v>
                </c:pt>
                <c:pt idx="63">
                  <c:v>-353.553390593274</c:v>
                </c:pt>
                <c:pt idx="64">
                  <c:v>-321.39380484327</c:v>
                </c:pt>
                <c:pt idx="65">
                  <c:v>-286.788218175523</c:v>
                </c:pt>
                <c:pt idx="66">
                  <c:v>-250</c:v>
                </c:pt>
                <c:pt idx="67">
                  <c:v>-211.30913087035</c:v>
                </c:pt>
                <c:pt idx="68">
                  <c:v>-171.010071662835</c:v>
                </c:pt>
                <c:pt idx="69">
                  <c:v>-129.40952255126</c:v>
                </c:pt>
                <c:pt idx="70">
                  <c:v>-86.8240888334652</c:v>
                </c:pt>
                <c:pt idx="71">
                  <c:v>-43.5778713738292</c:v>
                </c:pt>
                <c:pt idx="72">
                  <c:v>-1.22464679914735E-013</c:v>
                </c:pt>
              </c:numCache>
            </c:numRef>
          </c:xVal>
          <c:yVal>
            <c:numRef>
              <c:f>4_COBERTURA!$D$28:$D$100</c:f>
              <c:numCache>
                <c:formatCode>0.0</c:formatCode>
                <c:ptCount val="73"/>
                <c:pt idx="0">
                  <c:v>500</c:v>
                </c:pt>
                <c:pt idx="1">
                  <c:v>498.097349045873</c:v>
                </c:pt>
                <c:pt idx="2">
                  <c:v>492.403876506104</c:v>
                </c:pt>
                <c:pt idx="3">
                  <c:v>482.962913144534</c:v>
                </c:pt>
                <c:pt idx="4">
                  <c:v>469.846310392954</c:v>
                </c:pt>
                <c:pt idx="5">
                  <c:v>453.153893518325</c:v>
                </c:pt>
                <c:pt idx="6">
                  <c:v>433.012701892219</c:v>
                </c:pt>
                <c:pt idx="7">
                  <c:v>409.576022144496</c:v>
                </c:pt>
                <c:pt idx="8">
                  <c:v>383.022221559489</c:v>
                </c:pt>
                <c:pt idx="9">
                  <c:v>353.553390593274</c:v>
                </c:pt>
                <c:pt idx="10">
                  <c:v>321.39380484327</c:v>
                </c:pt>
                <c:pt idx="11">
                  <c:v>286.788218175523</c:v>
                </c:pt>
                <c:pt idx="12">
                  <c:v>250</c:v>
                </c:pt>
                <c:pt idx="13">
                  <c:v>211.30913087035</c:v>
                </c:pt>
                <c:pt idx="14">
                  <c:v>171.010071662834</c:v>
                </c:pt>
                <c:pt idx="15">
                  <c:v>129.40952255126</c:v>
                </c:pt>
                <c:pt idx="16">
                  <c:v>86.8240888334652</c:v>
                </c:pt>
                <c:pt idx="17">
                  <c:v>43.5778713738292</c:v>
                </c:pt>
                <c:pt idx="18">
                  <c:v>3.06161699786838E-014</c:v>
                </c:pt>
                <c:pt idx="19">
                  <c:v>-43.5778713738291</c:v>
                </c:pt>
                <c:pt idx="20">
                  <c:v>-86.8240888334652</c:v>
                </c:pt>
                <c:pt idx="21">
                  <c:v>-129.40952255126</c:v>
                </c:pt>
                <c:pt idx="22">
                  <c:v>-171.010071662834</c:v>
                </c:pt>
                <c:pt idx="23">
                  <c:v>-211.30913087035</c:v>
                </c:pt>
                <c:pt idx="24">
                  <c:v>-250</c:v>
                </c:pt>
                <c:pt idx="25">
                  <c:v>-286.788218175523</c:v>
                </c:pt>
                <c:pt idx="26">
                  <c:v>-321.39380484327</c:v>
                </c:pt>
                <c:pt idx="27">
                  <c:v>-353.553390593274</c:v>
                </c:pt>
                <c:pt idx="28">
                  <c:v>-383.022221559489</c:v>
                </c:pt>
                <c:pt idx="29">
                  <c:v>-409.576022144496</c:v>
                </c:pt>
                <c:pt idx="30">
                  <c:v>-433.012701892219</c:v>
                </c:pt>
                <c:pt idx="31">
                  <c:v>-453.153893518325</c:v>
                </c:pt>
                <c:pt idx="32">
                  <c:v>-469.846310392954</c:v>
                </c:pt>
                <c:pt idx="33">
                  <c:v>-482.962913144534</c:v>
                </c:pt>
                <c:pt idx="34">
                  <c:v>-492.403876506104</c:v>
                </c:pt>
                <c:pt idx="35">
                  <c:v>-498.097349045873</c:v>
                </c:pt>
                <c:pt idx="36">
                  <c:v>-500</c:v>
                </c:pt>
                <c:pt idx="37">
                  <c:v>-498.097349045873</c:v>
                </c:pt>
                <c:pt idx="38">
                  <c:v>-492.403876506104</c:v>
                </c:pt>
                <c:pt idx="39">
                  <c:v>-482.962913144534</c:v>
                </c:pt>
                <c:pt idx="40">
                  <c:v>-469.846310392954</c:v>
                </c:pt>
                <c:pt idx="41">
                  <c:v>-453.153893518325</c:v>
                </c:pt>
                <c:pt idx="42">
                  <c:v>-433.012701892219</c:v>
                </c:pt>
                <c:pt idx="43">
                  <c:v>-409.576022144496</c:v>
                </c:pt>
                <c:pt idx="44">
                  <c:v>-383.022221559489</c:v>
                </c:pt>
                <c:pt idx="45">
                  <c:v>-353.553390593274</c:v>
                </c:pt>
                <c:pt idx="46">
                  <c:v>-321.39380484327</c:v>
                </c:pt>
                <c:pt idx="47">
                  <c:v>-286.788218175523</c:v>
                </c:pt>
                <c:pt idx="48">
                  <c:v>-250</c:v>
                </c:pt>
                <c:pt idx="49">
                  <c:v>-211.30913087035</c:v>
                </c:pt>
                <c:pt idx="50">
                  <c:v>-171.010071662835</c:v>
                </c:pt>
                <c:pt idx="51">
                  <c:v>-129.40952255126</c:v>
                </c:pt>
                <c:pt idx="52">
                  <c:v>-86.8240888334652</c:v>
                </c:pt>
                <c:pt idx="53">
                  <c:v>-43.5778713738291</c:v>
                </c:pt>
                <c:pt idx="54">
                  <c:v>-9.18485099360515E-014</c:v>
                </c:pt>
                <c:pt idx="55">
                  <c:v>43.5778713738289</c:v>
                </c:pt>
                <c:pt idx="56">
                  <c:v>86.824088833465</c:v>
                </c:pt>
                <c:pt idx="57">
                  <c:v>129.40952255126</c:v>
                </c:pt>
                <c:pt idx="58">
                  <c:v>171.010071662835</c:v>
                </c:pt>
                <c:pt idx="59">
                  <c:v>211.309130870349</c:v>
                </c:pt>
                <c:pt idx="60">
                  <c:v>250</c:v>
                </c:pt>
                <c:pt idx="61">
                  <c:v>286.788218175523</c:v>
                </c:pt>
                <c:pt idx="62">
                  <c:v>321.39380484327</c:v>
                </c:pt>
                <c:pt idx="63">
                  <c:v>353.553390593274</c:v>
                </c:pt>
                <c:pt idx="64">
                  <c:v>383.022221559489</c:v>
                </c:pt>
                <c:pt idx="65">
                  <c:v>409.576022144496</c:v>
                </c:pt>
                <c:pt idx="66">
                  <c:v>433.012701892219</c:v>
                </c:pt>
                <c:pt idx="67">
                  <c:v>453.153893518325</c:v>
                </c:pt>
                <c:pt idx="68">
                  <c:v>469.846310392954</c:v>
                </c:pt>
                <c:pt idx="69">
                  <c:v>482.962913144534</c:v>
                </c:pt>
                <c:pt idx="70">
                  <c:v>492.403876506104</c:v>
                </c:pt>
                <c:pt idx="71">
                  <c:v>498.097349045873</c:v>
                </c:pt>
                <c:pt idx="72">
                  <c:v>500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"R=2000yd (boundary)"</c:f>
              <c:strCache>
                <c:ptCount val="1"/>
                <c:pt idx="0">
                  <c:v>R=2000yd (boundary)</c:v>
                </c:pt>
              </c:strCache>
            </c:strRef>
          </c:tx>
          <c:spPr>
            <a:solidFill>
              <a:srgbClr val="0000cd"/>
            </a:solidFill>
            <a:ln w="15120">
              <a:solidFill>
                <a:srgbClr val="0000cd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4_COBERTURA!$E$28:$E$100</c:f>
              <c:numCache>
                <c:formatCode>0.0</c:formatCode>
                <c:ptCount val="73"/>
                <c:pt idx="0">
                  <c:v>0</c:v>
                </c:pt>
                <c:pt idx="1">
                  <c:v>174.311485495316</c:v>
                </c:pt>
                <c:pt idx="2">
                  <c:v>347.296355333861</c:v>
                </c:pt>
                <c:pt idx="3">
                  <c:v>517.638090205042</c:v>
                </c:pt>
                <c:pt idx="4">
                  <c:v>684.040286651337</c:v>
                </c:pt>
                <c:pt idx="5">
                  <c:v>845.236523481399</c:v>
                </c:pt>
                <c:pt idx="6">
                  <c:v>1000</c:v>
                </c:pt>
                <c:pt idx="7">
                  <c:v>1147.15287270209</c:v>
                </c:pt>
                <c:pt idx="8">
                  <c:v>1285.57521937308</c:v>
                </c:pt>
                <c:pt idx="9">
                  <c:v>1414.21356237309</c:v>
                </c:pt>
                <c:pt idx="10">
                  <c:v>1532.08888623796</c:v>
                </c:pt>
                <c:pt idx="11">
                  <c:v>1638.30408857798</c:v>
                </c:pt>
                <c:pt idx="12">
                  <c:v>1732.05080756888</c:v>
                </c:pt>
                <c:pt idx="13">
                  <c:v>1812.6155740733</c:v>
                </c:pt>
                <c:pt idx="14">
                  <c:v>1879.38524157182</c:v>
                </c:pt>
                <c:pt idx="15">
                  <c:v>1931.85165257814</c:v>
                </c:pt>
                <c:pt idx="16">
                  <c:v>1969.61550602442</c:v>
                </c:pt>
                <c:pt idx="17">
                  <c:v>1992.38939618349</c:v>
                </c:pt>
                <c:pt idx="18">
                  <c:v>2000</c:v>
                </c:pt>
                <c:pt idx="19">
                  <c:v>1992.38939618349</c:v>
                </c:pt>
                <c:pt idx="20">
                  <c:v>1969.61550602442</c:v>
                </c:pt>
                <c:pt idx="21">
                  <c:v>1931.85165257814</c:v>
                </c:pt>
                <c:pt idx="22">
                  <c:v>1879.38524157182</c:v>
                </c:pt>
                <c:pt idx="23">
                  <c:v>1812.6155740733</c:v>
                </c:pt>
                <c:pt idx="24">
                  <c:v>1732.05080756888</c:v>
                </c:pt>
                <c:pt idx="25">
                  <c:v>1638.30408857798</c:v>
                </c:pt>
                <c:pt idx="26">
                  <c:v>1532.08888623796</c:v>
                </c:pt>
                <c:pt idx="27">
                  <c:v>1414.2135623731</c:v>
                </c:pt>
                <c:pt idx="28">
                  <c:v>1285.57521937308</c:v>
                </c:pt>
                <c:pt idx="29">
                  <c:v>1147.15287270209</c:v>
                </c:pt>
                <c:pt idx="30">
                  <c:v>1000</c:v>
                </c:pt>
                <c:pt idx="31">
                  <c:v>845.236523481399</c:v>
                </c:pt>
                <c:pt idx="32">
                  <c:v>684.040286651338</c:v>
                </c:pt>
                <c:pt idx="33">
                  <c:v>517.638090205042</c:v>
                </c:pt>
                <c:pt idx="34">
                  <c:v>347.296355333861</c:v>
                </c:pt>
                <c:pt idx="35">
                  <c:v>174.311485495316</c:v>
                </c:pt>
                <c:pt idx="36">
                  <c:v>2.44929359829471E-013</c:v>
                </c:pt>
                <c:pt idx="37">
                  <c:v>-174.311485495316</c:v>
                </c:pt>
                <c:pt idx="38">
                  <c:v>-347.296355333861</c:v>
                </c:pt>
                <c:pt idx="39">
                  <c:v>-517.638090205041</c:v>
                </c:pt>
                <c:pt idx="40">
                  <c:v>-684.040286651337</c:v>
                </c:pt>
                <c:pt idx="41">
                  <c:v>-845.236523481399</c:v>
                </c:pt>
                <c:pt idx="42">
                  <c:v>-1000</c:v>
                </c:pt>
                <c:pt idx="43">
                  <c:v>-1147.15287270209</c:v>
                </c:pt>
                <c:pt idx="44">
                  <c:v>-1285.57521937308</c:v>
                </c:pt>
                <c:pt idx="45">
                  <c:v>-1414.21356237309</c:v>
                </c:pt>
                <c:pt idx="46">
                  <c:v>-1532.08888623796</c:v>
                </c:pt>
                <c:pt idx="47">
                  <c:v>-1638.30408857798</c:v>
                </c:pt>
                <c:pt idx="48">
                  <c:v>-1732.05080756888</c:v>
                </c:pt>
                <c:pt idx="49">
                  <c:v>-1812.6155740733</c:v>
                </c:pt>
                <c:pt idx="50">
                  <c:v>-1879.38524157182</c:v>
                </c:pt>
                <c:pt idx="51">
                  <c:v>-1931.85165257814</c:v>
                </c:pt>
                <c:pt idx="52">
                  <c:v>-1969.61550602442</c:v>
                </c:pt>
                <c:pt idx="53">
                  <c:v>-1992.38939618349</c:v>
                </c:pt>
                <c:pt idx="54">
                  <c:v>-2000</c:v>
                </c:pt>
                <c:pt idx="55">
                  <c:v>-1992.38939618349</c:v>
                </c:pt>
                <c:pt idx="56">
                  <c:v>-1969.61550602442</c:v>
                </c:pt>
                <c:pt idx="57">
                  <c:v>-1931.85165257814</c:v>
                </c:pt>
                <c:pt idx="58">
                  <c:v>-1879.38524157182</c:v>
                </c:pt>
                <c:pt idx="59">
                  <c:v>-1812.6155740733</c:v>
                </c:pt>
                <c:pt idx="60">
                  <c:v>-1732.05080756888</c:v>
                </c:pt>
                <c:pt idx="61">
                  <c:v>-1638.30408857798</c:v>
                </c:pt>
                <c:pt idx="62">
                  <c:v>-1532.08888623796</c:v>
                </c:pt>
                <c:pt idx="63">
                  <c:v>-1414.2135623731</c:v>
                </c:pt>
                <c:pt idx="64">
                  <c:v>-1285.57521937308</c:v>
                </c:pt>
                <c:pt idx="65">
                  <c:v>-1147.15287270209</c:v>
                </c:pt>
                <c:pt idx="66">
                  <c:v>-1000</c:v>
                </c:pt>
                <c:pt idx="67">
                  <c:v>-845.236523481398</c:v>
                </c:pt>
                <c:pt idx="68">
                  <c:v>-684.040286651339</c:v>
                </c:pt>
                <c:pt idx="69">
                  <c:v>-517.638090205041</c:v>
                </c:pt>
                <c:pt idx="70">
                  <c:v>-347.296355333861</c:v>
                </c:pt>
                <c:pt idx="71">
                  <c:v>-174.311485495317</c:v>
                </c:pt>
                <c:pt idx="72">
                  <c:v>-4.89858719658941E-013</c:v>
                </c:pt>
              </c:numCache>
            </c:numRef>
          </c:xVal>
          <c:yVal>
            <c:numRef>
              <c:f>4_COBERTURA!$F$28:$F$100</c:f>
              <c:numCache>
                <c:formatCode>0.0</c:formatCode>
                <c:ptCount val="73"/>
                <c:pt idx="0">
                  <c:v>2000</c:v>
                </c:pt>
                <c:pt idx="1">
                  <c:v>1992.38939618349</c:v>
                </c:pt>
                <c:pt idx="2">
                  <c:v>1969.61550602442</c:v>
                </c:pt>
                <c:pt idx="3">
                  <c:v>1931.85165257814</c:v>
                </c:pt>
                <c:pt idx="4">
                  <c:v>1879.38524157182</c:v>
                </c:pt>
                <c:pt idx="5">
                  <c:v>1812.6155740733</c:v>
                </c:pt>
                <c:pt idx="6">
                  <c:v>1732.05080756888</c:v>
                </c:pt>
                <c:pt idx="7">
                  <c:v>1638.30408857798</c:v>
                </c:pt>
                <c:pt idx="8">
                  <c:v>1532.08888623796</c:v>
                </c:pt>
                <c:pt idx="9">
                  <c:v>1414.2135623731</c:v>
                </c:pt>
                <c:pt idx="10">
                  <c:v>1285.57521937308</c:v>
                </c:pt>
                <c:pt idx="11">
                  <c:v>1147.15287270209</c:v>
                </c:pt>
                <c:pt idx="12">
                  <c:v>1000</c:v>
                </c:pt>
                <c:pt idx="13">
                  <c:v>845.236523481399</c:v>
                </c:pt>
                <c:pt idx="14">
                  <c:v>684.040286651338</c:v>
                </c:pt>
                <c:pt idx="15">
                  <c:v>517.638090205042</c:v>
                </c:pt>
                <c:pt idx="16">
                  <c:v>347.296355333861</c:v>
                </c:pt>
                <c:pt idx="17">
                  <c:v>174.311485495317</c:v>
                </c:pt>
                <c:pt idx="18">
                  <c:v>1.22464679914735E-013</c:v>
                </c:pt>
                <c:pt idx="19">
                  <c:v>-174.311485495316</c:v>
                </c:pt>
                <c:pt idx="20">
                  <c:v>-347.296355333861</c:v>
                </c:pt>
                <c:pt idx="21">
                  <c:v>-517.638090205042</c:v>
                </c:pt>
                <c:pt idx="22">
                  <c:v>-684.040286651337</c:v>
                </c:pt>
                <c:pt idx="23">
                  <c:v>-845.236523481399</c:v>
                </c:pt>
                <c:pt idx="24">
                  <c:v>-1000</c:v>
                </c:pt>
                <c:pt idx="25">
                  <c:v>-1147.15287270209</c:v>
                </c:pt>
                <c:pt idx="26">
                  <c:v>-1285.57521937308</c:v>
                </c:pt>
                <c:pt idx="27">
                  <c:v>-1414.21356237309</c:v>
                </c:pt>
                <c:pt idx="28">
                  <c:v>-1532.08888623796</c:v>
                </c:pt>
                <c:pt idx="29">
                  <c:v>-1638.30408857798</c:v>
                </c:pt>
                <c:pt idx="30">
                  <c:v>-1732.05080756888</c:v>
                </c:pt>
                <c:pt idx="31">
                  <c:v>-1812.6155740733</c:v>
                </c:pt>
                <c:pt idx="32">
                  <c:v>-1879.38524157182</c:v>
                </c:pt>
                <c:pt idx="33">
                  <c:v>-1931.85165257814</c:v>
                </c:pt>
                <c:pt idx="34">
                  <c:v>-1969.61550602442</c:v>
                </c:pt>
                <c:pt idx="35">
                  <c:v>-1992.38939618349</c:v>
                </c:pt>
                <c:pt idx="36">
                  <c:v>-2000</c:v>
                </c:pt>
                <c:pt idx="37">
                  <c:v>-1992.38939618349</c:v>
                </c:pt>
                <c:pt idx="38">
                  <c:v>-1969.61550602442</c:v>
                </c:pt>
                <c:pt idx="39">
                  <c:v>-1931.85165257814</c:v>
                </c:pt>
                <c:pt idx="40">
                  <c:v>-1879.38524157182</c:v>
                </c:pt>
                <c:pt idx="41">
                  <c:v>-1812.6155740733</c:v>
                </c:pt>
                <c:pt idx="42">
                  <c:v>-1732.05080756888</c:v>
                </c:pt>
                <c:pt idx="43">
                  <c:v>-1638.30408857798</c:v>
                </c:pt>
                <c:pt idx="44">
                  <c:v>-1532.08888623796</c:v>
                </c:pt>
                <c:pt idx="45">
                  <c:v>-1414.2135623731</c:v>
                </c:pt>
                <c:pt idx="46">
                  <c:v>-1285.57521937308</c:v>
                </c:pt>
                <c:pt idx="47">
                  <c:v>-1147.15287270209</c:v>
                </c:pt>
                <c:pt idx="48">
                  <c:v>-1000</c:v>
                </c:pt>
                <c:pt idx="49">
                  <c:v>-845.236523481398</c:v>
                </c:pt>
                <c:pt idx="50">
                  <c:v>-684.040286651339</c:v>
                </c:pt>
                <c:pt idx="51">
                  <c:v>-517.638090205041</c:v>
                </c:pt>
                <c:pt idx="52">
                  <c:v>-347.296355333861</c:v>
                </c:pt>
                <c:pt idx="53">
                  <c:v>-174.311485495317</c:v>
                </c:pt>
                <c:pt idx="54">
                  <c:v>-3.67394039744206E-013</c:v>
                </c:pt>
                <c:pt idx="55">
                  <c:v>174.311485495316</c:v>
                </c:pt>
                <c:pt idx="56">
                  <c:v>347.29635533386</c:v>
                </c:pt>
                <c:pt idx="57">
                  <c:v>517.638090205041</c:v>
                </c:pt>
                <c:pt idx="58">
                  <c:v>684.040286651338</c:v>
                </c:pt>
                <c:pt idx="59">
                  <c:v>845.236523481398</c:v>
                </c:pt>
                <c:pt idx="60">
                  <c:v>1000</c:v>
                </c:pt>
                <c:pt idx="61">
                  <c:v>1147.15287270209</c:v>
                </c:pt>
                <c:pt idx="62">
                  <c:v>1285.57521937308</c:v>
                </c:pt>
                <c:pt idx="63">
                  <c:v>1414.21356237309</c:v>
                </c:pt>
                <c:pt idx="64">
                  <c:v>1532.08888623796</c:v>
                </c:pt>
                <c:pt idx="65">
                  <c:v>1638.30408857798</c:v>
                </c:pt>
                <c:pt idx="66">
                  <c:v>1732.05080756888</c:v>
                </c:pt>
                <c:pt idx="67">
                  <c:v>1812.6155740733</c:v>
                </c:pt>
                <c:pt idx="68">
                  <c:v>1879.38524157182</c:v>
                </c:pt>
                <c:pt idx="69">
                  <c:v>1931.85165257814</c:v>
                </c:pt>
                <c:pt idx="70">
                  <c:v>1969.61550602442</c:v>
                </c:pt>
                <c:pt idx="71">
                  <c:v>1992.38939618349</c:v>
                </c:pt>
                <c:pt idx="72">
                  <c:v>2000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"R=5000yd (FFG outer)"</c:f>
              <c:strCache>
                <c:ptCount val="1"/>
                <c:pt idx="0">
                  <c:v>R=5000yd (FFG outer)</c:v>
                </c:pt>
              </c:strCache>
            </c:strRef>
          </c:tx>
          <c:spPr>
            <a:solidFill>
              <a:srgbClr val="ff6600"/>
            </a:solidFill>
            <a:ln w="15120">
              <a:solidFill>
                <a:srgbClr val="ff66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4_COBERTURA!$G$28:$G$100</c:f>
              <c:numCache>
                <c:formatCode>0.0</c:formatCode>
                <c:ptCount val="73"/>
                <c:pt idx="0">
                  <c:v>0</c:v>
                </c:pt>
                <c:pt idx="1">
                  <c:v>435.778713738291</c:v>
                </c:pt>
                <c:pt idx="2">
                  <c:v>868.240888334652</c:v>
                </c:pt>
                <c:pt idx="3">
                  <c:v>1294.0952255126</c:v>
                </c:pt>
                <c:pt idx="4">
                  <c:v>1710.10071662834</c:v>
                </c:pt>
                <c:pt idx="5">
                  <c:v>2113.0913087035</c:v>
                </c:pt>
                <c:pt idx="6">
                  <c:v>2500</c:v>
                </c:pt>
                <c:pt idx="7">
                  <c:v>2867.88218175523</c:v>
                </c:pt>
                <c:pt idx="8">
                  <c:v>3213.9380484327</c:v>
                </c:pt>
                <c:pt idx="9">
                  <c:v>3535.53390593274</c:v>
                </c:pt>
                <c:pt idx="10">
                  <c:v>3830.22221559489</c:v>
                </c:pt>
                <c:pt idx="11">
                  <c:v>4095.76022144496</c:v>
                </c:pt>
                <c:pt idx="12">
                  <c:v>4330.12701892219</c:v>
                </c:pt>
                <c:pt idx="13">
                  <c:v>4531.53893518325</c:v>
                </c:pt>
                <c:pt idx="14">
                  <c:v>4698.46310392954</c:v>
                </c:pt>
                <c:pt idx="15">
                  <c:v>4829.62913144534</c:v>
                </c:pt>
                <c:pt idx="16">
                  <c:v>4924.03876506104</c:v>
                </c:pt>
                <c:pt idx="17">
                  <c:v>4980.97349045873</c:v>
                </c:pt>
                <c:pt idx="18">
                  <c:v>5000</c:v>
                </c:pt>
                <c:pt idx="19">
                  <c:v>4980.97349045873</c:v>
                </c:pt>
                <c:pt idx="20">
                  <c:v>4924.03876506104</c:v>
                </c:pt>
                <c:pt idx="21">
                  <c:v>4829.62913144534</c:v>
                </c:pt>
                <c:pt idx="22">
                  <c:v>4698.46310392954</c:v>
                </c:pt>
                <c:pt idx="23">
                  <c:v>4531.53893518325</c:v>
                </c:pt>
                <c:pt idx="24">
                  <c:v>4330.12701892219</c:v>
                </c:pt>
                <c:pt idx="25">
                  <c:v>4095.76022144496</c:v>
                </c:pt>
                <c:pt idx="26">
                  <c:v>3830.22221559489</c:v>
                </c:pt>
                <c:pt idx="27">
                  <c:v>3535.53390593274</c:v>
                </c:pt>
                <c:pt idx="28">
                  <c:v>3213.9380484327</c:v>
                </c:pt>
                <c:pt idx="29">
                  <c:v>2867.88218175523</c:v>
                </c:pt>
                <c:pt idx="30">
                  <c:v>2500</c:v>
                </c:pt>
                <c:pt idx="31">
                  <c:v>2113.0913087035</c:v>
                </c:pt>
                <c:pt idx="32">
                  <c:v>1710.10071662834</c:v>
                </c:pt>
                <c:pt idx="33">
                  <c:v>1294.09522551261</c:v>
                </c:pt>
                <c:pt idx="34">
                  <c:v>868.240888334654</c:v>
                </c:pt>
                <c:pt idx="35">
                  <c:v>435.778713738291</c:v>
                </c:pt>
                <c:pt idx="36">
                  <c:v>6.12323399573677E-013</c:v>
                </c:pt>
                <c:pt idx="37">
                  <c:v>-435.77871373829</c:v>
                </c:pt>
                <c:pt idx="38">
                  <c:v>-868.240888334652</c:v>
                </c:pt>
                <c:pt idx="39">
                  <c:v>-1294.0952255126</c:v>
                </c:pt>
                <c:pt idx="40">
                  <c:v>-1710.10071662834</c:v>
                </c:pt>
                <c:pt idx="41">
                  <c:v>-2113.0913087035</c:v>
                </c:pt>
                <c:pt idx="42">
                  <c:v>-2500</c:v>
                </c:pt>
                <c:pt idx="43">
                  <c:v>-2867.88218175523</c:v>
                </c:pt>
                <c:pt idx="44">
                  <c:v>-3213.9380484327</c:v>
                </c:pt>
                <c:pt idx="45">
                  <c:v>-3535.53390593274</c:v>
                </c:pt>
                <c:pt idx="46">
                  <c:v>-3830.22221559489</c:v>
                </c:pt>
                <c:pt idx="47">
                  <c:v>-4095.76022144496</c:v>
                </c:pt>
                <c:pt idx="48">
                  <c:v>-4330.12701892219</c:v>
                </c:pt>
                <c:pt idx="49">
                  <c:v>-4531.53893518325</c:v>
                </c:pt>
                <c:pt idx="50">
                  <c:v>-4698.46310392954</c:v>
                </c:pt>
                <c:pt idx="51">
                  <c:v>-4829.62913144534</c:v>
                </c:pt>
                <c:pt idx="52">
                  <c:v>-4924.03876506104</c:v>
                </c:pt>
                <c:pt idx="53">
                  <c:v>-4980.97349045873</c:v>
                </c:pt>
                <c:pt idx="54">
                  <c:v>-5000</c:v>
                </c:pt>
                <c:pt idx="55">
                  <c:v>-4980.97349045873</c:v>
                </c:pt>
                <c:pt idx="56">
                  <c:v>-4924.03876506104</c:v>
                </c:pt>
                <c:pt idx="57">
                  <c:v>-4829.62913144534</c:v>
                </c:pt>
                <c:pt idx="58">
                  <c:v>-4698.46310392954</c:v>
                </c:pt>
                <c:pt idx="59">
                  <c:v>-4531.53893518325</c:v>
                </c:pt>
                <c:pt idx="60">
                  <c:v>-4330.12701892219</c:v>
                </c:pt>
                <c:pt idx="61">
                  <c:v>-4095.76022144496</c:v>
                </c:pt>
                <c:pt idx="62">
                  <c:v>-3830.22221559489</c:v>
                </c:pt>
                <c:pt idx="63">
                  <c:v>-3535.53390593274</c:v>
                </c:pt>
                <c:pt idx="64">
                  <c:v>-3213.9380484327</c:v>
                </c:pt>
                <c:pt idx="65">
                  <c:v>-2867.88218175523</c:v>
                </c:pt>
                <c:pt idx="66">
                  <c:v>-2500</c:v>
                </c:pt>
                <c:pt idx="67">
                  <c:v>-2113.0913087035</c:v>
                </c:pt>
                <c:pt idx="68">
                  <c:v>-1710.10071662835</c:v>
                </c:pt>
                <c:pt idx="69">
                  <c:v>-1294.0952255126</c:v>
                </c:pt>
                <c:pt idx="70">
                  <c:v>-868.240888334652</c:v>
                </c:pt>
                <c:pt idx="71">
                  <c:v>-435.778713738292</c:v>
                </c:pt>
                <c:pt idx="72">
                  <c:v>-1.22464679914735E-012</c:v>
                </c:pt>
              </c:numCache>
            </c:numRef>
          </c:xVal>
          <c:yVal>
            <c:numRef>
              <c:f>4_COBERTURA!$H$28:$H$100</c:f>
              <c:numCache>
                <c:formatCode>0.0</c:formatCode>
                <c:ptCount val="73"/>
                <c:pt idx="0">
                  <c:v>5000</c:v>
                </c:pt>
                <c:pt idx="1">
                  <c:v>4980.97349045873</c:v>
                </c:pt>
                <c:pt idx="2">
                  <c:v>4924.03876506104</c:v>
                </c:pt>
                <c:pt idx="3">
                  <c:v>4829.62913144534</c:v>
                </c:pt>
                <c:pt idx="4">
                  <c:v>4698.46310392954</c:v>
                </c:pt>
                <c:pt idx="5">
                  <c:v>4531.53893518325</c:v>
                </c:pt>
                <c:pt idx="6">
                  <c:v>4330.12701892219</c:v>
                </c:pt>
                <c:pt idx="7">
                  <c:v>4095.76022144496</c:v>
                </c:pt>
                <c:pt idx="8">
                  <c:v>3830.22221559489</c:v>
                </c:pt>
                <c:pt idx="9">
                  <c:v>3535.53390593274</c:v>
                </c:pt>
                <c:pt idx="10">
                  <c:v>3213.9380484327</c:v>
                </c:pt>
                <c:pt idx="11">
                  <c:v>2867.88218175523</c:v>
                </c:pt>
                <c:pt idx="12">
                  <c:v>2500</c:v>
                </c:pt>
                <c:pt idx="13">
                  <c:v>2113.0913087035</c:v>
                </c:pt>
                <c:pt idx="14">
                  <c:v>1710.10071662834</c:v>
                </c:pt>
                <c:pt idx="15">
                  <c:v>1294.0952255126</c:v>
                </c:pt>
                <c:pt idx="16">
                  <c:v>868.240888334652</c:v>
                </c:pt>
                <c:pt idx="17">
                  <c:v>435.778713738292</c:v>
                </c:pt>
                <c:pt idx="18">
                  <c:v>3.06161699786838E-013</c:v>
                </c:pt>
                <c:pt idx="19">
                  <c:v>-435.778713738291</c:v>
                </c:pt>
                <c:pt idx="20">
                  <c:v>-868.240888334652</c:v>
                </c:pt>
                <c:pt idx="21">
                  <c:v>-1294.0952255126</c:v>
                </c:pt>
                <c:pt idx="22">
                  <c:v>-1710.10071662834</c:v>
                </c:pt>
                <c:pt idx="23">
                  <c:v>-2113.0913087035</c:v>
                </c:pt>
                <c:pt idx="24">
                  <c:v>-2500</c:v>
                </c:pt>
                <c:pt idx="25">
                  <c:v>-2867.88218175523</c:v>
                </c:pt>
                <c:pt idx="26">
                  <c:v>-3213.9380484327</c:v>
                </c:pt>
                <c:pt idx="27">
                  <c:v>-3535.53390593274</c:v>
                </c:pt>
                <c:pt idx="28">
                  <c:v>-3830.22221559489</c:v>
                </c:pt>
                <c:pt idx="29">
                  <c:v>-4095.76022144496</c:v>
                </c:pt>
                <c:pt idx="30">
                  <c:v>-4330.12701892219</c:v>
                </c:pt>
                <c:pt idx="31">
                  <c:v>-4531.53893518325</c:v>
                </c:pt>
                <c:pt idx="32">
                  <c:v>-4698.46310392954</c:v>
                </c:pt>
                <c:pt idx="33">
                  <c:v>-4829.62913144534</c:v>
                </c:pt>
                <c:pt idx="34">
                  <c:v>-4924.03876506104</c:v>
                </c:pt>
                <c:pt idx="35">
                  <c:v>-4980.97349045873</c:v>
                </c:pt>
                <c:pt idx="36">
                  <c:v>-5000</c:v>
                </c:pt>
                <c:pt idx="37">
                  <c:v>-4980.97349045873</c:v>
                </c:pt>
                <c:pt idx="38">
                  <c:v>-4924.03876506104</c:v>
                </c:pt>
                <c:pt idx="39">
                  <c:v>-4829.62913144534</c:v>
                </c:pt>
                <c:pt idx="40">
                  <c:v>-4698.46310392954</c:v>
                </c:pt>
                <c:pt idx="41">
                  <c:v>-4531.53893518325</c:v>
                </c:pt>
                <c:pt idx="42">
                  <c:v>-4330.12701892219</c:v>
                </c:pt>
                <c:pt idx="43">
                  <c:v>-4095.76022144496</c:v>
                </c:pt>
                <c:pt idx="44">
                  <c:v>-3830.22221559489</c:v>
                </c:pt>
                <c:pt idx="45">
                  <c:v>-3535.53390593274</c:v>
                </c:pt>
                <c:pt idx="46">
                  <c:v>-3213.9380484327</c:v>
                </c:pt>
                <c:pt idx="47">
                  <c:v>-2867.88218175523</c:v>
                </c:pt>
                <c:pt idx="48">
                  <c:v>-2500</c:v>
                </c:pt>
                <c:pt idx="49">
                  <c:v>-2113.0913087035</c:v>
                </c:pt>
                <c:pt idx="50">
                  <c:v>-1710.10071662835</c:v>
                </c:pt>
                <c:pt idx="51">
                  <c:v>-1294.0952255126</c:v>
                </c:pt>
                <c:pt idx="52">
                  <c:v>-868.240888334652</c:v>
                </c:pt>
                <c:pt idx="53">
                  <c:v>-435.778713738291</c:v>
                </c:pt>
                <c:pt idx="54">
                  <c:v>-9.18485099360515E-013</c:v>
                </c:pt>
                <c:pt idx="55">
                  <c:v>435.778713738289</c:v>
                </c:pt>
                <c:pt idx="56">
                  <c:v>868.24088833465</c:v>
                </c:pt>
                <c:pt idx="57">
                  <c:v>1294.0952255126</c:v>
                </c:pt>
                <c:pt idx="58">
                  <c:v>1710.10071662835</c:v>
                </c:pt>
                <c:pt idx="59">
                  <c:v>2113.09130870349</c:v>
                </c:pt>
                <c:pt idx="60">
                  <c:v>2500</c:v>
                </c:pt>
                <c:pt idx="61">
                  <c:v>2867.88218175523</c:v>
                </c:pt>
                <c:pt idx="62">
                  <c:v>3213.9380484327</c:v>
                </c:pt>
                <c:pt idx="63">
                  <c:v>3535.53390593274</c:v>
                </c:pt>
                <c:pt idx="64">
                  <c:v>3830.22221559489</c:v>
                </c:pt>
                <c:pt idx="65">
                  <c:v>4095.76022144496</c:v>
                </c:pt>
                <c:pt idx="66">
                  <c:v>4330.12701892219</c:v>
                </c:pt>
                <c:pt idx="67">
                  <c:v>4531.53893518325</c:v>
                </c:pt>
                <c:pt idx="68">
                  <c:v>4698.46310392954</c:v>
                </c:pt>
                <c:pt idx="69">
                  <c:v>4829.62913144534</c:v>
                </c:pt>
                <c:pt idx="70">
                  <c:v>4924.03876506104</c:v>
                </c:pt>
                <c:pt idx="71">
                  <c:v>4980.97349045873</c:v>
                </c:pt>
                <c:pt idx="72">
                  <c:v>5000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"ESSM – FFG-1"</c:f>
              <c:strCache>
                <c:ptCount val="1"/>
                <c:pt idx="0">
                  <c:v>ESSM – FFG-1</c:v>
                </c:pt>
              </c:strCache>
            </c:strRef>
          </c:tx>
          <c:spPr>
            <a:solidFill>
              <a:srgbClr val="8b0000"/>
            </a:solidFill>
            <a:ln w="28080">
              <a:solidFill>
                <a:srgbClr val="8b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4_COBERTURA!$I$28:$I$100</c:f>
              <c:numCache>
                <c:formatCode>0.0</c:formatCode>
                <c:ptCount val="73"/>
                <c:pt idx="0">
                  <c:v>4.28626379701574E-013</c:v>
                </c:pt>
                <c:pt idx="1">
                  <c:v>4413.13103402767</c:v>
                </c:pt>
                <c:pt idx="2">
                  <c:v>8792.67547616502</c:v>
                </c:pt>
                <c:pt idx="3">
                  <c:v>13105.3023487661</c:v>
                </c:pt>
                <c:pt idx="4">
                  <c:v>17318.1899572952</c:v>
                </c:pt>
                <c:pt idx="5">
                  <c:v>21399.2756832403</c:v>
                </c:pt>
                <c:pt idx="6">
                  <c:v>25317.5</c:v>
                </c:pt>
                <c:pt idx="7">
                  <c:v>29043.0428546352</c:v>
                </c:pt>
                <c:pt idx="8">
                  <c:v>32547.5506164779</c:v>
                </c:pt>
                <c:pt idx="9">
                  <c:v>35804.3518653808</c:v>
                </c:pt>
                <c:pt idx="10">
                  <c:v>38788.6603773295</c:v>
                </c:pt>
                <c:pt idx="11">
                  <c:v>41477.7637625731</c:v>
                </c:pt>
                <c:pt idx="12">
                  <c:v>43851.1963206251</c:v>
                </c:pt>
                <c:pt idx="13">
                  <c:v>45890.8947966008</c:v>
                </c:pt>
                <c:pt idx="14">
                  <c:v>47581.3358534945</c:v>
                </c:pt>
                <c:pt idx="15">
                  <c:v>48909.654214147</c:v>
                </c:pt>
                <c:pt idx="16">
                  <c:v>49865.7405737732</c:v>
                </c:pt>
                <c:pt idx="17">
                  <c:v>50442.3185378755</c:v>
                </c:pt>
                <c:pt idx="18">
                  <c:v>50635</c:v>
                </c:pt>
                <c:pt idx="19">
                  <c:v>50442.3185378755</c:v>
                </c:pt>
                <c:pt idx="20">
                  <c:v>49865.7405737732</c:v>
                </c:pt>
                <c:pt idx="21">
                  <c:v>48909.654214147</c:v>
                </c:pt>
                <c:pt idx="22">
                  <c:v>47581.3358534945</c:v>
                </c:pt>
                <c:pt idx="23">
                  <c:v>45890.8947966008</c:v>
                </c:pt>
                <c:pt idx="24">
                  <c:v>43851.1963206251</c:v>
                </c:pt>
                <c:pt idx="25">
                  <c:v>41477.7637625731</c:v>
                </c:pt>
                <c:pt idx="26">
                  <c:v>38788.6603773295</c:v>
                </c:pt>
                <c:pt idx="27">
                  <c:v>35804.3518653808</c:v>
                </c:pt>
                <c:pt idx="28">
                  <c:v>32547.5506164779</c:v>
                </c:pt>
                <c:pt idx="29">
                  <c:v>29043.0428546352</c:v>
                </c:pt>
                <c:pt idx="30">
                  <c:v>25317.5</c:v>
                </c:pt>
                <c:pt idx="31">
                  <c:v>21399.2756832403</c:v>
                </c:pt>
                <c:pt idx="32">
                  <c:v>17318.1899572952</c:v>
                </c:pt>
                <c:pt idx="33">
                  <c:v>13105.3023487662</c:v>
                </c:pt>
                <c:pt idx="34">
                  <c:v>8792.67547616504</c:v>
                </c:pt>
                <c:pt idx="35">
                  <c:v>4413.13103402767</c:v>
                </c:pt>
                <c:pt idx="36">
                  <c:v>6.6296254471842E-012</c:v>
                </c:pt>
                <c:pt idx="37">
                  <c:v>-4413.13103402766</c:v>
                </c:pt>
                <c:pt idx="38">
                  <c:v>-8792.67547616503</c:v>
                </c:pt>
                <c:pt idx="39">
                  <c:v>-13105.3023487661</c:v>
                </c:pt>
                <c:pt idx="40">
                  <c:v>-17318.1899572952</c:v>
                </c:pt>
                <c:pt idx="41">
                  <c:v>-21399.2756832403</c:v>
                </c:pt>
                <c:pt idx="42">
                  <c:v>-25317.5</c:v>
                </c:pt>
                <c:pt idx="43">
                  <c:v>-29043.0428546352</c:v>
                </c:pt>
                <c:pt idx="44">
                  <c:v>-32547.5506164779</c:v>
                </c:pt>
                <c:pt idx="45">
                  <c:v>-35804.3518653808</c:v>
                </c:pt>
                <c:pt idx="46">
                  <c:v>-38788.6603773295</c:v>
                </c:pt>
                <c:pt idx="47">
                  <c:v>-41477.7637625731</c:v>
                </c:pt>
                <c:pt idx="48">
                  <c:v>-43851.196320625</c:v>
                </c:pt>
                <c:pt idx="49">
                  <c:v>-45890.8947966008</c:v>
                </c:pt>
                <c:pt idx="50">
                  <c:v>-47581.3358534945</c:v>
                </c:pt>
                <c:pt idx="51">
                  <c:v>-48909.654214147</c:v>
                </c:pt>
                <c:pt idx="52">
                  <c:v>-49865.7405737732</c:v>
                </c:pt>
                <c:pt idx="53">
                  <c:v>-50442.3185378755</c:v>
                </c:pt>
                <c:pt idx="54">
                  <c:v>-50635</c:v>
                </c:pt>
                <c:pt idx="55">
                  <c:v>-50442.3185378755</c:v>
                </c:pt>
                <c:pt idx="56">
                  <c:v>-49865.7405737732</c:v>
                </c:pt>
                <c:pt idx="57">
                  <c:v>-48909.654214147</c:v>
                </c:pt>
                <c:pt idx="58">
                  <c:v>-47581.3358534945</c:v>
                </c:pt>
                <c:pt idx="59">
                  <c:v>-45890.8947966008</c:v>
                </c:pt>
                <c:pt idx="60">
                  <c:v>-43851.1963206251</c:v>
                </c:pt>
                <c:pt idx="61">
                  <c:v>-41477.7637625731</c:v>
                </c:pt>
                <c:pt idx="62">
                  <c:v>-38788.6603773295</c:v>
                </c:pt>
                <c:pt idx="63">
                  <c:v>-35804.3518653808</c:v>
                </c:pt>
                <c:pt idx="64">
                  <c:v>-32547.5506164779</c:v>
                </c:pt>
                <c:pt idx="65">
                  <c:v>-29043.0428546352</c:v>
                </c:pt>
                <c:pt idx="66">
                  <c:v>-25317.5</c:v>
                </c:pt>
                <c:pt idx="67">
                  <c:v>-21399.2756832403</c:v>
                </c:pt>
                <c:pt idx="68">
                  <c:v>-17318.1899572953</c:v>
                </c:pt>
                <c:pt idx="69">
                  <c:v>-13105.3023487661</c:v>
                </c:pt>
                <c:pt idx="70">
                  <c:v>-8792.67547616502</c:v>
                </c:pt>
                <c:pt idx="71">
                  <c:v>-4413.13103402768</c:v>
                </c:pt>
                <c:pt idx="72">
                  <c:v>-1.19733717552637E-011</c:v>
                </c:pt>
              </c:numCache>
            </c:numRef>
          </c:xVal>
          <c:yVal>
            <c:numRef>
              <c:f>4_COBERTURA!$J$28:$J$100</c:f>
              <c:numCache>
                <c:formatCode>0.0</c:formatCode>
                <c:ptCount val="73"/>
                <c:pt idx="0">
                  <c:v>47135</c:v>
                </c:pt>
                <c:pt idx="1">
                  <c:v>46942.3185378755</c:v>
                </c:pt>
                <c:pt idx="2">
                  <c:v>46365.7405737732</c:v>
                </c:pt>
                <c:pt idx="3">
                  <c:v>45409.654214147</c:v>
                </c:pt>
                <c:pt idx="4">
                  <c:v>44081.3358534945</c:v>
                </c:pt>
                <c:pt idx="5">
                  <c:v>42390.8947966008</c:v>
                </c:pt>
                <c:pt idx="6">
                  <c:v>40351.1963206251</c:v>
                </c:pt>
                <c:pt idx="7">
                  <c:v>37977.7637625731</c:v>
                </c:pt>
                <c:pt idx="8">
                  <c:v>35288.6603773295</c:v>
                </c:pt>
                <c:pt idx="9">
                  <c:v>32304.3518653808</c:v>
                </c:pt>
                <c:pt idx="10">
                  <c:v>29047.5506164779</c:v>
                </c:pt>
                <c:pt idx="11">
                  <c:v>25543.0428546352</c:v>
                </c:pt>
                <c:pt idx="12">
                  <c:v>21817.5</c:v>
                </c:pt>
                <c:pt idx="13">
                  <c:v>17899.2756832403</c:v>
                </c:pt>
                <c:pt idx="14">
                  <c:v>13818.1899572952</c:v>
                </c:pt>
                <c:pt idx="15">
                  <c:v>9605.30234876614</c:v>
                </c:pt>
                <c:pt idx="16">
                  <c:v>5292.67547616502</c:v>
                </c:pt>
                <c:pt idx="17">
                  <c:v>913.131034027681</c:v>
                </c:pt>
                <c:pt idx="18">
                  <c:v>-3500</c:v>
                </c:pt>
                <c:pt idx="19">
                  <c:v>-7913.13103402768</c:v>
                </c:pt>
                <c:pt idx="20">
                  <c:v>-12292.675476165</c:v>
                </c:pt>
                <c:pt idx="21">
                  <c:v>-16605.3023487661</c:v>
                </c:pt>
                <c:pt idx="22">
                  <c:v>-20818.1899572952</c:v>
                </c:pt>
                <c:pt idx="23">
                  <c:v>-24899.2756832403</c:v>
                </c:pt>
                <c:pt idx="24">
                  <c:v>-28817.5</c:v>
                </c:pt>
                <c:pt idx="25">
                  <c:v>-32543.0428546352</c:v>
                </c:pt>
                <c:pt idx="26">
                  <c:v>-36047.5506164779</c:v>
                </c:pt>
                <c:pt idx="27">
                  <c:v>-39304.3518653808</c:v>
                </c:pt>
                <c:pt idx="28">
                  <c:v>-42288.6603773295</c:v>
                </c:pt>
                <c:pt idx="29">
                  <c:v>-44977.7637625731</c:v>
                </c:pt>
                <c:pt idx="30">
                  <c:v>-47351.1963206251</c:v>
                </c:pt>
                <c:pt idx="31">
                  <c:v>-49390.8947966008</c:v>
                </c:pt>
                <c:pt idx="32">
                  <c:v>-51081.3358534945</c:v>
                </c:pt>
                <c:pt idx="33">
                  <c:v>-52409.654214147</c:v>
                </c:pt>
                <c:pt idx="34">
                  <c:v>-53365.7405737732</c:v>
                </c:pt>
                <c:pt idx="35">
                  <c:v>-53942.3185378755</c:v>
                </c:pt>
                <c:pt idx="36">
                  <c:v>-54135</c:v>
                </c:pt>
                <c:pt idx="37">
                  <c:v>-53942.3185378755</c:v>
                </c:pt>
                <c:pt idx="38">
                  <c:v>-53365.7405737732</c:v>
                </c:pt>
                <c:pt idx="39">
                  <c:v>-52409.654214147</c:v>
                </c:pt>
                <c:pt idx="40">
                  <c:v>-51081.3358534945</c:v>
                </c:pt>
                <c:pt idx="41">
                  <c:v>-49390.8947966008</c:v>
                </c:pt>
                <c:pt idx="42">
                  <c:v>-47351.1963206251</c:v>
                </c:pt>
                <c:pt idx="43">
                  <c:v>-44977.7637625731</c:v>
                </c:pt>
                <c:pt idx="44">
                  <c:v>-42288.6603773295</c:v>
                </c:pt>
                <c:pt idx="45">
                  <c:v>-39304.3518653808</c:v>
                </c:pt>
                <c:pt idx="46">
                  <c:v>-36047.5506164779</c:v>
                </c:pt>
                <c:pt idx="47">
                  <c:v>-32543.0428546352</c:v>
                </c:pt>
                <c:pt idx="48">
                  <c:v>-28817.5</c:v>
                </c:pt>
                <c:pt idx="49">
                  <c:v>-24899.2756832403</c:v>
                </c:pt>
                <c:pt idx="50">
                  <c:v>-20818.1899572953</c:v>
                </c:pt>
                <c:pt idx="51">
                  <c:v>-16605.3023487661</c:v>
                </c:pt>
                <c:pt idx="52">
                  <c:v>-12292.675476165</c:v>
                </c:pt>
                <c:pt idx="53">
                  <c:v>-7913.13103402768</c:v>
                </c:pt>
                <c:pt idx="54">
                  <c:v>-3500.00000000001</c:v>
                </c:pt>
                <c:pt idx="55">
                  <c:v>913.131034027657</c:v>
                </c:pt>
                <c:pt idx="56">
                  <c:v>5292.675476165</c:v>
                </c:pt>
                <c:pt idx="57">
                  <c:v>9605.30234876612</c:v>
                </c:pt>
                <c:pt idx="58">
                  <c:v>13818.1899572953</c:v>
                </c:pt>
                <c:pt idx="59">
                  <c:v>17899.2756832403</c:v>
                </c:pt>
                <c:pt idx="60">
                  <c:v>21817.5</c:v>
                </c:pt>
                <c:pt idx="61">
                  <c:v>25543.0428546352</c:v>
                </c:pt>
                <c:pt idx="62">
                  <c:v>29047.5506164779</c:v>
                </c:pt>
                <c:pt idx="63">
                  <c:v>32304.3518653808</c:v>
                </c:pt>
                <c:pt idx="64">
                  <c:v>35288.6603773294</c:v>
                </c:pt>
                <c:pt idx="65">
                  <c:v>37977.7637625731</c:v>
                </c:pt>
                <c:pt idx="66">
                  <c:v>40351.196320625</c:v>
                </c:pt>
                <c:pt idx="67">
                  <c:v>42390.8947966008</c:v>
                </c:pt>
                <c:pt idx="68">
                  <c:v>44081.3358534945</c:v>
                </c:pt>
                <c:pt idx="69">
                  <c:v>45409.654214147</c:v>
                </c:pt>
                <c:pt idx="70">
                  <c:v>46365.7405737732</c:v>
                </c:pt>
                <c:pt idx="71">
                  <c:v>46942.3185378755</c:v>
                </c:pt>
                <c:pt idx="72">
                  <c:v>47135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"ESSM – FFG-2"</c:f>
              <c:strCache>
                <c:ptCount val="1"/>
                <c:pt idx="0">
                  <c:v>ESSM – FFG-2</c:v>
                </c:pt>
              </c:strCache>
            </c:strRef>
          </c:tx>
          <c:spPr>
            <a:solidFill>
              <a:srgbClr val="cc2200"/>
            </a:solidFill>
            <a:ln w="23040">
              <a:solidFill>
                <a:srgbClr val="cc2200"/>
              </a:solidFill>
              <a:prstDash val="sys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4_COBERTURA!$K$28:$K$100</c:f>
              <c:numCache>
                <c:formatCode>0.0</c:formatCode>
                <c:ptCount val="73"/>
                <c:pt idx="0">
                  <c:v>1436.48460196781</c:v>
                </c:pt>
                <c:pt idx="1">
                  <c:v>5849.61563599548</c:v>
                </c:pt>
                <c:pt idx="2">
                  <c:v>10229.1600781328</c:v>
                </c:pt>
                <c:pt idx="3">
                  <c:v>14541.7869507339</c:v>
                </c:pt>
                <c:pt idx="4">
                  <c:v>18754.674559263</c:v>
                </c:pt>
                <c:pt idx="5">
                  <c:v>22835.7602852081</c:v>
                </c:pt>
                <c:pt idx="6">
                  <c:v>26753.9846019678</c:v>
                </c:pt>
                <c:pt idx="7">
                  <c:v>30479.527456603</c:v>
                </c:pt>
                <c:pt idx="8">
                  <c:v>33984.0352184457</c:v>
                </c:pt>
                <c:pt idx="9">
                  <c:v>37240.8364673486</c:v>
                </c:pt>
                <c:pt idx="10">
                  <c:v>40225.1449792973</c:v>
                </c:pt>
                <c:pt idx="11">
                  <c:v>42914.2483645409</c:v>
                </c:pt>
                <c:pt idx="12">
                  <c:v>45287.6809225929</c:v>
                </c:pt>
                <c:pt idx="13">
                  <c:v>47327.3793985686</c:v>
                </c:pt>
                <c:pt idx="14">
                  <c:v>49017.8204554623</c:v>
                </c:pt>
                <c:pt idx="15">
                  <c:v>50346.1388161148</c:v>
                </c:pt>
                <c:pt idx="16">
                  <c:v>51302.225175741</c:v>
                </c:pt>
                <c:pt idx="17">
                  <c:v>51878.8031398433</c:v>
                </c:pt>
                <c:pt idx="18">
                  <c:v>52071.4846019678</c:v>
                </c:pt>
                <c:pt idx="19">
                  <c:v>51878.8031398433</c:v>
                </c:pt>
                <c:pt idx="20">
                  <c:v>51302.225175741</c:v>
                </c:pt>
                <c:pt idx="21">
                  <c:v>50346.1388161148</c:v>
                </c:pt>
                <c:pt idx="22">
                  <c:v>49017.8204554623</c:v>
                </c:pt>
                <c:pt idx="23">
                  <c:v>47327.3793985686</c:v>
                </c:pt>
                <c:pt idx="24">
                  <c:v>45287.6809225929</c:v>
                </c:pt>
                <c:pt idx="25">
                  <c:v>42914.2483645409</c:v>
                </c:pt>
                <c:pt idx="26">
                  <c:v>40225.1449792973</c:v>
                </c:pt>
                <c:pt idx="27">
                  <c:v>37240.8364673486</c:v>
                </c:pt>
                <c:pt idx="28">
                  <c:v>33984.0352184457</c:v>
                </c:pt>
                <c:pt idx="29">
                  <c:v>30479.527456603</c:v>
                </c:pt>
                <c:pt idx="30">
                  <c:v>26753.9846019678</c:v>
                </c:pt>
                <c:pt idx="31">
                  <c:v>22835.7602852081</c:v>
                </c:pt>
                <c:pt idx="32">
                  <c:v>18754.6745592631</c:v>
                </c:pt>
                <c:pt idx="33">
                  <c:v>14541.786950734</c:v>
                </c:pt>
                <c:pt idx="34">
                  <c:v>10229.1600781328</c:v>
                </c:pt>
                <c:pt idx="35">
                  <c:v>5849.61563599548</c:v>
                </c:pt>
                <c:pt idx="36">
                  <c:v>1436.48460196782</c:v>
                </c:pt>
                <c:pt idx="37">
                  <c:v>-2976.64643205985</c:v>
                </c:pt>
                <c:pt idx="38">
                  <c:v>-7356.19087419722</c:v>
                </c:pt>
                <c:pt idx="39">
                  <c:v>-11668.8177467983</c:v>
                </c:pt>
                <c:pt idx="40">
                  <c:v>-15881.7053553274</c:v>
                </c:pt>
                <c:pt idx="41">
                  <c:v>-19962.7910812725</c:v>
                </c:pt>
                <c:pt idx="42">
                  <c:v>-23881.0153980322</c:v>
                </c:pt>
                <c:pt idx="43">
                  <c:v>-27606.5582526674</c:v>
                </c:pt>
                <c:pt idx="44">
                  <c:v>-31111.0660145101</c:v>
                </c:pt>
                <c:pt idx="45">
                  <c:v>-34367.867263413</c:v>
                </c:pt>
                <c:pt idx="46">
                  <c:v>-37352.1757753616</c:v>
                </c:pt>
                <c:pt idx="47">
                  <c:v>-40041.2791606053</c:v>
                </c:pt>
                <c:pt idx="48">
                  <c:v>-42414.7117186572</c:v>
                </c:pt>
                <c:pt idx="49">
                  <c:v>-44454.410194633</c:v>
                </c:pt>
                <c:pt idx="50">
                  <c:v>-46144.8512515267</c:v>
                </c:pt>
                <c:pt idx="51">
                  <c:v>-47473.1696121792</c:v>
                </c:pt>
                <c:pt idx="52">
                  <c:v>-48429.2559718053</c:v>
                </c:pt>
                <c:pt idx="53">
                  <c:v>-49005.8339359077</c:v>
                </c:pt>
                <c:pt idx="54">
                  <c:v>-49198.5153980322</c:v>
                </c:pt>
                <c:pt idx="55">
                  <c:v>-49005.8339359077</c:v>
                </c:pt>
                <c:pt idx="56">
                  <c:v>-48429.2559718054</c:v>
                </c:pt>
                <c:pt idx="57">
                  <c:v>-47473.1696121792</c:v>
                </c:pt>
                <c:pt idx="58">
                  <c:v>-46144.8512515267</c:v>
                </c:pt>
                <c:pt idx="59">
                  <c:v>-44454.410194633</c:v>
                </c:pt>
                <c:pt idx="60">
                  <c:v>-42414.7117186572</c:v>
                </c:pt>
                <c:pt idx="61">
                  <c:v>-40041.2791606053</c:v>
                </c:pt>
                <c:pt idx="62">
                  <c:v>-37352.1757753617</c:v>
                </c:pt>
                <c:pt idx="63">
                  <c:v>-34367.867263413</c:v>
                </c:pt>
                <c:pt idx="64">
                  <c:v>-31111.0660145101</c:v>
                </c:pt>
                <c:pt idx="65">
                  <c:v>-27606.5582526674</c:v>
                </c:pt>
                <c:pt idx="66">
                  <c:v>-23881.0153980322</c:v>
                </c:pt>
                <c:pt idx="67">
                  <c:v>-19962.7910812725</c:v>
                </c:pt>
                <c:pt idx="68">
                  <c:v>-15881.7053553275</c:v>
                </c:pt>
                <c:pt idx="69">
                  <c:v>-11668.8177467983</c:v>
                </c:pt>
                <c:pt idx="70">
                  <c:v>-7356.19087419721</c:v>
                </c:pt>
                <c:pt idx="71">
                  <c:v>-2976.64643205987</c:v>
                </c:pt>
                <c:pt idx="72">
                  <c:v>1436.4846019678</c:v>
                </c:pt>
              </c:numCache>
            </c:numRef>
          </c:xVal>
          <c:yVal>
            <c:numRef>
              <c:f>4_COBERTURA!$L$28:$L$100</c:f>
              <c:numCache>
                <c:formatCode>0.0</c:formatCode>
                <c:ptCount val="73"/>
                <c:pt idx="0">
                  <c:v>46688.2909926992</c:v>
                </c:pt>
                <c:pt idx="1">
                  <c:v>46495.6095305747</c:v>
                </c:pt>
                <c:pt idx="2">
                  <c:v>45919.0315664723</c:v>
                </c:pt>
                <c:pt idx="3">
                  <c:v>44962.9452068462</c:v>
                </c:pt>
                <c:pt idx="4">
                  <c:v>43634.6268461937</c:v>
                </c:pt>
                <c:pt idx="5">
                  <c:v>41944.1857893</c:v>
                </c:pt>
                <c:pt idx="6">
                  <c:v>39904.4873133242</c:v>
                </c:pt>
                <c:pt idx="7">
                  <c:v>37531.0547552723</c:v>
                </c:pt>
                <c:pt idx="8">
                  <c:v>34841.9513700286</c:v>
                </c:pt>
                <c:pt idx="9">
                  <c:v>31857.64285808</c:v>
                </c:pt>
                <c:pt idx="10">
                  <c:v>28600.8416091771</c:v>
                </c:pt>
                <c:pt idx="11">
                  <c:v>25096.3338473344</c:v>
                </c:pt>
                <c:pt idx="12">
                  <c:v>21370.7909926992</c:v>
                </c:pt>
                <c:pt idx="13">
                  <c:v>17452.5666759395</c:v>
                </c:pt>
                <c:pt idx="14">
                  <c:v>13371.4809499944</c:v>
                </c:pt>
                <c:pt idx="15">
                  <c:v>9158.59334146532</c:v>
                </c:pt>
                <c:pt idx="16">
                  <c:v>4845.96646886421</c:v>
                </c:pt>
                <c:pt idx="17">
                  <c:v>466.422026726867</c:v>
                </c:pt>
                <c:pt idx="18">
                  <c:v>-3946.70900730081</c:v>
                </c:pt>
                <c:pt idx="19">
                  <c:v>-8359.84004132849</c:v>
                </c:pt>
                <c:pt idx="20">
                  <c:v>-12739.3844834658</c:v>
                </c:pt>
                <c:pt idx="21">
                  <c:v>-17052.011356067</c:v>
                </c:pt>
                <c:pt idx="22">
                  <c:v>-21264.8989645961</c:v>
                </c:pt>
                <c:pt idx="23">
                  <c:v>-25345.9846905411</c:v>
                </c:pt>
                <c:pt idx="24">
                  <c:v>-29264.2090073008</c:v>
                </c:pt>
                <c:pt idx="25">
                  <c:v>-32989.751861936</c:v>
                </c:pt>
                <c:pt idx="26">
                  <c:v>-36494.2596237787</c:v>
                </c:pt>
                <c:pt idx="27">
                  <c:v>-39751.0608726816</c:v>
                </c:pt>
                <c:pt idx="28">
                  <c:v>-42735.3693846303</c:v>
                </c:pt>
                <c:pt idx="29">
                  <c:v>-45424.4727698739</c:v>
                </c:pt>
                <c:pt idx="30">
                  <c:v>-47797.9053279259</c:v>
                </c:pt>
                <c:pt idx="31">
                  <c:v>-49837.6038039016</c:v>
                </c:pt>
                <c:pt idx="32">
                  <c:v>-51528.0448607953</c:v>
                </c:pt>
                <c:pt idx="33">
                  <c:v>-52856.3632214478</c:v>
                </c:pt>
                <c:pt idx="34">
                  <c:v>-53812.449581074</c:v>
                </c:pt>
                <c:pt idx="35">
                  <c:v>-54389.0275451764</c:v>
                </c:pt>
                <c:pt idx="36">
                  <c:v>-54581.7090073008</c:v>
                </c:pt>
                <c:pt idx="37">
                  <c:v>-54389.0275451764</c:v>
                </c:pt>
                <c:pt idx="38">
                  <c:v>-53812.449581074</c:v>
                </c:pt>
                <c:pt idx="39">
                  <c:v>-52856.3632214478</c:v>
                </c:pt>
                <c:pt idx="40">
                  <c:v>-51528.0448607953</c:v>
                </c:pt>
                <c:pt idx="41">
                  <c:v>-49837.6038039016</c:v>
                </c:pt>
                <c:pt idx="42">
                  <c:v>-47797.9053279259</c:v>
                </c:pt>
                <c:pt idx="43">
                  <c:v>-45424.4727698739</c:v>
                </c:pt>
                <c:pt idx="44">
                  <c:v>-42735.3693846303</c:v>
                </c:pt>
                <c:pt idx="45">
                  <c:v>-39751.0608726817</c:v>
                </c:pt>
                <c:pt idx="46">
                  <c:v>-36494.2596237787</c:v>
                </c:pt>
                <c:pt idx="47">
                  <c:v>-32989.7518619361</c:v>
                </c:pt>
                <c:pt idx="48">
                  <c:v>-29264.2090073008</c:v>
                </c:pt>
                <c:pt idx="49">
                  <c:v>-25345.9846905411</c:v>
                </c:pt>
                <c:pt idx="50">
                  <c:v>-21264.8989645961</c:v>
                </c:pt>
                <c:pt idx="51">
                  <c:v>-17052.011356067</c:v>
                </c:pt>
                <c:pt idx="52">
                  <c:v>-12739.3844834658</c:v>
                </c:pt>
                <c:pt idx="53">
                  <c:v>-8359.84004132849</c:v>
                </c:pt>
                <c:pt idx="54">
                  <c:v>-3946.70900730082</c:v>
                </c:pt>
                <c:pt idx="55">
                  <c:v>466.422026726842</c:v>
                </c:pt>
                <c:pt idx="56">
                  <c:v>4845.96646886418</c:v>
                </c:pt>
                <c:pt idx="57">
                  <c:v>9158.5933414653</c:v>
                </c:pt>
                <c:pt idx="58">
                  <c:v>13371.4809499944</c:v>
                </c:pt>
                <c:pt idx="59">
                  <c:v>17452.5666759395</c:v>
                </c:pt>
                <c:pt idx="60">
                  <c:v>21370.7909926992</c:v>
                </c:pt>
                <c:pt idx="61">
                  <c:v>25096.3338473344</c:v>
                </c:pt>
                <c:pt idx="62">
                  <c:v>28600.8416091771</c:v>
                </c:pt>
                <c:pt idx="63">
                  <c:v>31857.64285808</c:v>
                </c:pt>
                <c:pt idx="64">
                  <c:v>34841.9513700286</c:v>
                </c:pt>
                <c:pt idx="65">
                  <c:v>37531.0547552723</c:v>
                </c:pt>
                <c:pt idx="66">
                  <c:v>39904.4873133242</c:v>
                </c:pt>
                <c:pt idx="67">
                  <c:v>41944.1857893</c:v>
                </c:pt>
                <c:pt idx="68">
                  <c:v>43634.6268461936</c:v>
                </c:pt>
                <c:pt idx="69">
                  <c:v>44962.9452068462</c:v>
                </c:pt>
                <c:pt idx="70">
                  <c:v>45919.0315664723</c:v>
                </c:pt>
                <c:pt idx="71">
                  <c:v>46495.6095305747</c:v>
                </c:pt>
                <c:pt idx="72">
                  <c:v>46688.2909926992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"SC – FF23-1"</c:f>
              <c:strCache>
                <c:ptCount val="1"/>
                <c:pt idx="0">
                  <c:v>SC – FF23-1</c:v>
                </c:pt>
              </c:strCache>
            </c:strRef>
          </c:tx>
          <c:spPr>
            <a:solidFill>
              <a:srgbClr val="006400"/>
            </a:solidFill>
            <a:ln w="28080">
              <a:solidFill>
                <a:srgbClr val="0064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4_COBERTURA!$M$28:$M$100</c:f>
              <c:numCache>
                <c:formatCode>0.0</c:formatCode>
                <c:ptCount val="73"/>
                <c:pt idx="0">
                  <c:v>-883.883476483184</c:v>
                </c:pt>
                <c:pt idx="1">
                  <c:v>1234.4194198501</c:v>
                </c:pt>
                <c:pt idx="2">
                  <c:v>3336.60075207602</c:v>
                </c:pt>
                <c:pt idx="3">
                  <c:v>5406.66165092456</c:v>
                </c:pt>
                <c:pt idx="4">
                  <c:v>7428.84770301853</c:v>
                </c:pt>
                <c:pt idx="5">
                  <c:v>9387.76885147217</c:v>
                </c:pt>
                <c:pt idx="6">
                  <c:v>11268.5165235168</c:v>
                </c:pt>
                <c:pt idx="7">
                  <c:v>13056.7770937417</c:v>
                </c:pt>
                <c:pt idx="8">
                  <c:v>14738.9408194262</c:v>
                </c:pt>
                <c:pt idx="9">
                  <c:v>16302.2054188996</c:v>
                </c:pt>
                <c:pt idx="10">
                  <c:v>17734.673504635</c:v>
                </c:pt>
                <c:pt idx="11">
                  <c:v>19025.4431295519</c:v>
                </c:pt>
                <c:pt idx="12">
                  <c:v>20164.6907574168</c:v>
                </c:pt>
                <c:pt idx="13">
                  <c:v>21143.7460258852</c:v>
                </c:pt>
                <c:pt idx="14">
                  <c:v>21955.1577331942</c:v>
                </c:pt>
                <c:pt idx="15">
                  <c:v>22592.7505463074</c:v>
                </c:pt>
                <c:pt idx="16">
                  <c:v>23051.6719989279</c:v>
                </c:pt>
                <c:pt idx="17">
                  <c:v>23328.4294216971</c:v>
                </c:pt>
                <c:pt idx="18">
                  <c:v>23420.9165235168</c:v>
                </c:pt>
                <c:pt idx="19">
                  <c:v>23328.4294216971</c:v>
                </c:pt>
                <c:pt idx="20">
                  <c:v>23051.6719989279</c:v>
                </c:pt>
                <c:pt idx="21">
                  <c:v>22592.7505463074</c:v>
                </c:pt>
                <c:pt idx="22">
                  <c:v>21955.1577331942</c:v>
                </c:pt>
                <c:pt idx="23">
                  <c:v>21143.7460258852</c:v>
                </c:pt>
                <c:pt idx="24">
                  <c:v>20164.6907574168</c:v>
                </c:pt>
                <c:pt idx="25">
                  <c:v>19025.4431295519</c:v>
                </c:pt>
                <c:pt idx="26">
                  <c:v>17734.673504635</c:v>
                </c:pt>
                <c:pt idx="27">
                  <c:v>16302.2054188996</c:v>
                </c:pt>
                <c:pt idx="28">
                  <c:v>14738.9408194262</c:v>
                </c:pt>
                <c:pt idx="29">
                  <c:v>13056.7770937417</c:v>
                </c:pt>
                <c:pt idx="30">
                  <c:v>11268.5165235168</c:v>
                </c:pt>
                <c:pt idx="31">
                  <c:v>9387.76885147217</c:v>
                </c:pt>
                <c:pt idx="32">
                  <c:v>7428.84770301853</c:v>
                </c:pt>
                <c:pt idx="33">
                  <c:v>5406.66165092457</c:v>
                </c:pt>
                <c:pt idx="34">
                  <c:v>3336.60075207603</c:v>
                </c:pt>
                <c:pt idx="35">
                  <c:v>1234.4194198501</c:v>
                </c:pt>
                <c:pt idx="36">
                  <c:v>-883.883476483181</c:v>
                </c:pt>
                <c:pt idx="37">
                  <c:v>-3002.18637281646</c:v>
                </c:pt>
                <c:pt idx="38">
                  <c:v>-5104.3677050424</c:v>
                </c:pt>
                <c:pt idx="39">
                  <c:v>-7174.42860389092</c:v>
                </c:pt>
                <c:pt idx="40">
                  <c:v>-9196.6146559849</c:v>
                </c:pt>
                <c:pt idx="41">
                  <c:v>-11155.5358044385</c:v>
                </c:pt>
                <c:pt idx="42">
                  <c:v>-13036.2834764832</c:v>
                </c:pt>
                <c:pt idx="43">
                  <c:v>-14824.5440467081</c:v>
                </c:pt>
                <c:pt idx="44">
                  <c:v>-16506.7077723926</c:v>
                </c:pt>
                <c:pt idx="45">
                  <c:v>-18069.972371866</c:v>
                </c:pt>
                <c:pt idx="46">
                  <c:v>-19502.4404576013</c:v>
                </c:pt>
                <c:pt idx="47">
                  <c:v>-20793.2100825183</c:v>
                </c:pt>
                <c:pt idx="48">
                  <c:v>-21932.4577103832</c:v>
                </c:pt>
                <c:pt idx="49">
                  <c:v>-22911.5129788516</c:v>
                </c:pt>
                <c:pt idx="50">
                  <c:v>-23722.9246861605</c:v>
                </c:pt>
                <c:pt idx="51">
                  <c:v>-24360.5174992737</c:v>
                </c:pt>
                <c:pt idx="52">
                  <c:v>-24819.4389518943</c:v>
                </c:pt>
                <c:pt idx="53">
                  <c:v>-25096.1963746634</c:v>
                </c:pt>
                <c:pt idx="54">
                  <c:v>-25188.6834764832</c:v>
                </c:pt>
                <c:pt idx="55">
                  <c:v>-25096.1963746634</c:v>
                </c:pt>
                <c:pt idx="56">
                  <c:v>-24819.4389518943</c:v>
                </c:pt>
                <c:pt idx="57">
                  <c:v>-24360.5174992737</c:v>
                </c:pt>
                <c:pt idx="58">
                  <c:v>-23722.9246861605</c:v>
                </c:pt>
                <c:pt idx="59">
                  <c:v>-22911.5129788516</c:v>
                </c:pt>
                <c:pt idx="60">
                  <c:v>-21932.4577103832</c:v>
                </c:pt>
                <c:pt idx="61">
                  <c:v>-20793.2100825183</c:v>
                </c:pt>
                <c:pt idx="62">
                  <c:v>-19502.4404576013</c:v>
                </c:pt>
                <c:pt idx="63">
                  <c:v>-18069.972371866</c:v>
                </c:pt>
                <c:pt idx="64">
                  <c:v>-16506.7077723926</c:v>
                </c:pt>
                <c:pt idx="65">
                  <c:v>-14824.5440467081</c:v>
                </c:pt>
                <c:pt idx="66">
                  <c:v>-13036.2834764832</c:v>
                </c:pt>
                <c:pt idx="67">
                  <c:v>-11155.5358044385</c:v>
                </c:pt>
                <c:pt idx="68">
                  <c:v>-9196.61465598492</c:v>
                </c:pt>
                <c:pt idx="69">
                  <c:v>-7174.42860389093</c:v>
                </c:pt>
                <c:pt idx="70">
                  <c:v>-5104.3677050424</c:v>
                </c:pt>
                <c:pt idx="71">
                  <c:v>-3002.18637281647</c:v>
                </c:pt>
                <c:pt idx="72">
                  <c:v>-883.88347648319</c:v>
                </c:pt>
              </c:numCache>
            </c:numRef>
          </c:xVal>
          <c:yVal>
            <c:numRef>
              <c:f>4_COBERTURA!$N$28:$N$100</c:f>
              <c:numCache>
                <c:formatCode>0.0</c:formatCode>
                <c:ptCount val="73"/>
                <c:pt idx="0">
                  <c:v>23420.9165235168</c:v>
                </c:pt>
                <c:pt idx="1">
                  <c:v>23328.4294216971</c:v>
                </c:pt>
                <c:pt idx="2">
                  <c:v>23051.6719989279</c:v>
                </c:pt>
                <c:pt idx="3">
                  <c:v>22592.7505463074</c:v>
                </c:pt>
                <c:pt idx="4">
                  <c:v>21955.1577331942</c:v>
                </c:pt>
                <c:pt idx="5">
                  <c:v>21143.7460258852</c:v>
                </c:pt>
                <c:pt idx="6">
                  <c:v>20164.6907574168</c:v>
                </c:pt>
                <c:pt idx="7">
                  <c:v>19025.4431295519</c:v>
                </c:pt>
                <c:pt idx="8">
                  <c:v>17734.673504635</c:v>
                </c:pt>
                <c:pt idx="9">
                  <c:v>16302.2054188996</c:v>
                </c:pt>
                <c:pt idx="10">
                  <c:v>14738.9408194262</c:v>
                </c:pt>
                <c:pt idx="11">
                  <c:v>13056.7770937417</c:v>
                </c:pt>
                <c:pt idx="12">
                  <c:v>11268.5165235168</c:v>
                </c:pt>
                <c:pt idx="13">
                  <c:v>9387.76885147217</c:v>
                </c:pt>
                <c:pt idx="14">
                  <c:v>7428.84770301853</c:v>
                </c:pt>
                <c:pt idx="15">
                  <c:v>5406.66165092456</c:v>
                </c:pt>
                <c:pt idx="16">
                  <c:v>3336.60075207603</c:v>
                </c:pt>
                <c:pt idx="17">
                  <c:v>1234.4194198501</c:v>
                </c:pt>
                <c:pt idx="18">
                  <c:v>-883.883476483183</c:v>
                </c:pt>
                <c:pt idx="19">
                  <c:v>-3002.18637281647</c:v>
                </c:pt>
                <c:pt idx="20">
                  <c:v>-5104.36770504239</c:v>
                </c:pt>
                <c:pt idx="21">
                  <c:v>-7174.42860389093</c:v>
                </c:pt>
                <c:pt idx="22">
                  <c:v>-9196.6146559849</c:v>
                </c:pt>
                <c:pt idx="23">
                  <c:v>-11155.5358044385</c:v>
                </c:pt>
                <c:pt idx="24">
                  <c:v>-13036.2834764832</c:v>
                </c:pt>
                <c:pt idx="25">
                  <c:v>-14824.5440467081</c:v>
                </c:pt>
                <c:pt idx="26">
                  <c:v>-16506.7077723926</c:v>
                </c:pt>
                <c:pt idx="27">
                  <c:v>-18069.972371866</c:v>
                </c:pt>
                <c:pt idx="28">
                  <c:v>-19502.4404576013</c:v>
                </c:pt>
                <c:pt idx="29">
                  <c:v>-20793.2100825183</c:v>
                </c:pt>
                <c:pt idx="30">
                  <c:v>-21932.4577103832</c:v>
                </c:pt>
                <c:pt idx="31">
                  <c:v>-22911.5129788516</c:v>
                </c:pt>
                <c:pt idx="32">
                  <c:v>-23722.9246861605</c:v>
                </c:pt>
                <c:pt idx="33">
                  <c:v>-24360.5174992737</c:v>
                </c:pt>
                <c:pt idx="34">
                  <c:v>-24819.4389518943</c:v>
                </c:pt>
                <c:pt idx="35">
                  <c:v>-25096.1963746634</c:v>
                </c:pt>
                <c:pt idx="36">
                  <c:v>-25188.6834764832</c:v>
                </c:pt>
                <c:pt idx="37">
                  <c:v>-25096.1963746634</c:v>
                </c:pt>
                <c:pt idx="38">
                  <c:v>-24819.4389518943</c:v>
                </c:pt>
                <c:pt idx="39">
                  <c:v>-24360.5174992737</c:v>
                </c:pt>
                <c:pt idx="40">
                  <c:v>-23722.9246861605</c:v>
                </c:pt>
                <c:pt idx="41">
                  <c:v>-22911.5129788516</c:v>
                </c:pt>
                <c:pt idx="42">
                  <c:v>-21932.4577103832</c:v>
                </c:pt>
                <c:pt idx="43">
                  <c:v>-20793.2100825183</c:v>
                </c:pt>
                <c:pt idx="44">
                  <c:v>-19502.4404576013</c:v>
                </c:pt>
                <c:pt idx="45">
                  <c:v>-18069.972371866</c:v>
                </c:pt>
                <c:pt idx="46">
                  <c:v>-16506.7077723926</c:v>
                </c:pt>
                <c:pt idx="47">
                  <c:v>-14824.5440467081</c:v>
                </c:pt>
                <c:pt idx="48">
                  <c:v>-13036.2834764832</c:v>
                </c:pt>
                <c:pt idx="49">
                  <c:v>-11155.5358044385</c:v>
                </c:pt>
                <c:pt idx="50">
                  <c:v>-9196.61465598492</c:v>
                </c:pt>
                <c:pt idx="51">
                  <c:v>-7174.42860389093</c:v>
                </c:pt>
                <c:pt idx="52">
                  <c:v>-5104.36770504239</c:v>
                </c:pt>
                <c:pt idx="53">
                  <c:v>-3002.18637281647</c:v>
                </c:pt>
                <c:pt idx="54">
                  <c:v>-883.883476483189</c:v>
                </c:pt>
                <c:pt idx="55">
                  <c:v>1234.41941985009</c:v>
                </c:pt>
                <c:pt idx="56">
                  <c:v>3336.60075207602</c:v>
                </c:pt>
                <c:pt idx="57">
                  <c:v>5406.66165092455</c:v>
                </c:pt>
                <c:pt idx="58">
                  <c:v>7428.84770301854</c:v>
                </c:pt>
                <c:pt idx="59">
                  <c:v>9387.76885147215</c:v>
                </c:pt>
                <c:pt idx="60">
                  <c:v>11268.5165235168</c:v>
                </c:pt>
                <c:pt idx="61">
                  <c:v>13056.7770937417</c:v>
                </c:pt>
                <c:pt idx="62">
                  <c:v>14738.9408194262</c:v>
                </c:pt>
                <c:pt idx="63">
                  <c:v>16302.2054188996</c:v>
                </c:pt>
                <c:pt idx="64">
                  <c:v>17734.673504635</c:v>
                </c:pt>
                <c:pt idx="65">
                  <c:v>19025.4431295519</c:v>
                </c:pt>
                <c:pt idx="66">
                  <c:v>20164.6907574168</c:v>
                </c:pt>
                <c:pt idx="67">
                  <c:v>21143.7460258852</c:v>
                </c:pt>
                <c:pt idx="68">
                  <c:v>21955.1577331942</c:v>
                </c:pt>
                <c:pt idx="69">
                  <c:v>22592.7505463074</c:v>
                </c:pt>
                <c:pt idx="70">
                  <c:v>23051.6719989279</c:v>
                </c:pt>
                <c:pt idx="71">
                  <c:v>23328.4294216971</c:v>
                </c:pt>
                <c:pt idx="72">
                  <c:v>23420.9165235168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"SC – FF23-2"</c:f>
              <c:strCache>
                <c:ptCount val="1"/>
                <c:pt idx="0">
                  <c:v>SC – FF23-2</c:v>
                </c:pt>
              </c:strCache>
            </c:strRef>
          </c:tx>
          <c:spPr>
            <a:solidFill>
              <a:srgbClr val="228b22"/>
            </a:solidFill>
            <a:ln w="23040">
              <a:solidFill>
                <a:srgbClr val="228b22"/>
              </a:solidFill>
              <a:prstDash val="sys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4_COBERTURA!$O$28:$O$100</c:f>
              <c:numCache>
                <c:formatCode>0.0</c:formatCode>
                <c:ptCount val="73"/>
                <c:pt idx="0">
                  <c:v>-883.883476483185</c:v>
                </c:pt>
                <c:pt idx="1">
                  <c:v>1234.4194198501</c:v>
                </c:pt>
                <c:pt idx="2">
                  <c:v>3336.60075207602</c:v>
                </c:pt>
                <c:pt idx="3">
                  <c:v>5406.66165092456</c:v>
                </c:pt>
                <c:pt idx="4">
                  <c:v>7428.84770301853</c:v>
                </c:pt>
                <c:pt idx="5">
                  <c:v>9387.76885147217</c:v>
                </c:pt>
                <c:pt idx="6">
                  <c:v>11268.5165235168</c:v>
                </c:pt>
                <c:pt idx="7">
                  <c:v>13056.7770937417</c:v>
                </c:pt>
                <c:pt idx="8">
                  <c:v>14738.9408194262</c:v>
                </c:pt>
                <c:pt idx="9">
                  <c:v>16302.2054188996</c:v>
                </c:pt>
                <c:pt idx="10">
                  <c:v>17734.673504635</c:v>
                </c:pt>
                <c:pt idx="11">
                  <c:v>19025.4431295519</c:v>
                </c:pt>
                <c:pt idx="12">
                  <c:v>20164.6907574168</c:v>
                </c:pt>
                <c:pt idx="13">
                  <c:v>21143.7460258852</c:v>
                </c:pt>
                <c:pt idx="14">
                  <c:v>21955.1577331942</c:v>
                </c:pt>
                <c:pt idx="15">
                  <c:v>22592.7505463074</c:v>
                </c:pt>
                <c:pt idx="16">
                  <c:v>23051.6719989279</c:v>
                </c:pt>
                <c:pt idx="17">
                  <c:v>23328.4294216971</c:v>
                </c:pt>
                <c:pt idx="18">
                  <c:v>23420.9165235168</c:v>
                </c:pt>
                <c:pt idx="19">
                  <c:v>23328.4294216971</c:v>
                </c:pt>
                <c:pt idx="20">
                  <c:v>23051.6719989279</c:v>
                </c:pt>
                <c:pt idx="21">
                  <c:v>22592.7505463074</c:v>
                </c:pt>
                <c:pt idx="22">
                  <c:v>21955.1577331942</c:v>
                </c:pt>
                <c:pt idx="23">
                  <c:v>21143.7460258852</c:v>
                </c:pt>
                <c:pt idx="24">
                  <c:v>20164.6907574168</c:v>
                </c:pt>
                <c:pt idx="25">
                  <c:v>19025.4431295519</c:v>
                </c:pt>
                <c:pt idx="26">
                  <c:v>17734.673504635</c:v>
                </c:pt>
                <c:pt idx="27">
                  <c:v>16302.2054188996</c:v>
                </c:pt>
                <c:pt idx="28">
                  <c:v>14738.9408194262</c:v>
                </c:pt>
                <c:pt idx="29">
                  <c:v>13056.7770937417</c:v>
                </c:pt>
                <c:pt idx="30">
                  <c:v>11268.5165235168</c:v>
                </c:pt>
                <c:pt idx="31">
                  <c:v>9387.76885147217</c:v>
                </c:pt>
                <c:pt idx="32">
                  <c:v>7428.84770301853</c:v>
                </c:pt>
                <c:pt idx="33">
                  <c:v>5406.66165092457</c:v>
                </c:pt>
                <c:pt idx="34">
                  <c:v>3336.60075207603</c:v>
                </c:pt>
                <c:pt idx="35">
                  <c:v>1234.4194198501</c:v>
                </c:pt>
                <c:pt idx="36">
                  <c:v>-883.883476483182</c:v>
                </c:pt>
                <c:pt idx="37">
                  <c:v>-3002.18637281646</c:v>
                </c:pt>
                <c:pt idx="38">
                  <c:v>-5104.3677050424</c:v>
                </c:pt>
                <c:pt idx="39">
                  <c:v>-7174.42860389092</c:v>
                </c:pt>
                <c:pt idx="40">
                  <c:v>-9196.6146559849</c:v>
                </c:pt>
                <c:pt idx="41">
                  <c:v>-11155.5358044385</c:v>
                </c:pt>
                <c:pt idx="42">
                  <c:v>-13036.2834764832</c:v>
                </c:pt>
                <c:pt idx="43">
                  <c:v>-14824.5440467081</c:v>
                </c:pt>
                <c:pt idx="44">
                  <c:v>-16506.7077723926</c:v>
                </c:pt>
                <c:pt idx="45">
                  <c:v>-18069.972371866</c:v>
                </c:pt>
                <c:pt idx="46">
                  <c:v>-19502.4404576013</c:v>
                </c:pt>
                <c:pt idx="47">
                  <c:v>-20793.2100825183</c:v>
                </c:pt>
                <c:pt idx="48">
                  <c:v>-21932.4577103832</c:v>
                </c:pt>
                <c:pt idx="49">
                  <c:v>-22911.5129788516</c:v>
                </c:pt>
                <c:pt idx="50">
                  <c:v>-23722.9246861605</c:v>
                </c:pt>
                <c:pt idx="51">
                  <c:v>-24360.5174992737</c:v>
                </c:pt>
                <c:pt idx="52">
                  <c:v>-24819.4389518943</c:v>
                </c:pt>
                <c:pt idx="53">
                  <c:v>-25096.1963746634</c:v>
                </c:pt>
                <c:pt idx="54">
                  <c:v>-25188.6834764832</c:v>
                </c:pt>
                <c:pt idx="55">
                  <c:v>-25096.1963746634</c:v>
                </c:pt>
                <c:pt idx="56">
                  <c:v>-24819.4389518943</c:v>
                </c:pt>
                <c:pt idx="57">
                  <c:v>-24360.5174992737</c:v>
                </c:pt>
                <c:pt idx="58">
                  <c:v>-23722.9246861605</c:v>
                </c:pt>
                <c:pt idx="59">
                  <c:v>-22911.5129788516</c:v>
                </c:pt>
                <c:pt idx="60">
                  <c:v>-21932.4577103832</c:v>
                </c:pt>
                <c:pt idx="61">
                  <c:v>-20793.2100825183</c:v>
                </c:pt>
                <c:pt idx="62">
                  <c:v>-19502.4404576013</c:v>
                </c:pt>
                <c:pt idx="63">
                  <c:v>-18069.972371866</c:v>
                </c:pt>
                <c:pt idx="64">
                  <c:v>-16506.7077723926</c:v>
                </c:pt>
                <c:pt idx="65">
                  <c:v>-14824.5440467081</c:v>
                </c:pt>
                <c:pt idx="66">
                  <c:v>-13036.2834764832</c:v>
                </c:pt>
                <c:pt idx="67">
                  <c:v>-11155.5358044385</c:v>
                </c:pt>
                <c:pt idx="68">
                  <c:v>-9196.61465598492</c:v>
                </c:pt>
                <c:pt idx="69">
                  <c:v>-7174.42860389093</c:v>
                </c:pt>
                <c:pt idx="70">
                  <c:v>-5104.3677050424</c:v>
                </c:pt>
                <c:pt idx="71">
                  <c:v>-3002.18637281647</c:v>
                </c:pt>
                <c:pt idx="72">
                  <c:v>-883.883476483191</c:v>
                </c:pt>
              </c:numCache>
            </c:numRef>
          </c:xVal>
          <c:yVal>
            <c:numRef>
              <c:f>4_COBERTURA!$P$28:$P$100</c:f>
              <c:numCache>
                <c:formatCode>0.0</c:formatCode>
                <c:ptCount val="73"/>
                <c:pt idx="0">
                  <c:v>25188.6834764832</c:v>
                </c:pt>
                <c:pt idx="1">
                  <c:v>25096.1963746634</c:v>
                </c:pt>
                <c:pt idx="2">
                  <c:v>24819.4389518943</c:v>
                </c:pt>
                <c:pt idx="3">
                  <c:v>24360.5174992737</c:v>
                </c:pt>
                <c:pt idx="4">
                  <c:v>23722.9246861605</c:v>
                </c:pt>
                <c:pt idx="5">
                  <c:v>22911.5129788516</c:v>
                </c:pt>
                <c:pt idx="6">
                  <c:v>21932.4577103832</c:v>
                </c:pt>
                <c:pt idx="7">
                  <c:v>20793.2100825183</c:v>
                </c:pt>
                <c:pt idx="8">
                  <c:v>19502.4404576013</c:v>
                </c:pt>
                <c:pt idx="9">
                  <c:v>18069.972371866</c:v>
                </c:pt>
                <c:pt idx="10">
                  <c:v>16506.7077723926</c:v>
                </c:pt>
                <c:pt idx="11">
                  <c:v>14824.5440467081</c:v>
                </c:pt>
                <c:pt idx="12">
                  <c:v>13036.2834764832</c:v>
                </c:pt>
                <c:pt idx="13">
                  <c:v>11155.5358044385</c:v>
                </c:pt>
                <c:pt idx="14">
                  <c:v>9196.6146559849</c:v>
                </c:pt>
                <c:pt idx="15">
                  <c:v>7174.42860389093</c:v>
                </c:pt>
                <c:pt idx="16">
                  <c:v>5104.3677050424</c:v>
                </c:pt>
                <c:pt idx="17">
                  <c:v>3002.18637281647</c:v>
                </c:pt>
                <c:pt idx="18">
                  <c:v>883.883476483186</c:v>
                </c:pt>
                <c:pt idx="19">
                  <c:v>-1234.4194198501</c:v>
                </c:pt>
                <c:pt idx="20">
                  <c:v>-3336.60075207602</c:v>
                </c:pt>
                <c:pt idx="21">
                  <c:v>-5406.66165092457</c:v>
                </c:pt>
                <c:pt idx="22">
                  <c:v>-7428.84770301853</c:v>
                </c:pt>
                <c:pt idx="23">
                  <c:v>-9387.76885147217</c:v>
                </c:pt>
                <c:pt idx="24">
                  <c:v>-11268.5165235168</c:v>
                </c:pt>
                <c:pt idx="25">
                  <c:v>-13056.7770937417</c:v>
                </c:pt>
                <c:pt idx="26">
                  <c:v>-14738.9408194262</c:v>
                </c:pt>
                <c:pt idx="27">
                  <c:v>-16302.2054188996</c:v>
                </c:pt>
                <c:pt idx="28">
                  <c:v>-17734.673504635</c:v>
                </c:pt>
                <c:pt idx="29">
                  <c:v>-19025.4431295519</c:v>
                </c:pt>
                <c:pt idx="30">
                  <c:v>-20164.6907574168</c:v>
                </c:pt>
                <c:pt idx="31">
                  <c:v>-21143.7460258852</c:v>
                </c:pt>
                <c:pt idx="32">
                  <c:v>-21955.1577331942</c:v>
                </c:pt>
                <c:pt idx="33">
                  <c:v>-22592.7505463074</c:v>
                </c:pt>
                <c:pt idx="34">
                  <c:v>-23051.6719989279</c:v>
                </c:pt>
                <c:pt idx="35">
                  <c:v>-23328.4294216971</c:v>
                </c:pt>
                <c:pt idx="36">
                  <c:v>-23420.9165235168</c:v>
                </c:pt>
                <c:pt idx="37">
                  <c:v>-23328.4294216971</c:v>
                </c:pt>
                <c:pt idx="38">
                  <c:v>-23051.6719989279</c:v>
                </c:pt>
                <c:pt idx="39">
                  <c:v>-22592.7505463074</c:v>
                </c:pt>
                <c:pt idx="40">
                  <c:v>-21955.1577331942</c:v>
                </c:pt>
                <c:pt idx="41">
                  <c:v>-21143.7460258852</c:v>
                </c:pt>
                <c:pt idx="42">
                  <c:v>-20164.6907574168</c:v>
                </c:pt>
                <c:pt idx="43">
                  <c:v>-19025.4431295519</c:v>
                </c:pt>
                <c:pt idx="44">
                  <c:v>-17734.673504635</c:v>
                </c:pt>
                <c:pt idx="45">
                  <c:v>-16302.2054188996</c:v>
                </c:pt>
                <c:pt idx="46">
                  <c:v>-14738.9408194262</c:v>
                </c:pt>
                <c:pt idx="47">
                  <c:v>-13056.7770937417</c:v>
                </c:pt>
                <c:pt idx="48">
                  <c:v>-11268.5165235168</c:v>
                </c:pt>
                <c:pt idx="49">
                  <c:v>-9387.76885147216</c:v>
                </c:pt>
                <c:pt idx="50">
                  <c:v>-7428.84770301855</c:v>
                </c:pt>
                <c:pt idx="51">
                  <c:v>-5406.66165092456</c:v>
                </c:pt>
                <c:pt idx="52">
                  <c:v>-3336.60075207602</c:v>
                </c:pt>
                <c:pt idx="53">
                  <c:v>-1234.4194198501</c:v>
                </c:pt>
                <c:pt idx="54">
                  <c:v>883.88347648318</c:v>
                </c:pt>
                <c:pt idx="55">
                  <c:v>3002.18637281646</c:v>
                </c:pt>
                <c:pt idx="56">
                  <c:v>5104.36770504239</c:v>
                </c:pt>
                <c:pt idx="57">
                  <c:v>7174.42860389092</c:v>
                </c:pt>
                <c:pt idx="58">
                  <c:v>9196.61465598491</c:v>
                </c:pt>
                <c:pt idx="59">
                  <c:v>11155.5358044385</c:v>
                </c:pt>
                <c:pt idx="60">
                  <c:v>13036.2834764832</c:v>
                </c:pt>
                <c:pt idx="61">
                  <c:v>14824.5440467081</c:v>
                </c:pt>
                <c:pt idx="62">
                  <c:v>16506.7077723926</c:v>
                </c:pt>
                <c:pt idx="63">
                  <c:v>18069.972371866</c:v>
                </c:pt>
                <c:pt idx="64">
                  <c:v>19502.4404576013</c:v>
                </c:pt>
                <c:pt idx="65">
                  <c:v>20793.2100825183</c:v>
                </c:pt>
                <c:pt idx="66">
                  <c:v>21932.4577103832</c:v>
                </c:pt>
                <c:pt idx="67">
                  <c:v>22911.5129788516</c:v>
                </c:pt>
                <c:pt idx="68">
                  <c:v>23722.9246861605</c:v>
                </c:pt>
                <c:pt idx="69">
                  <c:v>24360.5174992737</c:v>
                </c:pt>
                <c:pt idx="70">
                  <c:v>24819.4389518943</c:v>
                </c:pt>
                <c:pt idx="71">
                  <c:v>25096.1963746634</c:v>
                </c:pt>
                <c:pt idx="72">
                  <c:v>25188.6834764832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"SC – FF23-3"</c:f>
              <c:strCache>
                <c:ptCount val="1"/>
                <c:pt idx="0">
                  <c:v>SC – FF23-3</c:v>
                </c:pt>
              </c:strCache>
            </c:strRef>
          </c:tx>
          <c:spPr>
            <a:solidFill>
              <a:srgbClr val="32cd32"/>
            </a:solidFill>
            <a:ln w="19080">
              <a:solidFill>
                <a:srgbClr val="32cd32"/>
              </a:solidFill>
              <a:prstDash val="dot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4_COBERTURA!$Q$28:$Q$100</c:f>
              <c:numCache>
                <c:formatCode>General</c:formatCode>
                <c:ptCount val="73"/>
              </c:numCache>
            </c:numRef>
          </c:xVal>
          <c:yVal>
            <c:numRef>
              <c:f>4_COBERTURA!$R$28:$R$100</c:f>
              <c:numCache>
                <c:formatCode>General</c:formatCode>
                <c:ptCount val="73"/>
              </c:numCache>
            </c:numRef>
          </c:yVal>
          <c:smooth val="1"/>
        </c:ser>
        <c:ser>
          <c:idx val="8"/>
          <c:order val="8"/>
          <c:tx>
            <c:strRef>
              <c:f>"HVU"</c:f>
              <c:strCache>
                <c:ptCount val="1"/>
                <c:pt idx="0">
                  <c:v>HVU</c:v>
                </c:pt>
              </c:strCache>
            </c:strRef>
          </c:tx>
          <c:spPr>
            <a:solidFill>
              <a:srgbClr val="ff0000"/>
            </a:solidFill>
            <a:ln w="28440">
              <a:noFill/>
            </a:ln>
          </c:spPr>
          <c:marker>
            <c:symbol val="square"/>
            <c:size val="10"/>
            <c:spPr>
              <a:solidFill>
                <a:srgbClr val="ff0000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4_COBERTURA!$C$101</c:f>
              <c:numCache>
                <c:formatCode>0.0</c:formatCode>
                <c:ptCount val="1"/>
                <c:pt idx="0">
                  <c:v>0</c:v>
                </c:pt>
              </c:numCache>
            </c:numRef>
          </c:xVal>
          <c:yVal>
            <c:numRef>
              <c:f>4_COBERTURA!$D$101</c:f>
              <c:numCache>
                <c:formatCode>0.0</c:formatCode>
                <c:ptCount val="1"/>
                <c:pt idx="0">
                  <c:v>0</c:v>
                </c:pt>
              </c:numCache>
            </c:numRef>
          </c:yVal>
          <c:smooth val="1"/>
        </c:ser>
        <c:ser>
          <c:idx val="9"/>
          <c:order val="9"/>
          <c:tx>
            <c:strRef>
              <c:f>"FFG-1"</c:f>
              <c:strCache>
                <c:ptCount val="1"/>
                <c:pt idx="0">
                  <c:v>FFG-1</c:v>
                </c:pt>
              </c:strCache>
            </c:strRef>
          </c:tx>
          <c:spPr>
            <a:solidFill>
              <a:srgbClr val="1f3864"/>
            </a:solidFill>
            <a:ln w="28440">
              <a:noFill/>
            </a:ln>
          </c:spPr>
          <c:marker>
            <c:symbol val="triangle"/>
            <c:size val="8"/>
            <c:spPr>
              <a:solidFill>
                <a:srgbClr val="1f3864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4_COBERTURA!$C$102</c:f>
              <c:numCache>
                <c:formatCode>0.0</c:formatCode>
                <c:ptCount val="1"/>
                <c:pt idx="0">
                  <c:v>4.28626379701574E-013</c:v>
                </c:pt>
              </c:numCache>
            </c:numRef>
          </c:xVal>
          <c:yVal>
            <c:numRef>
              <c:f>4_COBERTURA!$D$102</c:f>
              <c:numCache>
                <c:formatCode>0.0</c:formatCode>
                <c:ptCount val="1"/>
                <c:pt idx="0">
                  <c:v>-3500</c:v>
                </c:pt>
              </c:numCache>
            </c:numRef>
          </c:yVal>
          <c:smooth val="1"/>
        </c:ser>
        <c:ser>
          <c:idx val="10"/>
          <c:order val="10"/>
          <c:tx>
            <c:strRef>
              <c:f>"FFG-2"</c:f>
              <c:strCache>
                <c:ptCount val="1"/>
                <c:pt idx="0">
                  <c:v>FFG-2</c:v>
                </c:pt>
              </c:strCache>
            </c:strRef>
          </c:tx>
          <c:spPr>
            <a:solidFill>
              <a:srgbClr val="2e5090"/>
            </a:solidFill>
            <a:ln w="28440">
              <a:noFill/>
            </a:ln>
          </c:spPr>
          <c:marker>
            <c:symbol val="triangle"/>
            <c:size val="8"/>
            <c:spPr>
              <a:solidFill>
                <a:srgbClr val="2e5090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4_COBERTURA!$C$103</c:f>
              <c:numCache>
                <c:formatCode>0.0</c:formatCode>
                <c:ptCount val="1"/>
                <c:pt idx="0">
                  <c:v>1436.48460196781</c:v>
                </c:pt>
              </c:numCache>
            </c:numRef>
          </c:xVal>
          <c:yVal>
            <c:numRef>
              <c:f>4_COBERTURA!$D$103</c:f>
              <c:numCache>
                <c:formatCode>0.0</c:formatCode>
                <c:ptCount val="1"/>
                <c:pt idx="0">
                  <c:v>-3946.70900730082</c:v>
                </c:pt>
              </c:numCache>
            </c:numRef>
          </c:yVal>
          <c:smooth val="1"/>
        </c:ser>
        <c:ser>
          <c:idx val="11"/>
          <c:order val="11"/>
          <c:tx>
            <c:strRef>
              <c:f>"FF23-1"</c:f>
              <c:strCache>
                <c:ptCount val="1"/>
                <c:pt idx="0">
                  <c:v>FF23-1</c:v>
                </c:pt>
              </c:strCache>
            </c:strRef>
          </c:tx>
          <c:spPr>
            <a:solidFill>
              <a:srgbClr val="006400"/>
            </a:solidFill>
            <a:ln w="28440">
              <a:noFill/>
            </a:ln>
          </c:spPr>
          <c:marker>
            <c:symbol val="diamond"/>
            <c:size val="8"/>
            <c:spPr>
              <a:solidFill>
                <a:srgbClr val="006400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4_COBERTURA!$C$104</c:f>
              <c:numCache>
                <c:formatCode>0.0</c:formatCode>
                <c:ptCount val="1"/>
                <c:pt idx="0">
                  <c:v>-883.883476483184</c:v>
                </c:pt>
              </c:numCache>
            </c:numRef>
          </c:xVal>
          <c:yVal>
            <c:numRef>
              <c:f>4_COBERTURA!$D$104</c:f>
              <c:numCache>
                <c:formatCode>0.0</c:formatCode>
                <c:ptCount val="1"/>
                <c:pt idx="0">
                  <c:v>-883.883476483185</c:v>
                </c:pt>
              </c:numCache>
            </c:numRef>
          </c:yVal>
          <c:smooth val="1"/>
        </c:ser>
        <c:ser>
          <c:idx val="12"/>
          <c:order val="12"/>
          <c:tx>
            <c:strRef>
              <c:f>"FF23-2"</c:f>
              <c:strCache>
                <c:ptCount val="1"/>
                <c:pt idx="0">
                  <c:v>FF23-2</c:v>
                </c:pt>
              </c:strCache>
            </c:strRef>
          </c:tx>
          <c:spPr>
            <a:solidFill>
              <a:srgbClr val="228b22"/>
            </a:solidFill>
            <a:ln w="28440">
              <a:noFill/>
            </a:ln>
          </c:spPr>
          <c:marker>
            <c:symbol val="diamond"/>
            <c:size val="8"/>
            <c:spPr>
              <a:solidFill>
                <a:srgbClr val="228b22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4_COBERTURA!$C$105</c:f>
              <c:numCache>
                <c:formatCode>0.0</c:formatCode>
                <c:ptCount val="1"/>
                <c:pt idx="0">
                  <c:v>-883.883476483185</c:v>
                </c:pt>
              </c:numCache>
            </c:numRef>
          </c:xVal>
          <c:yVal>
            <c:numRef>
              <c:f>4_COBERTURA!$D$105</c:f>
              <c:numCache>
                <c:formatCode>0.0</c:formatCode>
                <c:ptCount val="1"/>
                <c:pt idx="0">
                  <c:v>883.883476483184</c:v>
                </c:pt>
              </c:numCache>
            </c:numRef>
          </c:yVal>
          <c:smooth val="1"/>
        </c:ser>
        <c:ser>
          <c:idx val="13"/>
          <c:order val="13"/>
          <c:tx>
            <c:strRef>
              <c:f>"FF23-3"</c:f>
              <c:strCache>
                <c:ptCount val="1"/>
                <c:pt idx="0">
                  <c:v>FF23-3</c:v>
                </c:pt>
              </c:strCache>
            </c:strRef>
          </c:tx>
          <c:spPr>
            <a:solidFill>
              <a:srgbClr val="32cd32"/>
            </a:solidFill>
            <a:ln w="28440">
              <a:noFill/>
            </a:ln>
          </c:spPr>
          <c:marker>
            <c:symbol val="diamond"/>
            <c:size val="8"/>
            <c:spPr>
              <a:solidFill>
                <a:srgbClr val="32cd32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4_COBERTURA!$C$106</c:f>
              <c:numCache>
                <c:formatCode>General</c:formatCode>
                <c:ptCount val="1"/>
              </c:numCache>
            </c:numRef>
          </c:xVal>
          <c:yVal>
            <c:numRef>
              <c:f>4_COBERTURA!$D$106</c:f>
              <c:numCache>
                <c:formatCode>General</c:formatCode>
                <c:ptCount val="1"/>
              </c:numCache>
            </c:numRef>
          </c:yVal>
          <c:smooth val="1"/>
        </c:ser>
        <c:axId val="29468390"/>
        <c:axId val="50592981"/>
      </c:scatterChart>
      <c:valAx>
        <c:axId val="29468390"/>
        <c:scaling>
          <c:orientation val="minMax"/>
          <c:max val="60000"/>
          <c:min val="-60000"/>
        </c:scaling>
        <c:delete val="0"/>
        <c:axPos val="b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Este-Oeste (yardas)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0592981"/>
        <c:crosses val="autoZero"/>
        <c:crossBetween val="midCat"/>
      </c:valAx>
      <c:valAx>
        <c:axId val="50592981"/>
        <c:scaling>
          <c:orientation val="minMax"/>
          <c:max val="60000"/>
          <c:min val="-60000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Norte-Sur (yardas)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9468390"/>
        <c:crosses val="autoZero"/>
        <c:crossBetween val="midCat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Radios de Misiles por Unidad – HVU en Centro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scatterChart>
        <c:scatterStyle val="lineMarker"/>
        <c:varyColors val="0"/>
        <c:ser>
          <c:idx val="0"/>
          <c:order val="0"/>
          <c:tx>
            <c:strRef>
              <c:f>"R=500yd"</c:f>
              <c:strCache>
                <c:ptCount val="1"/>
                <c:pt idx="0">
                  <c:v>R=500yd</c:v>
                </c:pt>
              </c:strCache>
            </c:strRef>
          </c:tx>
          <c:spPr>
            <a:solidFill>
              <a:srgbClr val="228b22"/>
            </a:solidFill>
            <a:ln w="12600">
              <a:solidFill>
                <a:srgbClr val="228b22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5_RADIOS!$C$25:$C$97</c:f>
              <c:numCache>
                <c:formatCode>0.0</c:formatCode>
                <c:ptCount val="73"/>
                <c:pt idx="0">
                  <c:v>0</c:v>
                </c:pt>
                <c:pt idx="1">
                  <c:v>43.5778713738291</c:v>
                </c:pt>
                <c:pt idx="2">
                  <c:v>86.8240888334652</c:v>
                </c:pt>
                <c:pt idx="3">
                  <c:v>129.40952255126</c:v>
                </c:pt>
                <c:pt idx="4">
                  <c:v>171.010071662834</c:v>
                </c:pt>
                <c:pt idx="5">
                  <c:v>211.30913087035</c:v>
                </c:pt>
                <c:pt idx="6">
                  <c:v>250</c:v>
                </c:pt>
                <c:pt idx="7">
                  <c:v>286.788218175523</c:v>
                </c:pt>
                <c:pt idx="8">
                  <c:v>321.39380484327</c:v>
                </c:pt>
                <c:pt idx="9">
                  <c:v>353.553390593274</c:v>
                </c:pt>
                <c:pt idx="10">
                  <c:v>383.022221559489</c:v>
                </c:pt>
                <c:pt idx="11">
                  <c:v>409.576022144496</c:v>
                </c:pt>
                <c:pt idx="12">
                  <c:v>433.012701892219</c:v>
                </c:pt>
                <c:pt idx="13">
                  <c:v>453.153893518325</c:v>
                </c:pt>
                <c:pt idx="14">
                  <c:v>469.846310392954</c:v>
                </c:pt>
                <c:pt idx="15">
                  <c:v>482.962913144534</c:v>
                </c:pt>
                <c:pt idx="16">
                  <c:v>492.403876506104</c:v>
                </c:pt>
                <c:pt idx="17">
                  <c:v>498.097349045873</c:v>
                </c:pt>
                <c:pt idx="18">
                  <c:v>500</c:v>
                </c:pt>
                <c:pt idx="19">
                  <c:v>498.097349045873</c:v>
                </c:pt>
                <c:pt idx="20">
                  <c:v>492.403876506104</c:v>
                </c:pt>
                <c:pt idx="21">
                  <c:v>482.962913144534</c:v>
                </c:pt>
                <c:pt idx="22">
                  <c:v>469.846310392954</c:v>
                </c:pt>
                <c:pt idx="23">
                  <c:v>453.153893518325</c:v>
                </c:pt>
                <c:pt idx="24">
                  <c:v>433.012701892219</c:v>
                </c:pt>
                <c:pt idx="25">
                  <c:v>409.576022144496</c:v>
                </c:pt>
                <c:pt idx="26">
                  <c:v>383.022221559489</c:v>
                </c:pt>
                <c:pt idx="27">
                  <c:v>353.553390593274</c:v>
                </c:pt>
                <c:pt idx="28">
                  <c:v>321.39380484327</c:v>
                </c:pt>
                <c:pt idx="29">
                  <c:v>286.788218175523</c:v>
                </c:pt>
                <c:pt idx="30">
                  <c:v>250</c:v>
                </c:pt>
                <c:pt idx="31">
                  <c:v>211.30913087035</c:v>
                </c:pt>
                <c:pt idx="32">
                  <c:v>171.010071662834</c:v>
                </c:pt>
                <c:pt idx="33">
                  <c:v>129.409522551261</c:v>
                </c:pt>
                <c:pt idx="34">
                  <c:v>86.8240888334653</c:v>
                </c:pt>
                <c:pt idx="35">
                  <c:v>43.5778713738291</c:v>
                </c:pt>
                <c:pt idx="36">
                  <c:v>6.12323399573677E-014</c:v>
                </c:pt>
                <c:pt idx="37">
                  <c:v>-43.577871373829</c:v>
                </c:pt>
                <c:pt idx="38">
                  <c:v>-86.8240888334652</c:v>
                </c:pt>
                <c:pt idx="39">
                  <c:v>-129.40952255126</c:v>
                </c:pt>
                <c:pt idx="40">
                  <c:v>-171.010071662834</c:v>
                </c:pt>
                <c:pt idx="41">
                  <c:v>-211.30913087035</c:v>
                </c:pt>
                <c:pt idx="42">
                  <c:v>-250</c:v>
                </c:pt>
                <c:pt idx="43">
                  <c:v>-286.788218175523</c:v>
                </c:pt>
                <c:pt idx="44">
                  <c:v>-321.39380484327</c:v>
                </c:pt>
                <c:pt idx="45">
                  <c:v>-353.553390593274</c:v>
                </c:pt>
                <c:pt idx="46">
                  <c:v>-383.022221559489</c:v>
                </c:pt>
                <c:pt idx="47">
                  <c:v>-409.576022144496</c:v>
                </c:pt>
                <c:pt idx="48">
                  <c:v>-433.012701892219</c:v>
                </c:pt>
                <c:pt idx="49">
                  <c:v>-453.153893518325</c:v>
                </c:pt>
                <c:pt idx="50">
                  <c:v>-469.846310392954</c:v>
                </c:pt>
                <c:pt idx="51">
                  <c:v>-482.962913144534</c:v>
                </c:pt>
                <c:pt idx="52">
                  <c:v>-492.403876506104</c:v>
                </c:pt>
                <c:pt idx="53">
                  <c:v>-498.097349045873</c:v>
                </c:pt>
                <c:pt idx="54">
                  <c:v>-500</c:v>
                </c:pt>
                <c:pt idx="55">
                  <c:v>-498.097349045873</c:v>
                </c:pt>
                <c:pt idx="56">
                  <c:v>-492.403876506104</c:v>
                </c:pt>
                <c:pt idx="57">
                  <c:v>-482.962913144534</c:v>
                </c:pt>
                <c:pt idx="58">
                  <c:v>-469.846310392954</c:v>
                </c:pt>
                <c:pt idx="59">
                  <c:v>-453.153893518325</c:v>
                </c:pt>
                <c:pt idx="60">
                  <c:v>-433.012701892219</c:v>
                </c:pt>
                <c:pt idx="61">
                  <c:v>-409.576022144496</c:v>
                </c:pt>
                <c:pt idx="62">
                  <c:v>-383.022221559489</c:v>
                </c:pt>
                <c:pt idx="63">
                  <c:v>-353.553390593274</c:v>
                </c:pt>
                <c:pt idx="64">
                  <c:v>-321.39380484327</c:v>
                </c:pt>
                <c:pt idx="65">
                  <c:v>-286.788218175523</c:v>
                </c:pt>
                <c:pt idx="66">
                  <c:v>-250</c:v>
                </c:pt>
                <c:pt idx="67">
                  <c:v>-211.30913087035</c:v>
                </c:pt>
                <c:pt idx="68">
                  <c:v>-171.010071662835</c:v>
                </c:pt>
                <c:pt idx="69">
                  <c:v>-129.40952255126</c:v>
                </c:pt>
                <c:pt idx="70">
                  <c:v>-86.8240888334652</c:v>
                </c:pt>
                <c:pt idx="71">
                  <c:v>-43.5778713738292</c:v>
                </c:pt>
                <c:pt idx="72">
                  <c:v>-1.22464679914735E-013</c:v>
                </c:pt>
              </c:numCache>
            </c:numRef>
          </c:xVal>
          <c:yVal>
            <c:numRef>
              <c:f>5_RADIOS!$D$25:$D$97</c:f>
              <c:numCache>
                <c:formatCode>0.0</c:formatCode>
                <c:ptCount val="73"/>
                <c:pt idx="0">
                  <c:v>500</c:v>
                </c:pt>
                <c:pt idx="1">
                  <c:v>498.097349045873</c:v>
                </c:pt>
                <c:pt idx="2">
                  <c:v>492.403876506104</c:v>
                </c:pt>
                <c:pt idx="3">
                  <c:v>482.962913144534</c:v>
                </c:pt>
                <c:pt idx="4">
                  <c:v>469.846310392954</c:v>
                </c:pt>
                <c:pt idx="5">
                  <c:v>453.153893518325</c:v>
                </c:pt>
                <c:pt idx="6">
                  <c:v>433.012701892219</c:v>
                </c:pt>
                <c:pt idx="7">
                  <c:v>409.576022144496</c:v>
                </c:pt>
                <c:pt idx="8">
                  <c:v>383.022221559489</c:v>
                </c:pt>
                <c:pt idx="9">
                  <c:v>353.553390593274</c:v>
                </c:pt>
                <c:pt idx="10">
                  <c:v>321.39380484327</c:v>
                </c:pt>
                <c:pt idx="11">
                  <c:v>286.788218175523</c:v>
                </c:pt>
                <c:pt idx="12">
                  <c:v>250</c:v>
                </c:pt>
                <c:pt idx="13">
                  <c:v>211.30913087035</c:v>
                </c:pt>
                <c:pt idx="14">
                  <c:v>171.010071662834</c:v>
                </c:pt>
                <c:pt idx="15">
                  <c:v>129.40952255126</c:v>
                </c:pt>
                <c:pt idx="16">
                  <c:v>86.8240888334652</c:v>
                </c:pt>
                <c:pt idx="17">
                  <c:v>43.5778713738292</c:v>
                </c:pt>
                <c:pt idx="18">
                  <c:v>3.06161699786838E-014</c:v>
                </c:pt>
                <c:pt idx="19">
                  <c:v>-43.5778713738291</c:v>
                </c:pt>
                <c:pt idx="20">
                  <c:v>-86.8240888334652</c:v>
                </c:pt>
                <c:pt idx="21">
                  <c:v>-129.40952255126</c:v>
                </c:pt>
                <c:pt idx="22">
                  <c:v>-171.010071662834</c:v>
                </c:pt>
                <c:pt idx="23">
                  <c:v>-211.30913087035</c:v>
                </c:pt>
                <c:pt idx="24">
                  <c:v>-250</c:v>
                </c:pt>
                <c:pt idx="25">
                  <c:v>-286.788218175523</c:v>
                </c:pt>
                <c:pt idx="26">
                  <c:v>-321.39380484327</c:v>
                </c:pt>
                <c:pt idx="27">
                  <c:v>-353.553390593274</c:v>
                </c:pt>
                <c:pt idx="28">
                  <c:v>-383.022221559489</c:v>
                </c:pt>
                <c:pt idx="29">
                  <c:v>-409.576022144496</c:v>
                </c:pt>
                <c:pt idx="30">
                  <c:v>-433.012701892219</c:v>
                </c:pt>
                <c:pt idx="31">
                  <c:v>-453.153893518325</c:v>
                </c:pt>
                <c:pt idx="32">
                  <c:v>-469.846310392954</c:v>
                </c:pt>
                <c:pt idx="33">
                  <c:v>-482.962913144534</c:v>
                </c:pt>
                <c:pt idx="34">
                  <c:v>-492.403876506104</c:v>
                </c:pt>
                <c:pt idx="35">
                  <c:v>-498.097349045873</c:v>
                </c:pt>
                <c:pt idx="36">
                  <c:v>-500</c:v>
                </c:pt>
                <c:pt idx="37">
                  <c:v>-498.097349045873</c:v>
                </c:pt>
                <c:pt idx="38">
                  <c:v>-492.403876506104</c:v>
                </c:pt>
                <c:pt idx="39">
                  <c:v>-482.962913144534</c:v>
                </c:pt>
                <c:pt idx="40">
                  <c:v>-469.846310392954</c:v>
                </c:pt>
                <c:pt idx="41">
                  <c:v>-453.153893518325</c:v>
                </c:pt>
                <c:pt idx="42">
                  <c:v>-433.012701892219</c:v>
                </c:pt>
                <c:pt idx="43">
                  <c:v>-409.576022144496</c:v>
                </c:pt>
                <c:pt idx="44">
                  <c:v>-383.022221559489</c:v>
                </c:pt>
                <c:pt idx="45">
                  <c:v>-353.553390593274</c:v>
                </c:pt>
                <c:pt idx="46">
                  <c:v>-321.39380484327</c:v>
                </c:pt>
                <c:pt idx="47">
                  <c:v>-286.788218175523</c:v>
                </c:pt>
                <c:pt idx="48">
                  <c:v>-250</c:v>
                </c:pt>
                <c:pt idx="49">
                  <c:v>-211.30913087035</c:v>
                </c:pt>
                <c:pt idx="50">
                  <c:v>-171.010071662835</c:v>
                </c:pt>
                <c:pt idx="51">
                  <c:v>-129.40952255126</c:v>
                </c:pt>
                <c:pt idx="52">
                  <c:v>-86.8240888334652</c:v>
                </c:pt>
                <c:pt idx="53">
                  <c:v>-43.5778713738291</c:v>
                </c:pt>
                <c:pt idx="54">
                  <c:v>-9.18485099360515E-014</c:v>
                </c:pt>
                <c:pt idx="55">
                  <c:v>43.5778713738289</c:v>
                </c:pt>
                <c:pt idx="56">
                  <c:v>86.824088833465</c:v>
                </c:pt>
                <c:pt idx="57">
                  <c:v>129.40952255126</c:v>
                </c:pt>
                <c:pt idx="58">
                  <c:v>171.010071662835</c:v>
                </c:pt>
                <c:pt idx="59">
                  <c:v>211.309130870349</c:v>
                </c:pt>
                <c:pt idx="60">
                  <c:v>250</c:v>
                </c:pt>
                <c:pt idx="61">
                  <c:v>286.788218175523</c:v>
                </c:pt>
                <c:pt idx="62">
                  <c:v>321.39380484327</c:v>
                </c:pt>
                <c:pt idx="63">
                  <c:v>353.553390593274</c:v>
                </c:pt>
                <c:pt idx="64">
                  <c:v>383.022221559489</c:v>
                </c:pt>
                <c:pt idx="65">
                  <c:v>409.576022144496</c:v>
                </c:pt>
                <c:pt idx="66">
                  <c:v>433.012701892219</c:v>
                </c:pt>
                <c:pt idx="67">
                  <c:v>453.153893518325</c:v>
                </c:pt>
                <c:pt idx="68">
                  <c:v>469.846310392954</c:v>
                </c:pt>
                <c:pt idx="69">
                  <c:v>482.962913144534</c:v>
                </c:pt>
                <c:pt idx="70">
                  <c:v>492.403876506104</c:v>
                </c:pt>
                <c:pt idx="71">
                  <c:v>498.097349045873</c:v>
                </c:pt>
                <c:pt idx="72">
                  <c:v>500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"R=2000yd"</c:f>
              <c:strCache>
                <c:ptCount val="1"/>
                <c:pt idx="0">
                  <c:v>R=2000yd</c:v>
                </c:pt>
              </c:strCache>
            </c:strRef>
          </c:tx>
          <c:spPr>
            <a:solidFill>
              <a:srgbClr val="0000cd"/>
            </a:solidFill>
            <a:ln w="12600">
              <a:solidFill>
                <a:srgbClr val="0000cd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5_RADIOS!$E$25:$E$97</c:f>
              <c:numCache>
                <c:formatCode>0.0</c:formatCode>
                <c:ptCount val="73"/>
                <c:pt idx="0">
                  <c:v>0</c:v>
                </c:pt>
                <c:pt idx="1">
                  <c:v>174.311485495316</c:v>
                </c:pt>
                <c:pt idx="2">
                  <c:v>347.296355333861</c:v>
                </c:pt>
                <c:pt idx="3">
                  <c:v>517.638090205042</c:v>
                </c:pt>
                <c:pt idx="4">
                  <c:v>684.040286651337</c:v>
                </c:pt>
                <c:pt idx="5">
                  <c:v>845.236523481399</c:v>
                </c:pt>
                <c:pt idx="6">
                  <c:v>1000</c:v>
                </c:pt>
                <c:pt idx="7">
                  <c:v>1147.15287270209</c:v>
                </c:pt>
                <c:pt idx="8">
                  <c:v>1285.57521937308</c:v>
                </c:pt>
                <c:pt idx="9">
                  <c:v>1414.21356237309</c:v>
                </c:pt>
                <c:pt idx="10">
                  <c:v>1532.08888623796</c:v>
                </c:pt>
                <c:pt idx="11">
                  <c:v>1638.30408857798</c:v>
                </c:pt>
                <c:pt idx="12">
                  <c:v>1732.05080756888</c:v>
                </c:pt>
                <c:pt idx="13">
                  <c:v>1812.6155740733</c:v>
                </c:pt>
                <c:pt idx="14">
                  <c:v>1879.38524157182</c:v>
                </c:pt>
                <c:pt idx="15">
                  <c:v>1931.85165257814</c:v>
                </c:pt>
                <c:pt idx="16">
                  <c:v>1969.61550602442</c:v>
                </c:pt>
                <c:pt idx="17">
                  <c:v>1992.38939618349</c:v>
                </c:pt>
                <c:pt idx="18">
                  <c:v>2000</c:v>
                </c:pt>
                <c:pt idx="19">
                  <c:v>1992.38939618349</c:v>
                </c:pt>
                <c:pt idx="20">
                  <c:v>1969.61550602442</c:v>
                </c:pt>
                <c:pt idx="21">
                  <c:v>1931.85165257814</c:v>
                </c:pt>
                <c:pt idx="22">
                  <c:v>1879.38524157182</c:v>
                </c:pt>
                <c:pt idx="23">
                  <c:v>1812.6155740733</c:v>
                </c:pt>
                <c:pt idx="24">
                  <c:v>1732.05080756888</c:v>
                </c:pt>
                <c:pt idx="25">
                  <c:v>1638.30408857798</c:v>
                </c:pt>
                <c:pt idx="26">
                  <c:v>1532.08888623796</c:v>
                </c:pt>
                <c:pt idx="27">
                  <c:v>1414.2135623731</c:v>
                </c:pt>
                <c:pt idx="28">
                  <c:v>1285.57521937308</c:v>
                </c:pt>
                <c:pt idx="29">
                  <c:v>1147.15287270209</c:v>
                </c:pt>
                <c:pt idx="30">
                  <c:v>1000</c:v>
                </c:pt>
                <c:pt idx="31">
                  <c:v>845.236523481399</c:v>
                </c:pt>
                <c:pt idx="32">
                  <c:v>684.040286651338</c:v>
                </c:pt>
                <c:pt idx="33">
                  <c:v>517.638090205042</c:v>
                </c:pt>
                <c:pt idx="34">
                  <c:v>347.296355333861</c:v>
                </c:pt>
                <c:pt idx="35">
                  <c:v>174.311485495316</c:v>
                </c:pt>
                <c:pt idx="36">
                  <c:v>2.44929359829471E-013</c:v>
                </c:pt>
                <c:pt idx="37">
                  <c:v>-174.311485495316</c:v>
                </c:pt>
                <c:pt idx="38">
                  <c:v>-347.296355333861</c:v>
                </c:pt>
                <c:pt idx="39">
                  <c:v>-517.638090205041</c:v>
                </c:pt>
                <c:pt idx="40">
                  <c:v>-684.040286651337</c:v>
                </c:pt>
                <c:pt idx="41">
                  <c:v>-845.236523481399</c:v>
                </c:pt>
                <c:pt idx="42">
                  <c:v>-1000</c:v>
                </c:pt>
                <c:pt idx="43">
                  <c:v>-1147.15287270209</c:v>
                </c:pt>
                <c:pt idx="44">
                  <c:v>-1285.57521937308</c:v>
                </c:pt>
                <c:pt idx="45">
                  <c:v>-1414.21356237309</c:v>
                </c:pt>
                <c:pt idx="46">
                  <c:v>-1532.08888623796</c:v>
                </c:pt>
                <c:pt idx="47">
                  <c:v>-1638.30408857798</c:v>
                </c:pt>
                <c:pt idx="48">
                  <c:v>-1732.05080756888</c:v>
                </c:pt>
                <c:pt idx="49">
                  <c:v>-1812.6155740733</c:v>
                </c:pt>
                <c:pt idx="50">
                  <c:v>-1879.38524157182</c:v>
                </c:pt>
                <c:pt idx="51">
                  <c:v>-1931.85165257814</c:v>
                </c:pt>
                <c:pt idx="52">
                  <c:v>-1969.61550602442</c:v>
                </c:pt>
                <c:pt idx="53">
                  <c:v>-1992.38939618349</c:v>
                </c:pt>
                <c:pt idx="54">
                  <c:v>-2000</c:v>
                </c:pt>
                <c:pt idx="55">
                  <c:v>-1992.38939618349</c:v>
                </c:pt>
                <c:pt idx="56">
                  <c:v>-1969.61550602442</c:v>
                </c:pt>
                <c:pt idx="57">
                  <c:v>-1931.85165257814</c:v>
                </c:pt>
                <c:pt idx="58">
                  <c:v>-1879.38524157182</c:v>
                </c:pt>
                <c:pt idx="59">
                  <c:v>-1812.6155740733</c:v>
                </c:pt>
                <c:pt idx="60">
                  <c:v>-1732.05080756888</c:v>
                </c:pt>
                <c:pt idx="61">
                  <c:v>-1638.30408857798</c:v>
                </c:pt>
                <c:pt idx="62">
                  <c:v>-1532.08888623796</c:v>
                </c:pt>
                <c:pt idx="63">
                  <c:v>-1414.2135623731</c:v>
                </c:pt>
                <c:pt idx="64">
                  <c:v>-1285.57521937308</c:v>
                </c:pt>
                <c:pt idx="65">
                  <c:v>-1147.15287270209</c:v>
                </c:pt>
                <c:pt idx="66">
                  <c:v>-1000</c:v>
                </c:pt>
                <c:pt idx="67">
                  <c:v>-845.236523481398</c:v>
                </c:pt>
                <c:pt idx="68">
                  <c:v>-684.040286651339</c:v>
                </c:pt>
                <c:pt idx="69">
                  <c:v>-517.638090205041</c:v>
                </c:pt>
                <c:pt idx="70">
                  <c:v>-347.296355333861</c:v>
                </c:pt>
                <c:pt idx="71">
                  <c:v>-174.311485495317</c:v>
                </c:pt>
                <c:pt idx="72">
                  <c:v>-4.89858719658941E-013</c:v>
                </c:pt>
              </c:numCache>
            </c:numRef>
          </c:xVal>
          <c:yVal>
            <c:numRef>
              <c:f>5_RADIOS!$F$25:$F$97</c:f>
              <c:numCache>
                <c:formatCode>0.0</c:formatCode>
                <c:ptCount val="73"/>
                <c:pt idx="0">
                  <c:v>2000</c:v>
                </c:pt>
                <c:pt idx="1">
                  <c:v>1992.38939618349</c:v>
                </c:pt>
                <c:pt idx="2">
                  <c:v>1969.61550602442</c:v>
                </c:pt>
                <c:pt idx="3">
                  <c:v>1931.85165257814</c:v>
                </c:pt>
                <c:pt idx="4">
                  <c:v>1879.38524157182</c:v>
                </c:pt>
                <c:pt idx="5">
                  <c:v>1812.6155740733</c:v>
                </c:pt>
                <c:pt idx="6">
                  <c:v>1732.05080756888</c:v>
                </c:pt>
                <c:pt idx="7">
                  <c:v>1638.30408857798</c:v>
                </c:pt>
                <c:pt idx="8">
                  <c:v>1532.08888623796</c:v>
                </c:pt>
                <c:pt idx="9">
                  <c:v>1414.2135623731</c:v>
                </c:pt>
                <c:pt idx="10">
                  <c:v>1285.57521937308</c:v>
                </c:pt>
                <c:pt idx="11">
                  <c:v>1147.15287270209</c:v>
                </c:pt>
                <c:pt idx="12">
                  <c:v>1000</c:v>
                </c:pt>
                <c:pt idx="13">
                  <c:v>845.236523481399</c:v>
                </c:pt>
                <c:pt idx="14">
                  <c:v>684.040286651338</c:v>
                </c:pt>
                <c:pt idx="15">
                  <c:v>517.638090205042</c:v>
                </c:pt>
                <c:pt idx="16">
                  <c:v>347.296355333861</c:v>
                </c:pt>
                <c:pt idx="17">
                  <c:v>174.311485495317</c:v>
                </c:pt>
                <c:pt idx="18">
                  <c:v>1.22464679914735E-013</c:v>
                </c:pt>
                <c:pt idx="19">
                  <c:v>-174.311485495316</c:v>
                </c:pt>
                <c:pt idx="20">
                  <c:v>-347.296355333861</c:v>
                </c:pt>
                <c:pt idx="21">
                  <c:v>-517.638090205042</c:v>
                </c:pt>
                <c:pt idx="22">
                  <c:v>-684.040286651337</c:v>
                </c:pt>
                <c:pt idx="23">
                  <c:v>-845.236523481399</c:v>
                </c:pt>
                <c:pt idx="24">
                  <c:v>-1000</c:v>
                </c:pt>
                <c:pt idx="25">
                  <c:v>-1147.15287270209</c:v>
                </c:pt>
                <c:pt idx="26">
                  <c:v>-1285.57521937308</c:v>
                </c:pt>
                <c:pt idx="27">
                  <c:v>-1414.21356237309</c:v>
                </c:pt>
                <c:pt idx="28">
                  <c:v>-1532.08888623796</c:v>
                </c:pt>
                <c:pt idx="29">
                  <c:v>-1638.30408857798</c:v>
                </c:pt>
                <c:pt idx="30">
                  <c:v>-1732.05080756888</c:v>
                </c:pt>
                <c:pt idx="31">
                  <c:v>-1812.6155740733</c:v>
                </c:pt>
                <c:pt idx="32">
                  <c:v>-1879.38524157182</c:v>
                </c:pt>
                <c:pt idx="33">
                  <c:v>-1931.85165257814</c:v>
                </c:pt>
                <c:pt idx="34">
                  <c:v>-1969.61550602442</c:v>
                </c:pt>
                <c:pt idx="35">
                  <c:v>-1992.38939618349</c:v>
                </c:pt>
                <c:pt idx="36">
                  <c:v>-2000</c:v>
                </c:pt>
                <c:pt idx="37">
                  <c:v>-1992.38939618349</c:v>
                </c:pt>
                <c:pt idx="38">
                  <c:v>-1969.61550602442</c:v>
                </c:pt>
                <c:pt idx="39">
                  <c:v>-1931.85165257814</c:v>
                </c:pt>
                <c:pt idx="40">
                  <c:v>-1879.38524157182</c:v>
                </c:pt>
                <c:pt idx="41">
                  <c:v>-1812.6155740733</c:v>
                </c:pt>
                <c:pt idx="42">
                  <c:v>-1732.05080756888</c:v>
                </c:pt>
                <c:pt idx="43">
                  <c:v>-1638.30408857798</c:v>
                </c:pt>
                <c:pt idx="44">
                  <c:v>-1532.08888623796</c:v>
                </c:pt>
                <c:pt idx="45">
                  <c:v>-1414.2135623731</c:v>
                </c:pt>
                <c:pt idx="46">
                  <c:v>-1285.57521937308</c:v>
                </c:pt>
                <c:pt idx="47">
                  <c:v>-1147.15287270209</c:v>
                </c:pt>
                <c:pt idx="48">
                  <c:v>-1000</c:v>
                </c:pt>
                <c:pt idx="49">
                  <c:v>-845.236523481398</c:v>
                </c:pt>
                <c:pt idx="50">
                  <c:v>-684.040286651339</c:v>
                </c:pt>
                <c:pt idx="51">
                  <c:v>-517.638090205041</c:v>
                </c:pt>
                <c:pt idx="52">
                  <c:v>-347.296355333861</c:v>
                </c:pt>
                <c:pt idx="53">
                  <c:v>-174.311485495317</c:v>
                </c:pt>
                <c:pt idx="54">
                  <c:v>-3.67394039744206E-013</c:v>
                </c:pt>
                <c:pt idx="55">
                  <c:v>174.311485495316</c:v>
                </c:pt>
                <c:pt idx="56">
                  <c:v>347.29635533386</c:v>
                </c:pt>
                <c:pt idx="57">
                  <c:v>517.638090205041</c:v>
                </c:pt>
                <c:pt idx="58">
                  <c:v>684.040286651338</c:v>
                </c:pt>
                <c:pt idx="59">
                  <c:v>845.236523481398</c:v>
                </c:pt>
                <c:pt idx="60">
                  <c:v>1000</c:v>
                </c:pt>
                <c:pt idx="61">
                  <c:v>1147.15287270209</c:v>
                </c:pt>
                <c:pt idx="62">
                  <c:v>1285.57521937308</c:v>
                </c:pt>
                <c:pt idx="63">
                  <c:v>1414.21356237309</c:v>
                </c:pt>
                <c:pt idx="64">
                  <c:v>1532.08888623796</c:v>
                </c:pt>
                <c:pt idx="65">
                  <c:v>1638.30408857798</c:v>
                </c:pt>
                <c:pt idx="66">
                  <c:v>1732.05080756888</c:v>
                </c:pt>
                <c:pt idx="67">
                  <c:v>1812.6155740733</c:v>
                </c:pt>
                <c:pt idx="68">
                  <c:v>1879.38524157182</c:v>
                </c:pt>
                <c:pt idx="69">
                  <c:v>1931.85165257814</c:v>
                </c:pt>
                <c:pt idx="70">
                  <c:v>1969.61550602442</c:v>
                </c:pt>
                <c:pt idx="71">
                  <c:v>1992.38939618349</c:v>
                </c:pt>
                <c:pt idx="72">
                  <c:v>2000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"R=5000yd"</c:f>
              <c:strCache>
                <c:ptCount val="1"/>
                <c:pt idx="0">
                  <c:v>R=5000yd</c:v>
                </c:pt>
              </c:strCache>
            </c:strRef>
          </c:tx>
          <c:spPr>
            <a:solidFill>
              <a:srgbClr val="ff6600"/>
            </a:solidFill>
            <a:ln w="12600">
              <a:solidFill>
                <a:srgbClr val="ff66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5_RADIOS!$G$25:$G$97</c:f>
              <c:numCache>
                <c:formatCode>0.0</c:formatCode>
                <c:ptCount val="73"/>
                <c:pt idx="0">
                  <c:v>0</c:v>
                </c:pt>
                <c:pt idx="1">
                  <c:v>435.778713738291</c:v>
                </c:pt>
                <c:pt idx="2">
                  <c:v>868.240888334652</c:v>
                </c:pt>
                <c:pt idx="3">
                  <c:v>1294.0952255126</c:v>
                </c:pt>
                <c:pt idx="4">
                  <c:v>1710.10071662834</c:v>
                </c:pt>
                <c:pt idx="5">
                  <c:v>2113.0913087035</c:v>
                </c:pt>
                <c:pt idx="6">
                  <c:v>2500</c:v>
                </c:pt>
                <c:pt idx="7">
                  <c:v>2867.88218175523</c:v>
                </c:pt>
                <c:pt idx="8">
                  <c:v>3213.9380484327</c:v>
                </c:pt>
                <c:pt idx="9">
                  <c:v>3535.53390593274</c:v>
                </c:pt>
                <c:pt idx="10">
                  <c:v>3830.22221559489</c:v>
                </c:pt>
                <c:pt idx="11">
                  <c:v>4095.76022144496</c:v>
                </c:pt>
                <c:pt idx="12">
                  <c:v>4330.12701892219</c:v>
                </c:pt>
                <c:pt idx="13">
                  <c:v>4531.53893518325</c:v>
                </c:pt>
                <c:pt idx="14">
                  <c:v>4698.46310392954</c:v>
                </c:pt>
                <c:pt idx="15">
                  <c:v>4829.62913144534</c:v>
                </c:pt>
                <c:pt idx="16">
                  <c:v>4924.03876506104</c:v>
                </c:pt>
                <c:pt idx="17">
                  <c:v>4980.97349045873</c:v>
                </c:pt>
                <c:pt idx="18">
                  <c:v>5000</c:v>
                </c:pt>
                <c:pt idx="19">
                  <c:v>4980.97349045873</c:v>
                </c:pt>
                <c:pt idx="20">
                  <c:v>4924.03876506104</c:v>
                </c:pt>
                <c:pt idx="21">
                  <c:v>4829.62913144534</c:v>
                </c:pt>
                <c:pt idx="22">
                  <c:v>4698.46310392954</c:v>
                </c:pt>
                <c:pt idx="23">
                  <c:v>4531.53893518325</c:v>
                </c:pt>
                <c:pt idx="24">
                  <c:v>4330.12701892219</c:v>
                </c:pt>
                <c:pt idx="25">
                  <c:v>4095.76022144496</c:v>
                </c:pt>
                <c:pt idx="26">
                  <c:v>3830.22221559489</c:v>
                </c:pt>
                <c:pt idx="27">
                  <c:v>3535.53390593274</c:v>
                </c:pt>
                <c:pt idx="28">
                  <c:v>3213.9380484327</c:v>
                </c:pt>
                <c:pt idx="29">
                  <c:v>2867.88218175523</c:v>
                </c:pt>
                <c:pt idx="30">
                  <c:v>2500</c:v>
                </c:pt>
                <c:pt idx="31">
                  <c:v>2113.0913087035</c:v>
                </c:pt>
                <c:pt idx="32">
                  <c:v>1710.10071662834</c:v>
                </c:pt>
                <c:pt idx="33">
                  <c:v>1294.09522551261</c:v>
                </c:pt>
                <c:pt idx="34">
                  <c:v>868.240888334654</c:v>
                </c:pt>
                <c:pt idx="35">
                  <c:v>435.778713738291</c:v>
                </c:pt>
                <c:pt idx="36">
                  <c:v>6.12323399573677E-013</c:v>
                </c:pt>
                <c:pt idx="37">
                  <c:v>-435.77871373829</c:v>
                </c:pt>
                <c:pt idx="38">
                  <c:v>-868.240888334652</c:v>
                </c:pt>
                <c:pt idx="39">
                  <c:v>-1294.0952255126</c:v>
                </c:pt>
                <c:pt idx="40">
                  <c:v>-1710.10071662834</c:v>
                </c:pt>
                <c:pt idx="41">
                  <c:v>-2113.0913087035</c:v>
                </c:pt>
                <c:pt idx="42">
                  <c:v>-2500</c:v>
                </c:pt>
                <c:pt idx="43">
                  <c:v>-2867.88218175523</c:v>
                </c:pt>
                <c:pt idx="44">
                  <c:v>-3213.9380484327</c:v>
                </c:pt>
                <c:pt idx="45">
                  <c:v>-3535.53390593274</c:v>
                </c:pt>
                <c:pt idx="46">
                  <c:v>-3830.22221559489</c:v>
                </c:pt>
                <c:pt idx="47">
                  <c:v>-4095.76022144496</c:v>
                </c:pt>
                <c:pt idx="48">
                  <c:v>-4330.12701892219</c:v>
                </c:pt>
                <c:pt idx="49">
                  <c:v>-4531.53893518325</c:v>
                </c:pt>
                <c:pt idx="50">
                  <c:v>-4698.46310392954</c:v>
                </c:pt>
                <c:pt idx="51">
                  <c:v>-4829.62913144534</c:v>
                </c:pt>
                <c:pt idx="52">
                  <c:v>-4924.03876506104</c:v>
                </c:pt>
                <c:pt idx="53">
                  <c:v>-4980.97349045873</c:v>
                </c:pt>
                <c:pt idx="54">
                  <c:v>-5000</c:v>
                </c:pt>
                <c:pt idx="55">
                  <c:v>-4980.97349045873</c:v>
                </c:pt>
                <c:pt idx="56">
                  <c:v>-4924.03876506104</c:v>
                </c:pt>
                <c:pt idx="57">
                  <c:v>-4829.62913144534</c:v>
                </c:pt>
                <c:pt idx="58">
                  <c:v>-4698.46310392954</c:v>
                </c:pt>
                <c:pt idx="59">
                  <c:v>-4531.53893518325</c:v>
                </c:pt>
                <c:pt idx="60">
                  <c:v>-4330.12701892219</c:v>
                </c:pt>
                <c:pt idx="61">
                  <c:v>-4095.76022144496</c:v>
                </c:pt>
                <c:pt idx="62">
                  <c:v>-3830.22221559489</c:v>
                </c:pt>
                <c:pt idx="63">
                  <c:v>-3535.53390593274</c:v>
                </c:pt>
                <c:pt idx="64">
                  <c:v>-3213.9380484327</c:v>
                </c:pt>
                <c:pt idx="65">
                  <c:v>-2867.88218175523</c:v>
                </c:pt>
                <c:pt idx="66">
                  <c:v>-2500</c:v>
                </c:pt>
                <c:pt idx="67">
                  <c:v>-2113.0913087035</c:v>
                </c:pt>
                <c:pt idx="68">
                  <c:v>-1710.10071662835</c:v>
                </c:pt>
                <c:pt idx="69">
                  <c:v>-1294.0952255126</c:v>
                </c:pt>
                <c:pt idx="70">
                  <c:v>-868.240888334652</c:v>
                </c:pt>
                <c:pt idx="71">
                  <c:v>-435.778713738292</c:v>
                </c:pt>
                <c:pt idx="72">
                  <c:v>-1.22464679914735E-012</c:v>
                </c:pt>
              </c:numCache>
            </c:numRef>
          </c:xVal>
          <c:yVal>
            <c:numRef>
              <c:f>5_RADIOS!$H$25:$H$97</c:f>
              <c:numCache>
                <c:formatCode>0.0</c:formatCode>
                <c:ptCount val="73"/>
                <c:pt idx="0">
                  <c:v>5000</c:v>
                </c:pt>
                <c:pt idx="1">
                  <c:v>4980.97349045873</c:v>
                </c:pt>
                <c:pt idx="2">
                  <c:v>4924.03876506104</c:v>
                </c:pt>
                <c:pt idx="3">
                  <c:v>4829.62913144534</c:v>
                </c:pt>
                <c:pt idx="4">
                  <c:v>4698.46310392954</c:v>
                </c:pt>
                <c:pt idx="5">
                  <c:v>4531.53893518325</c:v>
                </c:pt>
                <c:pt idx="6">
                  <c:v>4330.12701892219</c:v>
                </c:pt>
                <c:pt idx="7">
                  <c:v>4095.76022144496</c:v>
                </c:pt>
                <c:pt idx="8">
                  <c:v>3830.22221559489</c:v>
                </c:pt>
                <c:pt idx="9">
                  <c:v>3535.53390593274</c:v>
                </c:pt>
                <c:pt idx="10">
                  <c:v>3213.9380484327</c:v>
                </c:pt>
                <c:pt idx="11">
                  <c:v>2867.88218175523</c:v>
                </c:pt>
                <c:pt idx="12">
                  <c:v>2500</c:v>
                </c:pt>
                <c:pt idx="13">
                  <c:v>2113.0913087035</c:v>
                </c:pt>
                <c:pt idx="14">
                  <c:v>1710.10071662834</c:v>
                </c:pt>
                <c:pt idx="15">
                  <c:v>1294.0952255126</c:v>
                </c:pt>
                <c:pt idx="16">
                  <c:v>868.240888334652</c:v>
                </c:pt>
                <c:pt idx="17">
                  <c:v>435.778713738292</c:v>
                </c:pt>
                <c:pt idx="18">
                  <c:v>3.06161699786838E-013</c:v>
                </c:pt>
                <c:pt idx="19">
                  <c:v>-435.778713738291</c:v>
                </c:pt>
                <c:pt idx="20">
                  <c:v>-868.240888334652</c:v>
                </c:pt>
                <c:pt idx="21">
                  <c:v>-1294.0952255126</c:v>
                </c:pt>
                <c:pt idx="22">
                  <c:v>-1710.10071662834</c:v>
                </c:pt>
                <c:pt idx="23">
                  <c:v>-2113.0913087035</c:v>
                </c:pt>
                <c:pt idx="24">
                  <c:v>-2500</c:v>
                </c:pt>
                <c:pt idx="25">
                  <c:v>-2867.88218175523</c:v>
                </c:pt>
                <c:pt idx="26">
                  <c:v>-3213.9380484327</c:v>
                </c:pt>
                <c:pt idx="27">
                  <c:v>-3535.53390593274</c:v>
                </c:pt>
                <c:pt idx="28">
                  <c:v>-3830.22221559489</c:v>
                </c:pt>
                <c:pt idx="29">
                  <c:v>-4095.76022144496</c:v>
                </c:pt>
                <c:pt idx="30">
                  <c:v>-4330.12701892219</c:v>
                </c:pt>
                <c:pt idx="31">
                  <c:v>-4531.53893518325</c:v>
                </c:pt>
                <c:pt idx="32">
                  <c:v>-4698.46310392954</c:v>
                </c:pt>
                <c:pt idx="33">
                  <c:v>-4829.62913144534</c:v>
                </c:pt>
                <c:pt idx="34">
                  <c:v>-4924.03876506104</c:v>
                </c:pt>
                <c:pt idx="35">
                  <c:v>-4980.97349045873</c:v>
                </c:pt>
                <c:pt idx="36">
                  <c:v>-5000</c:v>
                </c:pt>
                <c:pt idx="37">
                  <c:v>-4980.97349045873</c:v>
                </c:pt>
                <c:pt idx="38">
                  <c:v>-4924.03876506104</c:v>
                </c:pt>
                <c:pt idx="39">
                  <c:v>-4829.62913144534</c:v>
                </c:pt>
                <c:pt idx="40">
                  <c:v>-4698.46310392954</c:v>
                </c:pt>
                <c:pt idx="41">
                  <c:v>-4531.53893518325</c:v>
                </c:pt>
                <c:pt idx="42">
                  <c:v>-4330.12701892219</c:v>
                </c:pt>
                <c:pt idx="43">
                  <c:v>-4095.76022144496</c:v>
                </c:pt>
                <c:pt idx="44">
                  <c:v>-3830.22221559489</c:v>
                </c:pt>
                <c:pt idx="45">
                  <c:v>-3535.53390593274</c:v>
                </c:pt>
                <c:pt idx="46">
                  <c:v>-3213.9380484327</c:v>
                </c:pt>
                <c:pt idx="47">
                  <c:v>-2867.88218175523</c:v>
                </c:pt>
                <c:pt idx="48">
                  <c:v>-2500</c:v>
                </c:pt>
                <c:pt idx="49">
                  <c:v>-2113.0913087035</c:v>
                </c:pt>
                <c:pt idx="50">
                  <c:v>-1710.10071662835</c:v>
                </c:pt>
                <c:pt idx="51">
                  <c:v>-1294.0952255126</c:v>
                </c:pt>
                <c:pt idx="52">
                  <c:v>-868.240888334652</c:v>
                </c:pt>
                <c:pt idx="53">
                  <c:v>-435.778713738291</c:v>
                </c:pt>
                <c:pt idx="54">
                  <c:v>-9.18485099360515E-013</c:v>
                </c:pt>
                <c:pt idx="55">
                  <c:v>435.778713738289</c:v>
                </c:pt>
                <c:pt idx="56">
                  <c:v>868.24088833465</c:v>
                </c:pt>
                <c:pt idx="57">
                  <c:v>1294.0952255126</c:v>
                </c:pt>
                <c:pt idx="58">
                  <c:v>1710.10071662835</c:v>
                </c:pt>
                <c:pt idx="59">
                  <c:v>2113.09130870349</c:v>
                </c:pt>
                <c:pt idx="60">
                  <c:v>2500</c:v>
                </c:pt>
                <c:pt idx="61">
                  <c:v>2867.88218175523</c:v>
                </c:pt>
                <c:pt idx="62">
                  <c:v>3213.9380484327</c:v>
                </c:pt>
                <c:pt idx="63">
                  <c:v>3535.53390593274</c:v>
                </c:pt>
                <c:pt idx="64">
                  <c:v>3830.22221559489</c:v>
                </c:pt>
                <c:pt idx="65">
                  <c:v>4095.76022144496</c:v>
                </c:pt>
                <c:pt idx="66">
                  <c:v>4330.12701892219</c:v>
                </c:pt>
                <c:pt idx="67">
                  <c:v>4531.53893518325</c:v>
                </c:pt>
                <c:pt idx="68">
                  <c:v>4698.46310392954</c:v>
                </c:pt>
                <c:pt idx="69">
                  <c:v>4829.62913144534</c:v>
                </c:pt>
                <c:pt idx="70">
                  <c:v>4924.03876506104</c:v>
                </c:pt>
                <c:pt idx="71">
                  <c:v>4980.97349045873</c:v>
                </c:pt>
                <c:pt idx="72">
                  <c:v>5000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"ESSM-FFG1"</c:f>
              <c:strCache>
                <c:ptCount val="1"/>
                <c:pt idx="0">
                  <c:v>ESSM-FFG1</c:v>
                </c:pt>
              </c:strCache>
            </c:strRef>
          </c:tx>
          <c:spPr>
            <a:solidFill>
              <a:srgbClr val="8b0000"/>
            </a:solidFill>
            <a:ln w="28080">
              <a:solidFill>
                <a:srgbClr val="8b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5_RADIOS!$I$25:$I$97</c:f>
              <c:numCache>
                <c:formatCode>0.0</c:formatCode>
                <c:ptCount val="73"/>
                <c:pt idx="0">
                  <c:v>4.28626379701574E-013</c:v>
                </c:pt>
                <c:pt idx="1">
                  <c:v>4413.13103402767</c:v>
                </c:pt>
                <c:pt idx="2">
                  <c:v>8792.67547616502</c:v>
                </c:pt>
                <c:pt idx="3">
                  <c:v>13105.3023487661</c:v>
                </c:pt>
                <c:pt idx="4">
                  <c:v>17318.1899572952</c:v>
                </c:pt>
                <c:pt idx="5">
                  <c:v>21399.2756832403</c:v>
                </c:pt>
                <c:pt idx="6">
                  <c:v>25317.5</c:v>
                </c:pt>
                <c:pt idx="7">
                  <c:v>29043.0428546352</c:v>
                </c:pt>
                <c:pt idx="8">
                  <c:v>32547.5506164779</c:v>
                </c:pt>
                <c:pt idx="9">
                  <c:v>35804.3518653808</c:v>
                </c:pt>
                <c:pt idx="10">
                  <c:v>38788.6603773295</c:v>
                </c:pt>
                <c:pt idx="11">
                  <c:v>41477.7637625731</c:v>
                </c:pt>
                <c:pt idx="12">
                  <c:v>43851.1963206251</c:v>
                </c:pt>
                <c:pt idx="13">
                  <c:v>45890.8947966008</c:v>
                </c:pt>
                <c:pt idx="14">
                  <c:v>47581.3358534945</c:v>
                </c:pt>
                <c:pt idx="15">
                  <c:v>48909.654214147</c:v>
                </c:pt>
                <c:pt idx="16">
                  <c:v>49865.7405737732</c:v>
                </c:pt>
                <c:pt idx="17">
                  <c:v>50442.3185378755</c:v>
                </c:pt>
                <c:pt idx="18">
                  <c:v>50635</c:v>
                </c:pt>
                <c:pt idx="19">
                  <c:v>50442.3185378755</c:v>
                </c:pt>
                <c:pt idx="20">
                  <c:v>49865.7405737732</c:v>
                </c:pt>
                <c:pt idx="21">
                  <c:v>48909.654214147</c:v>
                </c:pt>
                <c:pt idx="22">
                  <c:v>47581.3358534945</c:v>
                </c:pt>
                <c:pt idx="23">
                  <c:v>45890.8947966008</c:v>
                </c:pt>
                <c:pt idx="24">
                  <c:v>43851.1963206251</c:v>
                </c:pt>
                <c:pt idx="25">
                  <c:v>41477.7637625731</c:v>
                </c:pt>
                <c:pt idx="26">
                  <c:v>38788.6603773295</c:v>
                </c:pt>
                <c:pt idx="27">
                  <c:v>35804.3518653808</c:v>
                </c:pt>
                <c:pt idx="28">
                  <c:v>32547.5506164779</c:v>
                </c:pt>
                <c:pt idx="29">
                  <c:v>29043.0428546352</c:v>
                </c:pt>
                <c:pt idx="30">
                  <c:v>25317.5</c:v>
                </c:pt>
                <c:pt idx="31">
                  <c:v>21399.2756832403</c:v>
                </c:pt>
                <c:pt idx="32">
                  <c:v>17318.1899572952</c:v>
                </c:pt>
                <c:pt idx="33">
                  <c:v>13105.3023487662</c:v>
                </c:pt>
                <c:pt idx="34">
                  <c:v>8792.67547616504</c:v>
                </c:pt>
                <c:pt idx="35">
                  <c:v>4413.13103402767</c:v>
                </c:pt>
                <c:pt idx="36">
                  <c:v>6.6296254471842E-012</c:v>
                </c:pt>
                <c:pt idx="37">
                  <c:v>-4413.13103402766</c:v>
                </c:pt>
                <c:pt idx="38">
                  <c:v>-8792.67547616503</c:v>
                </c:pt>
                <c:pt idx="39">
                  <c:v>-13105.3023487661</c:v>
                </c:pt>
                <c:pt idx="40">
                  <c:v>-17318.1899572952</c:v>
                </c:pt>
                <c:pt idx="41">
                  <c:v>-21399.2756832403</c:v>
                </c:pt>
                <c:pt idx="42">
                  <c:v>-25317.5</c:v>
                </c:pt>
                <c:pt idx="43">
                  <c:v>-29043.0428546352</c:v>
                </c:pt>
                <c:pt idx="44">
                  <c:v>-32547.5506164779</c:v>
                </c:pt>
                <c:pt idx="45">
                  <c:v>-35804.3518653808</c:v>
                </c:pt>
                <c:pt idx="46">
                  <c:v>-38788.6603773295</c:v>
                </c:pt>
                <c:pt idx="47">
                  <c:v>-41477.7637625731</c:v>
                </c:pt>
                <c:pt idx="48">
                  <c:v>-43851.196320625</c:v>
                </c:pt>
                <c:pt idx="49">
                  <c:v>-45890.8947966008</c:v>
                </c:pt>
                <c:pt idx="50">
                  <c:v>-47581.3358534945</c:v>
                </c:pt>
                <c:pt idx="51">
                  <c:v>-48909.654214147</c:v>
                </c:pt>
                <c:pt idx="52">
                  <c:v>-49865.7405737732</c:v>
                </c:pt>
                <c:pt idx="53">
                  <c:v>-50442.3185378755</c:v>
                </c:pt>
                <c:pt idx="54">
                  <c:v>-50635</c:v>
                </c:pt>
                <c:pt idx="55">
                  <c:v>-50442.3185378755</c:v>
                </c:pt>
                <c:pt idx="56">
                  <c:v>-49865.7405737732</c:v>
                </c:pt>
                <c:pt idx="57">
                  <c:v>-48909.654214147</c:v>
                </c:pt>
                <c:pt idx="58">
                  <c:v>-47581.3358534945</c:v>
                </c:pt>
                <c:pt idx="59">
                  <c:v>-45890.8947966008</c:v>
                </c:pt>
                <c:pt idx="60">
                  <c:v>-43851.1963206251</c:v>
                </c:pt>
                <c:pt idx="61">
                  <c:v>-41477.7637625731</c:v>
                </c:pt>
                <c:pt idx="62">
                  <c:v>-38788.6603773295</c:v>
                </c:pt>
                <c:pt idx="63">
                  <c:v>-35804.3518653808</c:v>
                </c:pt>
                <c:pt idx="64">
                  <c:v>-32547.5506164779</c:v>
                </c:pt>
                <c:pt idx="65">
                  <c:v>-29043.0428546352</c:v>
                </c:pt>
                <c:pt idx="66">
                  <c:v>-25317.5</c:v>
                </c:pt>
                <c:pt idx="67">
                  <c:v>-21399.2756832403</c:v>
                </c:pt>
                <c:pt idx="68">
                  <c:v>-17318.1899572953</c:v>
                </c:pt>
                <c:pt idx="69">
                  <c:v>-13105.3023487661</c:v>
                </c:pt>
                <c:pt idx="70">
                  <c:v>-8792.67547616502</c:v>
                </c:pt>
                <c:pt idx="71">
                  <c:v>-4413.13103402768</c:v>
                </c:pt>
                <c:pt idx="72">
                  <c:v>-1.19733717552637E-011</c:v>
                </c:pt>
              </c:numCache>
            </c:numRef>
          </c:xVal>
          <c:yVal>
            <c:numRef>
              <c:f>5_RADIOS!$J$25:$J$97</c:f>
              <c:numCache>
                <c:formatCode>0.0</c:formatCode>
                <c:ptCount val="73"/>
                <c:pt idx="0">
                  <c:v>47135</c:v>
                </c:pt>
                <c:pt idx="1">
                  <c:v>46942.3185378755</c:v>
                </c:pt>
                <c:pt idx="2">
                  <c:v>46365.7405737732</c:v>
                </c:pt>
                <c:pt idx="3">
                  <c:v>45409.654214147</c:v>
                </c:pt>
                <c:pt idx="4">
                  <c:v>44081.3358534945</c:v>
                </c:pt>
                <c:pt idx="5">
                  <c:v>42390.8947966008</c:v>
                </c:pt>
                <c:pt idx="6">
                  <c:v>40351.1963206251</c:v>
                </c:pt>
                <c:pt idx="7">
                  <c:v>37977.7637625731</c:v>
                </c:pt>
                <c:pt idx="8">
                  <c:v>35288.6603773295</c:v>
                </c:pt>
                <c:pt idx="9">
                  <c:v>32304.3518653808</c:v>
                </c:pt>
                <c:pt idx="10">
                  <c:v>29047.5506164779</c:v>
                </c:pt>
                <c:pt idx="11">
                  <c:v>25543.0428546352</c:v>
                </c:pt>
                <c:pt idx="12">
                  <c:v>21817.5</c:v>
                </c:pt>
                <c:pt idx="13">
                  <c:v>17899.2756832403</c:v>
                </c:pt>
                <c:pt idx="14">
                  <c:v>13818.1899572952</c:v>
                </c:pt>
                <c:pt idx="15">
                  <c:v>9605.30234876614</c:v>
                </c:pt>
                <c:pt idx="16">
                  <c:v>5292.67547616502</c:v>
                </c:pt>
                <c:pt idx="17">
                  <c:v>913.131034027681</c:v>
                </c:pt>
                <c:pt idx="18">
                  <c:v>-3500</c:v>
                </c:pt>
                <c:pt idx="19">
                  <c:v>-7913.13103402768</c:v>
                </c:pt>
                <c:pt idx="20">
                  <c:v>-12292.675476165</c:v>
                </c:pt>
                <c:pt idx="21">
                  <c:v>-16605.3023487661</c:v>
                </c:pt>
                <c:pt idx="22">
                  <c:v>-20818.1899572952</c:v>
                </c:pt>
                <c:pt idx="23">
                  <c:v>-24899.2756832403</c:v>
                </c:pt>
                <c:pt idx="24">
                  <c:v>-28817.5</c:v>
                </c:pt>
                <c:pt idx="25">
                  <c:v>-32543.0428546352</c:v>
                </c:pt>
                <c:pt idx="26">
                  <c:v>-36047.5506164779</c:v>
                </c:pt>
                <c:pt idx="27">
                  <c:v>-39304.3518653808</c:v>
                </c:pt>
                <c:pt idx="28">
                  <c:v>-42288.6603773295</c:v>
                </c:pt>
                <c:pt idx="29">
                  <c:v>-44977.7637625731</c:v>
                </c:pt>
                <c:pt idx="30">
                  <c:v>-47351.1963206251</c:v>
                </c:pt>
                <c:pt idx="31">
                  <c:v>-49390.8947966008</c:v>
                </c:pt>
                <c:pt idx="32">
                  <c:v>-51081.3358534945</c:v>
                </c:pt>
                <c:pt idx="33">
                  <c:v>-52409.654214147</c:v>
                </c:pt>
                <c:pt idx="34">
                  <c:v>-53365.7405737732</c:v>
                </c:pt>
                <c:pt idx="35">
                  <c:v>-53942.3185378755</c:v>
                </c:pt>
                <c:pt idx="36">
                  <c:v>-54135</c:v>
                </c:pt>
                <c:pt idx="37">
                  <c:v>-53942.3185378755</c:v>
                </c:pt>
                <c:pt idx="38">
                  <c:v>-53365.7405737732</c:v>
                </c:pt>
                <c:pt idx="39">
                  <c:v>-52409.654214147</c:v>
                </c:pt>
                <c:pt idx="40">
                  <c:v>-51081.3358534945</c:v>
                </c:pt>
                <c:pt idx="41">
                  <c:v>-49390.8947966008</c:v>
                </c:pt>
                <c:pt idx="42">
                  <c:v>-47351.1963206251</c:v>
                </c:pt>
                <c:pt idx="43">
                  <c:v>-44977.7637625731</c:v>
                </c:pt>
                <c:pt idx="44">
                  <c:v>-42288.6603773295</c:v>
                </c:pt>
                <c:pt idx="45">
                  <c:v>-39304.3518653808</c:v>
                </c:pt>
                <c:pt idx="46">
                  <c:v>-36047.5506164779</c:v>
                </c:pt>
                <c:pt idx="47">
                  <c:v>-32543.0428546352</c:v>
                </c:pt>
                <c:pt idx="48">
                  <c:v>-28817.5</c:v>
                </c:pt>
                <c:pt idx="49">
                  <c:v>-24899.2756832403</c:v>
                </c:pt>
                <c:pt idx="50">
                  <c:v>-20818.1899572953</c:v>
                </c:pt>
                <c:pt idx="51">
                  <c:v>-16605.3023487661</c:v>
                </c:pt>
                <c:pt idx="52">
                  <c:v>-12292.675476165</c:v>
                </c:pt>
                <c:pt idx="53">
                  <c:v>-7913.13103402768</c:v>
                </c:pt>
                <c:pt idx="54">
                  <c:v>-3500.00000000001</c:v>
                </c:pt>
                <c:pt idx="55">
                  <c:v>913.131034027657</c:v>
                </c:pt>
                <c:pt idx="56">
                  <c:v>5292.675476165</c:v>
                </c:pt>
                <c:pt idx="57">
                  <c:v>9605.30234876612</c:v>
                </c:pt>
                <c:pt idx="58">
                  <c:v>13818.1899572953</c:v>
                </c:pt>
                <c:pt idx="59">
                  <c:v>17899.2756832403</c:v>
                </c:pt>
                <c:pt idx="60">
                  <c:v>21817.5</c:v>
                </c:pt>
                <c:pt idx="61">
                  <c:v>25543.0428546352</c:v>
                </c:pt>
                <c:pt idx="62">
                  <c:v>29047.5506164779</c:v>
                </c:pt>
                <c:pt idx="63">
                  <c:v>32304.3518653808</c:v>
                </c:pt>
                <c:pt idx="64">
                  <c:v>35288.6603773294</c:v>
                </c:pt>
                <c:pt idx="65">
                  <c:v>37977.7637625731</c:v>
                </c:pt>
                <c:pt idx="66">
                  <c:v>40351.196320625</c:v>
                </c:pt>
                <c:pt idx="67">
                  <c:v>42390.8947966008</c:v>
                </c:pt>
                <c:pt idx="68">
                  <c:v>44081.3358534945</c:v>
                </c:pt>
                <c:pt idx="69">
                  <c:v>45409.654214147</c:v>
                </c:pt>
                <c:pt idx="70">
                  <c:v>46365.7405737732</c:v>
                </c:pt>
                <c:pt idx="71">
                  <c:v>46942.3185378755</c:v>
                </c:pt>
                <c:pt idx="72">
                  <c:v>47135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"ESSM-FFG2"</c:f>
              <c:strCache>
                <c:ptCount val="1"/>
                <c:pt idx="0">
                  <c:v>ESSM-FFG2</c:v>
                </c:pt>
              </c:strCache>
            </c:strRef>
          </c:tx>
          <c:spPr>
            <a:solidFill>
              <a:srgbClr val="cc2200"/>
            </a:solidFill>
            <a:ln w="23040">
              <a:solidFill>
                <a:srgbClr val="cc22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5_RADIOS!$K$25:$K$97</c:f>
              <c:numCache>
                <c:formatCode>0.0</c:formatCode>
                <c:ptCount val="73"/>
                <c:pt idx="0">
                  <c:v>1436.48460196781</c:v>
                </c:pt>
                <c:pt idx="1">
                  <c:v>5849.61563599548</c:v>
                </c:pt>
                <c:pt idx="2">
                  <c:v>10229.1600781328</c:v>
                </c:pt>
                <c:pt idx="3">
                  <c:v>14541.7869507339</c:v>
                </c:pt>
                <c:pt idx="4">
                  <c:v>18754.674559263</c:v>
                </c:pt>
                <c:pt idx="5">
                  <c:v>22835.7602852081</c:v>
                </c:pt>
                <c:pt idx="6">
                  <c:v>26753.9846019678</c:v>
                </c:pt>
                <c:pt idx="7">
                  <c:v>30479.527456603</c:v>
                </c:pt>
                <c:pt idx="8">
                  <c:v>33984.0352184457</c:v>
                </c:pt>
                <c:pt idx="9">
                  <c:v>37240.8364673486</c:v>
                </c:pt>
                <c:pt idx="10">
                  <c:v>40225.1449792973</c:v>
                </c:pt>
                <c:pt idx="11">
                  <c:v>42914.2483645409</c:v>
                </c:pt>
                <c:pt idx="12">
                  <c:v>45287.6809225929</c:v>
                </c:pt>
                <c:pt idx="13">
                  <c:v>47327.3793985686</c:v>
                </c:pt>
                <c:pt idx="14">
                  <c:v>49017.8204554623</c:v>
                </c:pt>
                <c:pt idx="15">
                  <c:v>50346.1388161148</c:v>
                </c:pt>
                <c:pt idx="16">
                  <c:v>51302.225175741</c:v>
                </c:pt>
                <c:pt idx="17">
                  <c:v>51878.8031398433</c:v>
                </c:pt>
                <c:pt idx="18">
                  <c:v>52071.4846019678</c:v>
                </c:pt>
                <c:pt idx="19">
                  <c:v>51878.8031398433</c:v>
                </c:pt>
                <c:pt idx="20">
                  <c:v>51302.225175741</c:v>
                </c:pt>
                <c:pt idx="21">
                  <c:v>50346.1388161148</c:v>
                </c:pt>
                <c:pt idx="22">
                  <c:v>49017.8204554623</c:v>
                </c:pt>
                <c:pt idx="23">
                  <c:v>47327.3793985686</c:v>
                </c:pt>
                <c:pt idx="24">
                  <c:v>45287.6809225929</c:v>
                </c:pt>
                <c:pt idx="25">
                  <c:v>42914.2483645409</c:v>
                </c:pt>
                <c:pt idx="26">
                  <c:v>40225.1449792973</c:v>
                </c:pt>
                <c:pt idx="27">
                  <c:v>37240.8364673486</c:v>
                </c:pt>
                <c:pt idx="28">
                  <c:v>33984.0352184457</c:v>
                </c:pt>
                <c:pt idx="29">
                  <c:v>30479.527456603</c:v>
                </c:pt>
                <c:pt idx="30">
                  <c:v>26753.9846019678</c:v>
                </c:pt>
                <c:pt idx="31">
                  <c:v>22835.7602852081</c:v>
                </c:pt>
                <c:pt idx="32">
                  <c:v>18754.6745592631</c:v>
                </c:pt>
                <c:pt idx="33">
                  <c:v>14541.786950734</c:v>
                </c:pt>
                <c:pt idx="34">
                  <c:v>10229.1600781328</c:v>
                </c:pt>
                <c:pt idx="35">
                  <c:v>5849.61563599548</c:v>
                </c:pt>
                <c:pt idx="36">
                  <c:v>1436.48460196782</c:v>
                </c:pt>
                <c:pt idx="37">
                  <c:v>-2976.64643205985</c:v>
                </c:pt>
                <c:pt idx="38">
                  <c:v>-7356.19087419722</c:v>
                </c:pt>
                <c:pt idx="39">
                  <c:v>-11668.8177467983</c:v>
                </c:pt>
                <c:pt idx="40">
                  <c:v>-15881.7053553274</c:v>
                </c:pt>
                <c:pt idx="41">
                  <c:v>-19962.7910812725</c:v>
                </c:pt>
                <c:pt idx="42">
                  <c:v>-23881.0153980322</c:v>
                </c:pt>
                <c:pt idx="43">
                  <c:v>-27606.5582526674</c:v>
                </c:pt>
                <c:pt idx="44">
                  <c:v>-31111.0660145101</c:v>
                </c:pt>
                <c:pt idx="45">
                  <c:v>-34367.867263413</c:v>
                </c:pt>
                <c:pt idx="46">
                  <c:v>-37352.1757753616</c:v>
                </c:pt>
                <c:pt idx="47">
                  <c:v>-40041.2791606053</c:v>
                </c:pt>
                <c:pt idx="48">
                  <c:v>-42414.7117186572</c:v>
                </c:pt>
                <c:pt idx="49">
                  <c:v>-44454.410194633</c:v>
                </c:pt>
                <c:pt idx="50">
                  <c:v>-46144.8512515267</c:v>
                </c:pt>
                <c:pt idx="51">
                  <c:v>-47473.1696121792</c:v>
                </c:pt>
                <c:pt idx="52">
                  <c:v>-48429.2559718053</c:v>
                </c:pt>
                <c:pt idx="53">
                  <c:v>-49005.8339359077</c:v>
                </c:pt>
                <c:pt idx="54">
                  <c:v>-49198.5153980322</c:v>
                </c:pt>
                <c:pt idx="55">
                  <c:v>-49005.8339359077</c:v>
                </c:pt>
                <c:pt idx="56">
                  <c:v>-48429.2559718054</c:v>
                </c:pt>
                <c:pt idx="57">
                  <c:v>-47473.1696121792</c:v>
                </c:pt>
                <c:pt idx="58">
                  <c:v>-46144.8512515267</c:v>
                </c:pt>
                <c:pt idx="59">
                  <c:v>-44454.410194633</c:v>
                </c:pt>
                <c:pt idx="60">
                  <c:v>-42414.7117186572</c:v>
                </c:pt>
                <c:pt idx="61">
                  <c:v>-40041.2791606053</c:v>
                </c:pt>
                <c:pt idx="62">
                  <c:v>-37352.1757753617</c:v>
                </c:pt>
                <c:pt idx="63">
                  <c:v>-34367.867263413</c:v>
                </c:pt>
                <c:pt idx="64">
                  <c:v>-31111.0660145101</c:v>
                </c:pt>
                <c:pt idx="65">
                  <c:v>-27606.5582526674</c:v>
                </c:pt>
                <c:pt idx="66">
                  <c:v>-23881.0153980322</c:v>
                </c:pt>
                <c:pt idx="67">
                  <c:v>-19962.7910812725</c:v>
                </c:pt>
                <c:pt idx="68">
                  <c:v>-15881.7053553275</c:v>
                </c:pt>
                <c:pt idx="69">
                  <c:v>-11668.8177467983</c:v>
                </c:pt>
                <c:pt idx="70">
                  <c:v>-7356.19087419721</c:v>
                </c:pt>
                <c:pt idx="71">
                  <c:v>-2976.64643205987</c:v>
                </c:pt>
                <c:pt idx="72">
                  <c:v>1436.4846019678</c:v>
                </c:pt>
              </c:numCache>
            </c:numRef>
          </c:xVal>
          <c:yVal>
            <c:numRef>
              <c:f>5_RADIOS!$L$25:$L$97</c:f>
              <c:numCache>
                <c:formatCode>0.0</c:formatCode>
                <c:ptCount val="73"/>
                <c:pt idx="0">
                  <c:v>46688.2909926992</c:v>
                </c:pt>
                <c:pt idx="1">
                  <c:v>46495.6095305747</c:v>
                </c:pt>
                <c:pt idx="2">
                  <c:v>45919.0315664723</c:v>
                </c:pt>
                <c:pt idx="3">
                  <c:v>44962.9452068462</c:v>
                </c:pt>
                <c:pt idx="4">
                  <c:v>43634.6268461937</c:v>
                </c:pt>
                <c:pt idx="5">
                  <c:v>41944.1857893</c:v>
                </c:pt>
                <c:pt idx="6">
                  <c:v>39904.4873133242</c:v>
                </c:pt>
                <c:pt idx="7">
                  <c:v>37531.0547552723</c:v>
                </c:pt>
                <c:pt idx="8">
                  <c:v>34841.9513700286</c:v>
                </c:pt>
                <c:pt idx="9">
                  <c:v>31857.64285808</c:v>
                </c:pt>
                <c:pt idx="10">
                  <c:v>28600.8416091771</c:v>
                </c:pt>
                <c:pt idx="11">
                  <c:v>25096.3338473344</c:v>
                </c:pt>
                <c:pt idx="12">
                  <c:v>21370.7909926992</c:v>
                </c:pt>
                <c:pt idx="13">
                  <c:v>17452.5666759395</c:v>
                </c:pt>
                <c:pt idx="14">
                  <c:v>13371.4809499944</c:v>
                </c:pt>
                <c:pt idx="15">
                  <c:v>9158.59334146532</c:v>
                </c:pt>
                <c:pt idx="16">
                  <c:v>4845.96646886421</c:v>
                </c:pt>
                <c:pt idx="17">
                  <c:v>466.422026726867</c:v>
                </c:pt>
                <c:pt idx="18">
                  <c:v>-3946.70900730081</c:v>
                </c:pt>
                <c:pt idx="19">
                  <c:v>-8359.84004132849</c:v>
                </c:pt>
                <c:pt idx="20">
                  <c:v>-12739.3844834658</c:v>
                </c:pt>
                <c:pt idx="21">
                  <c:v>-17052.011356067</c:v>
                </c:pt>
                <c:pt idx="22">
                  <c:v>-21264.8989645961</c:v>
                </c:pt>
                <c:pt idx="23">
                  <c:v>-25345.9846905411</c:v>
                </c:pt>
                <c:pt idx="24">
                  <c:v>-29264.2090073008</c:v>
                </c:pt>
                <c:pt idx="25">
                  <c:v>-32989.751861936</c:v>
                </c:pt>
                <c:pt idx="26">
                  <c:v>-36494.2596237787</c:v>
                </c:pt>
                <c:pt idx="27">
                  <c:v>-39751.0608726816</c:v>
                </c:pt>
                <c:pt idx="28">
                  <c:v>-42735.3693846303</c:v>
                </c:pt>
                <c:pt idx="29">
                  <c:v>-45424.4727698739</c:v>
                </c:pt>
                <c:pt idx="30">
                  <c:v>-47797.9053279259</c:v>
                </c:pt>
                <c:pt idx="31">
                  <c:v>-49837.6038039016</c:v>
                </c:pt>
                <c:pt idx="32">
                  <c:v>-51528.0448607953</c:v>
                </c:pt>
                <c:pt idx="33">
                  <c:v>-52856.3632214478</c:v>
                </c:pt>
                <c:pt idx="34">
                  <c:v>-53812.449581074</c:v>
                </c:pt>
                <c:pt idx="35">
                  <c:v>-54389.0275451764</c:v>
                </c:pt>
                <c:pt idx="36">
                  <c:v>-54581.7090073008</c:v>
                </c:pt>
                <c:pt idx="37">
                  <c:v>-54389.0275451764</c:v>
                </c:pt>
                <c:pt idx="38">
                  <c:v>-53812.449581074</c:v>
                </c:pt>
                <c:pt idx="39">
                  <c:v>-52856.3632214478</c:v>
                </c:pt>
                <c:pt idx="40">
                  <c:v>-51528.0448607953</c:v>
                </c:pt>
                <c:pt idx="41">
                  <c:v>-49837.6038039016</c:v>
                </c:pt>
                <c:pt idx="42">
                  <c:v>-47797.9053279259</c:v>
                </c:pt>
                <c:pt idx="43">
                  <c:v>-45424.4727698739</c:v>
                </c:pt>
                <c:pt idx="44">
                  <c:v>-42735.3693846303</c:v>
                </c:pt>
                <c:pt idx="45">
                  <c:v>-39751.0608726817</c:v>
                </c:pt>
                <c:pt idx="46">
                  <c:v>-36494.2596237787</c:v>
                </c:pt>
                <c:pt idx="47">
                  <c:v>-32989.7518619361</c:v>
                </c:pt>
                <c:pt idx="48">
                  <c:v>-29264.2090073008</c:v>
                </c:pt>
                <c:pt idx="49">
                  <c:v>-25345.9846905411</c:v>
                </c:pt>
                <c:pt idx="50">
                  <c:v>-21264.8989645961</c:v>
                </c:pt>
                <c:pt idx="51">
                  <c:v>-17052.011356067</c:v>
                </c:pt>
                <c:pt idx="52">
                  <c:v>-12739.3844834658</c:v>
                </c:pt>
                <c:pt idx="53">
                  <c:v>-8359.84004132849</c:v>
                </c:pt>
                <c:pt idx="54">
                  <c:v>-3946.70900730082</c:v>
                </c:pt>
                <c:pt idx="55">
                  <c:v>466.422026726842</c:v>
                </c:pt>
                <c:pt idx="56">
                  <c:v>4845.96646886418</c:v>
                </c:pt>
                <c:pt idx="57">
                  <c:v>9158.5933414653</c:v>
                </c:pt>
                <c:pt idx="58">
                  <c:v>13371.4809499944</c:v>
                </c:pt>
                <c:pt idx="59">
                  <c:v>17452.5666759395</c:v>
                </c:pt>
                <c:pt idx="60">
                  <c:v>21370.7909926992</c:v>
                </c:pt>
                <c:pt idx="61">
                  <c:v>25096.3338473344</c:v>
                </c:pt>
                <c:pt idx="62">
                  <c:v>28600.8416091771</c:v>
                </c:pt>
                <c:pt idx="63">
                  <c:v>31857.64285808</c:v>
                </c:pt>
                <c:pt idx="64">
                  <c:v>34841.9513700286</c:v>
                </c:pt>
                <c:pt idx="65">
                  <c:v>37531.0547552723</c:v>
                </c:pt>
                <c:pt idx="66">
                  <c:v>39904.4873133242</c:v>
                </c:pt>
                <c:pt idx="67">
                  <c:v>41944.1857893</c:v>
                </c:pt>
                <c:pt idx="68">
                  <c:v>43634.6268461936</c:v>
                </c:pt>
                <c:pt idx="69">
                  <c:v>44962.9452068462</c:v>
                </c:pt>
                <c:pt idx="70">
                  <c:v>45919.0315664723</c:v>
                </c:pt>
                <c:pt idx="71">
                  <c:v>46495.6095305747</c:v>
                </c:pt>
                <c:pt idx="72">
                  <c:v>46688.2909926992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"SC-FF231"</c:f>
              <c:strCache>
                <c:ptCount val="1"/>
                <c:pt idx="0">
                  <c:v>SC-FF231</c:v>
                </c:pt>
              </c:strCache>
            </c:strRef>
          </c:tx>
          <c:spPr>
            <a:solidFill>
              <a:srgbClr val="006400"/>
            </a:solidFill>
            <a:ln w="28080">
              <a:solidFill>
                <a:srgbClr val="0064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5_RADIOS!$M$25:$M$97</c:f>
              <c:numCache>
                <c:formatCode>0.0</c:formatCode>
                <c:ptCount val="73"/>
                <c:pt idx="0">
                  <c:v>-883.883476483184</c:v>
                </c:pt>
                <c:pt idx="1">
                  <c:v>1234.4194198501</c:v>
                </c:pt>
                <c:pt idx="2">
                  <c:v>3336.60075207602</c:v>
                </c:pt>
                <c:pt idx="3">
                  <c:v>5406.66165092456</c:v>
                </c:pt>
                <c:pt idx="4">
                  <c:v>7428.84770301853</c:v>
                </c:pt>
                <c:pt idx="5">
                  <c:v>9387.76885147217</c:v>
                </c:pt>
                <c:pt idx="6">
                  <c:v>11268.5165235168</c:v>
                </c:pt>
                <c:pt idx="7">
                  <c:v>13056.7770937417</c:v>
                </c:pt>
                <c:pt idx="8">
                  <c:v>14738.9408194262</c:v>
                </c:pt>
                <c:pt idx="9">
                  <c:v>16302.2054188996</c:v>
                </c:pt>
                <c:pt idx="10">
                  <c:v>17734.673504635</c:v>
                </c:pt>
                <c:pt idx="11">
                  <c:v>19025.4431295519</c:v>
                </c:pt>
                <c:pt idx="12">
                  <c:v>20164.6907574168</c:v>
                </c:pt>
                <c:pt idx="13">
                  <c:v>21143.7460258852</c:v>
                </c:pt>
                <c:pt idx="14">
                  <c:v>21955.1577331942</c:v>
                </c:pt>
                <c:pt idx="15">
                  <c:v>22592.7505463074</c:v>
                </c:pt>
                <c:pt idx="16">
                  <c:v>23051.6719989279</c:v>
                </c:pt>
                <c:pt idx="17">
                  <c:v>23328.4294216971</c:v>
                </c:pt>
                <c:pt idx="18">
                  <c:v>23420.9165235168</c:v>
                </c:pt>
                <c:pt idx="19">
                  <c:v>23328.4294216971</c:v>
                </c:pt>
                <c:pt idx="20">
                  <c:v>23051.6719989279</c:v>
                </c:pt>
                <c:pt idx="21">
                  <c:v>22592.7505463074</c:v>
                </c:pt>
                <c:pt idx="22">
                  <c:v>21955.1577331942</c:v>
                </c:pt>
                <c:pt idx="23">
                  <c:v>21143.7460258852</c:v>
                </c:pt>
                <c:pt idx="24">
                  <c:v>20164.6907574168</c:v>
                </c:pt>
                <c:pt idx="25">
                  <c:v>19025.4431295519</c:v>
                </c:pt>
                <c:pt idx="26">
                  <c:v>17734.673504635</c:v>
                </c:pt>
                <c:pt idx="27">
                  <c:v>16302.2054188996</c:v>
                </c:pt>
                <c:pt idx="28">
                  <c:v>14738.9408194262</c:v>
                </c:pt>
                <c:pt idx="29">
                  <c:v>13056.7770937417</c:v>
                </c:pt>
                <c:pt idx="30">
                  <c:v>11268.5165235168</c:v>
                </c:pt>
                <c:pt idx="31">
                  <c:v>9387.76885147217</c:v>
                </c:pt>
                <c:pt idx="32">
                  <c:v>7428.84770301853</c:v>
                </c:pt>
                <c:pt idx="33">
                  <c:v>5406.66165092457</c:v>
                </c:pt>
                <c:pt idx="34">
                  <c:v>3336.60075207603</c:v>
                </c:pt>
                <c:pt idx="35">
                  <c:v>1234.4194198501</c:v>
                </c:pt>
                <c:pt idx="36">
                  <c:v>-883.883476483181</c:v>
                </c:pt>
                <c:pt idx="37">
                  <c:v>-3002.18637281646</c:v>
                </c:pt>
                <c:pt idx="38">
                  <c:v>-5104.3677050424</c:v>
                </c:pt>
                <c:pt idx="39">
                  <c:v>-7174.42860389092</c:v>
                </c:pt>
                <c:pt idx="40">
                  <c:v>-9196.6146559849</c:v>
                </c:pt>
                <c:pt idx="41">
                  <c:v>-11155.5358044385</c:v>
                </c:pt>
                <c:pt idx="42">
                  <c:v>-13036.2834764832</c:v>
                </c:pt>
                <c:pt idx="43">
                  <c:v>-14824.5440467081</c:v>
                </c:pt>
                <c:pt idx="44">
                  <c:v>-16506.7077723926</c:v>
                </c:pt>
                <c:pt idx="45">
                  <c:v>-18069.972371866</c:v>
                </c:pt>
                <c:pt idx="46">
                  <c:v>-19502.4404576013</c:v>
                </c:pt>
                <c:pt idx="47">
                  <c:v>-20793.2100825183</c:v>
                </c:pt>
                <c:pt idx="48">
                  <c:v>-21932.4577103832</c:v>
                </c:pt>
                <c:pt idx="49">
                  <c:v>-22911.5129788516</c:v>
                </c:pt>
                <c:pt idx="50">
                  <c:v>-23722.9246861605</c:v>
                </c:pt>
                <c:pt idx="51">
                  <c:v>-24360.5174992737</c:v>
                </c:pt>
                <c:pt idx="52">
                  <c:v>-24819.4389518943</c:v>
                </c:pt>
                <c:pt idx="53">
                  <c:v>-25096.1963746634</c:v>
                </c:pt>
                <c:pt idx="54">
                  <c:v>-25188.6834764832</c:v>
                </c:pt>
                <c:pt idx="55">
                  <c:v>-25096.1963746634</c:v>
                </c:pt>
                <c:pt idx="56">
                  <c:v>-24819.4389518943</c:v>
                </c:pt>
                <c:pt idx="57">
                  <c:v>-24360.5174992737</c:v>
                </c:pt>
                <c:pt idx="58">
                  <c:v>-23722.9246861605</c:v>
                </c:pt>
                <c:pt idx="59">
                  <c:v>-22911.5129788516</c:v>
                </c:pt>
                <c:pt idx="60">
                  <c:v>-21932.4577103832</c:v>
                </c:pt>
                <c:pt idx="61">
                  <c:v>-20793.2100825183</c:v>
                </c:pt>
                <c:pt idx="62">
                  <c:v>-19502.4404576013</c:v>
                </c:pt>
                <c:pt idx="63">
                  <c:v>-18069.972371866</c:v>
                </c:pt>
                <c:pt idx="64">
                  <c:v>-16506.7077723926</c:v>
                </c:pt>
                <c:pt idx="65">
                  <c:v>-14824.5440467081</c:v>
                </c:pt>
                <c:pt idx="66">
                  <c:v>-13036.2834764832</c:v>
                </c:pt>
                <c:pt idx="67">
                  <c:v>-11155.5358044385</c:v>
                </c:pt>
                <c:pt idx="68">
                  <c:v>-9196.61465598492</c:v>
                </c:pt>
                <c:pt idx="69">
                  <c:v>-7174.42860389093</c:v>
                </c:pt>
                <c:pt idx="70">
                  <c:v>-5104.3677050424</c:v>
                </c:pt>
                <c:pt idx="71">
                  <c:v>-3002.18637281647</c:v>
                </c:pt>
                <c:pt idx="72">
                  <c:v>-883.88347648319</c:v>
                </c:pt>
              </c:numCache>
            </c:numRef>
          </c:xVal>
          <c:yVal>
            <c:numRef>
              <c:f>5_RADIOS!$N$25:$N$97</c:f>
              <c:numCache>
                <c:formatCode>0.0</c:formatCode>
                <c:ptCount val="73"/>
                <c:pt idx="0">
                  <c:v>23420.9165235168</c:v>
                </c:pt>
                <c:pt idx="1">
                  <c:v>23328.4294216971</c:v>
                </c:pt>
                <c:pt idx="2">
                  <c:v>23051.6719989279</c:v>
                </c:pt>
                <c:pt idx="3">
                  <c:v>22592.7505463074</c:v>
                </c:pt>
                <c:pt idx="4">
                  <c:v>21955.1577331942</c:v>
                </c:pt>
                <c:pt idx="5">
                  <c:v>21143.7460258852</c:v>
                </c:pt>
                <c:pt idx="6">
                  <c:v>20164.6907574168</c:v>
                </c:pt>
                <c:pt idx="7">
                  <c:v>19025.4431295519</c:v>
                </c:pt>
                <c:pt idx="8">
                  <c:v>17734.673504635</c:v>
                </c:pt>
                <c:pt idx="9">
                  <c:v>16302.2054188996</c:v>
                </c:pt>
                <c:pt idx="10">
                  <c:v>14738.9408194262</c:v>
                </c:pt>
                <c:pt idx="11">
                  <c:v>13056.7770937417</c:v>
                </c:pt>
                <c:pt idx="12">
                  <c:v>11268.5165235168</c:v>
                </c:pt>
                <c:pt idx="13">
                  <c:v>9387.76885147217</c:v>
                </c:pt>
                <c:pt idx="14">
                  <c:v>7428.84770301853</c:v>
                </c:pt>
                <c:pt idx="15">
                  <c:v>5406.66165092456</c:v>
                </c:pt>
                <c:pt idx="16">
                  <c:v>3336.60075207603</c:v>
                </c:pt>
                <c:pt idx="17">
                  <c:v>1234.4194198501</c:v>
                </c:pt>
                <c:pt idx="18">
                  <c:v>-883.883476483183</c:v>
                </c:pt>
                <c:pt idx="19">
                  <c:v>-3002.18637281647</c:v>
                </c:pt>
                <c:pt idx="20">
                  <c:v>-5104.36770504239</c:v>
                </c:pt>
                <c:pt idx="21">
                  <c:v>-7174.42860389093</c:v>
                </c:pt>
                <c:pt idx="22">
                  <c:v>-9196.6146559849</c:v>
                </c:pt>
                <c:pt idx="23">
                  <c:v>-11155.5358044385</c:v>
                </c:pt>
                <c:pt idx="24">
                  <c:v>-13036.2834764832</c:v>
                </c:pt>
                <c:pt idx="25">
                  <c:v>-14824.5440467081</c:v>
                </c:pt>
                <c:pt idx="26">
                  <c:v>-16506.7077723926</c:v>
                </c:pt>
                <c:pt idx="27">
                  <c:v>-18069.972371866</c:v>
                </c:pt>
                <c:pt idx="28">
                  <c:v>-19502.4404576013</c:v>
                </c:pt>
                <c:pt idx="29">
                  <c:v>-20793.2100825183</c:v>
                </c:pt>
                <c:pt idx="30">
                  <c:v>-21932.4577103832</c:v>
                </c:pt>
                <c:pt idx="31">
                  <c:v>-22911.5129788516</c:v>
                </c:pt>
                <c:pt idx="32">
                  <c:v>-23722.9246861605</c:v>
                </c:pt>
                <c:pt idx="33">
                  <c:v>-24360.5174992737</c:v>
                </c:pt>
                <c:pt idx="34">
                  <c:v>-24819.4389518943</c:v>
                </c:pt>
                <c:pt idx="35">
                  <c:v>-25096.1963746634</c:v>
                </c:pt>
                <c:pt idx="36">
                  <c:v>-25188.6834764832</c:v>
                </c:pt>
                <c:pt idx="37">
                  <c:v>-25096.1963746634</c:v>
                </c:pt>
                <c:pt idx="38">
                  <c:v>-24819.4389518943</c:v>
                </c:pt>
                <c:pt idx="39">
                  <c:v>-24360.5174992737</c:v>
                </c:pt>
                <c:pt idx="40">
                  <c:v>-23722.9246861605</c:v>
                </c:pt>
                <c:pt idx="41">
                  <c:v>-22911.5129788516</c:v>
                </c:pt>
                <c:pt idx="42">
                  <c:v>-21932.4577103832</c:v>
                </c:pt>
                <c:pt idx="43">
                  <c:v>-20793.2100825183</c:v>
                </c:pt>
                <c:pt idx="44">
                  <c:v>-19502.4404576013</c:v>
                </c:pt>
                <c:pt idx="45">
                  <c:v>-18069.972371866</c:v>
                </c:pt>
                <c:pt idx="46">
                  <c:v>-16506.7077723926</c:v>
                </c:pt>
                <c:pt idx="47">
                  <c:v>-14824.5440467081</c:v>
                </c:pt>
                <c:pt idx="48">
                  <c:v>-13036.2834764832</c:v>
                </c:pt>
                <c:pt idx="49">
                  <c:v>-11155.5358044385</c:v>
                </c:pt>
                <c:pt idx="50">
                  <c:v>-9196.61465598492</c:v>
                </c:pt>
                <c:pt idx="51">
                  <c:v>-7174.42860389093</c:v>
                </c:pt>
                <c:pt idx="52">
                  <c:v>-5104.36770504239</c:v>
                </c:pt>
                <c:pt idx="53">
                  <c:v>-3002.18637281647</c:v>
                </c:pt>
                <c:pt idx="54">
                  <c:v>-883.883476483189</c:v>
                </c:pt>
                <c:pt idx="55">
                  <c:v>1234.41941985009</c:v>
                </c:pt>
                <c:pt idx="56">
                  <c:v>3336.60075207602</c:v>
                </c:pt>
                <c:pt idx="57">
                  <c:v>5406.66165092455</c:v>
                </c:pt>
                <c:pt idx="58">
                  <c:v>7428.84770301854</c:v>
                </c:pt>
                <c:pt idx="59">
                  <c:v>9387.76885147215</c:v>
                </c:pt>
                <c:pt idx="60">
                  <c:v>11268.5165235168</c:v>
                </c:pt>
                <c:pt idx="61">
                  <c:v>13056.7770937417</c:v>
                </c:pt>
                <c:pt idx="62">
                  <c:v>14738.9408194262</c:v>
                </c:pt>
                <c:pt idx="63">
                  <c:v>16302.2054188996</c:v>
                </c:pt>
                <c:pt idx="64">
                  <c:v>17734.673504635</c:v>
                </c:pt>
                <c:pt idx="65">
                  <c:v>19025.4431295519</c:v>
                </c:pt>
                <c:pt idx="66">
                  <c:v>20164.6907574168</c:v>
                </c:pt>
                <c:pt idx="67">
                  <c:v>21143.7460258852</c:v>
                </c:pt>
                <c:pt idx="68">
                  <c:v>21955.1577331942</c:v>
                </c:pt>
                <c:pt idx="69">
                  <c:v>22592.7505463074</c:v>
                </c:pt>
                <c:pt idx="70">
                  <c:v>23051.6719989279</c:v>
                </c:pt>
                <c:pt idx="71">
                  <c:v>23328.4294216971</c:v>
                </c:pt>
                <c:pt idx="72">
                  <c:v>23420.9165235168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"SC-FF232"</c:f>
              <c:strCache>
                <c:ptCount val="1"/>
                <c:pt idx="0">
                  <c:v>SC-FF232</c:v>
                </c:pt>
              </c:strCache>
            </c:strRef>
          </c:tx>
          <c:spPr>
            <a:solidFill>
              <a:srgbClr val="228b22"/>
            </a:solidFill>
            <a:ln w="23040">
              <a:solidFill>
                <a:srgbClr val="228b22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5_RADIOS!$O$25:$O$97</c:f>
              <c:numCache>
                <c:formatCode>0.0</c:formatCode>
                <c:ptCount val="73"/>
                <c:pt idx="0">
                  <c:v>-883.883476483185</c:v>
                </c:pt>
                <c:pt idx="1">
                  <c:v>1234.4194198501</c:v>
                </c:pt>
                <c:pt idx="2">
                  <c:v>3336.60075207602</c:v>
                </c:pt>
                <c:pt idx="3">
                  <c:v>5406.66165092456</c:v>
                </c:pt>
                <c:pt idx="4">
                  <c:v>7428.84770301853</c:v>
                </c:pt>
                <c:pt idx="5">
                  <c:v>9387.76885147217</c:v>
                </c:pt>
                <c:pt idx="6">
                  <c:v>11268.5165235168</c:v>
                </c:pt>
                <c:pt idx="7">
                  <c:v>13056.7770937417</c:v>
                </c:pt>
                <c:pt idx="8">
                  <c:v>14738.9408194262</c:v>
                </c:pt>
                <c:pt idx="9">
                  <c:v>16302.2054188996</c:v>
                </c:pt>
                <c:pt idx="10">
                  <c:v>17734.673504635</c:v>
                </c:pt>
                <c:pt idx="11">
                  <c:v>19025.4431295519</c:v>
                </c:pt>
                <c:pt idx="12">
                  <c:v>20164.6907574168</c:v>
                </c:pt>
                <c:pt idx="13">
                  <c:v>21143.7460258852</c:v>
                </c:pt>
                <c:pt idx="14">
                  <c:v>21955.1577331942</c:v>
                </c:pt>
                <c:pt idx="15">
                  <c:v>22592.7505463074</c:v>
                </c:pt>
                <c:pt idx="16">
                  <c:v>23051.6719989279</c:v>
                </c:pt>
                <c:pt idx="17">
                  <c:v>23328.4294216971</c:v>
                </c:pt>
                <c:pt idx="18">
                  <c:v>23420.9165235168</c:v>
                </c:pt>
                <c:pt idx="19">
                  <c:v>23328.4294216971</c:v>
                </c:pt>
                <c:pt idx="20">
                  <c:v>23051.6719989279</c:v>
                </c:pt>
                <c:pt idx="21">
                  <c:v>22592.7505463074</c:v>
                </c:pt>
                <c:pt idx="22">
                  <c:v>21955.1577331942</c:v>
                </c:pt>
                <c:pt idx="23">
                  <c:v>21143.7460258852</c:v>
                </c:pt>
                <c:pt idx="24">
                  <c:v>20164.6907574168</c:v>
                </c:pt>
                <c:pt idx="25">
                  <c:v>19025.4431295519</c:v>
                </c:pt>
                <c:pt idx="26">
                  <c:v>17734.673504635</c:v>
                </c:pt>
                <c:pt idx="27">
                  <c:v>16302.2054188996</c:v>
                </c:pt>
                <c:pt idx="28">
                  <c:v>14738.9408194262</c:v>
                </c:pt>
                <c:pt idx="29">
                  <c:v>13056.7770937417</c:v>
                </c:pt>
                <c:pt idx="30">
                  <c:v>11268.5165235168</c:v>
                </c:pt>
                <c:pt idx="31">
                  <c:v>9387.76885147217</c:v>
                </c:pt>
                <c:pt idx="32">
                  <c:v>7428.84770301853</c:v>
                </c:pt>
                <c:pt idx="33">
                  <c:v>5406.66165092457</c:v>
                </c:pt>
                <c:pt idx="34">
                  <c:v>3336.60075207603</c:v>
                </c:pt>
                <c:pt idx="35">
                  <c:v>1234.4194198501</c:v>
                </c:pt>
                <c:pt idx="36">
                  <c:v>-883.883476483182</c:v>
                </c:pt>
                <c:pt idx="37">
                  <c:v>-3002.18637281646</c:v>
                </c:pt>
                <c:pt idx="38">
                  <c:v>-5104.3677050424</c:v>
                </c:pt>
                <c:pt idx="39">
                  <c:v>-7174.42860389092</c:v>
                </c:pt>
                <c:pt idx="40">
                  <c:v>-9196.6146559849</c:v>
                </c:pt>
                <c:pt idx="41">
                  <c:v>-11155.5358044385</c:v>
                </c:pt>
                <c:pt idx="42">
                  <c:v>-13036.2834764832</c:v>
                </c:pt>
                <c:pt idx="43">
                  <c:v>-14824.5440467081</c:v>
                </c:pt>
                <c:pt idx="44">
                  <c:v>-16506.7077723926</c:v>
                </c:pt>
                <c:pt idx="45">
                  <c:v>-18069.972371866</c:v>
                </c:pt>
                <c:pt idx="46">
                  <c:v>-19502.4404576013</c:v>
                </c:pt>
                <c:pt idx="47">
                  <c:v>-20793.2100825183</c:v>
                </c:pt>
                <c:pt idx="48">
                  <c:v>-21932.4577103832</c:v>
                </c:pt>
                <c:pt idx="49">
                  <c:v>-22911.5129788516</c:v>
                </c:pt>
                <c:pt idx="50">
                  <c:v>-23722.9246861605</c:v>
                </c:pt>
                <c:pt idx="51">
                  <c:v>-24360.5174992737</c:v>
                </c:pt>
                <c:pt idx="52">
                  <c:v>-24819.4389518943</c:v>
                </c:pt>
                <c:pt idx="53">
                  <c:v>-25096.1963746634</c:v>
                </c:pt>
                <c:pt idx="54">
                  <c:v>-25188.6834764832</c:v>
                </c:pt>
                <c:pt idx="55">
                  <c:v>-25096.1963746634</c:v>
                </c:pt>
                <c:pt idx="56">
                  <c:v>-24819.4389518943</c:v>
                </c:pt>
                <c:pt idx="57">
                  <c:v>-24360.5174992737</c:v>
                </c:pt>
                <c:pt idx="58">
                  <c:v>-23722.9246861605</c:v>
                </c:pt>
                <c:pt idx="59">
                  <c:v>-22911.5129788516</c:v>
                </c:pt>
                <c:pt idx="60">
                  <c:v>-21932.4577103832</c:v>
                </c:pt>
                <c:pt idx="61">
                  <c:v>-20793.2100825183</c:v>
                </c:pt>
                <c:pt idx="62">
                  <c:v>-19502.4404576013</c:v>
                </c:pt>
                <c:pt idx="63">
                  <c:v>-18069.972371866</c:v>
                </c:pt>
                <c:pt idx="64">
                  <c:v>-16506.7077723926</c:v>
                </c:pt>
                <c:pt idx="65">
                  <c:v>-14824.5440467081</c:v>
                </c:pt>
                <c:pt idx="66">
                  <c:v>-13036.2834764832</c:v>
                </c:pt>
                <c:pt idx="67">
                  <c:v>-11155.5358044385</c:v>
                </c:pt>
                <c:pt idx="68">
                  <c:v>-9196.61465598492</c:v>
                </c:pt>
                <c:pt idx="69">
                  <c:v>-7174.42860389093</c:v>
                </c:pt>
                <c:pt idx="70">
                  <c:v>-5104.3677050424</c:v>
                </c:pt>
                <c:pt idx="71">
                  <c:v>-3002.18637281647</c:v>
                </c:pt>
                <c:pt idx="72">
                  <c:v>-883.883476483191</c:v>
                </c:pt>
              </c:numCache>
            </c:numRef>
          </c:xVal>
          <c:yVal>
            <c:numRef>
              <c:f>5_RADIOS!$P$25:$P$97</c:f>
              <c:numCache>
                <c:formatCode>0.0</c:formatCode>
                <c:ptCount val="73"/>
                <c:pt idx="0">
                  <c:v>25188.6834764832</c:v>
                </c:pt>
                <c:pt idx="1">
                  <c:v>25096.1963746634</c:v>
                </c:pt>
                <c:pt idx="2">
                  <c:v>24819.4389518943</c:v>
                </c:pt>
                <c:pt idx="3">
                  <c:v>24360.5174992737</c:v>
                </c:pt>
                <c:pt idx="4">
                  <c:v>23722.9246861605</c:v>
                </c:pt>
                <c:pt idx="5">
                  <c:v>22911.5129788516</c:v>
                </c:pt>
                <c:pt idx="6">
                  <c:v>21932.4577103832</c:v>
                </c:pt>
                <c:pt idx="7">
                  <c:v>20793.2100825183</c:v>
                </c:pt>
                <c:pt idx="8">
                  <c:v>19502.4404576013</c:v>
                </c:pt>
                <c:pt idx="9">
                  <c:v>18069.972371866</c:v>
                </c:pt>
                <c:pt idx="10">
                  <c:v>16506.7077723926</c:v>
                </c:pt>
                <c:pt idx="11">
                  <c:v>14824.5440467081</c:v>
                </c:pt>
                <c:pt idx="12">
                  <c:v>13036.2834764832</c:v>
                </c:pt>
                <c:pt idx="13">
                  <c:v>11155.5358044385</c:v>
                </c:pt>
                <c:pt idx="14">
                  <c:v>9196.6146559849</c:v>
                </c:pt>
                <c:pt idx="15">
                  <c:v>7174.42860389093</c:v>
                </c:pt>
                <c:pt idx="16">
                  <c:v>5104.3677050424</c:v>
                </c:pt>
                <c:pt idx="17">
                  <c:v>3002.18637281647</c:v>
                </c:pt>
                <c:pt idx="18">
                  <c:v>883.883476483186</c:v>
                </c:pt>
                <c:pt idx="19">
                  <c:v>-1234.4194198501</c:v>
                </c:pt>
                <c:pt idx="20">
                  <c:v>-3336.60075207602</c:v>
                </c:pt>
                <c:pt idx="21">
                  <c:v>-5406.66165092457</c:v>
                </c:pt>
                <c:pt idx="22">
                  <c:v>-7428.84770301853</c:v>
                </c:pt>
                <c:pt idx="23">
                  <c:v>-9387.76885147217</c:v>
                </c:pt>
                <c:pt idx="24">
                  <c:v>-11268.5165235168</c:v>
                </c:pt>
                <c:pt idx="25">
                  <c:v>-13056.7770937417</c:v>
                </c:pt>
                <c:pt idx="26">
                  <c:v>-14738.9408194262</c:v>
                </c:pt>
                <c:pt idx="27">
                  <c:v>-16302.2054188996</c:v>
                </c:pt>
                <c:pt idx="28">
                  <c:v>-17734.673504635</c:v>
                </c:pt>
                <c:pt idx="29">
                  <c:v>-19025.4431295519</c:v>
                </c:pt>
                <c:pt idx="30">
                  <c:v>-20164.6907574168</c:v>
                </c:pt>
                <c:pt idx="31">
                  <c:v>-21143.7460258852</c:v>
                </c:pt>
                <c:pt idx="32">
                  <c:v>-21955.1577331942</c:v>
                </c:pt>
                <c:pt idx="33">
                  <c:v>-22592.7505463074</c:v>
                </c:pt>
                <c:pt idx="34">
                  <c:v>-23051.6719989279</c:v>
                </c:pt>
                <c:pt idx="35">
                  <c:v>-23328.4294216971</c:v>
                </c:pt>
                <c:pt idx="36">
                  <c:v>-23420.9165235168</c:v>
                </c:pt>
                <c:pt idx="37">
                  <c:v>-23328.4294216971</c:v>
                </c:pt>
                <c:pt idx="38">
                  <c:v>-23051.6719989279</c:v>
                </c:pt>
                <c:pt idx="39">
                  <c:v>-22592.7505463074</c:v>
                </c:pt>
                <c:pt idx="40">
                  <c:v>-21955.1577331942</c:v>
                </c:pt>
                <c:pt idx="41">
                  <c:v>-21143.7460258852</c:v>
                </c:pt>
                <c:pt idx="42">
                  <c:v>-20164.6907574168</c:v>
                </c:pt>
                <c:pt idx="43">
                  <c:v>-19025.4431295519</c:v>
                </c:pt>
                <c:pt idx="44">
                  <c:v>-17734.673504635</c:v>
                </c:pt>
                <c:pt idx="45">
                  <c:v>-16302.2054188996</c:v>
                </c:pt>
                <c:pt idx="46">
                  <c:v>-14738.9408194262</c:v>
                </c:pt>
                <c:pt idx="47">
                  <c:v>-13056.7770937417</c:v>
                </c:pt>
                <c:pt idx="48">
                  <c:v>-11268.5165235168</c:v>
                </c:pt>
                <c:pt idx="49">
                  <c:v>-9387.76885147216</c:v>
                </c:pt>
                <c:pt idx="50">
                  <c:v>-7428.84770301855</c:v>
                </c:pt>
                <c:pt idx="51">
                  <c:v>-5406.66165092456</c:v>
                </c:pt>
                <c:pt idx="52">
                  <c:v>-3336.60075207602</c:v>
                </c:pt>
                <c:pt idx="53">
                  <c:v>-1234.4194198501</c:v>
                </c:pt>
                <c:pt idx="54">
                  <c:v>883.88347648318</c:v>
                </c:pt>
                <c:pt idx="55">
                  <c:v>3002.18637281646</c:v>
                </c:pt>
                <c:pt idx="56">
                  <c:v>5104.36770504239</c:v>
                </c:pt>
                <c:pt idx="57">
                  <c:v>7174.42860389092</c:v>
                </c:pt>
                <c:pt idx="58">
                  <c:v>9196.61465598491</c:v>
                </c:pt>
                <c:pt idx="59">
                  <c:v>11155.5358044385</c:v>
                </c:pt>
                <c:pt idx="60">
                  <c:v>13036.2834764832</c:v>
                </c:pt>
                <c:pt idx="61">
                  <c:v>14824.5440467081</c:v>
                </c:pt>
                <c:pt idx="62">
                  <c:v>16506.7077723926</c:v>
                </c:pt>
                <c:pt idx="63">
                  <c:v>18069.972371866</c:v>
                </c:pt>
                <c:pt idx="64">
                  <c:v>19502.4404576013</c:v>
                </c:pt>
                <c:pt idx="65">
                  <c:v>20793.2100825183</c:v>
                </c:pt>
                <c:pt idx="66">
                  <c:v>21932.4577103832</c:v>
                </c:pt>
                <c:pt idx="67">
                  <c:v>22911.5129788516</c:v>
                </c:pt>
                <c:pt idx="68">
                  <c:v>23722.9246861605</c:v>
                </c:pt>
                <c:pt idx="69">
                  <c:v>24360.5174992737</c:v>
                </c:pt>
                <c:pt idx="70">
                  <c:v>24819.4389518943</c:v>
                </c:pt>
                <c:pt idx="71">
                  <c:v>25096.1963746634</c:v>
                </c:pt>
                <c:pt idx="72">
                  <c:v>25188.6834764832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"SC-FF233"</c:f>
              <c:strCache>
                <c:ptCount val="1"/>
                <c:pt idx="0">
                  <c:v>SC-FF233</c:v>
                </c:pt>
              </c:strCache>
            </c:strRef>
          </c:tx>
          <c:spPr>
            <a:solidFill>
              <a:srgbClr val="32cd32"/>
            </a:solidFill>
            <a:ln w="19080">
              <a:solidFill>
                <a:srgbClr val="32cd32"/>
              </a:solidFill>
              <a:prstDash val="dot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5_RADIOS!$Q$25:$Q$97</c:f>
              <c:numCache>
                <c:formatCode>General</c:formatCode>
                <c:ptCount val="73"/>
              </c:numCache>
            </c:numRef>
          </c:xVal>
          <c:yVal>
            <c:numRef>
              <c:f>5_RADIOS!$R$25:$R$97</c:f>
              <c:numCache>
                <c:formatCode>General</c:formatCode>
                <c:ptCount val="73"/>
              </c:numCache>
            </c:numRef>
          </c:yVal>
          <c:smooth val="1"/>
        </c:ser>
        <c:ser>
          <c:idx val="8"/>
          <c:order val="8"/>
          <c:tx>
            <c:strRef>
              <c:f>"HVU"</c:f>
              <c:strCache>
                <c:ptCount val="1"/>
                <c:pt idx="0">
                  <c:v>HVU</c:v>
                </c:pt>
              </c:strCache>
            </c:strRef>
          </c:tx>
          <c:spPr>
            <a:solidFill>
              <a:srgbClr val="ff0000"/>
            </a:solidFill>
            <a:ln w="47520">
              <a:noFill/>
            </a:ln>
          </c:spPr>
          <c:marker>
            <c:symbol val="square"/>
            <c:size val="10"/>
            <c:spPr>
              <a:solidFill>
                <a:srgbClr val="ff0000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5_RADIOS!$C$98</c:f>
              <c:numCache>
                <c:formatCode>0.0</c:formatCode>
                <c:ptCount val="1"/>
                <c:pt idx="0">
                  <c:v>0</c:v>
                </c:pt>
              </c:numCache>
            </c:numRef>
          </c:xVal>
          <c:yVal>
            <c:numRef>
              <c:f>5_RADIOS!$D$98</c:f>
              <c:numCache>
                <c:formatCode>0.0</c:formatCode>
                <c:ptCount val="1"/>
                <c:pt idx="0">
                  <c:v>0</c:v>
                </c:pt>
              </c:numCache>
            </c:numRef>
          </c:yVal>
          <c:smooth val="1"/>
        </c:ser>
        <c:ser>
          <c:idx val="9"/>
          <c:order val="9"/>
          <c:tx>
            <c:strRef>
              <c:f>"FFG-1"</c:f>
              <c:strCache>
                <c:ptCount val="1"/>
                <c:pt idx="0">
                  <c:v>FFG-1</c:v>
                </c:pt>
              </c:strCache>
            </c:strRef>
          </c:tx>
          <c:spPr>
            <a:solidFill>
              <a:srgbClr val="1f3864"/>
            </a:solidFill>
            <a:ln w="47520">
              <a:noFill/>
            </a:ln>
          </c:spPr>
          <c:marker>
            <c:symbol val="triangle"/>
            <c:size val="8"/>
            <c:spPr>
              <a:solidFill>
                <a:srgbClr val="1f3864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5_RADIOS!$C$99</c:f>
              <c:numCache>
                <c:formatCode>0.0</c:formatCode>
                <c:ptCount val="1"/>
                <c:pt idx="0">
                  <c:v>4.28626379701574E-013</c:v>
                </c:pt>
              </c:numCache>
            </c:numRef>
          </c:xVal>
          <c:yVal>
            <c:numRef>
              <c:f>5_RADIOS!$D$99</c:f>
              <c:numCache>
                <c:formatCode>0.0</c:formatCode>
                <c:ptCount val="1"/>
                <c:pt idx="0">
                  <c:v>-3500</c:v>
                </c:pt>
              </c:numCache>
            </c:numRef>
          </c:yVal>
          <c:smooth val="1"/>
        </c:ser>
        <c:ser>
          <c:idx val="10"/>
          <c:order val="10"/>
          <c:tx>
            <c:strRef>
              <c:f>"FFG-2"</c:f>
              <c:strCache>
                <c:ptCount val="1"/>
                <c:pt idx="0">
                  <c:v>FFG-2</c:v>
                </c:pt>
              </c:strCache>
            </c:strRef>
          </c:tx>
          <c:spPr>
            <a:solidFill>
              <a:srgbClr val="2e5090"/>
            </a:solidFill>
            <a:ln w="47520">
              <a:noFill/>
            </a:ln>
          </c:spPr>
          <c:marker>
            <c:symbol val="triangle"/>
            <c:size val="8"/>
            <c:spPr>
              <a:solidFill>
                <a:srgbClr val="2e5090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5_RADIOS!$C$100</c:f>
              <c:numCache>
                <c:formatCode>0.0</c:formatCode>
                <c:ptCount val="1"/>
                <c:pt idx="0">
                  <c:v>1436.48460196781</c:v>
                </c:pt>
              </c:numCache>
            </c:numRef>
          </c:xVal>
          <c:yVal>
            <c:numRef>
              <c:f>5_RADIOS!$D$100</c:f>
              <c:numCache>
                <c:formatCode>0.0</c:formatCode>
                <c:ptCount val="1"/>
                <c:pt idx="0">
                  <c:v>-3946.70900730082</c:v>
                </c:pt>
              </c:numCache>
            </c:numRef>
          </c:yVal>
          <c:smooth val="1"/>
        </c:ser>
        <c:ser>
          <c:idx val="11"/>
          <c:order val="11"/>
          <c:tx>
            <c:strRef>
              <c:f>"FF23-1"</c:f>
              <c:strCache>
                <c:ptCount val="1"/>
                <c:pt idx="0">
                  <c:v>FF23-1</c:v>
                </c:pt>
              </c:strCache>
            </c:strRef>
          </c:tx>
          <c:spPr>
            <a:solidFill>
              <a:srgbClr val="006400"/>
            </a:solidFill>
            <a:ln w="47520">
              <a:noFill/>
            </a:ln>
          </c:spPr>
          <c:marker>
            <c:symbol val="diamond"/>
            <c:size val="8"/>
            <c:spPr>
              <a:solidFill>
                <a:srgbClr val="006400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5_RADIOS!$C$101</c:f>
              <c:numCache>
                <c:formatCode>0.0</c:formatCode>
                <c:ptCount val="1"/>
                <c:pt idx="0">
                  <c:v>-883.883476483184</c:v>
                </c:pt>
              </c:numCache>
            </c:numRef>
          </c:xVal>
          <c:yVal>
            <c:numRef>
              <c:f>5_RADIOS!$D$101</c:f>
              <c:numCache>
                <c:formatCode>0.0</c:formatCode>
                <c:ptCount val="1"/>
                <c:pt idx="0">
                  <c:v>-883.883476483185</c:v>
                </c:pt>
              </c:numCache>
            </c:numRef>
          </c:yVal>
          <c:smooth val="1"/>
        </c:ser>
        <c:ser>
          <c:idx val="12"/>
          <c:order val="12"/>
          <c:tx>
            <c:strRef>
              <c:f>"FF23-2"</c:f>
              <c:strCache>
                <c:ptCount val="1"/>
                <c:pt idx="0">
                  <c:v>FF23-2</c:v>
                </c:pt>
              </c:strCache>
            </c:strRef>
          </c:tx>
          <c:spPr>
            <a:solidFill>
              <a:srgbClr val="228b22"/>
            </a:solidFill>
            <a:ln w="47520">
              <a:noFill/>
            </a:ln>
          </c:spPr>
          <c:marker>
            <c:symbol val="diamond"/>
            <c:size val="8"/>
            <c:spPr>
              <a:solidFill>
                <a:srgbClr val="228b22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5_RADIOS!$C$102</c:f>
              <c:numCache>
                <c:formatCode>0.0</c:formatCode>
                <c:ptCount val="1"/>
                <c:pt idx="0">
                  <c:v>-883.883476483185</c:v>
                </c:pt>
              </c:numCache>
            </c:numRef>
          </c:xVal>
          <c:yVal>
            <c:numRef>
              <c:f>5_RADIOS!$D$102</c:f>
              <c:numCache>
                <c:formatCode>0.0</c:formatCode>
                <c:ptCount val="1"/>
                <c:pt idx="0">
                  <c:v>883.883476483184</c:v>
                </c:pt>
              </c:numCache>
            </c:numRef>
          </c:yVal>
          <c:smooth val="1"/>
        </c:ser>
        <c:ser>
          <c:idx val="13"/>
          <c:order val="13"/>
          <c:tx>
            <c:strRef>
              <c:f>"FF23-3"</c:f>
              <c:strCache>
                <c:ptCount val="1"/>
                <c:pt idx="0">
                  <c:v>FF23-3</c:v>
                </c:pt>
              </c:strCache>
            </c:strRef>
          </c:tx>
          <c:spPr>
            <a:solidFill>
              <a:srgbClr val="32cd32"/>
            </a:solidFill>
            <a:ln w="47520">
              <a:noFill/>
            </a:ln>
          </c:spPr>
          <c:marker>
            <c:symbol val="diamond"/>
            <c:size val="8"/>
            <c:spPr>
              <a:solidFill>
                <a:srgbClr val="32cd32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5_RADIOS!$C$103</c:f>
              <c:numCache>
                <c:formatCode>General</c:formatCode>
                <c:ptCount val="1"/>
              </c:numCache>
            </c:numRef>
          </c:xVal>
          <c:yVal>
            <c:numRef>
              <c:f>5_RADIOS!$D$103</c:f>
              <c:numCache>
                <c:formatCode>General</c:formatCode>
                <c:ptCount val="1"/>
              </c:numCache>
            </c:numRef>
          </c:yVal>
          <c:smooth val="1"/>
        </c:ser>
        <c:axId val="17684232"/>
        <c:axId val="40862385"/>
      </c:scatterChart>
      <c:valAx>
        <c:axId val="17684232"/>
        <c:scaling>
          <c:orientation val="minMax"/>
          <c:max val="60000"/>
          <c:min val="-60000"/>
        </c:scaling>
        <c:delete val="0"/>
        <c:axPos val="b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Este-Oeste (yardas)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0862385"/>
        <c:crosses val="autoZero"/>
        <c:crossBetween val="midCat"/>
      </c:valAx>
      <c:valAx>
        <c:axId val="40862385"/>
        <c:scaling>
          <c:orientation val="minMax"/>
          <c:max val="60000"/>
          <c:min val="-60000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Norte-Sur (yardas)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7684232"/>
        <c:crosses val="autoZero"/>
        <c:crossBetween val="midCat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0</xdr:colOff>
      <xdr:row>3</xdr:row>
      <xdr:rowOff>0</xdr:rowOff>
    </xdr:from>
    <xdr:to>
      <xdr:col>21</xdr:col>
      <xdr:colOff>166320</xdr:colOff>
      <xdr:row>39</xdr:row>
      <xdr:rowOff>36720</xdr:rowOff>
    </xdr:to>
    <xdr:graphicFrame>
      <xdr:nvGraphicFramePr>
        <xdr:cNvPr id="0" name="Chart 1"/>
        <xdr:cNvGraphicFramePr/>
      </xdr:nvGraphicFramePr>
      <xdr:xfrm>
        <a:off x="10713600" y="876240"/>
        <a:ext cx="7919640" cy="71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0</xdr:colOff>
      <xdr:row>3</xdr:row>
      <xdr:rowOff>0</xdr:rowOff>
    </xdr:from>
    <xdr:to>
      <xdr:col>21</xdr:col>
      <xdr:colOff>461160</xdr:colOff>
      <xdr:row>49</xdr:row>
      <xdr:rowOff>61200</xdr:rowOff>
    </xdr:to>
    <xdr:graphicFrame>
      <xdr:nvGraphicFramePr>
        <xdr:cNvPr id="1" name="Chart 1"/>
        <xdr:cNvGraphicFramePr/>
      </xdr:nvGraphicFramePr>
      <xdr:xfrm>
        <a:off x="4581360" y="923760"/>
        <a:ext cx="8639640" cy="79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D4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34"/>
    <col collapsed="false" customWidth="true" hidden="false" outlineLevel="0" max="3" min="3" style="0" width="16"/>
    <col collapsed="false" customWidth="true" hidden="false" outlineLevel="0" max="4" min="4" style="0" width="38"/>
    <col collapsed="false" customWidth="true" hidden="false" outlineLevel="0" max="5" min="5" style="0" width="2"/>
  </cols>
  <sheetData>
    <row r="1" customFormat="false" ht="37.5" hidden="false" customHeight="true" outlineLevel="0" collapsed="false">
      <c r="B1" s="1" t="s">
        <v>0</v>
      </c>
      <c r="C1" s="1"/>
      <c r="D1" s="1"/>
    </row>
    <row r="2" customFormat="false" ht="18" hidden="false" customHeight="true" outlineLevel="0" collapsed="false">
      <c r="B2" s="2" t="s">
        <v>1</v>
      </c>
      <c r="C2" s="2"/>
      <c r="D2" s="2"/>
    </row>
    <row r="4" customFormat="false" ht="19.5" hidden="false" customHeight="true" outlineLevel="0" collapsed="false">
      <c r="B4" s="3" t="s">
        <v>2</v>
      </c>
      <c r="C4" s="3"/>
      <c r="D4" s="4" t="s">
        <v>3</v>
      </c>
    </row>
    <row r="5" customFormat="false" ht="16.5" hidden="false" customHeight="true" outlineLevel="0" collapsed="false">
      <c r="B5" s="5" t="s">
        <v>4</v>
      </c>
      <c r="C5" s="6" t="n">
        <v>25</v>
      </c>
      <c r="D5" s="7" t="s">
        <v>5</v>
      </c>
    </row>
    <row r="6" customFormat="false" ht="16.5" hidden="false" customHeight="true" outlineLevel="0" collapsed="false">
      <c r="B6" s="5" t="s">
        <v>6</v>
      </c>
      <c r="C6" s="6" t="n">
        <v>60</v>
      </c>
      <c r="D6" s="7" t="s">
        <v>7</v>
      </c>
    </row>
    <row r="7" customFormat="false" ht="16.5" hidden="false" customHeight="true" outlineLevel="0" collapsed="false">
      <c r="B7" s="5" t="s">
        <v>8</v>
      </c>
      <c r="C7" s="6" t="n">
        <v>12</v>
      </c>
      <c r="D7" s="7" t="s">
        <v>9</v>
      </c>
    </row>
    <row r="8" customFormat="false" ht="16.5" hidden="false" customHeight="true" outlineLevel="0" collapsed="false">
      <c r="B8" s="5" t="s">
        <v>10</v>
      </c>
      <c r="C8" s="8" t="n">
        <v>600</v>
      </c>
      <c r="D8" s="7" t="s">
        <v>11</v>
      </c>
    </row>
    <row r="9" customFormat="false" ht="16.5" hidden="false" customHeight="true" outlineLevel="0" collapsed="false">
      <c r="B9" s="5" t="s">
        <v>12</v>
      </c>
      <c r="C9" s="8" t="n">
        <v>900</v>
      </c>
      <c r="D9" s="7" t="s">
        <v>13</v>
      </c>
    </row>
    <row r="10" customFormat="false" ht="16.5" hidden="false" customHeight="true" outlineLevel="0" collapsed="false">
      <c r="B10" s="5" t="s">
        <v>14</v>
      </c>
      <c r="C10" s="8" t="n">
        <v>600</v>
      </c>
      <c r="D10" s="7" t="s">
        <v>15</v>
      </c>
    </row>
    <row r="11" customFormat="false" ht="16.5" hidden="false" customHeight="true" outlineLevel="0" collapsed="false">
      <c r="B11" s="5" t="s">
        <v>16</v>
      </c>
      <c r="C11" s="8" t="n">
        <v>2</v>
      </c>
      <c r="D11" s="7" t="s">
        <v>17</v>
      </c>
    </row>
    <row r="12" customFormat="false" ht="16.5" hidden="false" customHeight="true" outlineLevel="0" collapsed="false">
      <c r="B12" s="5" t="s">
        <v>18</v>
      </c>
      <c r="C12" s="8" t="n">
        <v>2</v>
      </c>
      <c r="D12" s="7" t="s">
        <v>17</v>
      </c>
    </row>
    <row r="13" customFormat="false" ht="16.5" hidden="false" customHeight="true" outlineLevel="0" collapsed="false">
      <c r="B13" s="5" t="s">
        <v>19</v>
      </c>
      <c r="C13" s="8" t="n">
        <v>2</v>
      </c>
      <c r="D13" s="7" t="s">
        <v>20</v>
      </c>
    </row>
    <row r="14" customFormat="false" ht="16.5" hidden="false" customHeight="true" outlineLevel="0" collapsed="false">
      <c r="B14" s="5" t="s">
        <v>21</v>
      </c>
      <c r="C14" s="8" t="n">
        <v>2</v>
      </c>
      <c r="D14" s="7" t="s">
        <v>20</v>
      </c>
    </row>
    <row r="16" customFormat="false" ht="19.5" hidden="false" customHeight="true" outlineLevel="0" collapsed="false">
      <c r="B16" s="9" t="s">
        <v>22</v>
      </c>
      <c r="C16" s="9"/>
      <c r="D16" s="10" t="s">
        <v>3</v>
      </c>
    </row>
    <row r="17" customFormat="false" ht="16.5" hidden="false" customHeight="true" outlineLevel="0" collapsed="false">
      <c r="B17" s="5" t="s">
        <v>23</v>
      </c>
      <c r="C17" s="11" t="n">
        <v>550</v>
      </c>
      <c r="D17" s="7" t="s">
        <v>24</v>
      </c>
    </row>
    <row r="18" customFormat="false" ht="16.5" hidden="false" customHeight="true" outlineLevel="0" collapsed="false">
      <c r="B18" s="5" t="s">
        <v>25</v>
      </c>
      <c r="C18" s="11" t="n">
        <v>30</v>
      </c>
      <c r="D18" s="7" t="s">
        <v>26</v>
      </c>
    </row>
    <row r="19" customFormat="false" ht="16.5" hidden="false" customHeight="true" outlineLevel="0" collapsed="false">
      <c r="B19" s="5" t="s">
        <v>27</v>
      </c>
      <c r="C19" s="12" t="n">
        <v>60</v>
      </c>
      <c r="D19" s="7" t="s">
        <v>28</v>
      </c>
    </row>
    <row r="20" customFormat="false" ht="16.5" hidden="false" customHeight="true" outlineLevel="0" collapsed="false">
      <c r="B20" s="5" t="s">
        <v>29</v>
      </c>
      <c r="C20" s="12" t="n">
        <v>95</v>
      </c>
      <c r="D20" s="7" t="s">
        <v>30</v>
      </c>
    </row>
    <row r="21" customFormat="false" ht="16.5" hidden="false" customHeight="true" outlineLevel="0" collapsed="false">
      <c r="B21" s="5" t="s">
        <v>31</v>
      </c>
      <c r="C21" s="12" t="n">
        <v>10</v>
      </c>
      <c r="D21" s="7" t="s">
        <v>32</v>
      </c>
    </row>
    <row r="23" customFormat="false" ht="19.5" hidden="false" customHeight="true" outlineLevel="0" collapsed="false">
      <c r="B23" s="13" t="s">
        <v>33</v>
      </c>
      <c r="C23" s="13"/>
      <c r="D23" s="14" t="s">
        <v>3</v>
      </c>
    </row>
    <row r="24" customFormat="false" ht="16.5" hidden="false" customHeight="true" outlineLevel="0" collapsed="false">
      <c r="B24" s="5" t="s">
        <v>34</v>
      </c>
      <c r="C24" s="15" t="n">
        <v>10</v>
      </c>
      <c r="D24" s="7" t="s">
        <v>35</v>
      </c>
    </row>
    <row r="25" customFormat="false" ht="16.5" hidden="false" customHeight="true" outlineLevel="0" collapsed="false">
      <c r="B25" s="5" t="s">
        <v>36</v>
      </c>
      <c r="C25" s="15" t="n">
        <v>7</v>
      </c>
      <c r="D25" s="7" t="s">
        <v>37</v>
      </c>
    </row>
    <row r="26" customFormat="false" ht="16.5" hidden="false" customHeight="true" outlineLevel="0" collapsed="false">
      <c r="B26" s="5" t="s">
        <v>38</v>
      </c>
      <c r="C26" s="15" t="n">
        <v>8</v>
      </c>
      <c r="D26" s="7" t="s">
        <v>39</v>
      </c>
    </row>
    <row r="27" customFormat="false" ht="16.5" hidden="false" customHeight="true" outlineLevel="0" collapsed="false">
      <c r="B27" s="5" t="s">
        <v>40</v>
      </c>
      <c r="C27" s="15" t="n">
        <v>2</v>
      </c>
      <c r="D27" s="7" t="s">
        <v>41</v>
      </c>
    </row>
    <row r="28" customFormat="false" ht="16.5" hidden="false" customHeight="true" outlineLevel="0" collapsed="false">
      <c r="B28" s="5" t="s">
        <v>42</v>
      </c>
      <c r="C28" s="15" t="n">
        <v>80</v>
      </c>
      <c r="D28" s="7" t="s">
        <v>43</v>
      </c>
    </row>
    <row r="29" customFormat="false" ht="16.5" hidden="false" customHeight="true" outlineLevel="0" collapsed="false">
      <c r="B29" s="5" t="s">
        <v>44</v>
      </c>
      <c r="C29" s="15" t="n">
        <v>80</v>
      </c>
      <c r="D29" s="7" t="s">
        <v>45</v>
      </c>
    </row>
    <row r="31" customFormat="false" ht="19.5" hidden="false" customHeight="true" outlineLevel="0" collapsed="false">
      <c r="B31" s="16" t="s">
        <v>46</v>
      </c>
      <c r="C31" s="16"/>
      <c r="D31" s="17" t="s">
        <v>3</v>
      </c>
    </row>
    <row r="32" customFormat="false" ht="16.5" hidden="false" customHeight="true" outlineLevel="0" collapsed="false">
      <c r="B32" s="5" t="s">
        <v>47</v>
      </c>
      <c r="C32" s="18" t="n">
        <v>0</v>
      </c>
      <c r="D32" s="7" t="s">
        <v>48</v>
      </c>
    </row>
    <row r="33" customFormat="false" ht="16.5" hidden="false" customHeight="true" outlineLevel="0" collapsed="false">
      <c r="B33" s="5" t="s">
        <v>49</v>
      </c>
      <c r="C33" s="18" t="n">
        <v>3500</v>
      </c>
      <c r="D33" s="7" t="s">
        <v>50</v>
      </c>
    </row>
    <row r="34" customFormat="false" ht="16.5" hidden="false" customHeight="true" outlineLevel="0" collapsed="false">
      <c r="B34" s="5" t="s">
        <v>51</v>
      </c>
      <c r="C34" s="18" t="n">
        <v>180</v>
      </c>
      <c r="D34" s="7" t="s">
        <v>52</v>
      </c>
    </row>
    <row r="35" customFormat="false" ht="16.5" hidden="false" customHeight="true" outlineLevel="0" collapsed="false">
      <c r="B35" s="5" t="s">
        <v>53</v>
      </c>
      <c r="C35" s="18" t="n">
        <v>4200</v>
      </c>
      <c r="D35" s="7" t="s">
        <v>54</v>
      </c>
    </row>
    <row r="36" customFormat="false" ht="16.5" hidden="false" customHeight="true" outlineLevel="0" collapsed="false">
      <c r="B36" s="5" t="s">
        <v>55</v>
      </c>
      <c r="C36" s="18" t="n">
        <v>160</v>
      </c>
      <c r="D36" s="7" t="s">
        <v>56</v>
      </c>
    </row>
    <row r="37" customFormat="false" ht="16.5" hidden="false" customHeight="true" outlineLevel="0" collapsed="false">
      <c r="B37" s="5" t="s">
        <v>57</v>
      </c>
      <c r="C37" s="18" t="n">
        <v>1250</v>
      </c>
      <c r="D37" s="7" t="s">
        <v>58</v>
      </c>
    </row>
    <row r="38" customFormat="false" ht="16.5" hidden="false" customHeight="true" outlineLevel="0" collapsed="false">
      <c r="B38" s="5" t="s">
        <v>59</v>
      </c>
      <c r="C38" s="18" t="n">
        <v>225</v>
      </c>
      <c r="D38" s="7" t="s">
        <v>60</v>
      </c>
    </row>
    <row r="39" customFormat="false" ht="16.5" hidden="false" customHeight="true" outlineLevel="0" collapsed="false">
      <c r="B39" s="5" t="s">
        <v>61</v>
      </c>
      <c r="C39" s="18" t="n">
        <v>1250</v>
      </c>
      <c r="D39" s="7" t="s">
        <v>62</v>
      </c>
    </row>
    <row r="40" customFormat="false" ht="16.5" hidden="false" customHeight="true" outlineLevel="0" collapsed="false">
      <c r="B40" s="5" t="s">
        <v>63</v>
      </c>
      <c r="C40" s="18" t="n">
        <v>315</v>
      </c>
      <c r="D40" s="7" t="s">
        <v>64</v>
      </c>
    </row>
    <row r="41" customFormat="false" ht="16.5" hidden="false" customHeight="true" outlineLevel="0" collapsed="false">
      <c r="B41" s="5" t="s">
        <v>65</v>
      </c>
      <c r="C41" s="18" t="n">
        <v>900</v>
      </c>
      <c r="D41" s="7" t="s">
        <v>66</v>
      </c>
    </row>
    <row r="42" customFormat="false" ht="16.5" hidden="false" customHeight="true" outlineLevel="0" collapsed="false">
      <c r="B42" s="5" t="s">
        <v>67</v>
      </c>
      <c r="C42" s="18" t="n">
        <v>90</v>
      </c>
      <c r="D42" s="7" t="s">
        <v>68</v>
      </c>
    </row>
    <row r="44" customFormat="false" ht="19.5" hidden="false" customHeight="true" outlineLevel="0" collapsed="false">
      <c r="B44" s="19" t="s">
        <v>69</v>
      </c>
      <c r="C44" s="19"/>
      <c r="D44" s="20" t="s">
        <v>3</v>
      </c>
    </row>
    <row r="45" customFormat="false" ht="18" hidden="false" customHeight="true" outlineLevel="0" collapsed="false">
      <c r="B45" s="21" t="s">
        <v>70</v>
      </c>
      <c r="C45" s="22" t="s">
        <v>71</v>
      </c>
      <c r="D45" s="7" t="s">
        <v>72</v>
      </c>
    </row>
    <row r="46" customFormat="false" ht="16.5" hidden="false" customHeight="true" outlineLevel="0" collapsed="false">
      <c r="B46" s="23" t="s">
        <v>73</v>
      </c>
      <c r="C46" s="24" t="n">
        <f aca="false">IF(LEFT(C45,1)="1",1,2)</f>
        <v>2</v>
      </c>
      <c r="D46" s="25"/>
    </row>
    <row r="47" customFormat="false" ht="16.5" hidden="false" customHeight="true" outlineLevel="0" collapsed="false">
      <c r="B47" s="23" t="s">
        <v>74</v>
      </c>
      <c r="C47" s="26" t="n">
        <f aca="false">IF(MID(C45,FIND("+",C45)+1,1)="1",1,IF(MID(C45,FIND("+",C45)+1,1)="2",2,3))</f>
        <v>2</v>
      </c>
      <c r="D47" s="25"/>
    </row>
    <row r="49" customFormat="false" ht="21.75" hidden="false" customHeight="true" outlineLevel="0" collapsed="false">
      <c r="B49" s="27" t="s">
        <v>75</v>
      </c>
      <c r="C49" s="27"/>
      <c r="D49" s="27"/>
    </row>
  </sheetData>
  <mergeCells count="8">
    <mergeCell ref="B1:D1"/>
    <mergeCell ref="B2:D2"/>
    <mergeCell ref="B4:C4"/>
    <mergeCell ref="B16:C16"/>
    <mergeCell ref="B23:C23"/>
    <mergeCell ref="B31:C31"/>
    <mergeCell ref="B44:C44"/>
    <mergeCell ref="B49:D49"/>
  </mergeCells>
  <dataValidations count="1">
    <dataValidation allowBlank="false" errorStyle="stop" operator="between" showDropDown="false" showErrorMessage="false" showInputMessage="false" sqref="C45" type="list">
      <formula1>"1-FFG+1-FF23,1-FFG+2-FF23,1-FFG+3-FF23,2-FFG+1-FF23,2-FFG+2-FF23,2-FFG+3-FF23"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G6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34"/>
    <col collapsed="false" customWidth="true" hidden="false" outlineLevel="0" max="7" min="3" style="0" width="16"/>
    <col collapsed="false" customWidth="true" hidden="false" outlineLevel="0" max="8" min="8" style="0" width="2"/>
  </cols>
  <sheetData>
    <row r="1" customFormat="false" ht="31.5" hidden="false" customHeight="true" outlineLevel="0" collapsed="false">
      <c r="B1" s="28" t="s">
        <v>76</v>
      </c>
      <c r="C1" s="28"/>
      <c r="D1" s="28"/>
      <c r="E1" s="28"/>
      <c r="F1" s="28"/>
      <c r="G1" s="28"/>
    </row>
    <row r="3" customFormat="false" ht="19.5" hidden="false" customHeight="true" outlineLevel="0" collapsed="false">
      <c r="B3" s="29" t="s">
        <v>77</v>
      </c>
      <c r="C3" s="29"/>
      <c r="D3" s="29"/>
      <c r="E3" s="29"/>
      <c r="F3" s="29"/>
      <c r="G3" s="29"/>
    </row>
    <row r="4" customFormat="false" ht="19.5" hidden="false" customHeight="true" outlineLevel="0" collapsed="false">
      <c r="B4" s="30" t="s">
        <v>78</v>
      </c>
      <c r="C4" s="30" t="s">
        <v>79</v>
      </c>
      <c r="D4" s="30" t="s">
        <v>80</v>
      </c>
      <c r="E4" s="30" t="s">
        <v>81</v>
      </c>
      <c r="F4" s="30" t="s">
        <v>82</v>
      </c>
    </row>
    <row r="5" customFormat="false" ht="15" hidden="false" customHeight="true" outlineLevel="0" collapsed="false">
      <c r="B5" s="31" t="s">
        <v>83</v>
      </c>
      <c r="C5" s="32" t="n">
        <f aca="false">1_DATOS!C8</f>
        <v>600</v>
      </c>
      <c r="D5" s="32" t="n">
        <f aca="false">1_DATOS!C9</f>
        <v>900</v>
      </c>
      <c r="E5" s="32" t="n">
        <f aca="false">1_DATOS!C10</f>
        <v>600</v>
      </c>
      <c r="F5" s="25"/>
      <c r="G5" s="33" t="s">
        <v>84</v>
      </c>
    </row>
    <row r="6" customFormat="false" ht="15" hidden="false" customHeight="true" outlineLevel="0" collapsed="false">
      <c r="B6" s="31" t="s">
        <v>85</v>
      </c>
      <c r="C6" s="32" t="n">
        <f aca="false">1_DATOS!C17</f>
        <v>550</v>
      </c>
      <c r="D6" s="32" t="n">
        <f aca="false">1_DATOS!C17</f>
        <v>550</v>
      </c>
      <c r="E6" s="32" t="n">
        <f aca="false">1_DATOS!C17</f>
        <v>550</v>
      </c>
      <c r="F6" s="25"/>
      <c r="G6" s="33" t="s">
        <v>84</v>
      </c>
    </row>
    <row r="7" customFormat="false" ht="15" hidden="false" customHeight="true" outlineLevel="0" collapsed="false">
      <c r="B7" s="31" t="s">
        <v>86</v>
      </c>
      <c r="C7" s="32" t="n">
        <f aca="false">C5+C6</f>
        <v>1150</v>
      </c>
      <c r="D7" s="32" t="n">
        <f aca="false">D5+D6</f>
        <v>1450</v>
      </c>
      <c r="E7" s="32" t="n">
        <f aca="false">E5+E6</f>
        <v>1150</v>
      </c>
      <c r="F7" s="25"/>
      <c r="G7" s="33" t="s">
        <v>84</v>
      </c>
    </row>
    <row r="8" customFormat="false" ht="15" hidden="false" customHeight="true" outlineLevel="0" collapsed="false">
      <c r="B8" s="31" t="s">
        <v>87</v>
      </c>
      <c r="C8" s="32" t="n">
        <f aca="false">C5-C6</f>
        <v>50</v>
      </c>
      <c r="D8" s="32" t="n">
        <f aca="false">D5-D6</f>
        <v>350</v>
      </c>
      <c r="E8" s="32" t="n">
        <f aca="false">E5-E6</f>
        <v>50</v>
      </c>
      <c r="F8" s="25"/>
      <c r="G8" s="33" t="s">
        <v>84</v>
      </c>
    </row>
    <row r="9" customFormat="false" ht="15" hidden="false" customHeight="true" outlineLevel="0" collapsed="false">
      <c r="B9" s="31" t="s">
        <v>88</v>
      </c>
      <c r="C9" s="32" t="n">
        <f aca="false">C7/3600</f>
        <v>0.319444444444444</v>
      </c>
      <c r="D9" s="32" t="n">
        <f aca="false">D7/3600</f>
        <v>0.402777777777778</v>
      </c>
      <c r="E9" s="32" t="n">
        <f aca="false">E7/3600</f>
        <v>0.319444444444444</v>
      </c>
      <c r="F9" s="25"/>
      <c r="G9" s="33" t="s">
        <v>89</v>
      </c>
    </row>
    <row r="11" customFormat="false" ht="19.5" hidden="false" customHeight="true" outlineLevel="0" collapsed="false">
      <c r="B11" s="29" t="s">
        <v>90</v>
      </c>
      <c r="C11" s="29"/>
      <c r="D11" s="29"/>
      <c r="E11" s="29"/>
      <c r="F11" s="29"/>
      <c r="G11" s="29"/>
    </row>
    <row r="12" customFormat="false" ht="19.5" hidden="false" customHeight="true" outlineLevel="0" collapsed="false">
      <c r="B12" s="30" t="s">
        <v>78</v>
      </c>
      <c r="C12" s="30" t="s">
        <v>79</v>
      </c>
      <c r="D12" s="30" t="s">
        <v>80</v>
      </c>
      <c r="E12" s="30" t="s">
        <v>81</v>
      </c>
      <c r="F12" s="30" t="s">
        <v>82</v>
      </c>
    </row>
    <row r="13" customFormat="false" ht="15" hidden="false" customHeight="true" outlineLevel="0" collapsed="false">
      <c r="B13" s="31" t="s">
        <v>91</v>
      </c>
      <c r="C13" s="34" t="n">
        <f aca="false">1_DATOS!C24</f>
        <v>10</v>
      </c>
      <c r="D13" s="34" t="n">
        <f aca="false">1_DATOS!C6</f>
        <v>60</v>
      </c>
      <c r="E13" s="34" t="n">
        <f aca="false">1_DATOS!C26</f>
        <v>8</v>
      </c>
      <c r="F13" s="25"/>
      <c r="G13" s="33" t="s">
        <v>92</v>
      </c>
    </row>
    <row r="14" customFormat="false" ht="15" hidden="false" customHeight="true" outlineLevel="0" collapsed="false">
      <c r="B14" s="31" t="s">
        <v>93</v>
      </c>
      <c r="C14" s="34" t="n">
        <f aca="false">C13*1852/(C6*0.5144)</f>
        <v>65.4602007634667</v>
      </c>
      <c r="D14" s="34" t="n">
        <f aca="false">D13*1852/(D6*0.5144)</f>
        <v>392.7612045808</v>
      </c>
      <c r="E14" s="34" t="n">
        <f aca="false">E13*1852/(E6*0.5144)</f>
        <v>52.3681606107734</v>
      </c>
      <c r="F14" s="25"/>
      <c r="G14" s="33" t="s">
        <v>94</v>
      </c>
    </row>
    <row r="15" customFormat="false" ht="15" hidden="false" customHeight="true" outlineLevel="0" collapsed="false">
      <c r="B15" s="31" t="s">
        <v>95</v>
      </c>
      <c r="C15" s="34" t="n">
        <f aca="false">C13*1852/(C5*0.5144)</f>
        <v>60.0051840331778</v>
      </c>
      <c r="D15" s="34" t="n">
        <f aca="false">D13*1852/(D5*0.5144)</f>
        <v>240.020736132711</v>
      </c>
      <c r="E15" s="34" t="n">
        <f aca="false">E13*1852/(E5*0.5144)</f>
        <v>48.0041472265423</v>
      </c>
      <c r="F15" s="25"/>
      <c r="G15" s="33" t="s">
        <v>94</v>
      </c>
    </row>
    <row r="16" customFormat="false" ht="15" hidden="false" customHeight="true" outlineLevel="0" collapsed="false">
      <c r="B16" s="31" t="s">
        <v>96</v>
      </c>
      <c r="C16" s="34" t="n">
        <f aca="false">C14-C15</f>
        <v>5.4550167302889</v>
      </c>
      <c r="D16" s="34" t="n">
        <f aca="false">D14-D15</f>
        <v>152.740468448089</v>
      </c>
      <c r="E16" s="34" t="n">
        <f aca="false">E14-E15</f>
        <v>4.36401338423112</v>
      </c>
      <c r="F16" s="25"/>
      <c r="G16" s="33" t="s">
        <v>94</v>
      </c>
    </row>
    <row r="17" customFormat="false" ht="15" hidden="false" customHeight="true" outlineLevel="0" collapsed="false">
      <c r="B17" s="31" t="s">
        <v>97</v>
      </c>
      <c r="C17" s="34" t="n">
        <f aca="false">1_DATOS!C11</f>
        <v>2</v>
      </c>
      <c r="D17" s="34" t="n">
        <f aca="false">1_DATOS!C11</f>
        <v>2</v>
      </c>
      <c r="E17" s="34" t="n">
        <f aca="false">1_DATOS!C12</f>
        <v>2</v>
      </c>
      <c r="F17" s="25"/>
      <c r="G17" s="33" t="s">
        <v>94</v>
      </c>
    </row>
    <row r="18" customFormat="false" ht="15" hidden="false" customHeight="true" outlineLevel="0" collapsed="false">
      <c r="B18" s="31" t="s">
        <v>98</v>
      </c>
      <c r="C18" s="34" t="n">
        <f aca="false">C16-C17</f>
        <v>3.4550167302889</v>
      </c>
      <c r="D18" s="34" t="n">
        <f aca="false">D16-D17</f>
        <v>150.740468448089</v>
      </c>
      <c r="E18" s="34" t="n">
        <f aca="false">E16-E17</f>
        <v>2.36401338423112</v>
      </c>
      <c r="F18" s="25"/>
      <c r="G18" s="33" t="s">
        <v>94</v>
      </c>
    </row>
    <row r="20" customFormat="false" ht="19.5" hidden="false" customHeight="true" outlineLevel="0" collapsed="false">
      <c r="B20" s="29" t="s">
        <v>99</v>
      </c>
      <c r="C20" s="29"/>
      <c r="D20" s="29"/>
      <c r="E20" s="29"/>
      <c r="F20" s="29"/>
      <c r="G20" s="29"/>
    </row>
    <row r="21" customFormat="false" ht="13.5" hidden="false" customHeight="true" outlineLevel="0" collapsed="false">
      <c r="B21" s="35" t="s">
        <v>100</v>
      </c>
      <c r="C21" s="35"/>
      <c r="D21" s="35"/>
      <c r="E21" s="35"/>
      <c r="F21" s="35"/>
      <c r="G21" s="35"/>
    </row>
    <row r="22" customFormat="false" ht="15.75" hidden="false" customHeight="true" outlineLevel="0" collapsed="false">
      <c r="B22" s="36" t="s">
        <v>101</v>
      </c>
      <c r="C22" s="36" t="s">
        <v>102</v>
      </c>
      <c r="D22" s="36" t="s">
        <v>103</v>
      </c>
    </row>
    <row r="23" customFormat="false" ht="13.5" hidden="false" customHeight="true" outlineLevel="0" collapsed="false">
      <c r="B23" s="31" t="s">
        <v>104</v>
      </c>
      <c r="C23" s="37" t="n">
        <f aca="false">IF(10&lt;=5,1_DATOS!C20/100,IF(10&gt;=1_DATOS!C21,1_DATOS!C19/100,1_DATOS!C19/100+((1_DATOS!C21-10)/(1_DATOS!C21-5))*(1_DATOS!C20/100-1_DATOS!C19/100)))</f>
        <v>0.6</v>
      </c>
      <c r="D23" s="38" t="str">
        <f aca="false">IF(C23&gt;0.8,"ALTA",IF(C23&gt;0.65,"MEDIA","BAJA"))</f>
        <v>BAJA</v>
      </c>
    </row>
    <row r="24" customFormat="false" ht="13.5" hidden="false" customHeight="true" outlineLevel="0" collapsed="false">
      <c r="B24" s="31" t="s">
        <v>105</v>
      </c>
      <c r="C24" s="37" t="n">
        <f aca="false">IF(9&lt;=5,1_DATOS!C20/100,IF(9&gt;=1_DATOS!C21,1_DATOS!C19/100,1_DATOS!C19/100+((1_DATOS!C21-9)/(1_DATOS!C21-5))*(1_DATOS!C20/100-1_DATOS!C19/100)))</f>
        <v>0.67</v>
      </c>
      <c r="D24" s="38" t="str">
        <f aca="false">IF(C24&gt;0.8,"ALTA",IF(C24&gt;0.65,"MEDIA","BAJA"))</f>
        <v>MEDIA</v>
      </c>
    </row>
    <row r="25" customFormat="false" ht="13.5" hidden="false" customHeight="true" outlineLevel="0" collapsed="false">
      <c r="B25" s="31" t="s">
        <v>106</v>
      </c>
      <c r="C25" s="37" t="n">
        <f aca="false">IF(8&lt;=5,1_DATOS!C20/100,IF(8&gt;=1_DATOS!C21,1_DATOS!C19/100,1_DATOS!C19/100+((1_DATOS!C21-8)/(1_DATOS!C21-5))*(1_DATOS!C20/100-1_DATOS!C19/100)))</f>
        <v>0.74</v>
      </c>
      <c r="D25" s="38" t="str">
        <f aca="false">IF(C25&gt;0.8,"ALTA",IF(C25&gt;0.65,"MEDIA","BAJA"))</f>
        <v>MEDIA</v>
      </c>
    </row>
    <row r="26" customFormat="false" ht="13.5" hidden="false" customHeight="true" outlineLevel="0" collapsed="false">
      <c r="B26" s="31" t="s">
        <v>107</v>
      </c>
      <c r="C26" s="37" t="n">
        <f aca="false">IF(7&lt;=5,1_DATOS!C20/100,IF(7&gt;=1_DATOS!C21,1_DATOS!C19/100,1_DATOS!C19/100+((1_DATOS!C21-7)/(1_DATOS!C21-5))*(1_DATOS!C20/100-1_DATOS!C19/100)))</f>
        <v>0.81</v>
      </c>
      <c r="D26" s="38" t="str">
        <f aca="false">IF(C26&gt;0.8,"ALTA",IF(C26&gt;0.65,"MEDIA","BAJA"))</f>
        <v>ALTA</v>
      </c>
    </row>
    <row r="27" customFormat="false" ht="13.5" hidden="false" customHeight="true" outlineLevel="0" collapsed="false">
      <c r="B27" s="31" t="s">
        <v>108</v>
      </c>
      <c r="C27" s="37" t="n">
        <f aca="false">IF(6&lt;=5,1_DATOS!C20/100,IF(6&gt;=1_DATOS!C21,1_DATOS!C19/100,1_DATOS!C19/100+((1_DATOS!C21-6)/(1_DATOS!C21-5))*(1_DATOS!C20/100-1_DATOS!C19/100)))</f>
        <v>0.88</v>
      </c>
      <c r="D27" s="38" t="str">
        <f aca="false">IF(C27&gt;0.8,"ALTA",IF(C27&gt;0.65,"MEDIA","BAJA"))</f>
        <v>ALTA</v>
      </c>
    </row>
    <row r="28" customFormat="false" ht="13.5" hidden="false" customHeight="true" outlineLevel="0" collapsed="false">
      <c r="B28" s="31" t="s">
        <v>109</v>
      </c>
      <c r="C28" s="37" t="n">
        <f aca="false">IF(5&lt;=5,1_DATOS!C20/100,IF(5&gt;=1_DATOS!C21,1_DATOS!C19/100,1_DATOS!C19/100+((1_DATOS!C21-5)/(1_DATOS!C21-5))*(1_DATOS!C20/100-1_DATOS!C19/100)))</f>
        <v>0.95</v>
      </c>
      <c r="D28" s="38" t="str">
        <f aca="false">IF(C28&gt;0.8,"ALTA",IF(C28&gt;0.65,"MEDIA","BAJA"))</f>
        <v>ALTA</v>
      </c>
    </row>
    <row r="29" customFormat="false" ht="13.5" hidden="false" customHeight="true" outlineLevel="0" collapsed="false">
      <c r="B29" s="31" t="s">
        <v>110</v>
      </c>
      <c r="C29" s="37" t="n">
        <f aca="false">IF(4&lt;=5,1_DATOS!C20/100,IF(4&gt;=1_DATOS!C21,1_DATOS!C19/100,1_DATOS!C19/100+((1_DATOS!C21-4)/(1_DATOS!C21-5))*(1_DATOS!C20/100-1_DATOS!C19/100)))</f>
        <v>0.95</v>
      </c>
      <c r="D29" s="38" t="str">
        <f aca="false">IF(C29&gt;0.8,"ALTA",IF(C29&gt;0.65,"MEDIA","BAJA"))</f>
        <v>ALTA</v>
      </c>
    </row>
    <row r="30" customFormat="false" ht="13.5" hidden="false" customHeight="true" outlineLevel="0" collapsed="false">
      <c r="B30" s="31" t="s">
        <v>111</v>
      </c>
      <c r="C30" s="37" t="n">
        <f aca="false">IF(3&lt;=5,1_DATOS!C20/100,IF(3&gt;=1_DATOS!C21,1_DATOS!C19/100,1_DATOS!C19/100+((1_DATOS!C21-3)/(1_DATOS!C21-5))*(1_DATOS!C20/100-1_DATOS!C19/100)))</f>
        <v>0.95</v>
      </c>
      <c r="D30" s="38" t="str">
        <f aca="false">IF(C30&gt;0.8,"ALTA",IF(C30&gt;0.65,"MEDIA","BAJA"))</f>
        <v>ALTA</v>
      </c>
    </row>
    <row r="31" customFormat="false" ht="13.5" hidden="false" customHeight="true" outlineLevel="0" collapsed="false">
      <c r="B31" s="31" t="s">
        <v>112</v>
      </c>
      <c r="C31" s="37" t="n">
        <f aca="false">IF(2&lt;=5,1_DATOS!C20/100,IF(2&gt;=1_DATOS!C21,1_DATOS!C19/100,1_DATOS!C19/100+((1_DATOS!C21-2)/(1_DATOS!C21-5))*(1_DATOS!C20/100-1_DATOS!C19/100)))</f>
        <v>0.95</v>
      </c>
      <c r="D31" s="38" t="str">
        <f aca="false">IF(C31&gt;0.8,"ALTA",IF(C31&gt;0.65,"MEDIA","BAJA"))</f>
        <v>ALTA</v>
      </c>
    </row>
    <row r="32" customFormat="false" ht="13.5" hidden="false" customHeight="true" outlineLevel="0" collapsed="false">
      <c r="B32" s="31" t="s">
        <v>113</v>
      </c>
      <c r="C32" s="37" t="n">
        <f aca="false">IF(1&lt;=5,1_DATOS!C20/100,IF(1&gt;=1_DATOS!C21,1_DATOS!C19/100,1_DATOS!C19/100+((1_DATOS!C21-1)/(1_DATOS!C21-5))*(1_DATOS!C20/100-1_DATOS!C19/100)))</f>
        <v>0.95</v>
      </c>
      <c r="D32" s="38" t="str">
        <f aca="false">IF(C32&gt;0.8,"ALTA",IF(C32&gt;0.65,"MEDIA","BAJA"))</f>
        <v>ALTA</v>
      </c>
    </row>
    <row r="34" customFormat="false" ht="19.5" hidden="false" customHeight="true" outlineLevel="0" collapsed="false">
      <c r="B34" s="39" t="s">
        <v>114</v>
      </c>
      <c r="C34" s="39"/>
      <c r="D34" s="39"/>
      <c r="E34" s="39"/>
      <c r="F34" s="39"/>
      <c r="G34" s="39"/>
    </row>
    <row r="35" customFormat="false" ht="13.5" hidden="false" customHeight="true" outlineLevel="0" collapsed="false">
      <c r="B35" s="35" t="s">
        <v>115</v>
      </c>
      <c r="C35" s="35"/>
      <c r="D35" s="35"/>
      <c r="E35" s="35"/>
      <c r="F35" s="35"/>
      <c r="G35" s="35"/>
    </row>
    <row r="36" customFormat="false" ht="19.5" hidden="false" customHeight="true" outlineLevel="0" collapsed="false">
      <c r="B36" s="40" t="s">
        <v>78</v>
      </c>
      <c r="C36" s="40" t="s">
        <v>79</v>
      </c>
      <c r="D36" s="40" t="s">
        <v>80</v>
      </c>
      <c r="E36" s="40" t="s">
        <v>81</v>
      </c>
      <c r="F36" s="40" t="s">
        <v>82</v>
      </c>
    </row>
    <row r="37" customFormat="false" ht="15" hidden="false" customHeight="true" outlineLevel="0" collapsed="false">
      <c r="B37" s="31" t="s">
        <v>116</v>
      </c>
      <c r="C37" s="41" t="n">
        <f aca="false">1_DATOS!C28/100</f>
        <v>0.8</v>
      </c>
      <c r="D37" s="41" t="n">
        <f aca="false">1_DATOS!C28/100</f>
        <v>0.8</v>
      </c>
      <c r="E37" s="41" t="n">
        <f aca="false">1_DATOS!C29/100</f>
        <v>0.8</v>
      </c>
      <c r="F37" s="25"/>
      <c r="G37" s="33" t="s">
        <v>117</v>
      </c>
    </row>
    <row r="38" customFormat="false" ht="15" hidden="false" customHeight="true" outlineLevel="0" collapsed="false">
      <c r="B38" s="31" t="s">
        <v>118</v>
      </c>
      <c r="C38" s="41" t="n">
        <f aca="false">0.7</f>
        <v>0.7</v>
      </c>
      <c r="D38" s="41" t="n">
        <f aca="false">0.75</f>
        <v>0.75</v>
      </c>
      <c r="E38" s="41" t="n">
        <f aca="false">0.7</f>
        <v>0.7</v>
      </c>
      <c r="F38" s="25"/>
      <c r="G38" s="33" t="s">
        <v>119</v>
      </c>
    </row>
    <row r="39" customFormat="false" ht="15" hidden="false" customHeight="true" outlineLevel="0" collapsed="false">
      <c r="B39" s="31" t="s">
        <v>120</v>
      </c>
      <c r="C39" s="41" t="n">
        <f aca="false">1_DATOS!C13</f>
        <v>2</v>
      </c>
      <c r="D39" s="41" t="n">
        <f aca="false">1</f>
        <v>1</v>
      </c>
      <c r="E39" s="41" t="n">
        <f aca="false">1_DATOS!C14</f>
        <v>2</v>
      </c>
      <c r="F39" s="25"/>
      <c r="G39" s="33" t="s">
        <v>121</v>
      </c>
    </row>
    <row r="40" customFormat="false" ht="15" hidden="false" customHeight="true" outlineLevel="0" collapsed="false">
      <c r="B40" s="31" t="s">
        <v>122</v>
      </c>
      <c r="C40" s="42" t="n">
        <f aca="false">1-(1-C37*C38)^1</f>
        <v>0.56</v>
      </c>
      <c r="D40" s="42" t="n">
        <f aca="false">1-(1-D37*D38)^1</f>
        <v>0.6</v>
      </c>
      <c r="E40" s="42" t="n">
        <f aca="false">1-(1-E37*E38)^1</f>
        <v>0.56</v>
      </c>
      <c r="F40" s="25"/>
      <c r="G40" s="33"/>
    </row>
    <row r="41" customFormat="false" ht="15" hidden="false" customHeight="true" outlineLevel="0" collapsed="false">
      <c r="B41" s="31" t="s">
        <v>123</v>
      </c>
      <c r="C41" s="42" t="n">
        <f aca="false">1-(1-C37*C38)^2</f>
        <v>0.8064</v>
      </c>
      <c r="D41" s="42" t="n">
        <f aca="false">1-(1-D37*D38)^2</f>
        <v>0.84</v>
      </c>
      <c r="E41" s="42" t="n">
        <f aca="false">1-(1-E37*E38)^2</f>
        <v>0.8064</v>
      </c>
      <c r="F41" s="25"/>
      <c r="G41" s="33"/>
    </row>
    <row r="42" customFormat="false" ht="15" hidden="false" customHeight="true" outlineLevel="0" collapsed="false">
      <c r="B42" s="31" t="s">
        <v>124</v>
      </c>
      <c r="C42" s="42" t="n">
        <f aca="false">1-(1-C37*C38)^C39</f>
        <v>0.8064</v>
      </c>
      <c r="D42" s="42" t="n">
        <f aca="false">1-(1-D37*D38)^D39</f>
        <v>0.6</v>
      </c>
      <c r="E42" s="42" t="n">
        <f aca="false">1-(1-E37*E38)^E39</f>
        <v>0.8064</v>
      </c>
      <c r="F42" s="25"/>
      <c r="G42" s="33"/>
    </row>
    <row r="43" customFormat="false" ht="15" hidden="false" customHeight="true" outlineLevel="0" collapsed="false">
      <c r="B43" s="31" t="s">
        <v>125</v>
      </c>
      <c r="C43" s="42" t="n">
        <f aca="false">1-(1-C42)*(1-E42)</f>
        <v>0.96251904</v>
      </c>
      <c r="D43" s="42" t="n">
        <f aca="false">1-(1-D42)*(1-D42)</f>
        <v>0.84</v>
      </c>
      <c r="E43" s="42" t="n">
        <f aca="false">E42</f>
        <v>0.8064</v>
      </c>
      <c r="F43" s="25"/>
      <c r="G43" s="33"/>
    </row>
    <row r="45" customFormat="false" ht="27.75" hidden="false" customHeight="true" outlineLevel="0" collapsed="false">
      <c r="B45" s="43" t="str">
        <f aca="false">CONCATENATE("Pk TOTAL GRUPO DE TAREA (ambas capas):  ",TEXT(1-(1-C42)*(1-E42),"0.0%"))</f>
        <v>Pk TOTAL GRUPO DE TAREA (ambas capas):  96.3%</v>
      </c>
      <c r="C45" s="43"/>
      <c r="D45" s="43"/>
      <c r="E45" s="43"/>
      <c r="F45" s="43"/>
      <c r="G45" s="43"/>
    </row>
    <row r="47" customFormat="false" ht="19.5" hidden="false" customHeight="true" outlineLevel="0" collapsed="false">
      <c r="B47" s="29" t="s">
        <v>126</v>
      </c>
      <c r="C47" s="29"/>
      <c r="D47" s="29"/>
      <c r="E47" s="29"/>
      <c r="F47" s="29"/>
      <c r="G47" s="29"/>
    </row>
    <row r="48" customFormat="false" ht="21.75" hidden="false" customHeight="true" outlineLevel="0" collapsed="false">
      <c r="B48" s="30" t="s">
        <v>127</v>
      </c>
      <c r="C48" s="30" t="s">
        <v>128</v>
      </c>
      <c r="D48" s="30" t="s">
        <v>102</v>
      </c>
      <c r="E48" s="30" t="s">
        <v>129</v>
      </c>
      <c r="F48" s="30" t="s">
        <v>130</v>
      </c>
      <c r="G48" s="30" t="s">
        <v>131</v>
      </c>
    </row>
    <row r="49" customFormat="false" ht="13.5" hidden="false" customHeight="true" outlineLevel="0" collapsed="false">
      <c r="B49" s="44" t="s">
        <v>132</v>
      </c>
      <c r="C49" s="45" t="n">
        <f aca="false">1*1852/(1_DATOS!C17*0.5144)</f>
        <v>6.54602007634667</v>
      </c>
      <c r="D49" s="41" t="n">
        <f aca="false">IF(1&lt;=5,1_DATOS!C20/100,IF(1&gt;=1_DATOS!C21,1_DATOS!C19/100,1_DATOS!C19/100+((1_DATOS!C21-1)/(1_DATOS!C21-5))*(1_DATOS!C20/100-1_DATOS!C19/100)))</f>
        <v>0.95</v>
      </c>
      <c r="E49" s="46" t="n">
        <f aca="false">IF(1&lt;=1_DATOS!C5,1-(1-D49*C38)^1_DATOS!C13,0)</f>
        <v>0.887775</v>
      </c>
      <c r="F49" s="37" t="n">
        <f aca="false">IF(1&lt;=1_DATOS!C7,1-(1-D49*E38)^1_DATOS!C14,0)</f>
        <v>0.887775</v>
      </c>
      <c r="G49" s="47" t="n">
        <f aca="false">1-(1-E49)*(1-F49)</f>
        <v>0.987405549375</v>
      </c>
    </row>
    <row r="50" customFormat="false" ht="13.5" hidden="false" customHeight="true" outlineLevel="0" collapsed="false">
      <c r="B50" s="44" t="s">
        <v>133</v>
      </c>
      <c r="C50" s="45" t="n">
        <f aca="false">2*1852/(1_DATOS!C17*0.5144)</f>
        <v>13.0920401526933</v>
      </c>
      <c r="D50" s="41" t="n">
        <f aca="false">IF(2&lt;=5,1_DATOS!C20/100,IF(2&gt;=1_DATOS!C21,1_DATOS!C19/100,1_DATOS!C19/100+((1_DATOS!C21-2)/(1_DATOS!C21-5))*(1_DATOS!C20/100-1_DATOS!C19/100)))</f>
        <v>0.95</v>
      </c>
      <c r="E50" s="46" t="n">
        <f aca="false">IF(2&lt;=1_DATOS!C5,1-(1-D50*C38)^1_DATOS!C13,0)</f>
        <v>0.887775</v>
      </c>
      <c r="F50" s="37" t="n">
        <f aca="false">IF(2&lt;=1_DATOS!C7,1-(1-D50*E38)^1_DATOS!C14,0)</f>
        <v>0.887775</v>
      </c>
      <c r="G50" s="47" t="n">
        <f aca="false">1-(1-E50)*(1-F50)</f>
        <v>0.987405549375</v>
      </c>
    </row>
    <row r="51" customFormat="false" ht="13.5" hidden="false" customHeight="true" outlineLevel="0" collapsed="false">
      <c r="B51" s="44" t="s">
        <v>134</v>
      </c>
      <c r="C51" s="45" t="n">
        <f aca="false">3*1852/(1_DATOS!C17*0.5144)</f>
        <v>19.63806022904</v>
      </c>
      <c r="D51" s="41" t="n">
        <f aca="false">IF(3&lt;=5,1_DATOS!C20/100,IF(3&gt;=1_DATOS!C21,1_DATOS!C19/100,1_DATOS!C19/100+((1_DATOS!C21-3)/(1_DATOS!C21-5))*(1_DATOS!C20/100-1_DATOS!C19/100)))</f>
        <v>0.95</v>
      </c>
      <c r="E51" s="46" t="n">
        <f aca="false">IF(3&lt;=1_DATOS!C5,1-(1-D51*C38)^1_DATOS!C13,0)</f>
        <v>0.887775</v>
      </c>
      <c r="F51" s="37" t="n">
        <f aca="false">IF(3&lt;=1_DATOS!C7,1-(1-D51*E38)^1_DATOS!C14,0)</f>
        <v>0.887775</v>
      </c>
      <c r="G51" s="47" t="n">
        <f aca="false">1-(1-E51)*(1-F51)</f>
        <v>0.987405549375</v>
      </c>
    </row>
    <row r="52" customFormat="false" ht="13.5" hidden="false" customHeight="true" outlineLevel="0" collapsed="false">
      <c r="B52" s="44" t="s">
        <v>135</v>
      </c>
      <c r="C52" s="45" t="n">
        <f aca="false">4*1852/(1_DATOS!C17*0.5144)</f>
        <v>26.1840803053867</v>
      </c>
      <c r="D52" s="41" t="n">
        <f aca="false">IF(4&lt;=5,1_DATOS!C20/100,IF(4&gt;=1_DATOS!C21,1_DATOS!C19/100,1_DATOS!C19/100+((1_DATOS!C21-4)/(1_DATOS!C21-5))*(1_DATOS!C20/100-1_DATOS!C19/100)))</f>
        <v>0.95</v>
      </c>
      <c r="E52" s="46" t="n">
        <f aca="false">IF(4&lt;=1_DATOS!C5,1-(1-D52*C38)^1_DATOS!C13,0)</f>
        <v>0.887775</v>
      </c>
      <c r="F52" s="37" t="n">
        <f aca="false">IF(4&lt;=1_DATOS!C7,1-(1-D52*E38)^1_DATOS!C14,0)</f>
        <v>0.887775</v>
      </c>
      <c r="G52" s="47" t="n">
        <f aca="false">1-(1-E52)*(1-F52)</f>
        <v>0.987405549375</v>
      </c>
    </row>
    <row r="53" customFormat="false" ht="13.5" hidden="false" customHeight="true" outlineLevel="0" collapsed="false">
      <c r="B53" s="44" t="s">
        <v>136</v>
      </c>
      <c r="C53" s="45" t="n">
        <f aca="false">5*1852/(1_DATOS!C17*0.5144)</f>
        <v>32.7301003817334</v>
      </c>
      <c r="D53" s="41" t="n">
        <f aca="false">IF(5&lt;=5,1_DATOS!C20/100,IF(5&gt;=1_DATOS!C21,1_DATOS!C19/100,1_DATOS!C19/100+((1_DATOS!C21-5)/(1_DATOS!C21-5))*(1_DATOS!C20/100-1_DATOS!C19/100)))</f>
        <v>0.95</v>
      </c>
      <c r="E53" s="46" t="n">
        <f aca="false">IF(5&lt;=1_DATOS!C5,1-(1-D53*C38)^1_DATOS!C13,0)</f>
        <v>0.887775</v>
      </c>
      <c r="F53" s="37" t="n">
        <f aca="false">IF(5&lt;=1_DATOS!C7,1-(1-D53*E38)^1_DATOS!C14,0)</f>
        <v>0.887775</v>
      </c>
      <c r="G53" s="47" t="n">
        <f aca="false">1-(1-E53)*(1-F53)</f>
        <v>0.987405549375</v>
      </c>
    </row>
    <row r="54" customFormat="false" ht="13.5" hidden="false" customHeight="true" outlineLevel="0" collapsed="false">
      <c r="B54" s="44" t="s">
        <v>137</v>
      </c>
      <c r="C54" s="45" t="n">
        <f aca="false">6*1852/(1_DATOS!C17*0.5144)</f>
        <v>39.27612045808</v>
      </c>
      <c r="D54" s="41" t="n">
        <f aca="false">IF(6&lt;=5,1_DATOS!C20/100,IF(6&gt;=1_DATOS!C21,1_DATOS!C19/100,1_DATOS!C19/100+((1_DATOS!C21-6)/(1_DATOS!C21-5))*(1_DATOS!C20/100-1_DATOS!C19/100)))</f>
        <v>0.88</v>
      </c>
      <c r="E54" s="46" t="n">
        <f aca="false">IF(6&lt;=1_DATOS!C5,1-(1-D54*C38)^1_DATOS!C13,0)</f>
        <v>0.852544</v>
      </c>
      <c r="F54" s="37" t="n">
        <f aca="false">IF(6&lt;=1_DATOS!C7,1-(1-D54*E38)^1_DATOS!C14,0)</f>
        <v>0.852544</v>
      </c>
      <c r="G54" s="47" t="n">
        <f aca="false">1-(1-E54)*(1-F54)</f>
        <v>0.978256728064</v>
      </c>
    </row>
    <row r="55" customFormat="false" ht="13.5" hidden="false" customHeight="true" outlineLevel="0" collapsed="false">
      <c r="B55" s="44" t="s">
        <v>138</v>
      </c>
      <c r="C55" s="45" t="n">
        <f aca="false">7*1852/(1_DATOS!C17*0.5144)</f>
        <v>45.8221405344267</v>
      </c>
      <c r="D55" s="41" t="n">
        <f aca="false">IF(7&lt;=5,1_DATOS!C20/100,IF(7&gt;=1_DATOS!C21,1_DATOS!C19/100,1_DATOS!C19/100+((1_DATOS!C21-7)/(1_DATOS!C21-5))*(1_DATOS!C20/100-1_DATOS!C19/100)))</f>
        <v>0.81</v>
      </c>
      <c r="E55" s="46" t="n">
        <f aca="false">IF(7&lt;=1_DATOS!C5,1-(1-D55*C38)^1_DATOS!C13,0)</f>
        <v>0.812511</v>
      </c>
      <c r="F55" s="37" t="n">
        <f aca="false">IF(7&lt;=1_DATOS!C7,1-(1-D55*E38)^1_DATOS!C14,0)</f>
        <v>0.812511</v>
      </c>
      <c r="G55" s="47" t="n">
        <f aca="false">1-(1-E55)*(1-F55)</f>
        <v>0.964847874879</v>
      </c>
    </row>
    <row r="56" customFormat="false" ht="13.5" hidden="false" customHeight="true" outlineLevel="0" collapsed="false">
      <c r="B56" s="44" t="s">
        <v>139</v>
      </c>
      <c r="C56" s="45" t="n">
        <f aca="false">8*1852/(1_DATOS!C17*0.5144)</f>
        <v>52.3681606107734</v>
      </c>
      <c r="D56" s="41" t="n">
        <f aca="false">IF(8&lt;=5,1_DATOS!C20/100,IF(8&gt;=1_DATOS!C21,1_DATOS!C19/100,1_DATOS!C19/100+((1_DATOS!C21-8)/(1_DATOS!C21-5))*(1_DATOS!C20/100-1_DATOS!C19/100)))</f>
        <v>0.74</v>
      </c>
      <c r="E56" s="46" t="n">
        <f aca="false">IF(8&lt;=1_DATOS!C5,1-(1-D56*C38)^1_DATOS!C13,0)</f>
        <v>0.767676</v>
      </c>
      <c r="F56" s="37" t="n">
        <f aca="false">IF(8&lt;=1_DATOS!C7,1-(1-D56*E38)^1_DATOS!C14,0)</f>
        <v>0.767676</v>
      </c>
      <c r="G56" s="47" t="n">
        <f aca="false">1-(1-E56)*(1-F56)</f>
        <v>0.946025559024</v>
      </c>
    </row>
    <row r="57" customFormat="false" ht="13.5" hidden="false" customHeight="true" outlineLevel="0" collapsed="false">
      <c r="B57" s="44" t="s">
        <v>140</v>
      </c>
      <c r="C57" s="45" t="n">
        <f aca="false">9*1852/(1_DATOS!C17*0.5144)</f>
        <v>58.91418068712</v>
      </c>
      <c r="D57" s="41" t="n">
        <f aca="false">IF(9&lt;=5,1_DATOS!C20/100,IF(9&gt;=1_DATOS!C21,1_DATOS!C19/100,1_DATOS!C19/100+((1_DATOS!C21-9)/(1_DATOS!C21-5))*(1_DATOS!C20/100-1_DATOS!C19/100)))</f>
        <v>0.67</v>
      </c>
      <c r="E57" s="46" t="n">
        <f aca="false">IF(9&lt;=1_DATOS!C5,1-(1-D57*C38)^1_DATOS!C13,0)</f>
        <v>0.718039</v>
      </c>
      <c r="F57" s="37" t="n">
        <f aca="false">IF(9&lt;=1_DATOS!C7,1-(1-D57*E38)^1_DATOS!C14,0)</f>
        <v>0.718039</v>
      </c>
      <c r="G57" s="47" t="n">
        <f aca="false">1-(1-E57)*(1-F57)</f>
        <v>0.920497994479</v>
      </c>
    </row>
    <row r="58" customFormat="false" ht="13.5" hidden="false" customHeight="true" outlineLevel="0" collapsed="false">
      <c r="B58" s="44" t="s">
        <v>141</v>
      </c>
      <c r="C58" s="45" t="n">
        <f aca="false">10*1852/(1_DATOS!C17*0.5144)</f>
        <v>65.4602007634667</v>
      </c>
      <c r="D58" s="41" t="n">
        <f aca="false">IF(10&lt;=5,1_DATOS!C20/100,IF(10&gt;=1_DATOS!C21,1_DATOS!C19/100,1_DATOS!C19/100+((1_DATOS!C21-10)/(1_DATOS!C21-5))*(1_DATOS!C20/100-1_DATOS!C19/100)))</f>
        <v>0.6</v>
      </c>
      <c r="E58" s="46" t="n">
        <f aca="false">IF(10&lt;=1_DATOS!C5,1-(1-D58*C38)^1_DATOS!C13,0)</f>
        <v>0.6636</v>
      </c>
      <c r="F58" s="37" t="n">
        <f aca="false">IF(10&lt;=1_DATOS!C7,1-(1-D58*E38)^1_DATOS!C14,0)</f>
        <v>0.6636</v>
      </c>
      <c r="G58" s="47" t="n">
        <f aca="false">1-(1-E58)*(1-F58)</f>
        <v>0.88683504</v>
      </c>
    </row>
    <row r="59" customFormat="false" ht="13.5" hidden="false" customHeight="true" outlineLevel="0" collapsed="false">
      <c r="B59" s="44" t="s">
        <v>142</v>
      </c>
      <c r="C59" s="45" t="n">
        <f aca="false">11*1852/(1_DATOS!C17*0.5144)</f>
        <v>72.0062208398134</v>
      </c>
      <c r="D59" s="41" t="n">
        <f aca="false">IF(11&lt;=5,1_DATOS!C20/100,IF(11&gt;=1_DATOS!C21,1_DATOS!C19/100,1_DATOS!C19/100+((1_DATOS!C21-11)/(1_DATOS!C21-5))*(1_DATOS!C20/100-1_DATOS!C19/100)))</f>
        <v>0.6</v>
      </c>
      <c r="E59" s="46" t="n">
        <f aca="false">IF(11&lt;=1_DATOS!C5,1-(1-D59*C38)^1_DATOS!C13,0)</f>
        <v>0.6636</v>
      </c>
      <c r="F59" s="37" t="n">
        <f aca="false">IF(11&lt;=1_DATOS!C7,1-(1-D59*E38)^1_DATOS!C14,0)</f>
        <v>0.6636</v>
      </c>
      <c r="G59" s="47" t="n">
        <f aca="false">1-(1-E59)*(1-F59)</f>
        <v>0.88683504</v>
      </c>
    </row>
    <row r="60" customFormat="false" ht="13.5" hidden="false" customHeight="true" outlineLevel="0" collapsed="false">
      <c r="B60" s="44" t="s">
        <v>143</v>
      </c>
      <c r="C60" s="45" t="n">
        <f aca="false">12*1852/(1_DATOS!C17*0.5144)</f>
        <v>78.5522409161601</v>
      </c>
      <c r="D60" s="41" t="n">
        <f aca="false">IF(12&lt;=5,1_DATOS!C20/100,IF(12&gt;=1_DATOS!C21,1_DATOS!C19/100,1_DATOS!C19/100+((1_DATOS!C21-12)/(1_DATOS!C21-5))*(1_DATOS!C20/100-1_DATOS!C19/100)))</f>
        <v>0.6</v>
      </c>
      <c r="E60" s="46" t="n">
        <f aca="false">IF(12&lt;=1_DATOS!C5,1-(1-D60*C38)^1_DATOS!C13,0)</f>
        <v>0.6636</v>
      </c>
      <c r="F60" s="37" t="n">
        <f aca="false">IF(12&lt;=1_DATOS!C7,1-(1-D60*E38)^1_DATOS!C14,0)</f>
        <v>0.6636</v>
      </c>
      <c r="G60" s="47" t="n">
        <f aca="false">1-(1-E60)*(1-F60)</f>
        <v>0.88683504</v>
      </c>
    </row>
    <row r="61" customFormat="false" ht="13.5" hidden="false" customHeight="true" outlineLevel="0" collapsed="false">
      <c r="B61" s="44" t="s">
        <v>144</v>
      </c>
      <c r="C61" s="45" t="n">
        <f aca="false">13*1852/(1_DATOS!C17*0.5144)</f>
        <v>85.0982609925067</v>
      </c>
      <c r="D61" s="41" t="n">
        <f aca="false">IF(13&lt;=5,1_DATOS!C20/100,IF(13&gt;=1_DATOS!C21,1_DATOS!C19/100,1_DATOS!C19/100+((1_DATOS!C21-13)/(1_DATOS!C21-5))*(1_DATOS!C20/100-1_DATOS!C19/100)))</f>
        <v>0.6</v>
      </c>
      <c r="E61" s="46" t="n">
        <f aca="false">IF(13&lt;=1_DATOS!C5,1-(1-D61*C38)^1_DATOS!C13,0)</f>
        <v>0.6636</v>
      </c>
      <c r="F61" s="37" t="n">
        <f aca="false">IF(13&lt;=1_DATOS!C7,1-(1-D61*E38)^1_DATOS!C14,0)</f>
        <v>0</v>
      </c>
      <c r="G61" s="47" t="n">
        <f aca="false">1-(1-E61)*(1-F61)</f>
        <v>0.6636</v>
      </c>
    </row>
    <row r="62" customFormat="false" ht="13.5" hidden="false" customHeight="true" outlineLevel="0" collapsed="false">
      <c r="B62" s="44" t="s">
        <v>145</v>
      </c>
      <c r="C62" s="45" t="n">
        <f aca="false">14*1852/(1_DATOS!C17*0.5144)</f>
        <v>91.6442810688534</v>
      </c>
      <c r="D62" s="41" t="n">
        <f aca="false">IF(14&lt;=5,1_DATOS!C20/100,IF(14&gt;=1_DATOS!C21,1_DATOS!C19/100,1_DATOS!C19/100+((1_DATOS!C21-14)/(1_DATOS!C21-5))*(1_DATOS!C20/100-1_DATOS!C19/100)))</f>
        <v>0.6</v>
      </c>
      <c r="E62" s="46" t="n">
        <f aca="false">IF(14&lt;=1_DATOS!C5,1-(1-D62*C38)^1_DATOS!C13,0)</f>
        <v>0.6636</v>
      </c>
      <c r="F62" s="37" t="n">
        <f aca="false">IF(14&lt;=1_DATOS!C7,1-(1-D62*E38)^1_DATOS!C14,0)</f>
        <v>0</v>
      </c>
      <c r="G62" s="47" t="n">
        <f aca="false">1-(1-E62)*(1-F62)</f>
        <v>0.6636</v>
      </c>
    </row>
    <row r="63" customFormat="false" ht="13.5" hidden="false" customHeight="true" outlineLevel="0" collapsed="false">
      <c r="B63" s="44" t="s">
        <v>146</v>
      </c>
      <c r="C63" s="45" t="n">
        <f aca="false">15*1852/(1_DATOS!C17*0.5144)</f>
        <v>98.1903011452001</v>
      </c>
      <c r="D63" s="41" t="n">
        <f aca="false">IF(15&lt;=5,1_DATOS!C20/100,IF(15&gt;=1_DATOS!C21,1_DATOS!C19/100,1_DATOS!C19/100+((1_DATOS!C21-15)/(1_DATOS!C21-5))*(1_DATOS!C20/100-1_DATOS!C19/100)))</f>
        <v>0.6</v>
      </c>
      <c r="E63" s="46" t="n">
        <f aca="false">IF(15&lt;=1_DATOS!C5,1-(1-D63*C38)^1_DATOS!C13,0)</f>
        <v>0.6636</v>
      </c>
      <c r="F63" s="37" t="n">
        <f aca="false">IF(15&lt;=1_DATOS!C7,1-(1-D63*E38)^1_DATOS!C14,0)</f>
        <v>0</v>
      </c>
      <c r="G63" s="47" t="n">
        <f aca="false">1-(1-E63)*(1-F63)</f>
        <v>0.6636</v>
      </c>
    </row>
  </sheetData>
  <mergeCells count="9">
    <mergeCell ref="B1:G1"/>
    <mergeCell ref="B3:G3"/>
    <mergeCell ref="B11:G11"/>
    <mergeCell ref="B20:G20"/>
    <mergeCell ref="B21:G21"/>
    <mergeCell ref="B34:G34"/>
    <mergeCell ref="B35:G35"/>
    <mergeCell ref="B45:G45"/>
    <mergeCell ref="B47:G4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I1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8"/>
    <col collapsed="false" customWidth="true" hidden="false" outlineLevel="0" max="9" min="3" style="0" width="14"/>
    <col collapsed="false" customWidth="true" hidden="false" outlineLevel="0" max="10" min="10" style="0" width="2"/>
  </cols>
  <sheetData>
    <row r="1" customFormat="false" ht="31.5" hidden="false" customHeight="true" outlineLevel="0" collapsed="false">
      <c r="B1" s="48" t="s">
        <v>147</v>
      </c>
      <c r="C1" s="48"/>
      <c r="D1" s="48"/>
      <c r="E1" s="48"/>
      <c r="F1" s="48"/>
      <c r="G1" s="48"/>
      <c r="H1" s="48"/>
      <c r="I1" s="48"/>
    </row>
    <row r="2" customFormat="false" ht="21.75" hidden="false" customHeight="true" outlineLevel="0" collapsed="false">
      <c r="B2" s="49" t="s">
        <v>148</v>
      </c>
      <c r="C2" s="49"/>
      <c r="D2" s="49"/>
      <c r="E2" s="49"/>
      <c r="F2" s="49"/>
      <c r="G2" s="49"/>
      <c r="H2" s="49"/>
      <c r="I2" s="49"/>
    </row>
    <row r="4" customFormat="false" ht="19.5" hidden="false" customHeight="true" outlineLevel="0" collapsed="false">
      <c r="B4" s="50" t="s">
        <v>149</v>
      </c>
      <c r="C4" s="50"/>
      <c r="D4" s="50"/>
      <c r="E4" s="50"/>
      <c r="F4" s="50"/>
      <c r="G4" s="50"/>
      <c r="H4" s="50"/>
      <c r="I4" s="50"/>
    </row>
    <row r="5" customFormat="false" ht="30" hidden="false" customHeight="true" outlineLevel="0" collapsed="false">
      <c r="B5" s="51" t="s">
        <v>150</v>
      </c>
      <c r="C5" s="51" t="s">
        <v>151</v>
      </c>
      <c r="D5" s="51" t="s">
        <v>102</v>
      </c>
      <c r="E5" s="51" t="s">
        <v>129</v>
      </c>
      <c r="F5" s="51" t="s">
        <v>130</v>
      </c>
      <c r="G5" s="51" t="s">
        <v>152</v>
      </c>
      <c r="H5" s="51" t="s">
        <v>153</v>
      </c>
      <c r="I5" s="51" t="s">
        <v>154</v>
      </c>
    </row>
    <row r="6" customFormat="false" ht="12" hidden="false" customHeight="true" outlineLevel="0" collapsed="false">
      <c r="B6" s="52" t="s">
        <v>155</v>
      </c>
      <c r="C6" s="45" t="n">
        <f aca="false">RANDBETWEEN(1,INT(1_DATOS!C6))*1</f>
        <v>5</v>
      </c>
      <c r="D6" s="41" t="n">
        <f aca="false">IF(C6&lt;=5,1_DATOS!C20/100,IF(C6&gt;=1_DATOS!C21,1_DATOS!C19/100,1_DATOS!C19/100+((1_DATOS!C21-C6)/(1_DATOS!C21-5))*(1_DATOS!C20/100-1_DATOS!C19/100)))</f>
        <v>0.95</v>
      </c>
      <c r="E6" s="46" t="n">
        <f aca="false">IF(C6&lt;=1_DATOS!C5,1-(1-D6*2_CALCULOS!C38)^1_DATOS!C13,0)</f>
        <v>0.887775</v>
      </c>
      <c r="F6" s="37" t="n">
        <f aca="false">IF(C6&lt;=1_DATOS!C7,1-(1-D6*2_CALCULOS!E38)^1_DATOS!C14,0)</f>
        <v>0.887775</v>
      </c>
      <c r="G6" s="47" t="n">
        <f aca="false">1-(1-E6)*(1-F6)</f>
        <v>0.987405549375</v>
      </c>
      <c r="H6" s="53" t="str">
        <f aca="false">IF(G6&gt;0.5,"SI","NO")</f>
        <v>SI</v>
      </c>
      <c r="I6" s="53" t="str">
        <f aca="false">IF(G6&gt;0.5,"NO","POSIBLE")</f>
        <v>NO</v>
      </c>
    </row>
    <row r="7" customFormat="false" ht="12" hidden="false" customHeight="true" outlineLevel="0" collapsed="false">
      <c r="B7" s="52" t="s">
        <v>156</v>
      </c>
      <c r="C7" s="45" t="n">
        <f aca="false">RANDBETWEEN(1,INT(1_DATOS!C6))*1</f>
        <v>30</v>
      </c>
      <c r="D7" s="41" t="n">
        <f aca="false">IF(C7&lt;=5,1_DATOS!C20/100,IF(C7&gt;=1_DATOS!C21,1_DATOS!C19/100,1_DATOS!C19/100+((1_DATOS!C21-C7)/(1_DATOS!C21-5))*(1_DATOS!C20/100-1_DATOS!C19/100)))</f>
        <v>0.6</v>
      </c>
      <c r="E7" s="46" t="n">
        <f aca="false">IF(C7&lt;=1_DATOS!C5,1-(1-D7*2_CALCULOS!C38)^1_DATOS!C13,0)</f>
        <v>0</v>
      </c>
      <c r="F7" s="37" t="n">
        <f aca="false">IF(C7&lt;=1_DATOS!C7,1-(1-D7*2_CALCULOS!E38)^1_DATOS!C14,0)</f>
        <v>0</v>
      </c>
      <c r="G7" s="47" t="n">
        <f aca="false">1-(1-E7)*(1-F7)</f>
        <v>0</v>
      </c>
      <c r="H7" s="53" t="str">
        <f aca="false">IF(G7&gt;0.5,"SI","NO")</f>
        <v>NO</v>
      </c>
      <c r="I7" s="53" t="str">
        <f aca="false">IF(G7&gt;0.5,"NO","POSIBLE")</f>
        <v>POSIBLE</v>
      </c>
    </row>
    <row r="8" customFormat="false" ht="12" hidden="false" customHeight="true" outlineLevel="0" collapsed="false">
      <c r="B8" s="52" t="s">
        <v>157</v>
      </c>
      <c r="C8" s="45" t="n">
        <f aca="false">RANDBETWEEN(1,INT(1_DATOS!C6))*1</f>
        <v>25</v>
      </c>
      <c r="D8" s="41" t="n">
        <f aca="false">IF(C8&lt;=5,1_DATOS!C20/100,IF(C8&gt;=1_DATOS!C21,1_DATOS!C19/100,1_DATOS!C19/100+((1_DATOS!C21-C8)/(1_DATOS!C21-5))*(1_DATOS!C20/100-1_DATOS!C19/100)))</f>
        <v>0.6</v>
      </c>
      <c r="E8" s="46" t="n">
        <f aca="false">IF(C8&lt;=1_DATOS!C5,1-(1-D8*2_CALCULOS!C38)^1_DATOS!C13,0)</f>
        <v>0.6636</v>
      </c>
      <c r="F8" s="37" t="n">
        <f aca="false">IF(C8&lt;=1_DATOS!C7,1-(1-D8*2_CALCULOS!E38)^1_DATOS!C14,0)</f>
        <v>0</v>
      </c>
      <c r="G8" s="47" t="n">
        <f aca="false">1-(1-E8)*(1-F8)</f>
        <v>0.6636</v>
      </c>
      <c r="H8" s="53" t="str">
        <f aca="false">IF(G8&gt;0.5,"SI","NO")</f>
        <v>SI</v>
      </c>
      <c r="I8" s="53" t="str">
        <f aca="false">IF(G8&gt;0.5,"NO","POSIBLE")</f>
        <v>NO</v>
      </c>
    </row>
    <row r="9" customFormat="false" ht="12" hidden="false" customHeight="true" outlineLevel="0" collapsed="false">
      <c r="B9" s="52" t="s">
        <v>158</v>
      </c>
      <c r="C9" s="45" t="n">
        <f aca="false">RANDBETWEEN(1,INT(1_DATOS!C6))*1</f>
        <v>36</v>
      </c>
      <c r="D9" s="41" t="n">
        <f aca="false">IF(C9&lt;=5,1_DATOS!C20/100,IF(C9&gt;=1_DATOS!C21,1_DATOS!C19/100,1_DATOS!C19/100+((1_DATOS!C21-C9)/(1_DATOS!C21-5))*(1_DATOS!C20/100-1_DATOS!C19/100)))</f>
        <v>0.6</v>
      </c>
      <c r="E9" s="46" t="n">
        <f aca="false">IF(C9&lt;=1_DATOS!C5,1-(1-D9*2_CALCULOS!C38)^1_DATOS!C13,0)</f>
        <v>0</v>
      </c>
      <c r="F9" s="37" t="n">
        <f aca="false">IF(C9&lt;=1_DATOS!C7,1-(1-D9*2_CALCULOS!E38)^1_DATOS!C14,0)</f>
        <v>0</v>
      </c>
      <c r="G9" s="47" t="n">
        <f aca="false">1-(1-E9)*(1-F9)</f>
        <v>0</v>
      </c>
      <c r="H9" s="53" t="str">
        <f aca="false">IF(G9&gt;0.5,"SI","NO")</f>
        <v>NO</v>
      </c>
      <c r="I9" s="53" t="str">
        <f aca="false">IF(G9&gt;0.5,"NO","POSIBLE")</f>
        <v>POSIBLE</v>
      </c>
    </row>
    <row r="10" customFormat="false" ht="12" hidden="false" customHeight="true" outlineLevel="0" collapsed="false">
      <c r="B10" s="52" t="s">
        <v>159</v>
      </c>
      <c r="C10" s="45" t="n">
        <f aca="false">RANDBETWEEN(1,INT(1_DATOS!C6))*1</f>
        <v>52</v>
      </c>
      <c r="D10" s="41" t="n">
        <f aca="false">IF(C10&lt;=5,1_DATOS!C20/100,IF(C10&gt;=1_DATOS!C21,1_DATOS!C19/100,1_DATOS!C19/100+((1_DATOS!C21-C10)/(1_DATOS!C21-5))*(1_DATOS!C20/100-1_DATOS!C19/100)))</f>
        <v>0.6</v>
      </c>
      <c r="E10" s="46" t="n">
        <f aca="false">IF(C10&lt;=1_DATOS!C5,1-(1-D10*2_CALCULOS!C38)^1_DATOS!C13,0)</f>
        <v>0</v>
      </c>
      <c r="F10" s="37" t="n">
        <f aca="false">IF(C10&lt;=1_DATOS!C7,1-(1-D10*2_CALCULOS!E38)^1_DATOS!C14,0)</f>
        <v>0</v>
      </c>
      <c r="G10" s="47" t="n">
        <f aca="false">1-(1-E10)*(1-F10)</f>
        <v>0</v>
      </c>
      <c r="H10" s="53" t="str">
        <f aca="false">IF(G10&gt;0.5,"SI","NO")</f>
        <v>NO</v>
      </c>
      <c r="I10" s="53" t="str">
        <f aca="false">IF(G10&gt;0.5,"NO","POSIBLE")</f>
        <v>POSIBLE</v>
      </c>
    </row>
    <row r="11" customFormat="false" ht="12" hidden="false" customHeight="true" outlineLevel="0" collapsed="false">
      <c r="B11" s="52" t="s">
        <v>160</v>
      </c>
      <c r="C11" s="45" t="n">
        <f aca="false">RANDBETWEEN(1,INT(1_DATOS!C6))*1</f>
        <v>32</v>
      </c>
      <c r="D11" s="41" t="n">
        <f aca="false">IF(C11&lt;=5,1_DATOS!C20/100,IF(C11&gt;=1_DATOS!C21,1_DATOS!C19/100,1_DATOS!C19/100+((1_DATOS!C21-C11)/(1_DATOS!C21-5))*(1_DATOS!C20/100-1_DATOS!C19/100)))</f>
        <v>0.6</v>
      </c>
      <c r="E11" s="46" t="n">
        <f aca="false">IF(C11&lt;=1_DATOS!C5,1-(1-D11*2_CALCULOS!C38)^1_DATOS!C13,0)</f>
        <v>0</v>
      </c>
      <c r="F11" s="37" t="n">
        <f aca="false">IF(C11&lt;=1_DATOS!C7,1-(1-D11*2_CALCULOS!E38)^1_DATOS!C14,0)</f>
        <v>0</v>
      </c>
      <c r="G11" s="47" t="n">
        <f aca="false">1-(1-E11)*(1-F11)</f>
        <v>0</v>
      </c>
      <c r="H11" s="53" t="str">
        <f aca="false">IF(G11&gt;0.5,"SI","NO")</f>
        <v>NO</v>
      </c>
      <c r="I11" s="53" t="str">
        <f aca="false">IF(G11&gt;0.5,"NO","POSIBLE")</f>
        <v>POSIBLE</v>
      </c>
    </row>
    <row r="12" customFormat="false" ht="12" hidden="false" customHeight="true" outlineLevel="0" collapsed="false">
      <c r="B12" s="52" t="s">
        <v>161</v>
      </c>
      <c r="C12" s="45" t="n">
        <f aca="false">RANDBETWEEN(1,INT(1_DATOS!C6))*1</f>
        <v>51</v>
      </c>
      <c r="D12" s="41" t="n">
        <f aca="false">IF(C12&lt;=5,1_DATOS!C20/100,IF(C12&gt;=1_DATOS!C21,1_DATOS!C19/100,1_DATOS!C19/100+((1_DATOS!C21-C12)/(1_DATOS!C21-5))*(1_DATOS!C20/100-1_DATOS!C19/100)))</f>
        <v>0.6</v>
      </c>
      <c r="E12" s="46" t="n">
        <f aca="false">IF(C12&lt;=1_DATOS!C5,1-(1-D12*2_CALCULOS!C38)^1_DATOS!C13,0)</f>
        <v>0</v>
      </c>
      <c r="F12" s="37" t="n">
        <f aca="false">IF(C12&lt;=1_DATOS!C7,1-(1-D12*2_CALCULOS!E38)^1_DATOS!C14,0)</f>
        <v>0</v>
      </c>
      <c r="G12" s="47" t="n">
        <f aca="false">1-(1-E12)*(1-F12)</f>
        <v>0</v>
      </c>
      <c r="H12" s="53" t="str">
        <f aca="false">IF(G12&gt;0.5,"SI","NO")</f>
        <v>NO</v>
      </c>
      <c r="I12" s="53" t="str">
        <f aca="false">IF(G12&gt;0.5,"NO","POSIBLE")</f>
        <v>POSIBLE</v>
      </c>
    </row>
    <row r="13" customFormat="false" ht="12" hidden="false" customHeight="true" outlineLevel="0" collapsed="false">
      <c r="B13" s="52" t="s">
        <v>162</v>
      </c>
      <c r="C13" s="45" t="n">
        <f aca="false">RANDBETWEEN(1,INT(1_DATOS!C6))*1</f>
        <v>21</v>
      </c>
      <c r="D13" s="41" t="n">
        <f aca="false">IF(C13&lt;=5,1_DATOS!C20/100,IF(C13&gt;=1_DATOS!C21,1_DATOS!C19/100,1_DATOS!C19/100+((1_DATOS!C21-C13)/(1_DATOS!C21-5))*(1_DATOS!C20/100-1_DATOS!C19/100)))</f>
        <v>0.6</v>
      </c>
      <c r="E13" s="46" t="n">
        <f aca="false">IF(C13&lt;=1_DATOS!C5,1-(1-D13*2_CALCULOS!C38)^1_DATOS!C13,0)</f>
        <v>0.6636</v>
      </c>
      <c r="F13" s="37" t="n">
        <f aca="false">IF(C13&lt;=1_DATOS!C7,1-(1-D13*2_CALCULOS!E38)^1_DATOS!C14,0)</f>
        <v>0</v>
      </c>
      <c r="G13" s="47" t="n">
        <f aca="false">1-(1-E13)*(1-F13)</f>
        <v>0.6636</v>
      </c>
      <c r="H13" s="53" t="str">
        <f aca="false">IF(G13&gt;0.5,"SI","NO")</f>
        <v>SI</v>
      </c>
      <c r="I13" s="53" t="str">
        <f aca="false">IF(G13&gt;0.5,"NO","POSIBLE")</f>
        <v>NO</v>
      </c>
    </row>
    <row r="14" customFormat="false" ht="12" hidden="false" customHeight="true" outlineLevel="0" collapsed="false">
      <c r="B14" s="52" t="s">
        <v>163</v>
      </c>
      <c r="C14" s="45" t="n">
        <f aca="false">RANDBETWEEN(1,INT(1_DATOS!C6))*1</f>
        <v>35</v>
      </c>
      <c r="D14" s="41" t="n">
        <f aca="false">IF(C14&lt;=5,1_DATOS!C20/100,IF(C14&gt;=1_DATOS!C21,1_DATOS!C19/100,1_DATOS!C19/100+((1_DATOS!C21-C14)/(1_DATOS!C21-5))*(1_DATOS!C20/100-1_DATOS!C19/100)))</f>
        <v>0.6</v>
      </c>
      <c r="E14" s="46" t="n">
        <f aca="false">IF(C14&lt;=1_DATOS!C5,1-(1-D14*2_CALCULOS!C38)^1_DATOS!C13,0)</f>
        <v>0</v>
      </c>
      <c r="F14" s="37" t="n">
        <f aca="false">IF(C14&lt;=1_DATOS!C7,1-(1-D14*2_CALCULOS!E38)^1_DATOS!C14,0)</f>
        <v>0</v>
      </c>
      <c r="G14" s="47" t="n">
        <f aca="false">1-(1-E14)*(1-F14)</f>
        <v>0</v>
      </c>
      <c r="H14" s="53" t="str">
        <f aca="false">IF(G14&gt;0.5,"SI","NO")</f>
        <v>NO</v>
      </c>
      <c r="I14" s="53" t="str">
        <f aca="false">IF(G14&gt;0.5,"NO","POSIBLE")</f>
        <v>POSIBLE</v>
      </c>
    </row>
    <row r="15" customFormat="false" ht="12" hidden="false" customHeight="true" outlineLevel="0" collapsed="false">
      <c r="B15" s="52" t="s">
        <v>164</v>
      </c>
      <c r="C15" s="45" t="n">
        <f aca="false">RANDBETWEEN(1,INT(1_DATOS!C6))*1</f>
        <v>39</v>
      </c>
      <c r="D15" s="41" t="n">
        <f aca="false">IF(C15&lt;=5,1_DATOS!C20/100,IF(C15&gt;=1_DATOS!C21,1_DATOS!C19/100,1_DATOS!C19/100+((1_DATOS!C21-C15)/(1_DATOS!C21-5))*(1_DATOS!C20/100-1_DATOS!C19/100)))</f>
        <v>0.6</v>
      </c>
      <c r="E15" s="46" t="n">
        <f aca="false">IF(C15&lt;=1_DATOS!C5,1-(1-D15*2_CALCULOS!C38)^1_DATOS!C13,0)</f>
        <v>0</v>
      </c>
      <c r="F15" s="37" t="n">
        <f aca="false">IF(C15&lt;=1_DATOS!C7,1-(1-D15*2_CALCULOS!E38)^1_DATOS!C14,0)</f>
        <v>0</v>
      </c>
      <c r="G15" s="47" t="n">
        <f aca="false">1-(1-E15)*(1-F15)</f>
        <v>0</v>
      </c>
      <c r="H15" s="53" t="str">
        <f aca="false">IF(G15&gt;0.5,"SI","NO")</f>
        <v>NO</v>
      </c>
      <c r="I15" s="53" t="str">
        <f aca="false">IF(G15&gt;0.5,"NO","POSIBLE")</f>
        <v>POSIBLE</v>
      </c>
    </row>
    <row r="16" customFormat="false" ht="12" hidden="false" customHeight="true" outlineLevel="0" collapsed="false">
      <c r="B16" s="52" t="s">
        <v>165</v>
      </c>
      <c r="C16" s="45" t="n">
        <f aca="false">RANDBETWEEN(1,INT(1_DATOS!C6))*1</f>
        <v>3</v>
      </c>
      <c r="D16" s="41" t="n">
        <f aca="false">IF(C16&lt;=5,1_DATOS!C20/100,IF(C16&gt;=1_DATOS!C21,1_DATOS!C19/100,1_DATOS!C19/100+((1_DATOS!C21-C16)/(1_DATOS!C21-5))*(1_DATOS!C20/100-1_DATOS!C19/100)))</f>
        <v>0.95</v>
      </c>
      <c r="E16" s="46" t="n">
        <f aca="false">IF(C16&lt;=1_DATOS!C5,1-(1-D16*2_CALCULOS!C38)^1_DATOS!C13,0)</f>
        <v>0.887775</v>
      </c>
      <c r="F16" s="37" t="n">
        <f aca="false">IF(C16&lt;=1_DATOS!C7,1-(1-D16*2_CALCULOS!E38)^1_DATOS!C14,0)</f>
        <v>0.887775</v>
      </c>
      <c r="G16" s="47" t="n">
        <f aca="false">1-(1-E16)*(1-F16)</f>
        <v>0.987405549375</v>
      </c>
      <c r="H16" s="53" t="str">
        <f aca="false">IF(G16&gt;0.5,"SI","NO")</f>
        <v>SI</v>
      </c>
      <c r="I16" s="53" t="str">
        <f aca="false">IF(G16&gt;0.5,"NO","POSIBLE")</f>
        <v>NO</v>
      </c>
    </row>
    <row r="17" customFormat="false" ht="12" hidden="false" customHeight="true" outlineLevel="0" collapsed="false">
      <c r="B17" s="52" t="s">
        <v>166</v>
      </c>
      <c r="C17" s="45" t="n">
        <f aca="false">RANDBETWEEN(1,INT(1_DATOS!C6))*1</f>
        <v>23</v>
      </c>
      <c r="D17" s="41" t="n">
        <f aca="false">IF(C17&lt;=5,1_DATOS!C20/100,IF(C17&gt;=1_DATOS!C21,1_DATOS!C19/100,1_DATOS!C19/100+((1_DATOS!C21-C17)/(1_DATOS!C21-5))*(1_DATOS!C20/100-1_DATOS!C19/100)))</f>
        <v>0.6</v>
      </c>
      <c r="E17" s="46" t="n">
        <f aca="false">IF(C17&lt;=1_DATOS!C5,1-(1-D17*2_CALCULOS!C38)^1_DATOS!C13,0)</f>
        <v>0.6636</v>
      </c>
      <c r="F17" s="37" t="n">
        <f aca="false">IF(C17&lt;=1_DATOS!C7,1-(1-D17*2_CALCULOS!E38)^1_DATOS!C14,0)</f>
        <v>0</v>
      </c>
      <c r="G17" s="47" t="n">
        <f aca="false">1-(1-E17)*(1-F17)</f>
        <v>0.6636</v>
      </c>
      <c r="H17" s="53" t="str">
        <f aca="false">IF(G17&gt;0.5,"SI","NO")</f>
        <v>SI</v>
      </c>
      <c r="I17" s="53" t="str">
        <f aca="false">IF(G17&gt;0.5,"NO","POSIBLE")</f>
        <v>NO</v>
      </c>
    </row>
    <row r="18" customFormat="false" ht="12" hidden="false" customHeight="true" outlineLevel="0" collapsed="false">
      <c r="B18" s="52" t="s">
        <v>167</v>
      </c>
      <c r="C18" s="45" t="n">
        <f aca="false">RANDBETWEEN(1,INT(1_DATOS!C6))*1</f>
        <v>19</v>
      </c>
      <c r="D18" s="41" t="n">
        <f aca="false">IF(C18&lt;=5,1_DATOS!C20/100,IF(C18&gt;=1_DATOS!C21,1_DATOS!C19/100,1_DATOS!C19/100+((1_DATOS!C21-C18)/(1_DATOS!C21-5))*(1_DATOS!C20/100-1_DATOS!C19/100)))</f>
        <v>0.6</v>
      </c>
      <c r="E18" s="46" t="n">
        <f aca="false">IF(C18&lt;=1_DATOS!C5,1-(1-D18*2_CALCULOS!C38)^1_DATOS!C13,0)</f>
        <v>0.6636</v>
      </c>
      <c r="F18" s="37" t="n">
        <f aca="false">IF(C18&lt;=1_DATOS!C7,1-(1-D18*2_CALCULOS!E38)^1_DATOS!C14,0)</f>
        <v>0</v>
      </c>
      <c r="G18" s="47" t="n">
        <f aca="false">1-(1-E18)*(1-F18)</f>
        <v>0.6636</v>
      </c>
      <c r="H18" s="53" t="str">
        <f aca="false">IF(G18&gt;0.5,"SI","NO")</f>
        <v>SI</v>
      </c>
      <c r="I18" s="53" t="str">
        <f aca="false">IF(G18&gt;0.5,"NO","POSIBLE")</f>
        <v>NO</v>
      </c>
    </row>
    <row r="19" customFormat="false" ht="12" hidden="false" customHeight="true" outlineLevel="0" collapsed="false">
      <c r="B19" s="52" t="s">
        <v>168</v>
      </c>
      <c r="C19" s="45" t="n">
        <f aca="false">RANDBETWEEN(1,INT(1_DATOS!C6))*1</f>
        <v>37</v>
      </c>
      <c r="D19" s="41" t="n">
        <f aca="false">IF(C19&lt;=5,1_DATOS!C20/100,IF(C19&gt;=1_DATOS!C21,1_DATOS!C19/100,1_DATOS!C19/100+((1_DATOS!C21-C19)/(1_DATOS!C21-5))*(1_DATOS!C20/100-1_DATOS!C19/100)))</f>
        <v>0.6</v>
      </c>
      <c r="E19" s="46" t="n">
        <f aca="false">IF(C19&lt;=1_DATOS!C5,1-(1-D19*2_CALCULOS!C38)^1_DATOS!C13,0)</f>
        <v>0</v>
      </c>
      <c r="F19" s="37" t="n">
        <f aca="false">IF(C19&lt;=1_DATOS!C7,1-(1-D19*2_CALCULOS!E38)^1_DATOS!C14,0)</f>
        <v>0</v>
      </c>
      <c r="G19" s="47" t="n">
        <f aca="false">1-(1-E19)*(1-F19)</f>
        <v>0</v>
      </c>
      <c r="H19" s="53" t="str">
        <f aca="false">IF(G19&gt;0.5,"SI","NO")</f>
        <v>NO</v>
      </c>
      <c r="I19" s="53" t="str">
        <f aca="false">IF(G19&gt;0.5,"NO","POSIBLE")</f>
        <v>POSIBLE</v>
      </c>
    </row>
    <row r="20" customFormat="false" ht="12" hidden="false" customHeight="true" outlineLevel="0" collapsed="false">
      <c r="B20" s="52" t="s">
        <v>169</v>
      </c>
      <c r="C20" s="45" t="n">
        <f aca="false">RANDBETWEEN(1,INT(1_DATOS!C6))*1</f>
        <v>48</v>
      </c>
      <c r="D20" s="41" t="n">
        <f aca="false">IF(C20&lt;=5,1_DATOS!C20/100,IF(C20&gt;=1_DATOS!C21,1_DATOS!C19/100,1_DATOS!C19/100+((1_DATOS!C21-C20)/(1_DATOS!C21-5))*(1_DATOS!C20/100-1_DATOS!C19/100)))</f>
        <v>0.6</v>
      </c>
      <c r="E20" s="46" t="n">
        <f aca="false">IF(C20&lt;=1_DATOS!C5,1-(1-D20*2_CALCULOS!C38)^1_DATOS!C13,0)</f>
        <v>0</v>
      </c>
      <c r="F20" s="37" t="n">
        <f aca="false">IF(C20&lt;=1_DATOS!C7,1-(1-D20*2_CALCULOS!E38)^1_DATOS!C14,0)</f>
        <v>0</v>
      </c>
      <c r="G20" s="47" t="n">
        <f aca="false">1-(1-E20)*(1-F20)</f>
        <v>0</v>
      </c>
      <c r="H20" s="53" t="str">
        <f aca="false">IF(G20&gt;0.5,"SI","NO")</f>
        <v>NO</v>
      </c>
      <c r="I20" s="53" t="str">
        <f aca="false">IF(G20&gt;0.5,"NO","POSIBLE")</f>
        <v>POSIBLE</v>
      </c>
    </row>
    <row r="21" customFormat="false" ht="12" hidden="false" customHeight="true" outlineLevel="0" collapsed="false">
      <c r="B21" s="52" t="s">
        <v>170</v>
      </c>
      <c r="C21" s="45" t="n">
        <f aca="false">RANDBETWEEN(1,INT(1_DATOS!C6))*1</f>
        <v>12</v>
      </c>
      <c r="D21" s="41" t="n">
        <f aca="false">IF(C21&lt;=5,1_DATOS!C20/100,IF(C21&gt;=1_DATOS!C21,1_DATOS!C19/100,1_DATOS!C19/100+((1_DATOS!C21-C21)/(1_DATOS!C21-5))*(1_DATOS!C20/100-1_DATOS!C19/100)))</f>
        <v>0.6</v>
      </c>
      <c r="E21" s="46" t="n">
        <f aca="false">IF(C21&lt;=1_DATOS!C5,1-(1-D21*2_CALCULOS!C38)^1_DATOS!C13,0)</f>
        <v>0.6636</v>
      </c>
      <c r="F21" s="37" t="n">
        <f aca="false">IF(C21&lt;=1_DATOS!C7,1-(1-D21*2_CALCULOS!E38)^1_DATOS!C14,0)</f>
        <v>0.6636</v>
      </c>
      <c r="G21" s="47" t="n">
        <f aca="false">1-(1-E21)*(1-F21)</f>
        <v>0.88683504</v>
      </c>
      <c r="H21" s="53" t="str">
        <f aca="false">IF(G21&gt;0.5,"SI","NO")</f>
        <v>SI</v>
      </c>
      <c r="I21" s="53" t="str">
        <f aca="false">IF(G21&gt;0.5,"NO","POSIBLE")</f>
        <v>NO</v>
      </c>
    </row>
    <row r="22" customFormat="false" ht="12" hidden="false" customHeight="true" outlineLevel="0" collapsed="false">
      <c r="B22" s="52" t="s">
        <v>171</v>
      </c>
      <c r="C22" s="45" t="n">
        <f aca="false">RANDBETWEEN(1,INT(1_DATOS!C6))*1</f>
        <v>4</v>
      </c>
      <c r="D22" s="41" t="n">
        <f aca="false">IF(C22&lt;=5,1_DATOS!C20/100,IF(C22&gt;=1_DATOS!C21,1_DATOS!C19/100,1_DATOS!C19/100+((1_DATOS!C21-C22)/(1_DATOS!C21-5))*(1_DATOS!C20/100-1_DATOS!C19/100)))</f>
        <v>0.95</v>
      </c>
      <c r="E22" s="46" t="n">
        <f aca="false">IF(C22&lt;=1_DATOS!C5,1-(1-D22*2_CALCULOS!C38)^1_DATOS!C13,0)</f>
        <v>0.887775</v>
      </c>
      <c r="F22" s="37" t="n">
        <f aca="false">IF(C22&lt;=1_DATOS!C7,1-(1-D22*2_CALCULOS!E38)^1_DATOS!C14,0)</f>
        <v>0.887775</v>
      </c>
      <c r="G22" s="47" t="n">
        <f aca="false">1-(1-E22)*(1-F22)</f>
        <v>0.987405549375</v>
      </c>
      <c r="H22" s="53" t="str">
        <f aca="false">IF(G22&gt;0.5,"SI","NO")</f>
        <v>SI</v>
      </c>
      <c r="I22" s="53" t="str">
        <f aca="false">IF(G22&gt;0.5,"NO","POSIBLE")</f>
        <v>NO</v>
      </c>
    </row>
    <row r="23" customFormat="false" ht="12" hidden="false" customHeight="true" outlineLevel="0" collapsed="false">
      <c r="B23" s="52" t="s">
        <v>172</v>
      </c>
      <c r="C23" s="45" t="n">
        <f aca="false">RANDBETWEEN(1,INT(1_DATOS!C6))*1</f>
        <v>12</v>
      </c>
      <c r="D23" s="41" t="n">
        <f aca="false">IF(C23&lt;=5,1_DATOS!C20/100,IF(C23&gt;=1_DATOS!C21,1_DATOS!C19/100,1_DATOS!C19/100+((1_DATOS!C21-C23)/(1_DATOS!C21-5))*(1_DATOS!C20/100-1_DATOS!C19/100)))</f>
        <v>0.6</v>
      </c>
      <c r="E23" s="46" t="n">
        <f aca="false">IF(C23&lt;=1_DATOS!C5,1-(1-D23*2_CALCULOS!C38)^1_DATOS!C13,0)</f>
        <v>0.6636</v>
      </c>
      <c r="F23" s="37" t="n">
        <f aca="false">IF(C23&lt;=1_DATOS!C7,1-(1-D23*2_CALCULOS!E38)^1_DATOS!C14,0)</f>
        <v>0.6636</v>
      </c>
      <c r="G23" s="47" t="n">
        <f aca="false">1-(1-E23)*(1-F23)</f>
        <v>0.88683504</v>
      </c>
      <c r="H23" s="53" t="str">
        <f aca="false">IF(G23&gt;0.5,"SI","NO")</f>
        <v>SI</v>
      </c>
      <c r="I23" s="53" t="str">
        <f aca="false">IF(G23&gt;0.5,"NO","POSIBLE")</f>
        <v>NO</v>
      </c>
    </row>
    <row r="24" customFormat="false" ht="12" hidden="false" customHeight="true" outlineLevel="0" collapsed="false">
      <c r="B24" s="52" t="s">
        <v>173</v>
      </c>
      <c r="C24" s="45" t="n">
        <f aca="false">RANDBETWEEN(1,INT(1_DATOS!C6))*1</f>
        <v>31</v>
      </c>
      <c r="D24" s="41" t="n">
        <f aca="false">IF(C24&lt;=5,1_DATOS!C20/100,IF(C24&gt;=1_DATOS!C21,1_DATOS!C19/100,1_DATOS!C19/100+((1_DATOS!C21-C24)/(1_DATOS!C21-5))*(1_DATOS!C20/100-1_DATOS!C19/100)))</f>
        <v>0.6</v>
      </c>
      <c r="E24" s="46" t="n">
        <f aca="false">IF(C24&lt;=1_DATOS!C5,1-(1-D24*2_CALCULOS!C38)^1_DATOS!C13,0)</f>
        <v>0</v>
      </c>
      <c r="F24" s="37" t="n">
        <f aca="false">IF(C24&lt;=1_DATOS!C7,1-(1-D24*2_CALCULOS!E38)^1_DATOS!C14,0)</f>
        <v>0</v>
      </c>
      <c r="G24" s="47" t="n">
        <f aca="false">1-(1-E24)*(1-F24)</f>
        <v>0</v>
      </c>
      <c r="H24" s="53" t="str">
        <f aca="false">IF(G24&gt;0.5,"SI","NO")</f>
        <v>NO</v>
      </c>
      <c r="I24" s="53" t="str">
        <f aca="false">IF(G24&gt;0.5,"NO","POSIBLE")</f>
        <v>POSIBLE</v>
      </c>
    </row>
    <row r="25" customFormat="false" ht="12" hidden="false" customHeight="true" outlineLevel="0" collapsed="false">
      <c r="B25" s="52" t="s">
        <v>174</v>
      </c>
      <c r="C25" s="45" t="n">
        <f aca="false">RANDBETWEEN(1,INT(1_DATOS!C6))*1</f>
        <v>5</v>
      </c>
      <c r="D25" s="41" t="n">
        <f aca="false">IF(C25&lt;=5,1_DATOS!C20/100,IF(C25&gt;=1_DATOS!C21,1_DATOS!C19/100,1_DATOS!C19/100+((1_DATOS!C21-C25)/(1_DATOS!C21-5))*(1_DATOS!C20/100-1_DATOS!C19/100)))</f>
        <v>0.95</v>
      </c>
      <c r="E25" s="46" t="n">
        <f aca="false">IF(C25&lt;=1_DATOS!C5,1-(1-D25*2_CALCULOS!C38)^1_DATOS!C13,0)</f>
        <v>0.887775</v>
      </c>
      <c r="F25" s="37" t="n">
        <f aca="false">IF(C25&lt;=1_DATOS!C7,1-(1-D25*2_CALCULOS!E38)^1_DATOS!C14,0)</f>
        <v>0.887775</v>
      </c>
      <c r="G25" s="47" t="n">
        <f aca="false">1-(1-E25)*(1-F25)</f>
        <v>0.987405549375</v>
      </c>
      <c r="H25" s="53" t="str">
        <f aca="false">IF(G25&gt;0.5,"SI","NO")</f>
        <v>SI</v>
      </c>
      <c r="I25" s="53" t="str">
        <f aca="false">IF(G25&gt;0.5,"NO","POSIBLE")</f>
        <v>NO</v>
      </c>
    </row>
    <row r="26" customFormat="false" ht="12" hidden="false" customHeight="true" outlineLevel="0" collapsed="false">
      <c r="B26" s="52" t="s">
        <v>175</v>
      </c>
      <c r="C26" s="45" t="n">
        <f aca="false">RANDBETWEEN(1,INT(1_DATOS!C6))*1</f>
        <v>52</v>
      </c>
      <c r="D26" s="41" t="n">
        <f aca="false">IF(C26&lt;=5,1_DATOS!C20/100,IF(C26&gt;=1_DATOS!C21,1_DATOS!C19/100,1_DATOS!C19/100+((1_DATOS!C21-C26)/(1_DATOS!C21-5))*(1_DATOS!C20/100-1_DATOS!C19/100)))</f>
        <v>0.6</v>
      </c>
      <c r="E26" s="46" t="n">
        <f aca="false">IF(C26&lt;=1_DATOS!C5,1-(1-D26*2_CALCULOS!C38)^1_DATOS!C13,0)</f>
        <v>0</v>
      </c>
      <c r="F26" s="37" t="n">
        <f aca="false">IF(C26&lt;=1_DATOS!C7,1-(1-D26*2_CALCULOS!E38)^1_DATOS!C14,0)</f>
        <v>0</v>
      </c>
      <c r="G26" s="47" t="n">
        <f aca="false">1-(1-E26)*(1-F26)</f>
        <v>0</v>
      </c>
      <c r="H26" s="53" t="str">
        <f aca="false">IF(G26&gt;0.5,"SI","NO")</f>
        <v>NO</v>
      </c>
      <c r="I26" s="53" t="str">
        <f aca="false">IF(G26&gt;0.5,"NO","POSIBLE")</f>
        <v>POSIBLE</v>
      </c>
    </row>
    <row r="27" customFormat="false" ht="12" hidden="false" customHeight="true" outlineLevel="0" collapsed="false">
      <c r="B27" s="52" t="s">
        <v>176</v>
      </c>
      <c r="C27" s="45" t="n">
        <f aca="false">RANDBETWEEN(1,INT(1_DATOS!C6))*1</f>
        <v>15</v>
      </c>
      <c r="D27" s="41" t="n">
        <f aca="false">IF(C27&lt;=5,1_DATOS!C20/100,IF(C27&gt;=1_DATOS!C21,1_DATOS!C19/100,1_DATOS!C19/100+((1_DATOS!C21-C27)/(1_DATOS!C21-5))*(1_DATOS!C20/100-1_DATOS!C19/100)))</f>
        <v>0.6</v>
      </c>
      <c r="E27" s="46" t="n">
        <f aca="false">IF(C27&lt;=1_DATOS!C5,1-(1-D27*2_CALCULOS!C38)^1_DATOS!C13,0)</f>
        <v>0.6636</v>
      </c>
      <c r="F27" s="37" t="n">
        <f aca="false">IF(C27&lt;=1_DATOS!C7,1-(1-D27*2_CALCULOS!E38)^1_DATOS!C14,0)</f>
        <v>0</v>
      </c>
      <c r="G27" s="47" t="n">
        <f aca="false">1-(1-E27)*(1-F27)</f>
        <v>0.6636</v>
      </c>
      <c r="H27" s="53" t="str">
        <f aca="false">IF(G27&gt;0.5,"SI","NO")</f>
        <v>SI</v>
      </c>
      <c r="I27" s="53" t="str">
        <f aca="false">IF(G27&gt;0.5,"NO","POSIBLE")</f>
        <v>NO</v>
      </c>
    </row>
    <row r="28" customFormat="false" ht="12" hidden="false" customHeight="true" outlineLevel="0" collapsed="false">
      <c r="B28" s="52" t="s">
        <v>177</v>
      </c>
      <c r="C28" s="45" t="n">
        <f aca="false">RANDBETWEEN(1,INT(1_DATOS!C6))*1</f>
        <v>41</v>
      </c>
      <c r="D28" s="41" t="n">
        <f aca="false">IF(C28&lt;=5,1_DATOS!C20/100,IF(C28&gt;=1_DATOS!C21,1_DATOS!C19/100,1_DATOS!C19/100+((1_DATOS!C21-C28)/(1_DATOS!C21-5))*(1_DATOS!C20/100-1_DATOS!C19/100)))</f>
        <v>0.6</v>
      </c>
      <c r="E28" s="46" t="n">
        <f aca="false">IF(C28&lt;=1_DATOS!C5,1-(1-D28*2_CALCULOS!C38)^1_DATOS!C13,0)</f>
        <v>0</v>
      </c>
      <c r="F28" s="37" t="n">
        <f aca="false">IF(C28&lt;=1_DATOS!C7,1-(1-D28*2_CALCULOS!E38)^1_DATOS!C14,0)</f>
        <v>0</v>
      </c>
      <c r="G28" s="47" t="n">
        <f aca="false">1-(1-E28)*(1-F28)</f>
        <v>0</v>
      </c>
      <c r="H28" s="53" t="str">
        <f aca="false">IF(G28&gt;0.5,"SI","NO")</f>
        <v>NO</v>
      </c>
      <c r="I28" s="53" t="str">
        <f aca="false">IF(G28&gt;0.5,"NO","POSIBLE")</f>
        <v>POSIBLE</v>
      </c>
    </row>
    <row r="29" customFormat="false" ht="12" hidden="false" customHeight="true" outlineLevel="0" collapsed="false">
      <c r="B29" s="52" t="s">
        <v>178</v>
      </c>
      <c r="C29" s="45" t="n">
        <f aca="false">RANDBETWEEN(1,INT(1_DATOS!C6))*1</f>
        <v>45</v>
      </c>
      <c r="D29" s="41" t="n">
        <f aca="false">IF(C29&lt;=5,1_DATOS!C20/100,IF(C29&gt;=1_DATOS!C21,1_DATOS!C19/100,1_DATOS!C19/100+((1_DATOS!C21-C29)/(1_DATOS!C21-5))*(1_DATOS!C20/100-1_DATOS!C19/100)))</f>
        <v>0.6</v>
      </c>
      <c r="E29" s="46" t="n">
        <f aca="false">IF(C29&lt;=1_DATOS!C5,1-(1-D29*2_CALCULOS!C38)^1_DATOS!C13,0)</f>
        <v>0</v>
      </c>
      <c r="F29" s="37" t="n">
        <f aca="false">IF(C29&lt;=1_DATOS!C7,1-(1-D29*2_CALCULOS!E38)^1_DATOS!C14,0)</f>
        <v>0</v>
      </c>
      <c r="G29" s="47" t="n">
        <f aca="false">1-(1-E29)*(1-F29)</f>
        <v>0</v>
      </c>
      <c r="H29" s="53" t="str">
        <f aca="false">IF(G29&gt;0.5,"SI","NO")</f>
        <v>NO</v>
      </c>
      <c r="I29" s="53" t="str">
        <f aca="false">IF(G29&gt;0.5,"NO","POSIBLE")</f>
        <v>POSIBLE</v>
      </c>
    </row>
    <row r="30" customFormat="false" ht="12" hidden="false" customHeight="true" outlineLevel="0" collapsed="false">
      <c r="B30" s="52" t="s">
        <v>179</v>
      </c>
      <c r="C30" s="45" t="n">
        <f aca="false">RANDBETWEEN(1,INT(1_DATOS!C6))*1</f>
        <v>27</v>
      </c>
      <c r="D30" s="41" t="n">
        <f aca="false">IF(C30&lt;=5,1_DATOS!C20/100,IF(C30&gt;=1_DATOS!C21,1_DATOS!C19/100,1_DATOS!C19/100+((1_DATOS!C21-C30)/(1_DATOS!C21-5))*(1_DATOS!C20/100-1_DATOS!C19/100)))</f>
        <v>0.6</v>
      </c>
      <c r="E30" s="46" t="n">
        <f aca="false">IF(C30&lt;=1_DATOS!C5,1-(1-D30*2_CALCULOS!C38)^1_DATOS!C13,0)</f>
        <v>0</v>
      </c>
      <c r="F30" s="37" t="n">
        <f aca="false">IF(C30&lt;=1_DATOS!C7,1-(1-D30*2_CALCULOS!E38)^1_DATOS!C14,0)</f>
        <v>0</v>
      </c>
      <c r="G30" s="47" t="n">
        <f aca="false">1-(1-E30)*(1-F30)</f>
        <v>0</v>
      </c>
      <c r="H30" s="53" t="str">
        <f aca="false">IF(G30&gt;0.5,"SI","NO")</f>
        <v>NO</v>
      </c>
      <c r="I30" s="53" t="str">
        <f aca="false">IF(G30&gt;0.5,"NO","POSIBLE")</f>
        <v>POSIBLE</v>
      </c>
    </row>
    <row r="31" customFormat="false" ht="12" hidden="false" customHeight="true" outlineLevel="0" collapsed="false">
      <c r="B31" s="52" t="s">
        <v>180</v>
      </c>
      <c r="C31" s="45" t="n">
        <f aca="false">RANDBETWEEN(1,INT(1_DATOS!C6))*1</f>
        <v>26</v>
      </c>
      <c r="D31" s="41" t="n">
        <f aca="false">IF(C31&lt;=5,1_DATOS!C20/100,IF(C31&gt;=1_DATOS!C21,1_DATOS!C19/100,1_DATOS!C19/100+((1_DATOS!C21-C31)/(1_DATOS!C21-5))*(1_DATOS!C20/100-1_DATOS!C19/100)))</f>
        <v>0.6</v>
      </c>
      <c r="E31" s="46" t="n">
        <f aca="false">IF(C31&lt;=1_DATOS!C5,1-(1-D31*2_CALCULOS!C38)^1_DATOS!C13,0)</f>
        <v>0</v>
      </c>
      <c r="F31" s="37" t="n">
        <f aca="false">IF(C31&lt;=1_DATOS!C7,1-(1-D31*2_CALCULOS!E38)^1_DATOS!C14,0)</f>
        <v>0</v>
      </c>
      <c r="G31" s="47" t="n">
        <f aca="false">1-(1-E31)*(1-F31)</f>
        <v>0</v>
      </c>
      <c r="H31" s="53" t="str">
        <f aca="false">IF(G31&gt;0.5,"SI","NO")</f>
        <v>NO</v>
      </c>
      <c r="I31" s="53" t="str">
        <f aca="false">IF(G31&gt;0.5,"NO","POSIBLE")</f>
        <v>POSIBLE</v>
      </c>
    </row>
    <row r="32" customFormat="false" ht="12" hidden="false" customHeight="true" outlineLevel="0" collapsed="false">
      <c r="B32" s="52" t="s">
        <v>181</v>
      </c>
      <c r="C32" s="45" t="n">
        <f aca="false">RANDBETWEEN(1,INT(1_DATOS!C6))*1</f>
        <v>10</v>
      </c>
      <c r="D32" s="41" t="n">
        <f aca="false">IF(C32&lt;=5,1_DATOS!C20/100,IF(C32&gt;=1_DATOS!C21,1_DATOS!C19/100,1_DATOS!C19/100+((1_DATOS!C21-C32)/(1_DATOS!C21-5))*(1_DATOS!C20/100-1_DATOS!C19/100)))</f>
        <v>0.6</v>
      </c>
      <c r="E32" s="46" t="n">
        <f aca="false">IF(C32&lt;=1_DATOS!C5,1-(1-D32*2_CALCULOS!C38)^1_DATOS!C13,0)</f>
        <v>0.6636</v>
      </c>
      <c r="F32" s="37" t="n">
        <f aca="false">IF(C32&lt;=1_DATOS!C7,1-(1-D32*2_CALCULOS!E38)^1_DATOS!C14,0)</f>
        <v>0.6636</v>
      </c>
      <c r="G32" s="47" t="n">
        <f aca="false">1-(1-E32)*(1-F32)</f>
        <v>0.88683504</v>
      </c>
      <c r="H32" s="53" t="str">
        <f aca="false">IF(G32&gt;0.5,"SI","NO")</f>
        <v>SI</v>
      </c>
      <c r="I32" s="53" t="str">
        <f aca="false">IF(G32&gt;0.5,"NO","POSIBLE")</f>
        <v>NO</v>
      </c>
    </row>
    <row r="33" customFormat="false" ht="12" hidden="false" customHeight="true" outlineLevel="0" collapsed="false">
      <c r="B33" s="52" t="s">
        <v>182</v>
      </c>
      <c r="C33" s="45" t="n">
        <f aca="false">RANDBETWEEN(1,INT(1_DATOS!C6))*1</f>
        <v>8</v>
      </c>
      <c r="D33" s="41" t="n">
        <f aca="false">IF(C33&lt;=5,1_DATOS!C20/100,IF(C33&gt;=1_DATOS!C21,1_DATOS!C19/100,1_DATOS!C19/100+((1_DATOS!C21-C33)/(1_DATOS!C21-5))*(1_DATOS!C20/100-1_DATOS!C19/100)))</f>
        <v>0.74</v>
      </c>
      <c r="E33" s="46" t="n">
        <f aca="false">IF(C33&lt;=1_DATOS!C5,1-(1-D33*2_CALCULOS!C38)^1_DATOS!C13,0)</f>
        <v>0.767676</v>
      </c>
      <c r="F33" s="37" t="n">
        <f aca="false">IF(C33&lt;=1_DATOS!C7,1-(1-D33*2_CALCULOS!E38)^1_DATOS!C14,0)</f>
        <v>0.767676</v>
      </c>
      <c r="G33" s="47" t="n">
        <f aca="false">1-(1-E33)*(1-F33)</f>
        <v>0.946025559024</v>
      </c>
      <c r="H33" s="53" t="str">
        <f aca="false">IF(G33&gt;0.5,"SI","NO")</f>
        <v>SI</v>
      </c>
      <c r="I33" s="53" t="str">
        <f aca="false">IF(G33&gt;0.5,"NO","POSIBLE")</f>
        <v>NO</v>
      </c>
    </row>
    <row r="34" customFormat="false" ht="12" hidden="false" customHeight="true" outlineLevel="0" collapsed="false">
      <c r="B34" s="52" t="s">
        <v>183</v>
      </c>
      <c r="C34" s="45" t="n">
        <f aca="false">RANDBETWEEN(1,INT(1_DATOS!C6))*1</f>
        <v>12</v>
      </c>
      <c r="D34" s="41" t="n">
        <f aca="false">IF(C34&lt;=5,1_DATOS!C20/100,IF(C34&gt;=1_DATOS!C21,1_DATOS!C19/100,1_DATOS!C19/100+((1_DATOS!C21-C34)/(1_DATOS!C21-5))*(1_DATOS!C20/100-1_DATOS!C19/100)))</f>
        <v>0.6</v>
      </c>
      <c r="E34" s="46" t="n">
        <f aca="false">IF(C34&lt;=1_DATOS!C5,1-(1-D34*2_CALCULOS!C38)^1_DATOS!C13,0)</f>
        <v>0.6636</v>
      </c>
      <c r="F34" s="37" t="n">
        <f aca="false">IF(C34&lt;=1_DATOS!C7,1-(1-D34*2_CALCULOS!E38)^1_DATOS!C14,0)</f>
        <v>0.6636</v>
      </c>
      <c r="G34" s="47" t="n">
        <f aca="false">1-(1-E34)*(1-F34)</f>
        <v>0.88683504</v>
      </c>
      <c r="H34" s="53" t="str">
        <f aca="false">IF(G34&gt;0.5,"SI","NO")</f>
        <v>SI</v>
      </c>
      <c r="I34" s="53" t="str">
        <f aca="false">IF(G34&gt;0.5,"NO","POSIBLE")</f>
        <v>NO</v>
      </c>
    </row>
    <row r="35" customFormat="false" ht="12" hidden="false" customHeight="true" outlineLevel="0" collapsed="false">
      <c r="B35" s="52" t="s">
        <v>184</v>
      </c>
      <c r="C35" s="45" t="n">
        <f aca="false">RANDBETWEEN(1,INT(1_DATOS!C6))*1</f>
        <v>19</v>
      </c>
      <c r="D35" s="41" t="n">
        <f aca="false">IF(C35&lt;=5,1_DATOS!C20/100,IF(C35&gt;=1_DATOS!C21,1_DATOS!C19/100,1_DATOS!C19/100+((1_DATOS!C21-C35)/(1_DATOS!C21-5))*(1_DATOS!C20/100-1_DATOS!C19/100)))</f>
        <v>0.6</v>
      </c>
      <c r="E35" s="46" t="n">
        <f aca="false">IF(C35&lt;=1_DATOS!C5,1-(1-D35*2_CALCULOS!C38)^1_DATOS!C13,0)</f>
        <v>0.6636</v>
      </c>
      <c r="F35" s="37" t="n">
        <f aca="false">IF(C35&lt;=1_DATOS!C7,1-(1-D35*2_CALCULOS!E38)^1_DATOS!C14,0)</f>
        <v>0</v>
      </c>
      <c r="G35" s="47" t="n">
        <f aca="false">1-(1-E35)*(1-F35)</f>
        <v>0.6636</v>
      </c>
      <c r="H35" s="53" t="str">
        <f aca="false">IF(G35&gt;0.5,"SI","NO")</f>
        <v>SI</v>
      </c>
      <c r="I35" s="53" t="str">
        <f aca="false">IF(G35&gt;0.5,"NO","POSIBLE")</f>
        <v>NO</v>
      </c>
    </row>
    <row r="36" customFormat="false" ht="12" hidden="false" customHeight="true" outlineLevel="0" collapsed="false">
      <c r="B36" s="52" t="s">
        <v>185</v>
      </c>
      <c r="C36" s="45" t="n">
        <f aca="false">RANDBETWEEN(1,INT(1_DATOS!C6))*1</f>
        <v>52</v>
      </c>
      <c r="D36" s="41" t="n">
        <f aca="false">IF(C36&lt;=5,1_DATOS!C20/100,IF(C36&gt;=1_DATOS!C21,1_DATOS!C19/100,1_DATOS!C19/100+((1_DATOS!C21-C36)/(1_DATOS!C21-5))*(1_DATOS!C20/100-1_DATOS!C19/100)))</f>
        <v>0.6</v>
      </c>
      <c r="E36" s="46" t="n">
        <f aca="false">IF(C36&lt;=1_DATOS!C5,1-(1-D36*2_CALCULOS!C38)^1_DATOS!C13,0)</f>
        <v>0</v>
      </c>
      <c r="F36" s="37" t="n">
        <f aca="false">IF(C36&lt;=1_DATOS!C7,1-(1-D36*2_CALCULOS!E38)^1_DATOS!C14,0)</f>
        <v>0</v>
      </c>
      <c r="G36" s="47" t="n">
        <f aca="false">1-(1-E36)*(1-F36)</f>
        <v>0</v>
      </c>
      <c r="H36" s="53" t="str">
        <f aca="false">IF(G36&gt;0.5,"SI","NO")</f>
        <v>NO</v>
      </c>
      <c r="I36" s="53" t="str">
        <f aca="false">IF(G36&gt;0.5,"NO","POSIBLE")</f>
        <v>POSIBLE</v>
      </c>
    </row>
    <row r="37" customFormat="false" ht="12" hidden="false" customHeight="true" outlineLevel="0" collapsed="false">
      <c r="B37" s="52" t="s">
        <v>186</v>
      </c>
      <c r="C37" s="45" t="n">
        <f aca="false">RANDBETWEEN(1,INT(1_DATOS!C6))*1</f>
        <v>3</v>
      </c>
      <c r="D37" s="41" t="n">
        <f aca="false">IF(C37&lt;=5,1_DATOS!C20/100,IF(C37&gt;=1_DATOS!C21,1_DATOS!C19/100,1_DATOS!C19/100+((1_DATOS!C21-C37)/(1_DATOS!C21-5))*(1_DATOS!C20/100-1_DATOS!C19/100)))</f>
        <v>0.95</v>
      </c>
      <c r="E37" s="46" t="n">
        <f aca="false">IF(C37&lt;=1_DATOS!C5,1-(1-D37*2_CALCULOS!C38)^1_DATOS!C13,0)</f>
        <v>0.887775</v>
      </c>
      <c r="F37" s="37" t="n">
        <f aca="false">IF(C37&lt;=1_DATOS!C7,1-(1-D37*2_CALCULOS!E38)^1_DATOS!C14,0)</f>
        <v>0.887775</v>
      </c>
      <c r="G37" s="47" t="n">
        <f aca="false">1-(1-E37)*(1-F37)</f>
        <v>0.987405549375</v>
      </c>
      <c r="H37" s="53" t="str">
        <f aca="false">IF(G37&gt;0.5,"SI","NO")</f>
        <v>SI</v>
      </c>
      <c r="I37" s="53" t="str">
        <f aca="false">IF(G37&gt;0.5,"NO","POSIBLE")</f>
        <v>NO</v>
      </c>
    </row>
    <row r="38" customFormat="false" ht="12" hidden="false" customHeight="true" outlineLevel="0" collapsed="false">
      <c r="B38" s="52" t="s">
        <v>187</v>
      </c>
      <c r="C38" s="45" t="n">
        <f aca="false">RANDBETWEEN(1,INT(1_DATOS!C6))*1</f>
        <v>51</v>
      </c>
      <c r="D38" s="41" t="n">
        <f aca="false">IF(C38&lt;=5,1_DATOS!C20/100,IF(C38&gt;=1_DATOS!C21,1_DATOS!C19/100,1_DATOS!C19/100+((1_DATOS!C21-C38)/(1_DATOS!C21-5))*(1_DATOS!C20/100-1_DATOS!C19/100)))</f>
        <v>0.6</v>
      </c>
      <c r="E38" s="46" t="n">
        <f aca="false">IF(C38&lt;=1_DATOS!C5,1-(1-D38*2_CALCULOS!C38)^1_DATOS!C13,0)</f>
        <v>0</v>
      </c>
      <c r="F38" s="37" t="n">
        <f aca="false">IF(C38&lt;=1_DATOS!C7,1-(1-D38*2_CALCULOS!E38)^1_DATOS!C14,0)</f>
        <v>0</v>
      </c>
      <c r="G38" s="47" t="n">
        <f aca="false">1-(1-E38)*(1-F38)</f>
        <v>0</v>
      </c>
      <c r="H38" s="53" t="str">
        <f aca="false">IF(G38&gt;0.5,"SI","NO")</f>
        <v>NO</v>
      </c>
      <c r="I38" s="53" t="str">
        <f aca="false">IF(G38&gt;0.5,"NO","POSIBLE")</f>
        <v>POSIBLE</v>
      </c>
    </row>
    <row r="39" customFormat="false" ht="12" hidden="false" customHeight="true" outlineLevel="0" collapsed="false">
      <c r="B39" s="52" t="s">
        <v>188</v>
      </c>
      <c r="C39" s="45" t="n">
        <f aca="false">RANDBETWEEN(1,INT(1_DATOS!C6))*1</f>
        <v>22</v>
      </c>
      <c r="D39" s="41" t="n">
        <f aca="false">IF(C39&lt;=5,1_DATOS!C20/100,IF(C39&gt;=1_DATOS!C21,1_DATOS!C19/100,1_DATOS!C19/100+((1_DATOS!C21-C39)/(1_DATOS!C21-5))*(1_DATOS!C20/100-1_DATOS!C19/100)))</f>
        <v>0.6</v>
      </c>
      <c r="E39" s="46" t="n">
        <f aca="false">IF(C39&lt;=1_DATOS!C5,1-(1-D39*2_CALCULOS!C38)^1_DATOS!C13,0)</f>
        <v>0.6636</v>
      </c>
      <c r="F39" s="37" t="n">
        <f aca="false">IF(C39&lt;=1_DATOS!C7,1-(1-D39*2_CALCULOS!E38)^1_DATOS!C14,0)</f>
        <v>0</v>
      </c>
      <c r="G39" s="47" t="n">
        <f aca="false">1-(1-E39)*(1-F39)</f>
        <v>0.6636</v>
      </c>
      <c r="H39" s="53" t="str">
        <f aca="false">IF(G39&gt;0.5,"SI","NO")</f>
        <v>SI</v>
      </c>
      <c r="I39" s="53" t="str">
        <f aca="false">IF(G39&gt;0.5,"NO","POSIBLE")</f>
        <v>NO</v>
      </c>
    </row>
    <row r="40" customFormat="false" ht="12" hidden="false" customHeight="true" outlineLevel="0" collapsed="false">
      <c r="B40" s="52" t="s">
        <v>189</v>
      </c>
      <c r="C40" s="45" t="n">
        <f aca="false">RANDBETWEEN(1,INT(1_DATOS!C6))*1</f>
        <v>18</v>
      </c>
      <c r="D40" s="41" t="n">
        <f aca="false">IF(C40&lt;=5,1_DATOS!C20/100,IF(C40&gt;=1_DATOS!C21,1_DATOS!C19/100,1_DATOS!C19/100+((1_DATOS!C21-C40)/(1_DATOS!C21-5))*(1_DATOS!C20/100-1_DATOS!C19/100)))</f>
        <v>0.6</v>
      </c>
      <c r="E40" s="46" t="n">
        <f aca="false">IF(C40&lt;=1_DATOS!C5,1-(1-D40*2_CALCULOS!C38)^1_DATOS!C13,0)</f>
        <v>0.6636</v>
      </c>
      <c r="F40" s="37" t="n">
        <f aca="false">IF(C40&lt;=1_DATOS!C7,1-(1-D40*2_CALCULOS!E38)^1_DATOS!C14,0)</f>
        <v>0</v>
      </c>
      <c r="G40" s="47" t="n">
        <f aca="false">1-(1-E40)*(1-F40)</f>
        <v>0.6636</v>
      </c>
      <c r="H40" s="53" t="str">
        <f aca="false">IF(G40&gt;0.5,"SI","NO")</f>
        <v>SI</v>
      </c>
      <c r="I40" s="53" t="str">
        <f aca="false">IF(G40&gt;0.5,"NO","POSIBLE")</f>
        <v>NO</v>
      </c>
    </row>
    <row r="41" customFormat="false" ht="12" hidden="false" customHeight="true" outlineLevel="0" collapsed="false">
      <c r="B41" s="52" t="s">
        <v>190</v>
      </c>
      <c r="C41" s="45" t="n">
        <f aca="false">RANDBETWEEN(1,INT(1_DATOS!C6))*1</f>
        <v>57</v>
      </c>
      <c r="D41" s="41" t="n">
        <f aca="false">IF(C41&lt;=5,1_DATOS!C20/100,IF(C41&gt;=1_DATOS!C21,1_DATOS!C19/100,1_DATOS!C19/100+((1_DATOS!C21-C41)/(1_DATOS!C21-5))*(1_DATOS!C20/100-1_DATOS!C19/100)))</f>
        <v>0.6</v>
      </c>
      <c r="E41" s="46" t="n">
        <f aca="false">IF(C41&lt;=1_DATOS!C5,1-(1-D41*2_CALCULOS!C38)^1_DATOS!C13,0)</f>
        <v>0</v>
      </c>
      <c r="F41" s="37" t="n">
        <f aca="false">IF(C41&lt;=1_DATOS!C7,1-(1-D41*2_CALCULOS!E38)^1_DATOS!C14,0)</f>
        <v>0</v>
      </c>
      <c r="G41" s="47" t="n">
        <f aca="false">1-(1-E41)*(1-F41)</f>
        <v>0</v>
      </c>
      <c r="H41" s="53" t="str">
        <f aca="false">IF(G41&gt;0.5,"SI","NO")</f>
        <v>NO</v>
      </c>
      <c r="I41" s="53" t="str">
        <f aca="false">IF(G41&gt;0.5,"NO","POSIBLE")</f>
        <v>POSIBLE</v>
      </c>
    </row>
    <row r="42" customFormat="false" ht="12" hidden="false" customHeight="true" outlineLevel="0" collapsed="false">
      <c r="B42" s="52" t="s">
        <v>191</v>
      </c>
      <c r="C42" s="45" t="n">
        <f aca="false">RANDBETWEEN(1,INT(1_DATOS!C6))*1</f>
        <v>50</v>
      </c>
      <c r="D42" s="41" t="n">
        <f aca="false">IF(C42&lt;=5,1_DATOS!C20/100,IF(C42&gt;=1_DATOS!C21,1_DATOS!C19/100,1_DATOS!C19/100+((1_DATOS!C21-C42)/(1_DATOS!C21-5))*(1_DATOS!C20/100-1_DATOS!C19/100)))</f>
        <v>0.6</v>
      </c>
      <c r="E42" s="46" t="n">
        <f aca="false">IF(C42&lt;=1_DATOS!C5,1-(1-D42*2_CALCULOS!C38)^1_DATOS!C13,0)</f>
        <v>0</v>
      </c>
      <c r="F42" s="37" t="n">
        <f aca="false">IF(C42&lt;=1_DATOS!C7,1-(1-D42*2_CALCULOS!E38)^1_DATOS!C14,0)</f>
        <v>0</v>
      </c>
      <c r="G42" s="47" t="n">
        <f aca="false">1-(1-E42)*(1-F42)</f>
        <v>0</v>
      </c>
      <c r="H42" s="53" t="str">
        <f aca="false">IF(G42&gt;0.5,"SI","NO")</f>
        <v>NO</v>
      </c>
      <c r="I42" s="53" t="str">
        <f aca="false">IF(G42&gt;0.5,"NO","POSIBLE")</f>
        <v>POSIBLE</v>
      </c>
    </row>
    <row r="43" customFormat="false" ht="12" hidden="false" customHeight="true" outlineLevel="0" collapsed="false">
      <c r="B43" s="52" t="s">
        <v>192</v>
      </c>
      <c r="C43" s="45" t="n">
        <f aca="false">RANDBETWEEN(1,INT(1_DATOS!C6))*1</f>
        <v>50</v>
      </c>
      <c r="D43" s="41" t="n">
        <f aca="false">IF(C43&lt;=5,1_DATOS!C20/100,IF(C43&gt;=1_DATOS!C21,1_DATOS!C19/100,1_DATOS!C19/100+((1_DATOS!C21-C43)/(1_DATOS!C21-5))*(1_DATOS!C20/100-1_DATOS!C19/100)))</f>
        <v>0.6</v>
      </c>
      <c r="E43" s="46" t="n">
        <f aca="false">IF(C43&lt;=1_DATOS!C5,1-(1-D43*2_CALCULOS!C38)^1_DATOS!C13,0)</f>
        <v>0</v>
      </c>
      <c r="F43" s="37" t="n">
        <f aca="false">IF(C43&lt;=1_DATOS!C7,1-(1-D43*2_CALCULOS!E38)^1_DATOS!C14,0)</f>
        <v>0</v>
      </c>
      <c r="G43" s="47" t="n">
        <f aca="false">1-(1-E43)*(1-F43)</f>
        <v>0</v>
      </c>
      <c r="H43" s="53" t="str">
        <f aca="false">IF(G43&gt;0.5,"SI","NO")</f>
        <v>NO</v>
      </c>
      <c r="I43" s="53" t="str">
        <f aca="false">IF(G43&gt;0.5,"NO","POSIBLE")</f>
        <v>POSIBLE</v>
      </c>
    </row>
    <row r="44" customFormat="false" ht="12" hidden="false" customHeight="true" outlineLevel="0" collapsed="false">
      <c r="B44" s="52" t="s">
        <v>193</v>
      </c>
      <c r="C44" s="45" t="n">
        <f aca="false">RANDBETWEEN(1,INT(1_DATOS!C6))*1</f>
        <v>28</v>
      </c>
      <c r="D44" s="41" t="n">
        <f aca="false">IF(C44&lt;=5,1_DATOS!C20/100,IF(C44&gt;=1_DATOS!C21,1_DATOS!C19/100,1_DATOS!C19/100+((1_DATOS!C21-C44)/(1_DATOS!C21-5))*(1_DATOS!C20/100-1_DATOS!C19/100)))</f>
        <v>0.6</v>
      </c>
      <c r="E44" s="46" t="n">
        <f aca="false">IF(C44&lt;=1_DATOS!C5,1-(1-D44*2_CALCULOS!C38)^1_DATOS!C13,0)</f>
        <v>0</v>
      </c>
      <c r="F44" s="37" t="n">
        <f aca="false">IF(C44&lt;=1_DATOS!C7,1-(1-D44*2_CALCULOS!E38)^1_DATOS!C14,0)</f>
        <v>0</v>
      </c>
      <c r="G44" s="47" t="n">
        <f aca="false">1-(1-E44)*(1-F44)</f>
        <v>0</v>
      </c>
      <c r="H44" s="53" t="str">
        <f aca="false">IF(G44&gt;0.5,"SI","NO")</f>
        <v>NO</v>
      </c>
      <c r="I44" s="53" t="str">
        <f aca="false">IF(G44&gt;0.5,"NO","POSIBLE")</f>
        <v>POSIBLE</v>
      </c>
    </row>
    <row r="45" customFormat="false" ht="12" hidden="false" customHeight="true" outlineLevel="0" collapsed="false">
      <c r="B45" s="52" t="s">
        <v>194</v>
      </c>
      <c r="C45" s="45" t="n">
        <f aca="false">RANDBETWEEN(1,INT(1_DATOS!C6))*1</f>
        <v>31</v>
      </c>
      <c r="D45" s="41" t="n">
        <f aca="false">IF(C45&lt;=5,1_DATOS!C20/100,IF(C45&gt;=1_DATOS!C21,1_DATOS!C19/100,1_DATOS!C19/100+((1_DATOS!C21-C45)/(1_DATOS!C21-5))*(1_DATOS!C20/100-1_DATOS!C19/100)))</f>
        <v>0.6</v>
      </c>
      <c r="E45" s="46" t="n">
        <f aca="false">IF(C45&lt;=1_DATOS!C5,1-(1-D45*2_CALCULOS!C38)^1_DATOS!C13,0)</f>
        <v>0</v>
      </c>
      <c r="F45" s="37" t="n">
        <f aca="false">IF(C45&lt;=1_DATOS!C7,1-(1-D45*2_CALCULOS!E38)^1_DATOS!C14,0)</f>
        <v>0</v>
      </c>
      <c r="G45" s="47" t="n">
        <f aca="false">1-(1-E45)*(1-F45)</f>
        <v>0</v>
      </c>
      <c r="H45" s="53" t="str">
        <f aca="false">IF(G45&gt;0.5,"SI","NO")</f>
        <v>NO</v>
      </c>
      <c r="I45" s="53" t="str">
        <f aca="false">IF(G45&gt;0.5,"NO","POSIBLE")</f>
        <v>POSIBLE</v>
      </c>
    </row>
    <row r="46" customFormat="false" ht="12" hidden="false" customHeight="true" outlineLevel="0" collapsed="false">
      <c r="B46" s="52" t="s">
        <v>195</v>
      </c>
      <c r="C46" s="45" t="n">
        <f aca="false">RANDBETWEEN(1,INT(1_DATOS!C6))*1</f>
        <v>25</v>
      </c>
      <c r="D46" s="41" t="n">
        <f aca="false">IF(C46&lt;=5,1_DATOS!C20/100,IF(C46&gt;=1_DATOS!C21,1_DATOS!C19/100,1_DATOS!C19/100+((1_DATOS!C21-C46)/(1_DATOS!C21-5))*(1_DATOS!C20/100-1_DATOS!C19/100)))</f>
        <v>0.6</v>
      </c>
      <c r="E46" s="46" t="n">
        <f aca="false">IF(C46&lt;=1_DATOS!C5,1-(1-D46*2_CALCULOS!C38)^1_DATOS!C13,0)</f>
        <v>0.6636</v>
      </c>
      <c r="F46" s="37" t="n">
        <f aca="false">IF(C46&lt;=1_DATOS!C7,1-(1-D46*2_CALCULOS!E38)^1_DATOS!C14,0)</f>
        <v>0</v>
      </c>
      <c r="G46" s="47" t="n">
        <f aca="false">1-(1-E46)*(1-F46)</f>
        <v>0.6636</v>
      </c>
      <c r="H46" s="53" t="str">
        <f aca="false">IF(G46&gt;0.5,"SI","NO")</f>
        <v>SI</v>
      </c>
      <c r="I46" s="53" t="str">
        <f aca="false">IF(G46&gt;0.5,"NO","POSIBLE")</f>
        <v>NO</v>
      </c>
    </row>
    <row r="47" customFormat="false" ht="12" hidden="false" customHeight="true" outlineLevel="0" collapsed="false">
      <c r="B47" s="52" t="s">
        <v>196</v>
      </c>
      <c r="C47" s="45" t="n">
        <f aca="false">RANDBETWEEN(1,INT(1_DATOS!C6))*1</f>
        <v>14</v>
      </c>
      <c r="D47" s="41" t="n">
        <f aca="false">IF(C47&lt;=5,1_DATOS!C20/100,IF(C47&gt;=1_DATOS!C21,1_DATOS!C19/100,1_DATOS!C19/100+((1_DATOS!C21-C47)/(1_DATOS!C21-5))*(1_DATOS!C20/100-1_DATOS!C19/100)))</f>
        <v>0.6</v>
      </c>
      <c r="E47" s="46" t="n">
        <f aca="false">IF(C47&lt;=1_DATOS!C5,1-(1-D47*2_CALCULOS!C38)^1_DATOS!C13,0)</f>
        <v>0.6636</v>
      </c>
      <c r="F47" s="37" t="n">
        <f aca="false">IF(C47&lt;=1_DATOS!C7,1-(1-D47*2_CALCULOS!E38)^1_DATOS!C14,0)</f>
        <v>0</v>
      </c>
      <c r="G47" s="47" t="n">
        <f aca="false">1-(1-E47)*(1-F47)</f>
        <v>0.6636</v>
      </c>
      <c r="H47" s="53" t="str">
        <f aca="false">IF(G47&gt;0.5,"SI","NO")</f>
        <v>SI</v>
      </c>
      <c r="I47" s="53" t="str">
        <f aca="false">IF(G47&gt;0.5,"NO","POSIBLE")</f>
        <v>NO</v>
      </c>
    </row>
    <row r="48" customFormat="false" ht="12" hidden="false" customHeight="true" outlineLevel="0" collapsed="false">
      <c r="B48" s="52" t="s">
        <v>197</v>
      </c>
      <c r="C48" s="45" t="n">
        <f aca="false">RANDBETWEEN(1,INT(1_DATOS!C6))*1</f>
        <v>55</v>
      </c>
      <c r="D48" s="41" t="n">
        <f aca="false">IF(C48&lt;=5,1_DATOS!C20/100,IF(C48&gt;=1_DATOS!C21,1_DATOS!C19/100,1_DATOS!C19/100+((1_DATOS!C21-C48)/(1_DATOS!C21-5))*(1_DATOS!C20/100-1_DATOS!C19/100)))</f>
        <v>0.6</v>
      </c>
      <c r="E48" s="46" t="n">
        <f aca="false">IF(C48&lt;=1_DATOS!C5,1-(1-D48*2_CALCULOS!C38)^1_DATOS!C13,0)</f>
        <v>0</v>
      </c>
      <c r="F48" s="37" t="n">
        <f aca="false">IF(C48&lt;=1_DATOS!C7,1-(1-D48*2_CALCULOS!E38)^1_DATOS!C14,0)</f>
        <v>0</v>
      </c>
      <c r="G48" s="47" t="n">
        <f aca="false">1-(1-E48)*(1-F48)</f>
        <v>0</v>
      </c>
      <c r="H48" s="53" t="str">
        <f aca="false">IF(G48&gt;0.5,"SI","NO")</f>
        <v>NO</v>
      </c>
      <c r="I48" s="53" t="str">
        <f aca="false">IF(G48&gt;0.5,"NO","POSIBLE")</f>
        <v>POSIBLE</v>
      </c>
    </row>
    <row r="49" customFormat="false" ht="12" hidden="false" customHeight="true" outlineLevel="0" collapsed="false">
      <c r="B49" s="52" t="s">
        <v>198</v>
      </c>
      <c r="C49" s="45" t="n">
        <f aca="false">RANDBETWEEN(1,INT(1_DATOS!C6))*1</f>
        <v>8</v>
      </c>
      <c r="D49" s="41" t="n">
        <f aca="false">IF(C49&lt;=5,1_DATOS!C20/100,IF(C49&gt;=1_DATOS!C21,1_DATOS!C19/100,1_DATOS!C19/100+((1_DATOS!C21-C49)/(1_DATOS!C21-5))*(1_DATOS!C20/100-1_DATOS!C19/100)))</f>
        <v>0.74</v>
      </c>
      <c r="E49" s="46" t="n">
        <f aca="false">IF(C49&lt;=1_DATOS!C5,1-(1-D49*2_CALCULOS!C38)^1_DATOS!C13,0)</f>
        <v>0.767676</v>
      </c>
      <c r="F49" s="37" t="n">
        <f aca="false">IF(C49&lt;=1_DATOS!C7,1-(1-D49*2_CALCULOS!E38)^1_DATOS!C14,0)</f>
        <v>0.767676</v>
      </c>
      <c r="G49" s="47" t="n">
        <f aca="false">1-(1-E49)*(1-F49)</f>
        <v>0.946025559024</v>
      </c>
      <c r="H49" s="53" t="str">
        <f aca="false">IF(G49&gt;0.5,"SI","NO")</f>
        <v>SI</v>
      </c>
      <c r="I49" s="53" t="str">
        <f aca="false">IF(G49&gt;0.5,"NO","POSIBLE")</f>
        <v>NO</v>
      </c>
    </row>
    <row r="50" customFormat="false" ht="12" hidden="false" customHeight="true" outlineLevel="0" collapsed="false">
      <c r="B50" s="52" t="s">
        <v>199</v>
      </c>
      <c r="C50" s="45" t="n">
        <f aca="false">RANDBETWEEN(1,INT(1_DATOS!C6))*1</f>
        <v>20</v>
      </c>
      <c r="D50" s="41" t="n">
        <f aca="false">IF(C50&lt;=5,1_DATOS!C20/100,IF(C50&gt;=1_DATOS!C21,1_DATOS!C19/100,1_DATOS!C19/100+((1_DATOS!C21-C50)/(1_DATOS!C21-5))*(1_DATOS!C20/100-1_DATOS!C19/100)))</f>
        <v>0.6</v>
      </c>
      <c r="E50" s="46" t="n">
        <f aca="false">IF(C50&lt;=1_DATOS!C5,1-(1-D50*2_CALCULOS!C38)^1_DATOS!C13,0)</f>
        <v>0.6636</v>
      </c>
      <c r="F50" s="37" t="n">
        <f aca="false">IF(C50&lt;=1_DATOS!C7,1-(1-D50*2_CALCULOS!E38)^1_DATOS!C14,0)</f>
        <v>0</v>
      </c>
      <c r="G50" s="47" t="n">
        <f aca="false">1-(1-E50)*(1-F50)</f>
        <v>0.6636</v>
      </c>
      <c r="H50" s="53" t="str">
        <f aca="false">IF(G50&gt;0.5,"SI","NO")</f>
        <v>SI</v>
      </c>
      <c r="I50" s="53" t="str">
        <f aca="false">IF(G50&gt;0.5,"NO","POSIBLE")</f>
        <v>NO</v>
      </c>
    </row>
    <row r="51" customFormat="false" ht="12" hidden="false" customHeight="true" outlineLevel="0" collapsed="false">
      <c r="B51" s="52" t="s">
        <v>200</v>
      </c>
      <c r="C51" s="45" t="n">
        <f aca="false">RANDBETWEEN(1,INT(1_DATOS!C6))*1</f>
        <v>59</v>
      </c>
      <c r="D51" s="41" t="n">
        <f aca="false">IF(C51&lt;=5,1_DATOS!C20/100,IF(C51&gt;=1_DATOS!C21,1_DATOS!C19/100,1_DATOS!C19/100+((1_DATOS!C21-C51)/(1_DATOS!C21-5))*(1_DATOS!C20/100-1_DATOS!C19/100)))</f>
        <v>0.6</v>
      </c>
      <c r="E51" s="46" t="n">
        <f aca="false">IF(C51&lt;=1_DATOS!C5,1-(1-D51*2_CALCULOS!C38)^1_DATOS!C13,0)</f>
        <v>0</v>
      </c>
      <c r="F51" s="37" t="n">
        <f aca="false">IF(C51&lt;=1_DATOS!C7,1-(1-D51*2_CALCULOS!E38)^1_DATOS!C14,0)</f>
        <v>0</v>
      </c>
      <c r="G51" s="47" t="n">
        <f aca="false">1-(1-E51)*(1-F51)</f>
        <v>0</v>
      </c>
      <c r="H51" s="53" t="str">
        <f aca="false">IF(G51&gt;0.5,"SI","NO")</f>
        <v>NO</v>
      </c>
      <c r="I51" s="53" t="str">
        <f aca="false">IF(G51&gt;0.5,"NO","POSIBLE")</f>
        <v>POSIBLE</v>
      </c>
    </row>
    <row r="52" customFormat="false" ht="12" hidden="false" customHeight="true" outlineLevel="0" collapsed="false">
      <c r="B52" s="52" t="s">
        <v>201</v>
      </c>
      <c r="C52" s="45" t="n">
        <f aca="false">RANDBETWEEN(1,INT(1_DATOS!C6))*1</f>
        <v>22</v>
      </c>
      <c r="D52" s="41" t="n">
        <f aca="false">IF(C52&lt;=5,1_DATOS!C20/100,IF(C52&gt;=1_DATOS!C21,1_DATOS!C19/100,1_DATOS!C19/100+((1_DATOS!C21-C52)/(1_DATOS!C21-5))*(1_DATOS!C20/100-1_DATOS!C19/100)))</f>
        <v>0.6</v>
      </c>
      <c r="E52" s="46" t="n">
        <f aca="false">IF(C52&lt;=1_DATOS!C5,1-(1-D52*2_CALCULOS!C38)^1_DATOS!C13,0)</f>
        <v>0.6636</v>
      </c>
      <c r="F52" s="37" t="n">
        <f aca="false">IF(C52&lt;=1_DATOS!C7,1-(1-D52*2_CALCULOS!E38)^1_DATOS!C14,0)</f>
        <v>0</v>
      </c>
      <c r="G52" s="47" t="n">
        <f aca="false">1-(1-E52)*(1-F52)</f>
        <v>0.6636</v>
      </c>
      <c r="H52" s="53" t="str">
        <f aca="false">IF(G52&gt;0.5,"SI","NO")</f>
        <v>SI</v>
      </c>
      <c r="I52" s="53" t="str">
        <f aca="false">IF(G52&gt;0.5,"NO","POSIBLE")</f>
        <v>NO</v>
      </c>
    </row>
    <row r="53" customFormat="false" ht="12" hidden="false" customHeight="true" outlineLevel="0" collapsed="false">
      <c r="B53" s="52" t="s">
        <v>202</v>
      </c>
      <c r="C53" s="45" t="n">
        <f aca="false">RANDBETWEEN(1,INT(1_DATOS!C6))*1</f>
        <v>53</v>
      </c>
      <c r="D53" s="41" t="n">
        <f aca="false">IF(C53&lt;=5,1_DATOS!C20/100,IF(C53&gt;=1_DATOS!C21,1_DATOS!C19/100,1_DATOS!C19/100+((1_DATOS!C21-C53)/(1_DATOS!C21-5))*(1_DATOS!C20/100-1_DATOS!C19/100)))</f>
        <v>0.6</v>
      </c>
      <c r="E53" s="46" t="n">
        <f aca="false">IF(C53&lt;=1_DATOS!C5,1-(1-D53*2_CALCULOS!C38)^1_DATOS!C13,0)</f>
        <v>0</v>
      </c>
      <c r="F53" s="37" t="n">
        <f aca="false">IF(C53&lt;=1_DATOS!C7,1-(1-D53*2_CALCULOS!E38)^1_DATOS!C14,0)</f>
        <v>0</v>
      </c>
      <c r="G53" s="47" t="n">
        <f aca="false">1-(1-E53)*(1-F53)</f>
        <v>0</v>
      </c>
      <c r="H53" s="53" t="str">
        <f aca="false">IF(G53&gt;0.5,"SI","NO")</f>
        <v>NO</v>
      </c>
      <c r="I53" s="53" t="str">
        <f aca="false">IF(G53&gt;0.5,"NO","POSIBLE")</f>
        <v>POSIBLE</v>
      </c>
    </row>
    <row r="54" customFormat="false" ht="12" hidden="false" customHeight="true" outlineLevel="0" collapsed="false">
      <c r="B54" s="52" t="s">
        <v>203</v>
      </c>
      <c r="C54" s="45" t="n">
        <f aca="false">RANDBETWEEN(1,INT(1_DATOS!C6))*1</f>
        <v>19</v>
      </c>
      <c r="D54" s="41" t="n">
        <f aca="false">IF(C54&lt;=5,1_DATOS!C20/100,IF(C54&gt;=1_DATOS!C21,1_DATOS!C19/100,1_DATOS!C19/100+((1_DATOS!C21-C54)/(1_DATOS!C21-5))*(1_DATOS!C20/100-1_DATOS!C19/100)))</f>
        <v>0.6</v>
      </c>
      <c r="E54" s="46" t="n">
        <f aca="false">IF(C54&lt;=1_DATOS!C5,1-(1-D54*2_CALCULOS!C38)^1_DATOS!C13,0)</f>
        <v>0.6636</v>
      </c>
      <c r="F54" s="37" t="n">
        <f aca="false">IF(C54&lt;=1_DATOS!C7,1-(1-D54*2_CALCULOS!E38)^1_DATOS!C14,0)</f>
        <v>0</v>
      </c>
      <c r="G54" s="47" t="n">
        <f aca="false">1-(1-E54)*(1-F54)</f>
        <v>0.6636</v>
      </c>
      <c r="H54" s="53" t="str">
        <f aca="false">IF(G54&gt;0.5,"SI","NO")</f>
        <v>SI</v>
      </c>
      <c r="I54" s="53" t="str">
        <f aca="false">IF(G54&gt;0.5,"NO","POSIBLE")</f>
        <v>NO</v>
      </c>
    </row>
    <row r="55" customFormat="false" ht="12" hidden="false" customHeight="true" outlineLevel="0" collapsed="false">
      <c r="B55" s="52" t="s">
        <v>204</v>
      </c>
      <c r="C55" s="45" t="n">
        <f aca="false">RANDBETWEEN(1,INT(1_DATOS!C6))*1</f>
        <v>48</v>
      </c>
      <c r="D55" s="41" t="n">
        <f aca="false">IF(C55&lt;=5,1_DATOS!C20/100,IF(C55&gt;=1_DATOS!C21,1_DATOS!C19/100,1_DATOS!C19/100+((1_DATOS!C21-C55)/(1_DATOS!C21-5))*(1_DATOS!C20/100-1_DATOS!C19/100)))</f>
        <v>0.6</v>
      </c>
      <c r="E55" s="46" t="n">
        <f aca="false">IF(C55&lt;=1_DATOS!C5,1-(1-D55*2_CALCULOS!C38)^1_DATOS!C13,0)</f>
        <v>0</v>
      </c>
      <c r="F55" s="37" t="n">
        <f aca="false">IF(C55&lt;=1_DATOS!C7,1-(1-D55*2_CALCULOS!E38)^1_DATOS!C14,0)</f>
        <v>0</v>
      </c>
      <c r="G55" s="47" t="n">
        <f aca="false">1-(1-E55)*(1-F55)</f>
        <v>0</v>
      </c>
      <c r="H55" s="53" t="str">
        <f aca="false">IF(G55&gt;0.5,"SI","NO")</f>
        <v>NO</v>
      </c>
      <c r="I55" s="53" t="str">
        <f aca="false">IF(G55&gt;0.5,"NO","POSIBLE")</f>
        <v>POSIBLE</v>
      </c>
    </row>
    <row r="56" customFormat="false" ht="12" hidden="false" customHeight="true" outlineLevel="0" collapsed="false">
      <c r="B56" s="52" t="s">
        <v>205</v>
      </c>
      <c r="C56" s="45" t="n">
        <f aca="false">RANDBETWEEN(1,INT(1_DATOS!C6))*1</f>
        <v>49</v>
      </c>
      <c r="D56" s="41" t="n">
        <f aca="false">IF(C56&lt;=5,1_DATOS!C20/100,IF(C56&gt;=1_DATOS!C21,1_DATOS!C19/100,1_DATOS!C19/100+((1_DATOS!C21-C56)/(1_DATOS!C21-5))*(1_DATOS!C20/100-1_DATOS!C19/100)))</f>
        <v>0.6</v>
      </c>
      <c r="E56" s="46" t="n">
        <f aca="false">IF(C56&lt;=1_DATOS!C5,1-(1-D56*2_CALCULOS!C38)^1_DATOS!C13,0)</f>
        <v>0</v>
      </c>
      <c r="F56" s="37" t="n">
        <f aca="false">IF(C56&lt;=1_DATOS!C7,1-(1-D56*2_CALCULOS!E38)^1_DATOS!C14,0)</f>
        <v>0</v>
      </c>
      <c r="G56" s="47" t="n">
        <f aca="false">1-(1-E56)*(1-F56)</f>
        <v>0</v>
      </c>
      <c r="H56" s="53" t="str">
        <f aca="false">IF(G56&gt;0.5,"SI","NO")</f>
        <v>NO</v>
      </c>
      <c r="I56" s="53" t="str">
        <f aca="false">IF(G56&gt;0.5,"NO","POSIBLE")</f>
        <v>POSIBLE</v>
      </c>
    </row>
    <row r="57" customFormat="false" ht="12" hidden="false" customHeight="true" outlineLevel="0" collapsed="false">
      <c r="B57" s="52" t="s">
        <v>206</v>
      </c>
      <c r="C57" s="45" t="n">
        <f aca="false">RANDBETWEEN(1,INT(1_DATOS!C6))*1</f>
        <v>11</v>
      </c>
      <c r="D57" s="41" t="n">
        <f aca="false">IF(C57&lt;=5,1_DATOS!C20/100,IF(C57&gt;=1_DATOS!C21,1_DATOS!C19/100,1_DATOS!C19/100+((1_DATOS!C21-C57)/(1_DATOS!C21-5))*(1_DATOS!C20/100-1_DATOS!C19/100)))</f>
        <v>0.6</v>
      </c>
      <c r="E57" s="46" t="n">
        <f aca="false">IF(C57&lt;=1_DATOS!C5,1-(1-D57*2_CALCULOS!C38)^1_DATOS!C13,0)</f>
        <v>0.6636</v>
      </c>
      <c r="F57" s="37" t="n">
        <f aca="false">IF(C57&lt;=1_DATOS!C7,1-(1-D57*2_CALCULOS!E38)^1_DATOS!C14,0)</f>
        <v>0.6636</v>
      </c>
      <c r="G57" s="47" t="n">
        <f aca="false">1-(1-E57)*(1-F57)</f>
        <v>0.88683504</v>
      </c>
      <c r="H57" s="53" t="str">
        <f aca="false">IF(G57&gt;0.5,"SI","NO")</f>
        <v>SI</v>
      </c>
      <c r="I57" s="53" t="str">
        <f aca="false">IF(G57&gt;0.5,"NO","POSIBLE")</f>
        <v>NO</v>
      </c>
    </row>
    <row r="58" customFormat="false" ht="12" hidden="false" customHeight="true" outlineLevel="0" collapsed="false">
      <c r="B58" s="52" t="s">
        <v>207</v>
      </c>
      <c r="C58" s="45" t="n">
        <f aca="false">RANDBETWEEN(1,INT(1_DATOS!C6))*1</f>
        <v>57</v>
      </c>
      <c r="D58" s="41" t="n">
        <f aca="false">IF(C58&lt;=5,1_DATOS!C20/100,IF(C58&gt;=1_DATOS!C21,1_DATOS!C19/100,1_DATOS!C19/100+((1_DATOS!C21-C58)/(1_DATOS!C21-5))*(1_DATOS!C20/100-1_DATOS!C19/100)))</f>
        <v>0.6</v>
      </c>
      <c r="E58" s="46" t="n">
        <f aca="false">IF(C58&lt;=1_DATOS!C5,1-(1-D58*2_CALCULOS!C38)^1_DATOS!C13,0)</f>
        <v>0</v>
      </c>
      <c r="F58" s="37" t="n">
        <f aca="false">IF(C58&lt;=1_DATOS!C7,1-(1-D58*2_CALCULOS!E38)^1_DATOS!C14,0)</f>
        <v>0</v>
      </c>
      <c r="G58" s="47" t="n">
        <f aca="false">1-(1-E58)*(1-F58)</f>
        <v>0</v>
      </c>
      <c r="H58" s="53" t="str">
        <f aca="false">IF(G58&gt;0.5,"SI","NO")</f>
        <v>NO</v>
      </c>
      <c r="I58" s="53" t="str">
        <f aca="false">IF(G58&gt;0.5,"NO","POSIBLE")</f>
        <v>POSIBLE</v>
      </c>
    </row>
    <row r="59" customFormat="false" ht="12" hidden="false" customHeight="true" outlineLevel="0" collapsed="false">
      <c r="B59" s="52" t="s">
        <v>208</v>
      </c>
      <c r="C59" s="45" t="n">
        <f aca="false">RANDBETWEEN(1,INT(1_DATOS!C6))*1</f>
        <v>40</v>
      </c>
      <c r="D59" s="41" t="n">
        <f aca="false">IF(C59&lt;=5,1_DATOS!C20/100,IF(C59&gt;=1_DATOS!C21,1_DATOS!C19/100,1_DATOS!C19/100+((1_DATOS!C21-C59)/(1_DATOS!C21-5))*(1_DATOS!C20/100-1_DATOS!C19/100)))</f>
        <v>0.6</v>
      </c>
      <c r="E59" s="46" t="n">
        <f aca="false">IF(C59&lt;=1_DATOS!C5,1-(1-D59*2_CALCULOS!C38)^1_DATOS!C13,0)</f>
        <v>0</v>
      </c>
      <c r="F59" s="37" t="n">
        <f aca="false">IF(C59&lt;=1_DATOS!C7,1-(1-D59*2_CALCULOS!E38)^1_DATOS!C14,0)</f>
        <v>0</v>
      </c>
      <c r="G59" s="47" t="n">
        <f aca="false">1-(1-E59)*(1-F59)</f>
        <v>0</v>
      </c>
      <c r="H59" s="53" t="str">
        <f aca="false">IF(G59&gt;0.5,"SI","NO")</f>
        <v>NO</v>
      </c>
      <c r="I59" s="53" t="str">
        <f aca="false">IF(G59&gt;0.5,"NO","POSIBLE")</f>
        <v>POSIBLE</v>
      </c>
    </row>
    <row r="60" customFormat="false" ht="12" hidden="false" customHeight="true" outlineLevel="0" collapsed="false">
      <c r="B60" s="52" t="s">
        <v>209</v>
      </c>
      <c r="C60" s="45" t="n">
        <f aca="false">RANDBETWEEN(1,INT(1_DATOS!C6))*1</f>
        <v>13</v>
      </c>
      <c r="D60" s="41" t="n">
        <f aca="false">IF(C60&lt;=5,1_DATOS!C20/100,IF(C60&gt;=1_DATOS!C21,1_DATOS!C19/100,1_DATOS!C19/100+((1_DATOS!C21-C60)/(1_DATOS!C21-5))*(1_DATOS!C20/100-1_DATOS!C19/100)))</f>
        <v>0.6</v>
      </c>
      <c r="E60" s="46" t="n">
        <f aca="false">IF(C60&lt;=1_DATOS!C5,1-(1-D60*2_CALCULOS!C38)^1_DATOS!C13,0)</f>
        <v>0.6636</v>
      </c>
      <c r="F60" s="37" t="n">
        <f aca="false">IF(C60&lt;=1_DATOS!C7,1-(1-D60*2_CALCULOS!E38)^1_DATOS!C14,0)</f>
        <v>0</v>
      </c>
      <c r="G60" s="47" t="n">
        <f aca="false">1-(1-E60)*(1-F60)</f>
        <v>0.6636</v>
      </c>
      <c r="H60" s="53" t="str">
        <f aca="false">IF(G60&gt;0.5,"SI","NO")</f>
        <v>SI</v>
      </c>
      <c r="I60" s="53" t="str">
        <f aca="false">IF(G60&gt;0.5,"NO","POSIBLE")</f>
        <v>NO</v>
      </c>
    </row>
    <row r="61" customFormat="false" ht="12" hidden="false" customHeight="true" outlineLevel="0" collapsed="false">
      <c r="B61" s="52" t="s">
        <v>210</v>
      </c>
      <c r="C61" s="45" t="n">
        <f aca="false">RANDBETWEEN(1,INT(1_DATOS!C6))*1</f>
        <v>22</v>
      </c>
      <c r="D61" s="41" t="n">
        <f aca="false">IF(C61&lt;=5,1_DATOS!C20/100,IF(C61&gt;=1_DATOS!C21,1_DATOS!C19/100,1_DATOS!C19/100+((1_DATOS!C21-C61)/(1_DATOS!C21-5))*(1_DATOS!C20/100-1_DATOS!C19/100)))</f>
        <v>0.6</v>
      </c>
      <c r="E61" s="46" t="n">
        <f aca="false">IF(C61&lt;=1_DATOS!C5,1-(1-D61*2_CALCULOS!C38)^1_DATOS!C13,0)</f>
        <v>0.6636</v>
      </c>
      <c r="F61" s="37" t="n">
        <f aca="false">IF(C61&lt;=1_DATOS!C7,1-(1-D61*2_CALCULOS!E38)^1_DATOS!C14,0)</f>
        <v>0</v>
      </c>
      <c r="G61" s="47" t="n">
        <f aca="false">1-(1-E61)*(1-F61)</f>
        <v>0.6636</v>
      </c>
      <c r="H61" s="53" t="str">
        <f aca="false">IF(G61&gt;0.5,"SI","NO")</f>
        <v>SI</v>
      </c>
      <c r="I61" s="53" t="str">
        <f aca="false">IF(G61&gt;0.5,"NO","POSIBLE")</f>
        <v>NO</v>
      </c>
    </row>
    <row r="62" customFormat="false" ht="12" hidden="false" customHeight="true" outlineLevel="0" collapsed="false">
      <c r="B62" s="52" t="s">
        <v>211</v>
      </c>
      <c r="C62" s="45" t="n">
        <f aca="false">RANDBETWEEN(1,INT(1_DATOS!C6))*1</f>
        <v>29</v>
      </c>
      <c r="D62" s="41" t="n">
        <f aca="false">IF(C62&lt;=5,1_DATOS!C20/100,IF(C62&gt;=1_DATOS!C21,1_DATOS!C19/100,1_DATOS!C19/100+((1_DATOS!C21-C62)/(1_DATOS!C21-5))*(1_DATOS!C20/100-1_DATOS!C19/100)))</f>
        <v>0.6</v>
      </c>
      <c r="E62" s="46" t="n">
        <f aca="false">IF(C62&lt;=1_DATOS!C5,1-(1-D62*2_CALCULOS!C38)^1_DATOS!C13,0)</f>
        <v>0</v>
      </c>
      <c r="F62" s="37" t="n">
        <f aca="false">IF(C62&lt;=1_DATOS!C7,1-(1-D62*2_CALCULOS!E38)^1_DATOS!C14,0)</f>
        <v>0</v>
      </c>
      <c r="G62" s="47" t="n">
        <f aca="false">1-(1-E62)*(1-F62)</f>
        <v>0</v>
      </c>
      <c r="H62" s="53" t="str">
        <f aca="false">IF(G62&gt;0.5,"SI","NO")</f>
        <v>NO</v>
      </c>
      <c r="I62" s="53" t="str">
        <f aca="false">IF(G62&gt;0.5,"NO","POSIBLE")</f>
        <v>POSIBLE</v>
      </c>
    </row>
    <row r="63" customFormat="false" ht="12" hidden="false" customHeight="true" outlineLevel="0" collapsed="false">
      <c r="B63" s="52" t="s">
        <v>212</v>
      </c>
      <c r="C63" s="45" t="n">
        <f aca="false">RANDBETWEEN(1,INT(1_DATOS!C6))*1</f>
        <v>16</v>
      </c>
      <c r="D63" s="41" t="n">
        <f aca="false">IF(C63&lt;=5,1_DATOS!C20/100,IF(C63&gt;=1_DATOS!C21,1_DATOS!C19/100,1_DATOS!C19/100+((1_DATOS!C21-C63)/(1_DATOS!C21-5))*(1_DATOS!C20/100-1_DATOS!C19/100)))</f>
        <v>0.6</v>
      </c>
      <c r="E63" s="46" t="n">
        <f aca="false">IF(C63&lt;=1_DATOS!C5,1-(1-D63*2_CALCULOS!C38)^1_DATOS!C13,0)</f>
        <v>0.6636</v>
      </c>
      <c r="F63" s="37" t="n">
        <f aca="false">IF(C63&lt;=1_DATOS!C7,1-(1-D63*2_CALCULOS!E38)^1_DATOS!C14,0)</f>
        <v>0</v>
      </c>
      <c r="G63" s="47" t="n">
        <f aca="false">1-(1-E63)*(1-F63)</f>
        <v>0.6636</v>
      </c>
      <c r="H63" s="53" t="str">
        <f aca="false">IF(G63&gt;0.5,"SI","NO")</f>
        <v>SI</v>
      </c>
      <c r="I63" s="53" t="str">
        <f aca="false">IF(G63&gt;0.5,"NO","POSIBLE")</f>
        <v>NO</v>
      </c>
    </row>
    <row r="64" customFormat="false" ht="12" hidden="false" customHeight="true" outlineLevel="0" collapsed="false">
      <c r="B64" s="52" t="s">
        <v>213</v>
      </c>
      <c r="C64" s="45" t="n">
        <f aca="false">RANDBETWEEN(1,INT(1_DATOS!C6))*1</f>
        <v>43</v>
      </c>
      <c r="D64" s="41" t="n">
        <f aca="false">IF(C64&lt;=5,1_DATOS!C20/100,IF(C64&gt;=1_DATOS!C21,1_DATOS!C19/100,1_DATOS!C19/100+((1_DATOS!C21-C64)/(1_DATOS!C21-5))*(1_DATOS!C20/100-1_DATOS!C19/100)))</f>
        <v>0.6</v>
      </c>
      <c r="E64" s="46" t="n">
        <f aca="false">IF(C64&lt;=1_DATOS!C5,1-(1-D64*2_CALCULOS!C38)^1_DATOS!C13,0)</f>
        <v>0</v>
      </c>
      <c r="F64" s="37" t="n">
        <f aca="false">IF(C64&lt;=1_DATOS!C7,1-(1-D64*2_CALCULOS!E38)^1_DATOS!C14,0)</f>
        <v>0</v>
      </c>
      <c r="G64" s="47" t="n">
        <f aca="false">1-(1-E64)*(1-F64)</f>
        <v>0</v>
      </c>
      <c r="H64" s="53" t="str">
        <f aca="false">IF(G64&gt;0.5,"SI","NO")</f>
        <v>NO</v>
      </c>
      <c r="I64" s="53" t="str">
        <f aca="false">IF(G64&gt;0.5,"NO","POSIBLE")</f>
        <v>POSIBLE</v>
      </c>
    </row>
    <row r="65" customFormat="false" ht="12" hidden="false" customHeight="true" outlineLevel="0" collapsed="false">
      <c r="B65" s="52" t="s">
        <v>214</v>
      </c>
      <c r="C65" s="45" t="n">
        <f aca="false">RANDBETWEEN(1,INT(1_DATOS!C6))*1</f>
        <v>16</v>
      </c>
      <c r="D65" s="41" t="n">
        <f aca="false">IF(C65&lt;=5,1_DATOS!C20/100,IF(C65&gt;=1_DATOS!C21,1_DATOS!C19/100,1_DATOS!C19/100+((1_DATOS!C21-C65)/(1_DATOS!C21-5))*(1_DATOS!C20/100-1_DATOS!C19/100)))</f>
        <v>0.6</v>
      </c>
      <c r="E65" s="46" t="n">
        <f aca="false">IF(C65&lt;=1_DATOS!C5,1-(1-D65*2_CALCULOS!C38)^1_DATOS!C13,0)</f>
        <v>0.6636</v>
      </c>
      <c r="F65" s="37" t="n">
        <f aca="false">IF(C65&lt;=1_DATOS!C7,1-(1-D65*2_CALCULOS!E38)^1_DATOS!C14,0)</f>
        <v>0</v>
      </c>
      <c r="G65" s="47" t="n">
        <f aca="false">1-(1-E65)*(1-F65)</f>
        <v>0.6636</v>
      </c>
      <c r="H65" s="53" t="str">
        <f aca="false">IF(G65&gt;0.5,"SI","NO")</f>
        <v>SI</v>
      </c>
      <c r="I65" s="53" t="str">
        <f aca="false">IF(G65&gt;0.5,"NO","POSIBLE")</f>
        <v>NO</v>
      </c>
    </row>
    <row r="66" customFormat="false" ht="12" hidden="false" customHeight="true" outlineLevel="0" collapsed="false">
      <c r="B66" s="52" t="s">
        <v>215</v>
      </c>
      <c r="C66" s="45" t="n">
        <f aca="false">RANDBETWEEN(1,INT(1_DATOS!C6))*1</f>
        <v>47</v>
      </c>
      <c r="D66" s="41" t="n">
        <f aca="false">IF(C66&lt;=5,1_DATOS!C20/100,IF(C66&gt;=1_DATOS!C21,1_DATOS!C19/100,1_DATOS!C19/100+((1_DATOS!C21-C66)/(1_DATOS!C21-5))*(1_DATOS!C20/100-1_DATOS!C19/100)))</f>
        <v>0.6</v>
      </c>
      <c r="E66" s="46" t="n">
        <f aca="false">IF(C66&lt;=1_DATOS!C5,1-(1-D66*2_CALCULOS!C38)^1_DATOS!C13,0)</f>
        <v>0</v>
      </c>
      <c r="F66" s="37" t="n">
        <f aca="false">IF(C66&lt;=1_DATOS!C7,1-(1-D66*2_CALCULOS!E38)^1_DATOS!C14,0)</f>
        <v>0</v>
      </c>
      <c r="G66" s="47" t="n">
        <f aca="false">1-(1-E66)*(1-F66)</f>
        <v>0</v>
      </c>
      <c r="H66" s="53" t="str">
        <f aca="false">IF(G66&gt;0.5,"SI","NO")</f>
        <v>NO</v>
      </c>
      <c r="I66" s="53" t="str">
        <f aca="false">IF(G66&gt;0.5,"NO","POSIBLE")</f>
        <v>POSIBLE</v>
      </c>
    </row>
    <row r="67" customFormat="false" ht="12" hidden="false" customHeight="true" outlineLevel="0" collapsed="false">
      <c r="B67" s="52" t="s">
        <v>216</v>
      </c>
      <c r="C67" s="45" t="n">
        <f aca="false">RANDBETWEEN(1,INT(1_DATOS!C6))*1</f>
        <v>5</v>
      </c>
      <c r="D67" s="41" t="n">
        <f aca="false">IF(C67&lt;=5,1_DATOS!C20/100,IF(C67&gt;=1_DATOS!C21,1_DATOS!C19/100,1_DATOS!C19/100+((1_DATOS!C21-C67)/(1_DATOS!C21-5))*(1_DATOS!C20/100-1_DATOS!C19/100)))</f>
        <v>0.95</v>
      </c>
      <c r="E67" s="46" t="n">
        <f aca="false">IF(C67&lt;=1_DATOS!C5,1-(1-D67*2_CALCULOS!C38)^1_DATOS!C13,0)</f>
        <v>0.887775</v>
      </c>
      <c r="F67" s="37" t="n">
        <f aca="false">IF(C67&lt;=1_DATOS!C7,1-(1-D67*2_CALCULOS!E38)^1_DATOS!C14,0)</f>
        <v>0.887775</v>
      </c>
      <c r="G67" s="47" t="n">
        <f aca="false">1-(1-E67)*(1-F67)</f>
        <v>0.987405549375</v>
      </c>
      <c r="H67" s="53" t="str">
        <f aca="false">IF(G67&gt;0.5,"SI","NO")</f>
        <v>SI</v>
      </c>
      <c r="I67" s="53" t="str">
        <f aca="false">IF(G67&gt;0.5,"NO","POSIBLE")</f>
        <v>NO</v>
      </c>
    </row>
    <row r="68" customFormat="false" ht="12" hidden="false" customHeight="true" outlineLevel="0" collapsed="false">
      <c r="B68" s="52" t="s">
        <v>217</v>
      </c>
      <c r="C68" s="45" t="n">
        <f aca="false">RANDBETWEEN(1,INT(1_DATOS!C6))*1</f>
        <v>37</v>
      </c>
      <c r="D68" s="41" t="n">
        <f aca="false">IF(C68&lt;=5,1_DATOS!C20/100,IF(C68&gt;=1_DATOS!C21,1_DATOS!C19/100,1_DATOS!C19/100+((1_DATOS!C21-C68)/(1_DATOS!C21-5))*(1_DATOS!C20/100-1_DATOS!C19/100)))</f>
        <v>0.6</v>
      </c>
      <c r="E68" s="46" t="n">
        <f aca="false">IF(C68&lt;=1_DATOS!C5,1-(1-D68*2_CALCULOS!C38)^1_DATOS!C13,0)</f>
        <v>0</v>
      </c>
      <c r="F68" s="37" t="n">
        <f aca="false">IF(C68&lt;=1_DATOS!C7,1-(1-D68*2_CALCULOS!E38)^1_DATOS!C14,0)</f>
        <v>0</v>
      </c>
      <c r="G68" s="47" t="n">
        <f aca="false">1-(1-E68)*(1-F68)</f>
        <v>0</v>
      </c>
      <c r="H68" s="53" t="str">
        <f aca="false">IF(G68&gt;0.5,"SI","NO")</f>
        <v>NO</v>
      </c>
      <c r="I68" s="53" t="str">
        <f aca="false">IF(G68&gt;0.5,"NO","POSIBLE")</f>
        <v>POSIBLE</v>
      </c>
    </row>
    <row r="69" customFormat="false" ht="12" hidden="false" customHeight="true" outlineLevel="0" collapsed="false">
      <c r="B69" s="52" t="s">
        <v>218</v>
      </c>
      <c r="C69" s="45" t="n">
        <f aca="false">RANDBETWEEN(1,INT(1_DATOS!C6))*1</f>
        <v>19</v>
      </c>
      <c r="D69" s="41" t="n">
        <f aca="false">IF(C69&lt;=5,1_DATOS!C20/100,IF(C69&gt;=1_DATOS!C21,1_DATOS!C19/100,1_DATOS!C19/100+((1_DATOS!C21-C69)/(1_DATOS!C21-5))*(1_DATOS!C20/100-1_DATOS!C19/100)))</f>
        <v>0.6</v>
      </c>
      <c r="E69" s="46" t="n">
        <f aca="false">IF(C69&lt;=1_DATOS!C5,1-(1-D69*2_CALCULOS!C38)^1_DATOS!C13,0)</f>
        <v>0.6636</v>
      </c>
      <c r="F69" s="37" t="n">
        <f aca="false">IF(C69&lt;=1_DATOS!C7,1-(1-D69*2_CALCULOS!E38)^1_DATOS!C14,0)</f>
        <v>0</v>
      </c>
      <c r="G69" s="47" t="n">
        <f aca="false">1-(1-E69)*(1-F69)</f>
        <v>0.6636</v>
      </c>
      <c r="H69" s="53" t="str">
        <f aca="false">IF(G69&gt;0.5,"SI","NO")</f>
        <v>SI</v>
      </c>
      <c r="I69" s="53" t="str">
        <f aca="false">IF(G69&gt;0.5,"NO","POSIBLE")</f>
        <v>NO</v>
      </c>
    </row>
    <row r="70" customFormat="false" ht="12" hidden="false" customHeight="true" outlineLevel="0" collapsed="false">
      <c r="B70" s="52" t="s">
        <v>219</v>
      </c>
      <c r="C70" s="45" t="n">
        <f aca="false">RANDBETWEEN(1,INT(1_DATOS!C6))*1</f>
        <v>8</v>
      </c>
      <c r="D70" s="41" t="n">
        <f aca="false">IF(C70&lt;=5,1_DATOS!C20/100,IF(C70&gt;=1_DATOS!C21,1_DATOS!C19/100,1_DATOS!C19/100+((1_DATOS!C21-C70)/(1_DATOS!C21-5))*(1_DATOS!C20/100-1_DATOS!C19/100)))</f>
        <v>0.74</v>
      </c>
      <c r="E70" s="46" t="n">
        <f aca="false">IF(C70&lt;=1_DATOS!C5,1-(1-D70*2_CALCULOS!C38)^1_DATOS!C13,0)</f>
        <v>0.767676</v>
      </c>
      <c r="F70" s="37" t="n">
        <f aca="false">IF(C70&lt;=1_DATOS!C7,1-(1-D70*2_CALCULOS!E38)^1_DATOS!C14,0)</f>
        <v>0.767676</v>
      </c>
      <c r="G70" s="47" t="n">
        <f aca="false">1-(1-E70)*(1-F70)</f>
        <v>0.946025559024</v>
      </c>
      <c r="H70" s="53" t="str">
        <f aca="false">IF(G70&gt;0.5,"SI","NO")</f>
        <v>SI</v>
      </c>
      <c r="I70" s="53" t="str">
        <f aca="false">IF(G70&gt;0.5,"NO","POSIBLE")</f>
        <v>NO</v>
      </c>
    </row>
    <row r="71" customFormat="false" ht="12" hidden="false" customHeight="true" outlineLevel="0" collapsed="false">
      <c r="B71" s="52" t="s">
        <v>220</v>
      </c>
      <c r="C71" s="45" t="n">
        <f aca="false">RANDBETWEEN(1,INT(1_DATOS!C6))*1</f>
        <v>20</v>
      </c>
      <c r="D71" s="41" t="n">
        <f aca="false">IF(C71&lt;=5,1_DATOS!C20/100,IF(C71&gt;=1_DATOS!C21,1_DATOS!C19/100,1_DATOS!C19/100+((1_DATOS!C21-C71)/(1_DATOS!C21-5))*(1_DATOS!C20/100-1_DATOS!C19/100)))</f>
        <v>0.6</v>
      </c>
      <c r="E71" s="46" t="n">
        <f aca="false">IF(C71&lt;=1_DATOS!C5,1-(1-D71*2_CALCULOS!C38)^1_DATOS!C13,0)</f>
        <v>0.6636</v>
      </c>
      <c r="F71" s="37" t="n">
        <f aca="false">IF(C71&lt;=1_DATOS!C7,1-(1-D71*2_CALCULOS!E38)^1_DATOS!C14,0)</f>
        <v>0</v>
      </c>
      <c r="G71" s="47" t="n">
        <f aca="false">1-(1-E71)*(1-F71)</f>
        <v>0.6636</v>
      </c>
      <c r="H71" s="53" t="str">
        <f aca="false">IF(G71&gt;0.5,"SI","NO")</f>
        <v>SI</v>
      </c>
      <c r="I71" s="53" t="str">
        <f aca="false">IF(G71&gt;0.5,"NO","POSIBLE")</f>
        <v>NO</v>
      </c>
    </row>
    <row r="72" customFormat="false" ht="12" hidden="false" customHeight="true" outlineLevel="0" collapsed="false">
      <c r="B72" s="52" t="s">
        <v>221</v>
      </c>
      <c r="C72" s="45" t="n">
        <f aca="false">RANDBETWEEN(1,INT(1_DATOS!C6))*1</f>
        <v>10</v>
      </c>
      <c r="D72" s="41" t="n">
        <f aca="false">IF(C72&lt;=5,1_DATOS!C20/100,IF(C72&gt;=1_DATOS!C21,1_DATOS!C19/100,1_DATOS!C19/100+((1_DATOS!C21-C72)/(1_DATOS!C21-5))*(1_DATOS!C20/100-1_DATOS!C19/100)))</f>
        <v>0.6</v>
      </c>
      <c r="E72" s="46" t="n">
        <f aca="false">IF(C72&lt;=1_DATOS!C5,1-(1-D72*2_CALCULOS!C38)^1_DATOS!C13,0)</f>
        <v>0.6636</v>
      </c>
      <c r="F72" s="37" t="n">
        <f aca="false">IF(C72&lt;=1_DATOS!C7,1-(1-D72*2_CALCULOS!E38)^1_DATOS!C14,0)</f>
        <v>0.6636</v>
      </c>
      <c r="G72" s="47" t="n">
        <f aca="false">1-(1-E72)*(1-F72)</f>
        <v>0.88683504</v>
      </c>
      <c r="H72" s="53" t="str">
        <f aca="false">IF(G72&gt;0.5,"SI","NO")</f>
        <v>SI</v>
      </c>
      <c r="I72" s="53" t="str">
        <f aca="false">IF(G72&gt;0.5,"NO","POSIBLE")</f>
        <v>NO</v>
      </c>
    </row>
    <row r="73" customFormat="false" ht="12" hidden="false" customHeight="true" outlineLevel="0" collapsed="false">
      <c r="B73" s="52" t="s">
        <v>222</v>
      </c>
      <c r="C73" s="45" t="n">
        <f aca="false">RANDBETWEEN(1,INT(1_DATOS!C6))*1</f>
        <v>50</v>
      </c>
      <c r="D73" s="41" t="n">
        <f aca="false">IF(C73&lt;=5,1_DATOS!C20/100,IF(C73&gt;=1_DATOS!C21,1_DATOS!C19/100,1_DATOS!C19/100+((1_DATOS!C21-C73)/(1_DATOS!C21-5))*(1_DATOS!C20/100-1_DATOS!C19/100)))</f>
        <v>0.6</v>
      </c>
      <c r="E73" s="46" t="n">
        <f aca="false">IF(C73&lt;=1_DATOS!C5,1-(1-D73*2_CALCULOS!C38)^1_DATOS!C13,0)</f>
        <v>0</v>
      </c>
      <c r="F73" s="37" t="n">
        <f aca="false">IF(C73&lt;=1_DATOS!C7,1-(1-D73*2_CALCULOS!E38)^1_DATOS!C14,0)</f>
        <v>0</v>
      </c>
      <c r="G73" s="47" t="n">
        <f aca="false">1-(1-E73)*(1-F73)</f>
        <v>0</v>
      </c>
      <c r="H73" s="53" t="str">
        <f aca="false">IF(G73&gt;0.5,"SI","NO")</f>
        <v>NO</v>
      </c>
      <c r="I73" s="53" t="str">
        <f aca="false">IF(G73&gt;0.5,"NO","POSIBLE")</f>
        <v>POSIBLE</v>
      </c>
    </row>
    <row r="74" customFormat="false" ht="12" hidden="false" customHeight="true" outlineLevel="0" collapsed="false">
      <c r="B74" s="52" t="s">
        <v>223</v>
      </c>
      <c r="C74" s="45" t="n">
        <f aca="false">RANDBETWEEN(1,INT(1_DATOS!C6))*1</f>
        <v>55</v>
      </c>
      <c r="D74" s="41" t="n">
        <f aca="false">IF(C74&lt;=5,1_DATOS!C20/100,IF(C74&gt;=1_DATOS!C21,1_DATOS!C19/100,1_DATOS!C19/100+((1_DATOS!C21-C74)/(1_DATOS!C21-5))*(1_DATOS!C20/100-1_DATOS!C19/100)))</f>
        <v>0.6</v>
      </c>
      <c r="E74" s="46" t="n">
        <f aca="false">IF(C74&lt;=1_DATOS!C5,1-(1-D74*2_CALCULOS!C38)^1_DATOS!C13,0)</f>
        <v>0</v>
      </c>
      <c r="F74" s="37" t="n">
        <f aca="false">IF(C74&lt;=1_DATOS!C7,1-(1-D74*2_CALCULOS!E38)^1_DATOS!C14,0)</f>
        <v>0</v>
      </c>
      <c r="G74" s="47" t="n">
        <f aca="false">1-(1-E74)*(1-F74)</f>
        <v>0</v>
      </c>
      <c r="H74" s="53" t="str">
        <f aca="false">IF(G74&gt;0.5,"SI","NO")</f>
        <v>NO</v>
      </c>
      <c r="I74" s="53" t="str">
        <f aca="false">IF(G74&gt;0.5,"NO","POSIBLE")</f>
        <v>POSIBLE</v>
      </c>
    </row>
    <row r="75" customFormat="false" ht="12" hidden="false" customHeight="true" outlineLevel="0" collapsed="false">
      <c r="B75" s="52" t="s">
        <v>224</v>
      </c>
      <c r="C75" s="45" t="n">
        <f aca="false">RANDBETWEEN(1,INT(1_DATOS!C6))*1</f>
        <v>45</v>
      </c>
      <c r="D75" s="41" t="n">
        <f aca="false">IF(C75&lt;=5,1_DATOS!C20/100,IF(C75&gt;=1_DATOS!C21,1_DATOS!C19/100,1_DATOS!C19/100+((1_DATOS!C21-C75)/(1_DATOS!C21-5))*(1_DATOS!C20/100-1_DATOS!C19/100)))</f>
        <v>0.6</v>
      </c>
      <c r="E75" s="46" t="n">
        <f aca="false">IF(C75&lt;=1_DATOS!C5,1-(1-D75*2_CALCULOS!C38)^1_DATOS!C13,0)</f>
        <v>0</v>
      </c>
      <c r="F75" s="37" t="n">
        <f aca="false">IF(C75&lt;=1_DATOS!C7,1-(1-D75*2_CALCULOS!E38)^1_DATOS!C14,0)</f>
        <v>0</v>
      </c>
      <c r="G75" s="47" t="n">
        <f aca="false">1-(1-E75)*(1-F75)</f>
        <v>0</v>
      </c>
      <c r="H75" s="53" t="str">
        <f aca="false">IF(G75&gt;0.5,"SI","NO")</f>
        <v>NO</v>
      </c>
      <c r="I75" s="53" t="str">
        <f aca="false">IF(G75&gt;0.5,"NO","POSIBLE")</f>
        <v>POSIBLE</v>
      </c>
    </row>
    <row r="76" customFormat="false" ht="12" hidden="false" customHeight="true" outlineLevel="0" collapsed="false">
      <c r="B76" s="52" t="s">
        <v>225</v>
      </c>
      <c r="C76" s="45" t="n">
        <f aca="false">RANDBETWEEN(1,INT(1_DATOS!C6))*1</f>
        <v>30</v>
      </c>
      <c r="D76" s="41" t="n">
        <f aca="false">IF(C76&lt;=5,1_DATOS!C20/100,IF(C76&gt;=1_DATOS!C21,1_DATOS!C19/100,1_DATOS!C19/100+((1_DATOS!C21-C76)/(1_DATOS!C21-5))*(1_DATOS!C20/100-1_DATOS!C19/100)))</f>
        <v>0.6</v>
      </c>
      <c r="E76" s="46" t="n">
        <f aca="false">IF(C76&lt;=1_DATOS!C5,1-(1-D76*2_CALCULOS!C38)^1_DATOS!C13,0)</f>
        <v>0</v>
      </c>
      <c r="F76" s="37" t="n">
        <f aca="false">IF(C76&lt;=1_DATOS!C7,1-(1-D76*2_CALCULOS!E38)^1_DATOS!C14,0)</f>
        <v>0</v>
      </c>
      <c r="G76" s="47" t="n">
        <f aca="false">1-(1-E76)*(1-F76)</f>
        <v>0</v>
      </c>
      <c r="H76" s="53" t="str">
        <f aca="false">IF(G76&gt;0.5,"SI","NO")</f>
        <v>NO</v>
      </c>
      <c r="I76" s="53" t="str">
        <f aca="false">IF(G76&gt;0.5,"NO","POSIBLE")</f>
        <v>POSIBLE</v>
      </c>
    </row>
    <row r="77" customFormat="false" ht="12" hidden="false" customHeight="true" outlineLevel="0" collapsed="false">
      <c r="B77" s="52" t="s">
        <v>226</v>
      </c>
      <c r="C77" s="45" t="n">
        <f aca="false">RANDBETWEEN(1,INT(1_DATOS!C6))*1</f>
        <v>45</v>
      </c>
      <c r="D77" s="41" t="n">
        <f aca="false">IF(C77&lt;=5,1_DATOS!C20/100,IF(C77&gt;=1_DATOS!C21,1_DATOS!C19/100,1_DATOS!C19/100+((1_DATOS!C21-C77)/(1_DATOS!C21-5))*(1_DATOS!C20/100-1_DATOS!C19/100)))</f>
        <v>0.6</v>
      </c>
      <c r="E77" s="46" t="n">
        <f aca="false">IF(C77&lt;=1_DATOS!C5,1-(1-D77*2_CALCULOS!C38)^1_DATOS!C13,0)</f>
        <v>0</v>
      </c>
      <c r="F77" s="37" t="n">
        <f aca="false">IF(C77&lt;=1_DATOS!C7,1-(1-D77*2_CALCULOS!E38)^1_DATOS!C14,0)</f>
        <v>0</v>
      </c>
      <c r="G77" s="47" t="n">
        <f aca="false">1-(1-E77)*(1-F77)</f>
        <v>0</v>
      </c>
      <c r="H77" s="53" t="str">
        <f aca="false">IF(G77&gt;0.5,"SI","NO")</f>
        <v>NO</v>
      </c>
      <c r="I77" s="53" t="str">
        <f aca="false">IF(G77&gt;0.5,"NO","POSIBLE")</f>
        <v>POSIBLE</v>
      </c>
    </row>
    <row r="78" customFormat="false" ht="12" hidden="false" customHeight="true" outlineLevel="0" collapsed="false">
      <c r="B78" s="52" t="s">
        <v>227</v>
      </c>
      <c r="C78" s="45" t="n">
        <f aca="false">RANDBETWEEN(1,INT(1_DATOS!C6))*1</f>
        <v>43</v>
      </c>
      <c r="D78" s="41" t="n">
        <f aca="false">IF(C78&lt;=5,1_DATOS!C20/100,IF(C78&gt;=1_DATOS!C21,1_DATOS!C19/100,1_DATOS!C19/100+((1_DATOS!C21-C78)/(1_DATOS!C21-5))*(1_DATOS!C20/100-1_DATOS!C19/100)))</f>
        <v>0.6</v>
      </c>
      <c r="E78" s="46" t="n">
        <f aca="false">IF(C78&lt;=1_DATOS!C5,1-(1-D78*2_CALCULOS!C38)^1_DATOS!C13,0)</f>
        <v>0</v>
      </c>
      <c r="F78" s="37" t="n">
        <f aca="false">IF(C78&lt;=1_DATOS!C7,1-(1-D78*2_CALCULOS!E38)^1_DATOS!C14,0)</f>
        <v>0</v>
      </c>
      <c r="G78" s="47" t="n">
        <f aca="false">1-(1-E78)*(1-F78)</f>
        <v>0</v>
      </c>
      <c r="H78" s="53" t="str">
        <f aca="false">IF(G78&gt;0.5,"SI","NO")</f>
        <v>NO</v>
      </c>
      <c r="I78" s="53" t="str">
        <f aca="false">IF(G78&gt;0.5,"NO","POSIBLE")</f>
        <v>POSIBLE</v>
      </c>
    </row>
    <row r="79" customFormat="false" ht="12" hidden="false" customHeight="true" outlineLevel="0" collapsed="false">
      <c r="B79" s="52" t="s">
        <v>228</v>
      </c>
      <c r="C79" s="45" t="n">
        <f aca="false">RANDBETWEEN(1,INT(1_DATOS!C6))*1</f>
        <v>14</v>
      </c>
      <c r="D79" s="41" t="n">
        <f aca="false">IF(C79&lt;=5,1_DATOS!C20/100,IF(C79&gt;=1_DATOS!C21,1_DATOS!C19/100,1_DATOS!C19/100+((1_DATOS!C21-C79)/(1_DATOS!C21-5))*(1_DATOS!C20/100-1_DATOS!C19/100)))</f>
        <v>0.6</v>
      </c>
      <c r="E79" s="46" t="n">
        <f aca="false">IF(C79&lt;=1_DATOS!C5,1-(1-D79*2_CALCULOS!C38)^1_DATOS!C13,0)</f>
        <v>0.6636</v>
      </c>
      <c r="F79" s="37" t="n">
        <f aca="false">IF(C79&lt;=1_DATOS!C7,1-(1-D79*2_CALCULOS!E38)^1_DATOS!C14,0)</f>
        <v>0</v>
      </c>
      <c r="G79" s="47" t="n">
        <f aca="false">1-(1-E79)*(1-F79)</f>
        <v>0.6636</v>
      </c>
      <c r="H79" s="53" t="str">
        <f aca="false">IF(G79&gt;0.5,"SI","NO")</f>
        <v>SI</v>
      </c>
      <c r="I79" s="53" t="str">
        <f aca="false">IF(G79&gt;0.5,"NO","POSIBLE")</f>
        <v>NO</v>
      </c>
    </row>
    <row r="80" customFormat="false" ht="12" hidden="false" customHeight="true" outlineLevel="0" collapsed="false">
      <c r="B80" s="52" t="s">
        <v>229</v>
      </c>
      <c r="C80" s="45" t="n">
        <f aca="false">RANDBETWEEN(1,INT(1_DATOS!C6))*1</f>
        <v>14</v>
      </c>
      <c r="D80" s="41" t="n">
        <f aca="false">IF(C80&lt;=5,1_DATOS!C20/100,IF(C80&gt;=1_DATOS!C21,1_DATOS!C19/100,1_DATOS!C19/100+((1_DATOS!C21-C80)/(1_DATOS!C21-5))*(1_DATOS!C20/100-1_DATOS!C19/100)))</f>
        <v>0.6</v>
      </c>
      <c r="E80" s="46" t="n">
        <f aca="false">IF(C80&lt;=1_DATOS!C5,1-(1-D80*2_CALCULOS!C38)^1_DATOS!C13,0)</f>
        <v>0.6636</v>
      </c>
      <c r="F80" s="37" t="n">
        <f aca="false">IF(C80&lt;=1_DATOS!C7,1-(1-D80*2_CALCULOS!E38)^1_DATOS!C14,0)</f>
        <v>0</v>
      </c>
      <c r="G80" s="47" t="n">
        <f aca="false">1-(1-E80)*(1-F80)</f>
        <v>0.6636</v>
      </c>
      <c r="H80" s="53" t="str">
        <f aca="false">IF(G80&gt;0.5,"SI","NO")</f>
        <v>SI</v>
      </c>
      <c r="I80" s="53" t="str">
        <f aca="false">IF(G80&gt;0.5,"NO","POSIBLE")</f>
        <v>NO</v>
      </c>
    </row>
    <row r="81" customFormat="false" ht="12" hidden="false" customHeight="true" outlineLevel="0" collapsed="false">
      <c r="B81" s="52" t="s">
        <v>230</v>
      </c>
      <c r="C81" s="45" t="n">
        <f aca="false">RANDBETWEEN(1,INT(1_DATOS!C6))*1</f>
        <v>48</v>
      </c>
      <c r="D81" s="41" t="n">
        <f aca="false">IF(C81&lt;=5,1_DATOS!C20/100,IF(C81&gt;=1_DATOS!C21,1_DATOS!C19/100,1_DATOS!C19/100+((1_DATOS!C21-C81)/(1_DATOS!C21-5))*(1_DATOS!C20/100-1_DATOS!C19/100)))</f>
        <v>0.6</v>
      </c>
      <c r="E81" s="46" t="n">
        <f aca="false">IF(C81&lt;=1_DATOS!C5,1-(1-D81*2_CALCULOS!C38)^1_DATOS!C13,0)</f>
        <v>0</v>
      </c>
      <c r="F81" s="37" t="n">
        <f aca="false">IF(C81&lt;=1_DATOS!C7,1-(1-D81*2_CALCULOS!E38)^1_DATOS!C14,0)</f>
        <v>0</v>
      </c>
      <c r="G81" s="47" t="n">
        <f aca="false">1-(1-E81)*(1-F81)</f>
        <v>0</v>
      </c>
      <c r="H81" s="53" t="str">
        <f aca="false">IF(G81&gt;0.5,"SI","NO")</f>
        <v>NO</v>
      </c>
      <c r="I81" s="53" t="str">
        <f aca="false">IF(G81&gt;0.5,"NO","POSIBLE")</f>
        <v>POSIBLE</v>
      </c>
    </row>
    <row r="82" customFormat="false" ht="12" hidden="false" customHeight="true" outlineLevel="0" collapsed="false">
      <c r="B82" s="52" t="s">
        <v>231</v>
      </c>
      <c r="C82" s="45" t="n">
        <f aca="false">RANDBETWEEN(1,INT(1_DATOS!C6))*1</f>
        <v>29</v>
      </c>
      <c r="D82" s="41" t="n">
        <f aca="false">IF(C82&lt;=5,1_DATOS!C20/100,IF(C82&gt;=1_DATOS!C21,1_DATOS!C19/100,1_DATOS!C19/100+((1_DATOS!C21-C82)/(1_DATOS!C21-5))*(1_DATOS!C20/100-1_DATOS!C19/100)))</f>
        <v>0.6</v>
      </c>
      <c r="E82" s="46" t="n">
        <f aca="false">IF(C82&lt;=1_DATOS!C5,1-(1-D82*2_CALCULOS!C38)^1_DATOS!C13,0)</f>
        <v>0</v>
      </c>
      <c r="F82" s="37" t="n">
        <f aca="false">IF(C82&lt;=1_DATOS!C7,1-(1-D82*2_CALCULOS!E38)^1_DATOS!C14,0)</f>
        <v>0</v>
      </c>
      <c r="G82" s="47" t="n">
        <f aca="false">1-(1-E82)*(1-F82)</f>
        <v>0</v>
      </c>
      <c r="H82" s="53" t="str">
        <f aca="false">IF(G82&gt;0.5,"SI","NO")</f>
        <v>NO</v>
      </c>
      <c r="I82" s="53" t="str">
        <f aca="false">IF(G82&gt;0.5,"NO","POSIBLE")</f>
        <v>POSIBLE</v>
      </c>
    </row>
    <row r="83" customFormat="false" ht="12" hidden="false" customHeight="true" outlineLevel="0" collapsed="false">
      <c r="B83" s="52" t="s">
        <v>232</v>
      </c>
      <c r="C83" s="45" t="n">
        <f aca="false">RANDBETWEEN(1,INT(1_DATOS!C6))*1</f>
        <v>56</v>
      </c>
      <c r="D83" s="41" t="n">
        <f aca="false">IF(C83&lt;=5,1_DATOS!C20/100,IF(C83&gt;=1_DATOS!C21,1_DATOS!C19/100,1_DATOS!C19/100+((1_DATOS!C21-C83)/(1_DATOS!C21-5))*(1_DATOS!C20/100-1_DATOS!C19/100)))</f>
        <v>0.6</v>
      </c>
      <c r="E83" s="46" t="n">
        <f aca="false">IF(C83&lt;=1_DATOS!C5,1-(1-D83*2_CALCULOS!C38)^1_DATOS!C13,0)</f>
        <v>0</v>
      </c>
      <c r="F83" s="37" t="n">
        <f aca="false">IF(C83&lt;=1_DATOS!C7,1-(1-D83*2_CALCULOS!E38)^1_DATOS!C14,0)</f>
        <v>0</v>
      </c>
      <c r="G83" s="47" t="n">
        <f aca="false">1-(1-E83)*(1-F83)</f>
        <v>0</v>
      </c>
      <c r="H83" s="53" t="str">
        <f aca="false">IF(G83&gt;0.5,"SI","NO")</f>
        <v>NO</v>
      </c>
      <c r="I83" s="53" t="str">
        <f aca="false">IF(G83&gt;0.5,"NO","POSIBLE")</f>
        <v>POSIBLE</v>
      </c>
    </row>
    <row r="84" customFormat="false" ht="12" hidden="false" customHeight="true" outlineLevel="0" collapsed="false">
      <c r="B84" s="52" t="s">
        <v>233</v>
      </c>
      <c r="C84" s="45" t="n">
        <f aca="false">RANDBETWEEN(1,INT(1_DATOS!C6))*1</f>
        <v>41</v>
      </c>
      <c r="D84" s="41" t="n">
        <f aca="false">IF(C84&lt;=5,1_DATOS!C20/100,IF(C84&gt;=1_DATOS!C21,1_DATOS!C19/100,1_DATOS!C19/100+((1_DATOS!C21-C84)/(1_DATOS!C21-5))*(1_DATOS!C20/100-1_DATOS!C19/100)))</f>
        <v>0.6</v>
      </c>
      <c r="E84" s="46" t="n">
        <f aca="false">IF(C84&lt;=1_DATOS!C5,1-(1-D84*2_CALCULOS!C38)^1_DATOS!C13,0)</f>
        <v>0</v>
      </c>
      <c r="F84" s="37" t="n">
        <f aca="false">IF(C84&lt;=1_DATOS!C7,1-(1-D84*2_CALCULOS!E38)^1_DATOS!C14,0)</f>
        <v>0</v>
      </c>
      <c r="G84" s="47" t="n">
        <f aca="false">1-(1-E84)*(1-F84)</f>
        <v>0</v>
      </c>
      <c r="H84" s="53" t="str">
        <f aca="false">IF(G84&gt;0.5,"SI","NO")</f>
        <v>NO</v>
      </c>
      <c r="I84" s="53" t="str">
        <f aca="false">IF(G84&gt;0.5,"NO","POSIBLE")</f>
        <v>POSIBLE</v>
      </c>
    </row>
    <row r="85" customFormat="false" ht="12" hidden="false" customHeight="true" outlineLevel="0" collapsed="false">
      <c r="B85" s="52" t="s">
        <v>234</v>
      </c>
      <c r="C85" s="45" t="n">
        <f aca="false">RANDBETWEEN(1,INT(1_DATOS!C6))*1</f>
        <v>32</v>
      </c>
      <c r="D85" s="41" t="n">
        <f aca="false">IF(C85&lt;=5,1_DATOS!C20/100,IF(C85&gt;=1_DATOS!C21,1_DATOS!C19/100,1_DATOS!C19/100+((1_DATOS!C21-C85)/(1_DATOS!C21-5))*(1_DATOS!C20/100-1_DATOS!C19/100)))</f>
        <v>0.6</v>
      </c>
      <c r="E85" s="46" t="n">
        <f aca="false">IF(C85&lt;=1_DATOS!C5,1-(1-D85*2_CALCULOS!C38)^1_DATOS!C13,0)</f>
        <v>0</v>
      </c>
      <c r="F85" s="37" t="n">
        <f aca="false">IF(C85&lt;=1_DATOS!C7,1-(1-D85*2_CALCULOS!E38)^1_DATOS!C14,0)</f>
        <v>0</v>
      </c>
      <c r="G85" s="47" t="n">
        <f aca="false">1-(1-E85)*(1-F85)</f>
        <v>0</v>
      </c>
      <c r="H85" s="53" t="str">
        <f aca="false">IF(G85&gt;0.5,"SI","NO")</f>
        <v>NO</v>
      </c>
      <c r="I85" s="53" t="str">
        <f aca="false">IF(G85&gt;0.5,"NO","POSIBLE")</f>
        <v>POSIBLE</v>
      </c>
    </row>
    <row r="86" customFormat="false" ht="12" hidden="false" customHeight="true" outlineLevel="0" collapsed="false">
      <c r="B86" s="52" t="s">
        <v>235</v>
      </c>
      <c r="C86" s="45" t="n">
        <f aca="false">RANDBETWEEN(1,INT(1_DATOS!C6))*1</f>
        <v>11</v>
      </c>
      <c r="D86" s="41" t="n">
        <f aca="false">IF(C86&lt;=5,1_DATOS!C20/100,IF(C86&gt;=1_DATOS!C21,1_DATOS!C19/100,1_DATOS!C19/100+((1_DATOS!C21-C86)/(1_DATOS!C21-5))*(1_DATOS!C20/100-1_DATOS!C19/100)))</f>
        <v>0.6</v>
      </c>
      <c r="E86" s="46" t="n">
        <f aca="false">IF(C86&lt;=1_DATOS!C5,1-(1-D86*2_CALCULOS!C38)^1_DATOS!C13,0)</f>
        <v>0.6636</v>
      </c>
      <c r="F86" s="37" t="n">
        <f aca="false">IF(C86&lt;=1_DATOS!C7,1-(1-D86*2_CALCULOS!E38)^1_DATOS!C14,0)</f>
        <v>0.6636</v>
      </c>
      <c r="G86" s="47" t="n">
        <f aca="false">1-(1-E86)*(1-F86)</f>
        <v>0.88683504</v>
      </c>
      <c r="H86" s="53" t="str">
        <f aca="false">IF(G86&gt;0.5,"SI","NO")</f>
        <v>SI</v>
      </c>
      <c r="I86" s="53" t="str">
        <f aca="false">IF(G86&gt;0.5,"NO","POSIBLE")</f>
        <v>NO</v>
      </c>
    </row>
    <row r="87" customFormat="false" ht="12" hidden="false" customHeight="true" outlineLevel="0" collapsed="false">
      <c r="B87" s="52" t="s">
        <v>236</v>
      </c>
      <c r="C87" s="45" t="n">
        <f aca="false">RANDBETWEEN(1,INT(1_DATOS!C6))*1</f>
        <v>39</v>
      </c>
      <c r="D87" s="41" t="n">
        <f aca="false">IF(C87&lt;=5,1_DATOS!C20/100,IF(C87&gt;=1_DATOS!C21,1_DATOS!C19/100,1_DATOS!C19/100+((1_DATOS!C21-C87)/(1_DATOS!C21-5))*(1_DATOS!C20/100-1_DATOS!C19/100)))</f>
        <v>0.6</v>
      </c>
      <c r="E87" s="46" t="n">
        <f aca="false">IF(C87&lt;=1_DATOS!C5,1-(1-D87*2_CALCULOS!C38)^1_DATOS!C13,0)</f>
        <v>0</v>
      </c>
      <c r="F87" s="37" t="n">
        <f aca="false">IF(C87&lt;=1_DATOS!C7,1-(1-D87*2_CALCULOS!E38)^1_DATOS!C14,0)</f>
        <v>0</v>
      </c>
      <c r="G87" s="47" t="n">
        <f aca="false">1-(1-E87)*(1-F87)</f>
        <v>0</v>
      </c>
      <c r="H87" s="53" t="str">
        <f aca="false">IF(G87&gt;0.5,"SI","NO")</f>
        <v>NO</v>
      </c>
      <c r="I87" s="53" t="str">
        <f aca="false">IF(G87&gt;0.5,"NO","POSIBLE")</f>
        <v>POSIBLE</v>
      </c>
    </row>
    <row r="88" customFormat="false" ht="12" hidden="false" customHeight="true" outlineLevel="0" collapsed="false">
      <c r="B88" s="52" t="s">
        <v>237</v>
      </c>
      <c r="C88" s="45" t="n">
        <f aca="false">RANDBETWEEN(1,INT(1_DATOS!C6))*1</f>
        <v>10</v>
      </c>
      <c r="D88" s="41" t="n">
        <f aca="false">IF(C88&lt;=5,1_DATOS!C20/100,IF(C88&gt;=1_DATOS!C21,1_DATOS!C19/100,1_DATOS!C19/100+((1_DATOS!C21-C88)/(1_DATOS!C21-5))*(1_DATOS!C20/100-1_DATOS!C19/100)))</f>
        <v>0.6</v>
      </c>
      <c r="E88" s="46" t="n">
        <f aca="false">IF(C88&lt;=1_DATOS!C5,1-(1-D88*2_CALCULOS!C38)^1_DATOS!C13,0)</f>
        <v>0.6636</v>
      </c>
      <c r="F88" s="37" t="n">
        <f aca="false">IF(C88&lt;=1_DATOS!C7,1-(1-D88*2_CALCULOS!E38)^1_DATOS!C14,0)</f>
        <v>0.6636</v>
      </c>
      <c r="G88" s="47" t="n">
        <f aca="false">1-(1-E88)*(1-F88)</f>
        <v>0.88683504</v>
      </c>
      <c r="H88" s="53" t="str">
        <f aca="false">IF(G88&gt;0.5,"SI","NO")</f>
        <v>SI</v>
      </c>
      <c r="I88" s="53" t="str">
        <f aca="false">IF(G88&gt;0.5,"NO","POSIBLE")</f>
        <v>NO</v>
      </c>
    </row>
    <row r="89" customFormat="false" ht="12" hidden="false" customHeight="true" outlineLevel="0" collapsed="false">
      <c r="B89" s="52" t="s">
        <v>238</v>
      </c>
      <c r="C89" s="45" t="n">
        <f aca="false">RANDBETWEEN(1,INT(1_DATOS!C6))*1</f>
        <v>59</v>
      </c>
      <c r="D89" s="41" t="n">
        <f aca="false">IF(C89&lt;=5,1_DATOS!C20/100,IF(C89&gt;=1_DATOS!C21,1_DATOS!C19/100,1_DATOS!C19/100+((1_DATOS!C21-C89)/(1_DATOS!C21-5))*(1_DATOS!C20/100-1_DATOS!C19/100)))</f>
        <v>0.6</v>
      </c>
      <c r="E89" s="46" t="n">
        <f aca="false">IF(C89&lt;=1_DATOS!C5,1-(1-D89*2_CALCULOS!C38)^1_DATOS!C13,0)</f>
        <v>0</v>
      </c>
      <c r="F89" s="37" t="n">
        <f aca="false">IF(C89&lt;=1_DATOS!C7,1-(1-D89*2_CALCULOS!E38)^1_DATOS!C14,0)</f>
        <v>0</v>
      </c>
      <c r="G89" s="47" t="n">
        <f aca="false">1-(1-E89)*(1-F89)</f>
        <v>0</v>
      </c>
      <c r="H89" s="53" t="str">
        <f aca="false">IF(G89&gt;0.5,"SI","NO")</f>
        <v>NO</v>
      </c>
      <c r="I89" s="53" t="str">
        <f aca="false">IF(G89&gt;0.5,"NO","POSIBLE")</f>
        <v>POSIBLE</v>
      </c>
    </row>
    <row r="90" customFormat="false" ht="12" hidden="false" customHeight="true" outlineLevel="0" collapsed="false">
      <c r="B90" s="52" t="s">
        <v>239</v>
      </c>
      <c r="C90" s="45" t="n">
        <f aca="false">RANDBETWEEN(1,INT(1_DATOS!C6))*1</f>
        <v>19</v>
      </c>
      <c r="D90" s="41" t="n">
        <f aca="false">IF(C90&lt;=5,1_DATOS!C20/100,IF(C90&gt;=1_DATOS!C21,1_DATOS!C19/100,1_DATOS!C19/100+((1_DATOS!C21-C90)/(1_DATOS!C21-5))*(1_DATOS!C20/100-1_DATOS!C19/100)))</f>
        <v>0.6</v>
      </c>
      <c r="E90" s="46" t="n">
        <f aca="false">IF(C90&lt;=1_DATOS!C5,1-(1-D90*2_CALCULOS!C38)^1_DATOS!C13,0)</f>
        <v>0.6636</v>
      </c>
      <c r="F90" s="37" t="n">
        <f aca="false">IF(C90&lt;=1_DATOS!C7,1-(1-D90*2_CALCULOS!E38)^1_DATOS!C14,0)</f>
        <v>0</v>
      </c>
      <c r="G90" s="47" t="n">
        <f aca="false">1-(1-E90)*(1-F90)</f>
        <v>0.6636</v>
      </c>
      <c r="H90" s="53" t="str">
        <f aca="false">IF(G90&gt;0.5,"SI","NO")</f>
        <v>SI</v>
      </c>
      <c r="I90" s="53" t="str">
        <f aca="false">IF(G90&gt;0.5,"NO","POSIBLE")</f>
        <v>NO</v>
      </c>
    </row>
    <row r="91" customFormat="false" ht="12" hidden="false" customHeight="true" outlineLevel="0" collapsed="false">
      <c r="B91" s="52" t="s">
        <v>240</v>
      </c>
      <c r="C91" s="45" t="n">
        <f aca="false">RANDBETWEEN(1,INT(1_DATOS!C6))*1</f>
        <v>26</v>
      </c>
      <c r="D91" s="41" t="n">
        <f aca="false">IF(C91&lt;=5,1_DATOS!C20/100,IF(C91&gt;=1_DATOS!C21,1_DATOS!C19/100,1_DATOS!C19/100+((1_DATOS!C21-C91)/(1_DATOS!C21-5))*(1_DATOS!C20/100-1_DATOS!C19/100)))</f>
        <v>0.6</v>
      </c>
      <c r="E91" s="46" t="n">
        <f aca="false">IF(C91&lt;=1_DATOS!C5,1-(1-D91*2_CALCULOS!C38)^1_DATOS!C13,0)</f>
        <v>0</v>
      </c>
      <c r="F91" s="37" t="n">
        <f aca="false">IF(C91&lt;=1_DATOS!C7,1-(1-D91*2_CALCULOS!E38)^1_DATOS!C14,0)</f>
        <v>0</v>
      </c>
      <c r="G91" s="47" t="n">
        <f aca="false">1-(1-E91)*(1-F91)</f>
        <v>0</v>
      </c>
      <c r="H91" s="53" t="str">
        <f aca="false">IF(G91&gt;0.5,"SI","NO")</f>
        <v>NO</v>
      </c>
      <c r="I91" s="53" t="str">
        <f aca="false">IF(G91&gt;0.5,"NO","POSIBLE")</f>
        <v>POSIBLE</v>
      </c>
    </row>
    <row r="92" customFormat="false" ht="12" hidden="false" customHeight="true" outlineLevel="0" collapsed="false">
      <c r="B92" s="52" t="s">
        <v>241</v>
      </c>
      <c r="C92" s="45" t="n">
        <f aca="false">RANDBETWEEN(1,INT(1_DATOS!C6))*1</f>
        <v>50</v>
      </c>
      <c r="D92" s="41" t="n">
        <f aca="false">IF(C92&lt;=5,1_DATOS!C20/100,IF(C92&gt;=1_DATOS!C21,1_DATOS!C19/100,1_DATOS!C19/100+((1_DATOS!C21-C92)/(1_DATOS!C21-5))*(1_DATOS!C20/100-1_DATOS!C19/100)))</f>
        <v>0.6</v>
      </c>
      <c r="E92" s="46" t="n">
        <f aca="false">IF(C92&lt;=1_DATOS!C5,1-(1-D92*2_CALCULOS!C38)^1_DATOS!C13,0)</f>
        <v>0</v>
      </c>
      <c r="F92" s="37" t="n">
        <f aca="false">IF(C92&lt;=1_DATOS!C7,1-(1-D92*2_CALCULOS!E38)^1_DATOS!C14,0)</f>
        <v>0</v>
      </c>
      <c r="G92" s="47" t="n">
        <f aca="false">1-(1-E92)*(1-F92)</f>
        <v>0</v>
      </c>
      <c r="H92" s="53" t="str">
        <f aca="false">IF(G92&gt;0.5,"SI","NO")</f>
        <v>NO</v>
      </c>
      <c r="I92" s="53" t="str">
        <f aca="false">IF(G92&gt;0.5,"NO","POSIBLE")</f>
        <v>POSIBLE</v>
      </c>
    </row>
    <row r="93" customFormat="false" ht="12" hidden="false" customHeight="true" outlineLevel="0" collapsed="false">
      <c r="B93" s="52" t="s">
        <v>242</v>
      </c>
      <c r="C93" s="45" t="n">
        <f aca="false">RANDBETWEEN(1,INT(1_DATOS!C6))*1</f>
        <v>2</v>
      </c>
      <c r="D93" s="41" t="n">
        <f aca="false">IF(C93&lt;=5,1_DATOS!C20/100,IF(C93&gt;=1_DATOS!C21,1_DATOS!C19/100,1_DATOS!C19/100+((1_DATOS!C21-C93)/(1_DATOS!C21-5))*(1_DATOS!C20/100-1_DATOS!C19/100)))</f>
        <v>0.95</v>
      </c>
      <c r="E93" s="46" t="n">
        <f aca="false">IF(C93&lt;=1_DATOS!C5,1-(1-D93*2_CALCULOS!C38)^1_DATOS!C13,0)</f>
        <v>0.887775</v>
      </c>
      <c r="F93" s="37" t="n">
        <f aca="false">IF(C93&lt;=1_DATOS!C7,1-(1-D93*2_CALCULOS!E38)^1_DATOS!C14,0)</f>
        <v>0.887775</v>
      </c>
      <c r="G93" s="47" t="n">
        <f aca="false">1-(1-E93)*(1-F93)</f>
        <v>0.987405549375</v>
      </c>
      <c r="H93" s="53" t="str">
        <f aca="false">IF(G93&gt;0.5,"SI","NO")</f>
        <v>SI</v>
      </c>
      <c r="I93" s="53" t="str">
        <f aca="false">IF(G93&gt;0.5,"NO","POSIBLE")</f>
        <v>NO</v>
      </c>
    </row>
    <row r="94" customFormat="false" ht="12" hidden="false" customHeight="true" outlineLevel="0" collapsed="false">
      <c r="B94" s="52" t="s">
        <v>243</v>
      </c>
      <c r="C94" s="45" t="n">
        <f aca="false">RANDBETWEEN(1,INT(1_DATOS!C6))*1</f>
        <v>42</v>
      </c>
      <c r="D94" s="41" t="n">
        <f aca="false">IF(C94&lt;=5,1_DATOS!C20/100,IF(C94&gt;=1_DATOS!C21,1_DATOS!C19/100,1_DATOS!C19/100+((1_DATOS!C21-C94)/(1_DATOS!C21-5))*(1_DATOS!C20/100-1_DATOS!C19/100)))</f>
        <v>0.6</v>
      </c>
      <c r="E94" s="46" t="n">
        <f aca="false">IF(C94&lt;=1_DATOS!C5,1-(1-D94*2_CALCULOS!C38)^1_DATOS!C13,0)</f>
        <v>0</v>
      </c>
      <c r="F94" s="37" t="n">
        <f aca="false">IF(C94&lt;=1_DATOS!C7,1-(1-D94*2_CALCULOS!E38)^1_DATOS!C14,0)</f>
        <v>0</v>
      </c>
      <c r="G94" s="47" t="n">
        <f aca="false">1-(1-E94)*(1-F94)</f>
        <v>0</v>
      </c>
      <c r="H94" s="53" t="str">
        <f aca="false">IF(G94&gt;0.5,"SI","NO")</f>
        <v>NO</v>
      </c>
      <c r="I94" s="53" t="str">
        <f aca="false">IF(G94&gt;0.5,"NO","POSIBLE")</f>
        <v>POSIBLE</v>
      </c>
    </row>
    <row r="95" customFormat="false" ht="12" hidden="false" customHeight="true" outlineLevel="0" collapsed="false">
      <c r="B95" s="52" t="s">
        <v>244</v>
      </c>
      <c r="C95" s="45" t="n">
        <f aca="false">RANDBETWEEN(1,INT(1_DATOS!C6))*1</f>
        <v>47</v>
      </c>
      <c r="D95" s="41" t="n">
        <f aca="false">IF(C95&lt;=5,1_DATOS!C20/100,IF(C95&gt;=1_DATOS!C21,1_DATOS!C19/100,1_DATOS!C19/100+((1_DATOS!C21-C95)/(1_DATOS!C21-5))*(1_DATOS!C20/100-1_DATOS!C19/100)))</f>
        <v>0.6</v>
      </c>
      <c r="E95" s="46" t="n">
        <f aca="false">IF(C95&lt;=1_DATOS!C5,1-(1-D95*2_CALCULOS!C38)^1_DATOS!C13,0)</f>
        <v>0</v>
      </c>
      <c r="F95" s="37" t="n">
        <f aca="false">IF(C95&lt;=1_DATOS!C7,1-(1-D95*2_CALCULOS!E38)^1_DATOS!C14,0)</f>
        <v>0</v>
      </c>
      <c r="G95" s="47" t="n">
        <f aca="false">1-(1-E95)*(1-F95)</f>
        <v>0</v>
      </c>
      <c r="H95" s="53" t="str">
        <f aca="false">IF(G95&gt;0.5,"SI","NO")</f>
        <v>NO</v>
      </c>
      <c r="I95" s="53" t="str">
        <f aca="false">IF(G95&gt;0.5,"NO","POSIBLE")</f>
        <v>POSIBLE</v>
      </c>
    </row>
    <row r="96" customFormat="false" ht="12" hidden="false" customHeight="true" outlineLevel="0" collapsed="false">
      <c r="B96" s="52" t="s">
        <v>245</v>
      </c>
      <c r="C96" s="45" t="n">
        <f aca="false">RANDBETWEEN(1,INT(1_DATOS!C6))*1</f>
        <v>37</v>
      </c>
      <c r="D96" s="41" t="n">
        <f aca="false">IF(C96&lt;=5,1_DATOS!C20/100,IF(C96&gt;=1_DATOS!C21,1_DATOS!C19/100,1_DATOS!C19/100+((1_DATOS!C21-C96)/(1_DATOS!C21-5))*(1_DATOS!C20/100-1_DATOS!C19/100)))</f>
        <v>0.6</v>
      </c>
      <c r="E96" s="46" t="n">
        <f aca="false">IF(C96&lt;=1_DATOS!C5,1-(1-D96*2_CALCULOS!C38)^1_DATOS!C13,0)</f>
        <v>0</v>
      </c>
      <c r="F96" s="37" t="n">
        <f aca="false">IF(C96&lt;=1_DATOS!C7,1-(1-D96*2_CALCULOS!E38)^1_DATOS!C14,0)</f>
        <v>0</v>
      </c>
      <c r="G96" s="47" t="n">
        <f aca="false">1-(1-E96)*(1-F96)</f>
        <v>0</v>
      </c>
      <c r="H96" s="53" t="str">
        <f aca="false">IF(G96&gt;0.5,"SI","NO")</f>
        <v>NO</v>
      </c>
      <c r="I96" s="53" t="str">
        <f aca="false">IF(G96&gt;0.5,"NO","POSIBLE")</f>
        <v>POSIBLE</v>
      </c>
    </row>
    <row r="97" customFormat="false" ht="12" hidden="false" customHeight="true" outlineLevel="0" collapsed="false">
      <c r="B97" s="52" t="s">
        <v>246</v>
      </c>
      <c r="C97" s="45" t="n">
        <f aca="false">RANDBETWEEN(1,INT(1_DATOS!C6))*1</f>
        <v>49</v>
      </c>
      <c r="D97" s="41" t="n">
        <f aca="false">IF(C97&lt;=5,1_DATOS!C20/100,IF(C97&gt;=1_DATOS!C21,1_DATOS!C19/100,1_DATOS!C19/100+((1_DATOS!C21-C97)/(1_DATOS!C21-5))*(1_DATOS!C20/100-1_DATOS!C19/100)))</f>
        <v>0.6</v>
      </c>
      <c r="E97" s="46" t="n">
        <f aca="false">IF(C97&lt;=1_DATOS!C5,1-(1-D97*2_CALCULOS!C38)^1_DATOS!C13,0)</f>
        <v>0</v>
      </c>
      <c r="F97" s="37" t="n">
        <f aca="false">IF(C97&lt;=1_DATOS!C7,1-(1-D97*2_CALCULOS!E38)^1_DATOS!C14,0)</f>
        <v>0</v>
      </c>
      <c r="G97" s="47" t="n">
        <f aca="false">1-(1-E97)*(1-F97)</f>
        <v>0</v>
      </c>
      <c r="H97" s="53" t="str">
        <f aca="false">IF(G97&gt;0.5,"SI","NO")</f>
        <v>NO</v>
      </c>
      <c r="I97" s="53" t="str">
        <f aca="false">IF(G97&gt;0.5,"NO","POSIBLE")</f>
        <v>POSIBLE</v>
      </c>
    </row>
    <row r="98" customFormat="false" ht="12" hidden="false" customHeight="true" outlineLevel="0" collapsed="false">
      <c r="B98" s="52" t="s">
        <v>247</v>
      </c>
      <c r="C98" s="45" t="n">
        <f aca="false">RANDBETWEEN(1,INT(1_DATOS!C6))*1</f>
        <v>58</v>
      </c>
      <c r="D98" s="41" t="n">
        <f aca="false">IF(C98&lt;=5,1_DATOS!C20/100,IF(C98&gt;=1_DATOS!C21,1_DATOS!C19/100,1_DATOS!C19/100+((1_DATOS!C21-C98)/(1_DATOS!C21-5))*(1_DATOS!C20/100-1_DATOS!C19/100)))</f>
        <v>0.6</v>
      </c>
      <c r="E98" s="46" t="n">
        <f aca="false">IF(C98&lt;=1_DATOS!C5,1-(1-D98*2_CALCULOS!C38)^1_DATOS!C13,0)</f>
        <v>0</v>
      </c>
      <c r="F98" s="37" t="n">
        <f aca="false">IF(C98&lt;=1_DATOS!C7,1-(1-D98*2_CALCULOS!E38)^1_DATOS!C14,0)</f>
        <v>0</v>
      </c>
      <c r="G98" s="47" t="n">
        <f aca="false">1-(1-E98)*(1-F98)</f>
        <v>0</v>
      </c>
      <c r="H98" s="53" t="str">
        <f aca="false">IF(G98&gt;0.5,"SI","NO")</f>
        <v>NO</v>
      </c>
      <c r="I98" s="53" t="str">
        <f aca="false">IF(G98&gt;0.5,"NO","POSIBLE")</f>
        <v>POSIBLE</v>
      </c>
    </row>
    <row r="99" customFormat="false" ht="12" hidden="false" customHeight="true" outlineLevel="0" collapsed="false">
      <c r="B99" s="52" t="s">
        <v>248</v>
      </c>
      <c r="C99" s="45" t="n">
        <f aca="false">RANDBETWEEN(1,INT(1_DATOS!C6))*1</f>
        <v>39</v>
      </c>
      <c r="D99" s="41" t="n">
        <f aca="false">IF(C99&lt;=5,1_DATOS!C20/100,IF(C99&gt;=1_DATOS!C21,1_DATOS!C19/100,1_DATOS!C19/100+((1_DATOS!C21-C99)/(1_DATOS!C21-5))*(1_DATOS!C20/100-1_DATOS!C19/100)))</f>
        <v>0.6</v>
      </c>
      <c r="E99" s="46" t="n">
        <f aca="false">IF(C99&lt;=1_DATOS!C5,1-(1-D99*2_CALCULOS!C38)^1_DATOS!C13,0)</f>
        <v>0</v>
      </c>
      <c r="F99" s="37" t="n">
        <f aca="false">IF(C99&lt;=1_DATOS!C7,1-(1-D99*2_CALCULOS!E38)^1_DATOS!C14,0)</f>
        <v>0</v>
      </c>
      <c r="G99" s="47" t="n">
        <f aca="false">1-(1-E99)*(1-F99)</f>
        <v>0</v>
      </c>
      <c r="H99" s="53" t="str">
        <f aca="false">IF(G99&gt;0.5,"SI","NO")</f>
        <v>NO</v>
      </c>
      <c r="I99" s="53" t="str">
        <f aca="false">IF(G99&gt;0.5,"NO","POSIBLE")</f>
        <v>POSIBLE</v>
      </c>
    </row>
    <row r="100" customFormat="false" ht="12" hidden="false" customHeight="true" outlineLevel="0" collapsed="false">
      <c r="B100" s="52" t="s">
        <v>249</v>
      </c>
      <c r="C100" s="45" t="n">
        <f aca="false">RANDBETWEEN(1,INT(1_DATOS!C6))*1</f>
        <v>47</v>
      </c>
      <c r="D100" s="41" t="n">
        <f aca="false">IF(C100&lt;=5,1_DATOS!C20/100,IF(C100&gt;=1_DATOS!C21,1_DATOS!C19/100,1_DATOS!C19/100+((1_DATOS!C21-C100)/(1_DATOS!C21-5))*(1_DATOS!C20/100-1_DATOS!C19/100)))</f>
        <v>0.6</v>
      </c>
      <c r="E100" s="46" t="n">
        <f aca="false">IF(C100&lt;=1_DATOS!C5,1-(1-D100*2_CALCULOS!C38)^1_DATOS!C13,0)</f>
        <v>0</v>
      </c>
      <c r="F100" s="37" t="n">
        <f aca="false">IF(C100&lt;=1_DATOS!C7,1-(1-D100*2_CALCULOS!E38)^1_DATOS!C14,0)</f>
        <v>0</v>
      </c>
      <c r="G100" s="47" t="n">
        <f aca="false">1-(1-E100)*(1-F100)</f>
        <v>0</v>
      </c>
      <c r="H100" s="53" t="str">
        <f aca="false">IF(G100&gt;0.5,"SI","NO")</f>
        <v>NO</v>
      </c>
      <c r="I100" s="53" t="str">
        <f aca="false">IF(G100&gt;0.5,"NO","POSIBLE")</f>
        <v>POSIBLE</v>
      </c>
    </row>
    <row r="101" customFormat="false" ht="12" hidden="false" customHeight="true" outlineLevel="0" collapsed="false">
      <c r="B101" s="52" t="s">
        <v>250</v>
      </c>
      <c r="C101" s="45" t="n">
        <f aca="false">RANDBETWEEN(1,INT(1_DATOS!C6))*1</f>
        <v>26</v>
      </c>
      <c r="D101" s="41" t="n">
        <f aca="false">IF(C101&lt;=5,1_DATOS!C20/100,IF(C101&gt;=1_DATOS!C21,1_DATOS!C19/100,1_DATOS!C19/100+((1_DATOS!C21-C101)/(1_DATOS!C21-5))*(1_DATOS!C20/100-1_DATOS!C19/100)))</f>
        <v>0.6</v>
      </c>
      <c r="E101" s="46" t="n">
        <f aca="false">IF(C101&lt;=1_DATOS!C5,1-(1-D101*2_CALCULOS!C38)^1_DATOS!C13,0)</f>
        <v>0</v>
      </c>
      <c r="F101" s="37" t="n">
        <f aca="false">IF(C101&lt;=1_DATOS!C7,1-(1-D101*2_CALCULOS!E38)^1_DATOS!C14,0)</f>
        <v>0</v>
      </c>
      <c r="G101" s="47" t="n">
        <f aca="false">1-(1-E101)*(1-F101)</f>
        <v>0</v>
      </c>
      <c r="H101" s="53" t="str">
        <f aca="false">IF(G101&gt;0.5,"SI","NO")</f>
        <v>NO</v>
      </c>
      <c r="I101" s="53" t="str">
        <f aca="false">IF(G101&gt;0.5,"NO","POSIBLE")</f>
        <v>POSIBLE</v>
      </c>
    </row>
    <row r="102" customFormat="false" ht="12" hidden="false" customHeight="true" outlineLevel="0" collapsed="false">
      <c r="B102" s="52" t="s">
        <v>251</v>
      </c>
      <c r="C102" s="45" t="n">
        <f aca="false">RANDBETWEEN(1,INT(1_DATOS!C6))*1</f>
        <v>43</v>
      </c>
      <c r="D102" s="41" t="n">
        <f aca="false">IF(C102&lt;=5,1_DATOS!C20/100,IF(C102&gt;=1_DATOS!C21,1_DATOS!C19/100,1_DATOS!C19/100+((1_DATOS!C21-C102)/(1_DATOS!C21-5))*(1_DATOS!C20/100-1_DATOS!C19/100)))</f>
        <v>0.6</v>
      </c>
      <c r="E102" s="46" t="n">
        <f aca="false">IF(C102&lt;=1_DATOS!C5,1-(1-D102*2_CALCULOS!C38)^1_DATOS!C13,0)</f>
        <v>0</v>
      </c>
      <c r="F102" s="37" t="n">
        <f aca="false">IF(C102&lt;=1_DATOS!C7,1-(1-D102*2_CALCULOS!E38)^1_DATOS!C14,0)</f>
        <v>0</v>
      </c>
      <c r="G102" s="47" t="n">
        <f aca="false">1-(1-E102)*(1-F102)</f>
        <v>0</v>
      </c>
      <c r="H102" s="53" t="str">
        <f aca="false">IF(G102&gt;0.5,"SI","NO")</f>
        <v>NO</v>
      </c>
      <c r="I102" s="53" t="str">
        <f aca="false">IF(G102&gt;0.5,"NO","POSIBLE")</f>
        <v>POSIBLE</v>
      </c>
    </row>
    <row r="103" customFormat="false" ht="12" hidden="false" customHeight="true" outlineLevel="0" collapsed="false">
      <c r="B103" s="52" t="s">
        <v>252</v>
      </c>
      <c r="C103" s="45" t="n">
        <f aca="false">RANDBETWEEN(1,INT(1_DATOS!C6))*1</f>
        <v>6</v>
      </c>
      <c r="D103" s="41" t="n">
        <f aca="false">IF(C103&lt;=5,1_DATOS!C20/100,IF(C103&gt;=1_DATOS!C21,1_DATOS!C19/100,1_DATOS!C19/100+((1_DATOS!C21-C103)/(1_DATOS!C21-5))*(1_DATOS!C20/100-1_DATOS!C19/100)))</f>
        <v>0.88</v>
      </c>
      <c r="E103" s="46" t="n">
        <f aca="false">IF(C103&lt;=1_DATOS!C5,1-(1-D103*2_CALCULOS!C38)^1_DATOS!C13,0)</f>
        <v>0.852544</v>
      </c>
      <c r="F103" s="37" t="n">
        <f aca="false">IF(C103&lt;=1_DATOS!C7,1-(1-D103*2_CALCULOS!E38)^1_DATOS!C14,0)</f>
        <v>0.852544</v>
      </c>
      <c r="G103" s="47" t="n">
        <f aca="false">1-(1-E103)*(1-F103)</f>
        <v>0.978256728064</v>
      </c>
      <c r="H103" s="53" t="str">
        <f aca="false">IF(G103&gt;0.5,"SI","NO")</f>
        <v>SI</v>
      </c>
      <c r="I103" s="53" t="str">
        <f aca="false">IF(G103&gt;0.5,"NO","POSIBLE")</f>
        <v>NO</v>
      </c>
    </row>
    <row r="104" customFormat="false" ht="12" hidden="false" customHeight="true" outlineLevel="0" collapsed="false">
      <c r="B104" s="52" t="s">
        <v>253</v>
      </c>
      <c r="C104" s="45" t="n">
        <f aca="false">RANDBETWEEN(1,INT(1_DATOS!C6))*1</f>
        <v>27</v>
      </c>
      <c r="D104" s="41" t="n">
        <f aca="false">IF(C104&lt;=5,1_DATOS!C20/100,IF(C104&gt;=1_DATOS!C21,1_DATOS!C19/100,1_DATOS!C19/100+((1_DATOS!C21-C104)/(1_DATOS!C21-5))*(1_DATOS!C20/100-1_DATOS!C19/100)))</f>
        <v>0.6</v>
      </c>
      <c r="E104" s="46" t="n">
        <f aca="false">IF(C104&lt;=1_DATOS!C5,1-(1-D104*2_CALCULOS!C38)^1_DATOS!C13,0)</f>
        <v>0</v>
      </c>
      <c r="F104" s="37" t="n">
        <f aca="false">IF(C104&lt;=1_DATOS!C7,1-(1-D104*2_CALCULOS!E38)^1_DATOS!C14,0)</f>
        <v>0</v>
      </c>
      <c r="G104" s="47" t="n">
        <f aca="false">1-(1-E104)*(1-F104)</f>
        <v>0</v>
      </c>
      <c r="H104" s="53" t="str">
        <f aca="false">IF(G104&gt;0.5,"SI","NO")</f>
        <v>NO</v>
      </c>
      <c r="I104" s="53" t="str">
        <f aca="false">IF(G104&gt;0.5,"NO","POSIBLE")</f>
        <v>POSIBLE</v>
      </c>
    </row>
    <row r="105" customFormat="false" ht="12" hidden="false" customHeight="true" outlineLevel="0" collapsed="false">
      <c r="B105" s="52" t="s">
        <v>254</v>
      </c>
      <c r="C105" s="45" t="n">
        <f aca="false">RANDBETWEEN(1,INT(1_DATOS!C6))*1</f>
        <v>46</v>
      </c>
      <c r="D105" s="41" t="n">
        <f aca="false">IF(C105&lt;=5,1_DATOS!C20/100,IF(C105&gt;=1_DATOS!C21,1_DATOS!C19/100,1_DATOS!C19/100+((1_DATOS!C21-C105)/(1_DATOS!C21-5))*(1_DATOS!C20/100-1_DATOS!C19/100)))</f>
        <v>0.6</v>
      </c>
      <c r="E105" s="46" t="n">
        <f aca="false">IF(C105&lt;=1_DATOS!C5,1-(1-D105*2_CALCULOS!C38)^1_DATOS!C13,0)</f>
        <v>0</v>
      </c>
      <c r="F105" s="37" t="n">
        <f aca="false">IF(C105&lt;=1_DATOS!C7,1-(1-D105*2_CALCULOS!E38)^1_DATOS!C14,0)</f>
        <v>0</v>
      </c>
      <c r="G105" s="47" t="n">
        <f aca="false">1-(1-E105)*(1-F105)</f>
        <v>0</v>
      </c>
      <c r="H105" s="53" t="str">
        <f aca="false">IF(G105&gt;0.5,"SI","NO")</f>
        <v>NO</v>
      </c>
      <c r="I105" s="53" t="str">
        <f aca="false">IF(G105&gt;0.5,"NO","POSIBLE")</f>
        <v>POSIBLE</v>
      </c>
    </row>
    <row r="107" customFormat="false" ht="21.75" hidden="false" customHeight="true" outlineLevel="0" collapsed="false">
      <c r="B107" s="54" t="s">
        <v>255</v>
      </c>
      <c r="C107" s="54"/>
      <c r="D107" s="54"/>
      <c r="E107" s="54"/>
      <c r="F107" s="54"/>
      <c r="G107" s="54"/>
      <c r="H107" s="54"/>
      <c r="I107" s="54"/>
    </row>
    <row r="108" customFormat="false" ht="18" hidden="false" customHeight="true" outlineLevel="0" collapsed="false">
      <c r="B108" s="23" t="s">
        <v>256</v>
      </c>
      <c r="C108" s="25"/>
      <c r="D108" s="25"/>
      <c r="E108" s="25"/>
      <c r="F108" s="25"/>
      <c r="G108" s="55" t="n">
        <f aca="false">AVERAGE(G6:G105)</f>
        <v>0.32422052570761</v>
      </c>
    </row>
    <row r="109" customFormat="false" ht="18" hidden="false" customHeight="true" outlineLevel="0" collapsed="false">
      <c r="B109" s="23" t="s">
        <v>257</v>
      </c>
      <c r="C109" s="25"/>
      <c r="D109" s="25"/>
      <c r="E109" s="25"/>
      <c r="F109" s="25"/>
      <c r="G109" s="55" t="n">
        <f aca="false">MAX(G6:G105)</f>
        <v>0.987405549375</v>
      </c>
    </row>
    <row r="110" customFormat="false" ht="18" hidden="false" customHeight="true" outlineLevel="0" collapsed="false">
      <c r="B110" s="23" t="s">
        <v>258</v>
      </c>
      <c r="C110" s="25"/>
      <c r="D110" s="25"/>
      <c r="E110" s="25"/>
      <c r="F110" s="25"/>
      <c r="G110" s="55" t="n">
        <f aca="false">MIN(G6:G105)</f>
        <v>0</v>
      </c>
    </row>
    <row r="111" customFormat="false" ht="18" hidden="false" customHeight="true" outlineLevel="0" collapsed="false">
      <c r="B111" s="23" t="s">
        <v>259</v>
      </c>
      <c r="C111" s="25"/>
      <c r="D111" s="25"/>
      <c r="E111" s="25"/>
      <c r="F111" s="25"/>
      <c r="G111" s="56" t="n">
        <f aca="false">COUNTIF(H6:H105,"SI")</f>
        <v>41</v>
      </c>
    </row>
    <row r="112" customFormat="false" ht="18" hidden="false" customHeight="true" outlineLevel="0" collapsed="false">
      <c r="B112" s="23" t="s">
        <v>260</v>
      </c>
      <c r="C112" s="25"/>
      <c r="D112" s="25"/>
      <c r="E112" s="25"/>
      <c r="F112" s="25"/>
      <c r="G112" s="55" t="n">
        <f aca="false">COUNTIF(H6:H105,"SI")/100</f>
        <v>0.41</v>
      </c>
    </row>
    <row r="113" customFormat="false" ht="18" hidden="false" customHeight="true" outlineLevel="0" collapsed="false">
      <c r="B113" s="23" t="s">
        <v>261</v>
      </c>
      <c r="C113" s="25"/>
      <c r="D113" s="25"/>
      <c r="E113" s="25"/>
      <c r="F113" s="25"/>
      <c r="G113" s="56" t="n">
        <f aca="false">COUNTIF(I6:I105,"POSIBLE")</f>
        <v>59</v>
      </c>
    </row>
    <row r="116" customFormat="false" ht="24" hidden="false" customHeight="true" outlineLevel="0" collapsed="false">
      <c r="B116" s="57" t="s">
        <v>262</v>
      </c>
      <c r="C116" s="57"/>
      <c r="D116" s="57"/>
      <c r="E116" s="57"/>
      <c r="F116" s="57"/>
      <c r="G116" s="57"/>
      <c r="H116" s="57"/>
      <c r="I116" s="57"/>
    </row>
    <row r="117" customFormat="false" ht="30" hidden="false" customHeight="true" outlineLevel="0" collapsed="false">
      <c r="B117" s="58" t="s">
        <v>263</v>
      </c>
      <c r="C117" s="58"/>
      <c r="D117" s="58"/>
      <c r="E117" s="58"/>
      <c r="F117" s="58"/>
      <c r="G117" s="58"/>
      <c r="H117" s="58"/>
      <c r="I117" s="58"/>
    </row>
    <row r="118" customFormat="false" ht="30" hidden="false" customHeight="true" outlineLevel="0" collapsed="false">
      <c r="B118" s="59" t="s">
        <v>264</v>
      </c>
      <c r="C118" s="59" t="s">
        <v>265</v>
      </c>
      <c r="D118" s="59" t="s">
        <v>266</v>
      </c>
      <c r="E118" s="59" t="s">
        <v>267</v>
      </c>
      <c r="F118" s="59" t="s">
        <v>268</v>
      </c>
      <c r="G118" s="59" t="s">
        <v>269</v>
      </c>
      <c r="H118" s="59" t="s">
        <v>270</v>
      </c>
      <c r="I118" s="59" t="s">
        <v>271</v>
      </c>
    </row>
    <row r="119" customFormat="false" ht="15.75" hidden="false" customHeight="true" outlineLevel="0" collapsed="false">
      <c r="B119" s="60" t="s">
        <v>272</v>
      </c>
      <c r="C119" s="61" t="n">
        <f aca="false">3500</f>
        <v>3500</v>
      </c>
      <c r="D119" s="62" t="n">
        <f aca="false">MOD(1_DATOS!C32+180,360)</f>
        <v>180</v>
      </c>
      <c r="E119" s="62" t="n">
        <f aca="false">C119*SIN(RADIANS(D119))</f>
        <v>4.28626379701574E-013</v>
      </c>
      <c r="F119" s="62" t="n">
        <f aca="false">C119*COS(RADIANS(D119))</f>
        <v>-3500</v>
      </c>
      <c r="G119" s="63" t="n">
        <f aca="false">1_DATOS!C33</f>
        <v>3500</v>
      </c>
      <c r="H119" s="64" t="n">
        <f aca="false">1_DATOS!C34</f>
        <v>180</v>
      </c>
      <c r="I119" s="65" t="n">
        <f aca="false">1-MIN(ABS(H119-D119),360-ABS(H119-D119))/180</f>
        <v>1</v>
      </c>
    </row>
    <row r="120" customFormat="false" ht="15.75" hidden="false" customHeight="true" outlineLevel="0" collapsed="false">
      <c r="B120" s="60" t="s">
        <v>273</v>
      </c>
      <c r="C120" s="61" t="n">
        <f aca="false">4200</f>
        <v>4200</v>
      </c>
      <c r="D120" s="62" t="n">
        <f aca="false">MOD(1_DATOS!C32+160,360)</f>
        <v>160</v>
      </c>
      <c r="E120" s="62" t="n">
        <f aca="false">C120*SIN(RADIANS(D120))</f>
        <v>1436.48460196781</v>
      </c>
      <c r="F120" s="62" t="n">
        <f aca="false">C120*COS(RADIANS(D120))</f>
        <v>-3946.70900730082</v>
      </c>
      <c r="G120" s="63" t="n">
        <f aca="false">1_DATOS!C35</f>
        <v>4200</v>
      </c>
      <c r="H120" s="64" t="n">
        <f aca="false">1_DATOS!C36</f>
        <v>160</v>
      </c>
      <c r="I120" s="65" t="n">
        <f aca="false">1-MIN(ABS(H120-D120),360-ABS(H120-D120))/180</f>
        <v>1</v>
      </c>
    </row>
    <row r="121" customFormat="false" ht="15.75" hidden="false" customHeight="true" outlineLevel="0" collapsed="false">
      <c r="B121" s="66" t="s">
        <v>274</v>
      </c>
      <c r="C121" s="61" t="n">
        <f aca="false">1250</f>
        <v>1250</v>
      </c>
      <c r="D121" s="62" t="n">
        <f aca="false">MOD(1_DATOS!C32+225,360)</f>
        <v>225</v>
      </c>
      <c r="E121" s="62" t="n">
        <f aca="false">C121*SIN(RADIANS(D121))</f>
        <v>-883.883476483184</v>
      </c>
      <c r="F121" s="62" t="n">
        <f aca="false">C121*COS(RADIANS(D121))</f>
        <v>-883.883476483185</v>
      </c>
      <c r="G121" s="63" t="n">
        <f aca="false">1_DATOS!C37</f>
        <v>1250</v>
      </c>
      <c r="H121" s="64" t="n">
        <f aca="false">1_DATOS!C38</f>
        <v>225</v>
      </c>
      <c r="I121" s="65" t="n">
        <f aca="false">1-MIN(ABS(H121-D121),360-ABS(H121-D121))/180</f>
        <v>1</v>
      </c>
    </row>
    <row r="122" customFormat="false" ht="15.75" hidden="false" customHeight="true" outlineLevel="0" collapsed="false">
      <c r="B122" s="66" t="s">
        <v>275</v>
      </c>
      <c r="C122" s="61" t="n">
        <f aca="false">1250</f>
        <v>1250</v>
      </c>
      <c r="D122" s="62" t="n">
        <f aca="false">MOD(1_DATOS!C32+315,360)</f>
        <v>315</v>
      </c>
      <c r="E122" s="62" t="n">
        <f aca="false">C122*SIN(RADIANS(D122))</f>
        <v>-883.883476483185</v>
      </c>
      <c r="F122" s="62" t="n">
        <f aca="false">C122*COS(RADIANS(D122))</f>
        <v>883.883476483184</v>
      </c>
      <c r="G122" s="63" t="n">
        <f aca="false">1_DATOS!C39</f>
        <v>1250</v>
      </c>
      <c r="H122" s="64" t="n">
        <f aca="false">1_DATOS!C40</f>
        <v>315</v>
      </c>
      <c r="I122" s="65" t="n">
        <f aca="false">1-MIN(ABS(H122-D122),360-ABS(H122-D122))/180</f>
        <v>1</v>
      </c>
    </row>
    <row r="123" customFormat="false" ht="15.75" hidden="false" customHeight="true" outlineLevel="0" collapsed="false">
      <c r="B123" s="66" t="s">
        <v>276</v>
      </c>
      <c r="C123" s="61" t="n">
        <f aca="false">900</f>
        <v>900</v>
      </c>
      <c r="D123" s="62" t="n">
        <f aca="false">MOD(1_DATOS!C32+270,360)</f>
        <v>270</v>
      </c>
      <c r="E123" s="62" t="n">
        <f aca="false">C123*SIN(RADIANS(D123))</f>
        <v>-900</v>
      </c>
      <c r="F123" s="62" t="n">
        <f aca="false">C123*COS(RADIANS(D123))</f>
        <v>-1.65327317884893E-013</v>
      </c>
      <c r="G123" s="63" t="n">
        <f aca="false">1_DATOS!C41</f>
        <v>900</v>
      </c>
      <c r="H123" s="64" t="n">
        <f aca="false">1_DATOS!C42</f>
        <v>90</v>
      </c>
      <c r="I123" s="65" t="n">
        <f aca="false">1-MIN(ABS(H123-D123),360-ABS(H123-D123))/180</f>
        <v>0</v>
      </c>
    </row>
    <row r="125" customFormat="false" ht="27.75" hidden="false" customHeight="true" outlineLevel="0" collapsed="false">
      <c r="B125" s="67" t="s">
        <v>277</v>
      </c>
      <c r="C125" s="67"/>
      <c r="D125" s="67"/>
      <c r="E125" s="67"/>
      <c r="F125" s="67"/>
      <c r="G125" s="67"/>
      <c r="H125" s="67"/>
      <c r="I125" s="67"/>
    </row>
  </sheetData>
  <mergeCells count="7">
    <mergeCell ref="B1:I1"/>
    <mergeCell ref="B2:I2"/>
    <mergeCell ref="B4:I4"/>
    <mergeCell ref="B107:I107"/>
    <mergeCell ref="B116:I116"/>
    <mergeCell ref="B117:I117"/>
    <mergeCell ref="B125:I12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R10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4"/>
    <col collapsed="false" customWidth="true" hidden="false" outlineLevel="0" max="11" min="3" style="0" width="14"/>
    <col collapsed="false" customWidth="true" hidden="false" outlineLevel="0" max="31" min="12" style="0" width="11"/>
  </cols>
  <sheetData>
    <row r="1" customFormat="false" ht="36" hidden="false" customHeight="true" outlineLevel="0" collapsed="false">
      <c r="B1" s="68" t="s">
        <v>278</v>
      </c>
      <c r="C1" s="68"/>
      <c r="D1" s="68"/>
      <c r="E1" s="68"/>
      <c r="F1" s="68"/>
      <c r="G1" s="68"/>
      <c r="H1" s="68"/>
      <c r="I1" s="68"/>
      <c r="J1" s="68"/>
      <c r="K1" s="68"/>
    </row>
    <row r="2" customFormat="false" ht="18" hidden="false" customHeight="true" outlineLevel="0" collapsed="false">
      <c r="B2" s="69" t="s">
        <v>279</v>
      </c>
      <c r="C2" s="69"/>
      <c r="D2" s="69"/>
      <c r="E2" s="69"/>
      <c r="F2" s="69"/>
      <c r="G2" s="69"/>
      <c r="H2" s="69"/>
      <c r="I2" s="69"/>
      <c r="J2" s="69"/>
      <c r="K2" s="69"/>
    </row>
    <row r="4" customFormat="false" ht="21.75" hidden="false" customHeight="true" outlineLevel="0" collapsed="false">
      <c r="B4" s="29" t="s">
        <v>280</v>
      </c>
      <c r="C4" s="29"/>
      <c r="D4" s="29"/>
      <c r="E4" s="29"/>
      <c r="F4" s="29"/>
      <c r="G4" s="29"/>
      <c r="H4" s="29"/>
      <c r="I4" s="29"/>
      <c r="J4" s="29"/>
      <c r="K4" s="29"/>
    </row>
    <row r="5" customFormat="false" ht="19.5" hidden="false" customHeight="true" outlineLevel="0" collapsed="false">
      <c r="B5" s="70" t="s">
        <v>281</v>
      </c>
      <c r="C5" s="71" t="str">
        <f aca="false">1_DATOS!C45</f>
        <v>2-FFG+2-FF23</v>
      </c>
      <c r="D5" s="71"/>
      <c r="F5" s="72" t="s">
        <v>282</v>
      </c>
      <c r="G5" s="73" t="n">
        <f aca="false">1_DATOS!C32</f>
        <v>0</v>
      </c>
      <c r="I5" s="74" t="s">
        <v>283</v>
      </c>
      <c r="J5" s="75" t="n">
        <f aca="false">1_DATOS!C46</f>
        <v>2</v>
      </c>
      <c r="K5" s="76" t="n">
        <f aca="false">1_DATOS!C47</f>
        <v>2</v>
      </c>
    </row>
    <row r="6" customFormat="false" ht="21.75" hidden="false" customHeight="true" outlineLevel="0" collapsed="false">
      <c r="B6" s="30" t="s">
        <v>264</v>
      </c>
      <c r="C6" s="30" t="s">
        <v>284</v>
      </c>
      <c r="D6" s="30" t="s">
        <v>285</v>
      </c>
      <c r="E6" s="30" t="s">
        <v>286</v>
      </c>
      <c r="F6" s="30" t="s">
        <v>287</v>
      </c>
      <c r="G6" s="30" t="s">
        <v>288</v>
      </c>
      <c r="H6" s="30" t="s">
        <v>289</v>
      </c>
      <c r="I6" s="30" t="s">
        <v>290</v>
      </c>
    </row>
    <row r="7" customFormat="false" ht="16.5" hidden="false" customHeight="true" outlineLevel="0" collapsed="false">
      <c r="B7" s="77" t="s">
        <v>272</v>
      </c>
      <c r="C7" s="8" t="n">
        <f aca="false">1_DATOS!C33</f>
        <v>3500</v>
      </c>
      <c r="D7" s="6" t="n">
        <f aca="false">1_DATOS!C34</f>
        <v>180</v>
      </c>
      <c r="E7" s="53" t="str">
        <f aca="false">IF(1_DATOS!C46&gt;=1,"SI","NO")</f>
        <v>SI</v>
      </c>
      <c r="F7" s="78" t="n">
        <f aca="false">1_DATOS!C5</f>
        <v>25</v>
      </c>
      <c r="G7" s="79" t="s">
        <v>291</v>
      </c>
      <c r="H7" s="80" t="n">
        <f aca="false">C7*SIN(RADIANS(D7))</f>
        <v>4.28626379701574E-013</v>
      </c>
      <c r="I7" s="80" t="n">
        <f aca="false">C7*COS(RADIANS(D7))</f>
        <v>-3500</v>
      </c>
    </row>
    <row r="8" customFormat="false" ht="16.5" hidden="false" customHeight="true" outlineLevel="0" collapsed="false">
      <c r="B8" s="77" t="s">
        <v>273</v>
      </c>
      <c r="C8" s="8" t="n">
        <f aca="false">1_DATOS!C35</f>
        <v>4200</v>
      </c>
      <c r="D8" s="6" t="n">
        <f aca="false">1_DATOS!C36</f>
        <v>160</v>
      </c>
      <c r="E8" s="53" t="str">
        <f aca="false">IF(1_DATOS!C46&gt;=2,"SI","NO")</f>
        <v>SI</v>
      </c>
      <c r="F8" s="78" t="n">
        <f aca="false">1_DATOS!C5</f>
        <v>25</v>
      </c>
      <c r="G8" s="79" t="s">
        <v>291</v>
      </c>
      <c r="H8" s="80" t="n">
        <f aca="false">C8*SIN(RADIANS(D8))</f>
        <v>1436.48460196781</v>
      </c>
      <c r="I8" s="80" t="n">
        <f aca="false">C8*COS(RADIANS(D8))</f>
        <v>-3946.70900730082</v>
      </c>
    </row>
    <row r="9" customFormat="false" ht="16.5" hidden="false" customHeight="true" outlineLevel="0" collapsed="false">
      <c r="B9" s="81" t="s">
        <v>274</v>
      </c>
      <c r="C9" s="82" t="n">
        <f aca="false">1_DATOS!C37</f>
        <v>1250</v>
      </c>
      <c r="D9" s="15" t="n">
        <f aca="false">1_DATOS!C38</f>
        <v>225</v>
      </c>
      <c r="E9" s="53" t="str">
        <f aca="false">IF(1_DATOS!C47&gt;=1,"SI","NO")</f>
        <v>SI</v>
      </c>
      <c r="F9" s="78" t="s">
        <v>291</v>
      </c>
      <c r="G9" s="79" t="n">
        <f aca="false">1_DATOS!C7</f>
        <v>12</v>
      </c>
      <c r="H9" s="80" t="n">
        <f aca="false">C9*SIN(RADIANS(D9))</f>
        <v>-883.883476483184</v>
      </c>
      <c r="I9" s="80" t="n">
        <f aca="false">C9*COS(RADIANS(D9))</f>
        <v>-883.883476483185</v>
      </c>
    </row>
    <row r="10" customFormat="false" ht="16.5" hidden="false" customHeight="true" outlineLevel="0" collapsed="false">
      <c r="B10" s="81" t="s">
        <v>275</v>
      </c>
      <c r="C10" s="82" t="n">
        <f aca="false">1_DATOS!C39</f>
        <v>1250</v>
      </c>
      <c r="D10" s="15" t="n">
        <f aca="false">1_DATOS!C40</f>
        <v>315</v>
      </c>
      <c r="E10" s="53" t="str">
        <f aca="false">IF(1_DATOS!C47&gt;=2,"SI","NO")</f>
        <v>SI</v>
      </c>
      <c r="F10" s="78" t="s">
        <v>291</v>
      </c>
      <c r="G10" s="79" t="n">
        <f aca="false">1_DATOS!C7</f>
        <v>12</v>
      </c>
      <c r="H10" s="80" t="n">
        <f aca="false">C10*SIN(RADIANS(D10))</f>
        <v>-883.883476483185</v>
      </c>
      <c r="I10" s="80" t="n">
        <f aca="false">C10*COS(RADIANS(D10))</f>
        <v>883.883476483184</v>
      </c>
    </row>
    <row r="11" customFormat="false" ht="16.5" hidden="false" customHeight="true" outlineLevel="0" collapsed="false">
      <c r="B11" s="81" t="s">
        <v>276</v>
      </c>
      <c r="C11" s="82" t="n">
        <f aca="false">1_DATOS!C41</f>
        <v>900</v>
      </c>
      <c r="D11" s="15" t="n">
        <f aca="false">1_DATOS!C42</f>
        <v>90</v>
      </c>
      <c r="E11" s="53" t="str">
        <f aca="false">IF(1_DATOS!C47&gt;=3,"SI","NO")</f>
        <v>NO</v>
      </c>
      <c r="F11" s="78" t="s">
        <v>291</v>
      </c>
      <c r="G11" s="79" t="n">
        <f aca="false">1_DATOS!C7</f>
        <v>12</v>
      </c>
      <c r="H11" s="80" t="n">
        <f aca="false">C11*SIN(RADIANS(D11))</f>
        <v>900</v>
      </c>
      <c r="I11" s="80" t="n">
        <f aca="false">C11*COS(RADIANS(D11))</f>
        <v>5.51091059616309E-014</v>
      </c>
    </row>
    <row r="12" customFormat="false" ht="21.75" hidden="false" customHeight="true" outlineLevel="0" collapsed="false">
      <c r="B12" s="67" t="s">
        <v>292</v>
      </c>
      <c r="C12" s="67"/>
      <c r="D12" s="67"/>
      <c r="E12" s="67"/>
      <c r="F12" s="67"/>
      <c r="G12" s="67"/>
      <c r="H12" s="67"/>
      <c r="I12" s="67"/>
      <c r="J12" s="67"/>
      <c r="K12" s="67"/>
    </row>
    <row r="14" customFormat="false" ht="24" hidden="false" customHeight="true" outlineLevel="0" collapsed="false">
      <c r="B14" s="57" t="s">
        <v>293</v>
      </c>
      <c r="C14" s="57"/>
      <c r="D14" s="57"/>
      <c r="E14" s="57"/>
      <c r="F14" s="57"/>
      <c r="G14" s="57"/>
      <c r="H14" s="57"/>
      <c r="I14" s="57"/>
      <c r="J14" s="57"/>
      <c r="K14" s="57"/>
    </row>
    <row r="15" customFormat="false" ht="24" hidden="false" customHeight="true" outlineLevel="0" collapsed="false">
      <c r="B15" s="58" t="s">
        <v>294</v>
      </c>
      <c r="C15" s="58"/>
      <c r="D15" s="58"/>
      <c r="E15" s="58"/>
      <c r="F15" s="58"/>
      <c r="G15" s="58"/>
      <c r="H15" s="58"/>
      <c r="I15" s="58"/>
      <c r="J15" s="58"/>
      <c r="K15" s="58"/>
    </row>
    <row r="16" customFormat="false" ht="30" hidden="false" customHeight="true" outlineLevel="0" collapsed="false">
      <c r="B16" s="59" t="s">
        <v>264</v>
      </c>
      <c r="C16" s="59" t="s">
        <v>295</v>
      </c>
      <c r="D16" s="59" t="s">
        <v>296</v>
      </c>
      <c r="E16" s="59" t="s">
        <v>297</v>
      </c>
      <c r="F16" s="59" t="s">
        <v>298</v>
      </c>
      <c r="G16" s="59" t="s">
        <v>299</v>
      </c>
      <c r="H16" s="59" t="s">
        <v>300</v>
      </c>
      <c r="I16" s="59" t="s">
        <v>301</v>
      </c>
      <c r="J16" s="59" t="s">
        <v>302</v>
      </c>
    </row>
    <row r="17" customFormat="false" ht="16.5" hidden="false" customHeight="true" outlineLevel="0" collapsed="false">
      <c r="B17" s="60" t="s">
        <v>272</v>
      </c>
      <c r="C17" s="64" t="n">
        <f aca="false">1_DATOS!C34</f>
        <v>180</v>
      </c>
      <c r="D17" s="62" t="n">
        <f aca="false">3_MONTECARLO!D119</f>
        <v>180</v>
      </c>
      <c r="E17" s="63" t="n">
        <f aca="false">1_DATOS!C33</f>
        <v>3500</v>
      </c>
      <c r="F17" s="61" t="n">
        <f aca="false">3_MONTECARLO!C119</f>
        <v>3500</v>
      </c>
      <c r="G17" s="65" t="n">
        <f aca="false">1-MIN(ABS(C17-D17),360-ABS(C17-D17))/180</f>
        <v>1</v>
      </c>
      <c r="H17" s="83" t="n">
        <f aca="false">MAX(0,1-ABS(E17-F17)/F17)</f>
        <v>1</v>
      </c>
      <c r="I17" s="84" t="n">
        <f aca="false">(G17*0.7+H17*0.3)</f>
        <v>1</v>
      </c>
      <c r="J17" s="53" t="str">
        <f aca="false">IF(I17&gt;0.9,"OPTIMA",IF(I17&gt;0.75,"BUENA",IF(I17&gt;0.5,"MEJORABLE","REPOSICIONAR")))</f>
        <v>OPTIMA</v>
      </c>
    </row>
    <row r="18" customFormat="false" ht="16.5" hidden="false" customHeight="true" outlineLevel="0" collapsed="false">
      <c r="B18" s="60" t="s">
        <v>273</v>
      </c>
      <c r="C18" s="64" t="n">
        <f aca="false">1_DATOS!C36</f>
        <v>160</v>
      </c>
      <c r="D18" s="62" t="n">
        <f aca="false">3_MONTECARLO!D120</f>
        <v>160</v>
      </c>
      <c r="E18" s="63" t="n">
        <f aca="false">1_DATOS!C35</f>
        <v>4200</v>
      </c>
      <c r="F18" s="61" t="n">
        <f aca="false">3_MONTECARLO!C120</f>
        <v>4200</v>
      </c>
      <c r="G18" s="65" t="n">
        <f aca="false">1-MIN(ABS(C18-D18),360-ABS(C18-D18))/180</f>
        <v>1</v>
      </c>
      <c r="H18" s="83" t="n">
        <f aca="false">MAX(0,1-ABS(E18-F18)/F18)</f>
        <v>1</v>
      </c>
      <c r="I18" s="84" t="n">
        <f aca="false">(G18*0.7+H18*0.3)</f>
        <v>1</v>
      </c>
      <c r="J18" s="53" t="str">
        <f aca="false">IF(I18&gt;0.9,"OPTIMA",IF(I18&gt;0.75,"BUENA",IF(I18&gt;0.5,"MEJORABLE","REPOSICIONAR")))</f>
        <v>OPTIMA</v>
      </c>
    </row>
    <row r="19" customFormat="false" ht="16.5" hidden="false" customHeight="true" outlineLevel="0" collapsed="false">
      <c r="B19" s="66" t="s">
        <v>274</v>
      </c>
      <c r="C19" s="64" t="n">
        <f aca="false">1_DATOS!C38</f>
        <v>225</v>
      </c>
      <c r="D19" s="62" t="n">
        <f aca="false">3_MONTECARLO!D121</f>
        <v>225</v>
      </c>
      <c r="E19" s="63" t="n">
        <f aca="false">1_DATOS!C37</f>
        <v>1250</v>
      </c>
      <c r="F19" s="61" t="n">
        <f aca="false">3_MONTECARLO!C121</f>
        <v>1250</v>
      </c>
      <c r="G19" s="65" t="n">
        <f aca="false">1-MIN(ABS(C19-D19),360-ABS(C19-D19))/180</f>
        <v>1</v>
      </c>
      <c r="H19" s="83" t="n">
        <f aca="false">MAX(0,1-ABS(E19-F19)/F19)</f>
        <v>1</v>
      </c>
      <c r="I19" s="84" t="n">
        <f aca="false">(G19*0.7+H19*0.3)</f>
        <v>1</v>
      </c>
      <c r="J19" s="53" t="str">
        <f aca="false">IF(I19&gt;0.9,"OPTIMA",IF(I19&gt;0.75,"BUENA",IF(I19&gt;0.5,"MEJORABLE","REPOSICIONAR")))</f>
        <v>OPTIMA</v>
      </c>
    </row>
    <row r="20" customFormat="false" ht="16.5" hidden="false" customHeight="true" outlineLevel="0" collapsed="false">
      <c r="B20" s="66" t="s">
        <v>275</v>
      </c>
      <c r="C20" s="64" t="n">
        <f aca="false">1_DATOS!C40</f>
        <v>315</v>
      </c>
      <c r="D20" s="62" t="n">
        <f aca="false">3_MONTECARLO!D122</f>
        <v>315</v>
      </c>
      <c r="E20" s="63" t="n">
        <f aca="false">1_DATOS!C39</f>
        <v>1250</v>
      </c>
      <c r="F20" s="61" t="n">
        <f aca="false">3_MONTECARLO!C122</f>
        <v>1250</v>
      </c>
      <c r="G20" s="65" t="n">
        <f aca="false">1-MIN(ABS(C20-D20),360-ABS(C20-D20))/180</f>
        <v>1</v>
      </c>
      <c r="H20" s="83" t="n">
        <f aca="false">MAX(0,1-ABS(E20-F20)/F20)</f>
        <v>1</v>
      </c>
      <c r="I20" s="84" t="n">
        <f aca="false">(G20*0.7+H20*0.3)</f>
        <v>1</v>
      </c>
      <c r="J20" s="53" t="str">
        <f aca="false">IF(I20&gt;0.9,"OPTIMA",IF(I20&gt;0.75,"BUENA",IF(I20&gt;0.5,"MEJORABLE","REPOSICIONAR")))</f>
        <v>OPTIMA</v>
      </c>
    </row>
    <row r="21" customFormat="false" ht="16.5" hidden="false" customHeight="true" outlineLevel="0" collapsed="false">
      <c r="B21" s="66" t="s">
        <v>276</v>
      </c>
      <c r="C21" s="64" t="n">
        <f aca="false">1_DATOS!C42</f>
        <v>90</v>
      </c>
      <c r="D21" s="62" t="n">
        <f aca="false">3_MONTECARLO!D123</f>
        <v>270</v>
      </c>
      <c r="E21" s="63" t="n">
        <f aca="false">1_DATOS!C41</f>
        <v>900</v>
      </c>
      <c r="F21" s="61" t="n">
        <f aca="false">3_MONTECARLO!C123</f>
        <v>900</v>
      </c>
      <c r="G21" s="65" t="n">
        <f aca="false">1-MIN(ABS(C21-D21),360-ABS(C21-D21))/180</f>
        <v>0</v>
      </c>
      <c r="H21" s="83" t="n">
        <f aca="false">MAX(0,1-ABS(E21-F21)/F21)</f>
        <v>1</v>
      </c>
      <c r="I21" s="84" t="n">
        <f aca="false">(G21*0.7+H21*0.3)</f>
        <v>0.3</v>
      </c>
      <c r="J21" s="53" t="str">
        <f aca="false">IF(I21&gt;0.9,"OPTIMA",IF(I21&gt;0.75,"BUENA",IF(I21&gt;0.5,"MEJORABLE","REPOSICIONAR")))</f>
        <v>REPOSICIONAR</v>
      </c>
    </row>
    <row r="23" customFormat="false" ht="27.75" hidden="false" customHeight="true" outlineLevel="0" collapsed="false">
      <c r="B23" s="43" t="str">
        <f aca="false">CONCATENATE("EFICIENCIA PROMEDIO DE FLOTA: ",TEXT(AVERAGE(I17:I21),"0.0%"),"   |   Eje amenaza actual: ",TEXT(1_DATOS!C32,"0"),"°")</f>
        <v>EFICIENCIA PROMEDIO DE FLOTA: 86.0%   |   Eje amenaza actual: 0°</v>
      </c>
      <c r="C23" s="43"/>
      <c r="D23" s="43"/>
      <c r="E23" s="43"/>
      <c r="F23" s="43"/>
      <c r="G23" s="43"/>
      <c r="H23" s="43"/>
      <c r="I23" s="43"/>
      <c r="J23" s="43"/>
      <c r="K23" s="43"/>
    </row>
    <row r="26" customFormat="false" ht="18" hidden="false" customHeight="true" outlineLevel="0" collapsed="false">
      <c r="B26" s="85" t="s">
        <v>303</v>
      </c>
      <c r="C26" s="85"/>
      <c r="D26" s="85"/>
      <c r="E26" s="85"/>
      <c r="F26" s="85"/>
      <c r="G26" s="85"/>
      <c r="H26" s="85"/>
      <c r="I26" s="85"/>
      <c r="J26" s="85"/>
      <c r="K26" s="85"/>
    </row>
    <row r="27" customFormat="false" ht="13.5" hidden="false" customHeight="true" outlineLevel="0" collapsed="false">
      <c r="B27" s="86" t="s">
        <v>304</v>
      </c>
      <c r="C27" s="86" t="s">
        <v>305</v>
      </c>
      <c r="D27" s="86" t="s">
        <v>306</v>
      </c>
      <c r="E27" s="86" t="s">
        <v>307</v>
      </c>
      <c r="F27" s="86" t="s">
        <v>308</v>
      </c>
      <c r="G27" s="86" t="s">
        <v>309</v>
      </c>
      <c r="H27" s="86" t="s">
        <v>310</v>
      </c>
      <c r="I27" s="86" t="s">
        <v>311</v>
      </c>
      <c r="J27" s="86" t="s">
        <v>312</v>
      </c>
      <c r="K27" s="86" t="s">
        <v>313</v>
      </c>
      <c r="L27" s="86" t="s">
        <v>314</v>
      </c>
      <c r="M27" s="86" t="s">
        <v>315</v>
      </c>
      <c r="N27" s="86" t="s">
        <v>316</v>
      </c>
      <c r="O27" s="86" t="s">
        <v>317</v>
      </c>
      <c r="P27" s="86" t="s">
        <v>318</v>
      </c>
      <c r="Q27" s="86" t="s">
        <v>319</v>
      </c>
      <c r="R27" s="86" t="s">
        <v>320</v>
      </c>
    </row>
    <row r="28" customFormat="false" ht="9.75" hidden="false" customHeight="true" outlineLevel="0" collapsed="false">
      <c r="B28" s="87" t="n">
        <v>0</v>
      </c>
      <c r="C28" s="88" t="n">
        <f aca="false">500*SIN(RADIANS(0))</f>
        <v>0</v>
      </c>
      <c r="D28" s="88" t="n">
        <f aca="false">500*COS(RADIANS(0))</f>
        <v>500</v>
      </c>
      <c r="E28" s="88" t="n">
        <f aca="false">2000*SIN(RADIANS(0))</f>
        <v>0</v>
      </c>
      <c r="F28" s="88" t="n">
        <f aca="false">2000*COS(RADIANS(0))</f>
        <v>2000</v>
      </c>
      <c r="G28" s="88" t="n">
        <f aca="false">5000*SIN(RADIANS(0))</f>
        <v>0</v>
      </c>
      <c r="H28" s="88" t="n">
        <f aca="false">5000*COS(RADIANS(0))</f>
        <v>5000</v>
      </c>
      <c r="I28" s="88" t="n">
        <f aca="false">IF(1_DATOS!C46&gt;=1,1_DATOS!C5*2025.4*SIN(RADIANS(0))+C7*SIN(RADIANS(D7)),"")</f>
        <v>4.28626379701574E-013</v>
      </c>
      <c r="J28" s="88" t="n">
        <f aca="false">IF(1_DATOS!C46&gt;=1,1_DATOS!C5*2025.4*COS(RADIANS(0))+C7*COS(RADIANS(D7)),"")</f>
        <v>47135</v>
      </c>
      <c r="K28" s="88" t="n">
        <f aca="false">IF(1_DATOS!C46&gt;=2,1_DATOS!C5*2025.4*SIN(RADIANS(0))+C8*SIN(RADIANS(D8)),"")</f>
        <v>1436.48460196781</v>
      </c>
      <c r="L28" s="88" t="n">
        <f aca="false">IF(1_DATOS!C46&gt;=2,1_DATOS!C5*2025.4*COS(RADIANS(0))+C8*COS(RADIANS(D8)),"")</f>
        <v>46688.2909926992</v>
      </c>
      <c r="M28" s="88" t="n">
        <f aca="false">IF(1_DATOS!C47&gt;=1,1_DATOS!C7*2025.4*SIN(RADIANS(0))+C9*SIN(RADIANS(D9)),"")</f>
        <v>-883.883476483184</v>
      </c>
      <c r="N28" s="88" t="n">
        <f aca="false">IF(1_DATOS!C47&gt;=1,1_DATOS!C7*2025.4*COS(RADIANS(0))+C9*COS(RADIANS(D9)),"")</f>
        <v>23420.9165235168</v>
      </c>
      <c r="O28" s="88" t="n">
        <f aca="false">IF(1_DATOS!C47&gt;=2,1_DATOS!C7*2025.4*SIN(RADIANS(0))+C10*SIN(RADIANS(D10)),"")</f>
        <v>-883.883476483185</v>
      </c>
      <c r="P28" s="88" t="n">
        <f aca="false">IF(1_DATOS!C47&gt;=2,1_DATOS!C7*2025.4*COS(RADIANS(0))+C10*COS(RADIANS(D10)),"")</f>
        <v>25188.6834764832</v>
      </c>
      <c r="Q28" s="88" t="str">
        <f aca="false">IF(1_DATOS!C47&gt;=3,1_DATOS!C7*2025.4*SIN(RADIANS(0))+C11*SIN(RADIANS(D11)),"")</f>
        <v/>
      </c>
      <c r="R28" s="88" t="str">
        <f aca="false">IF(1_DATOS!C47&gt;=3,1_DATOS!C7*2025.4*COS(RADIANS(0))+C11*COS(RADIANS(D11)),"")</f>
        <v/>
      </c>
    </row>
    <row r="29" customFormat="false" ht="9.75" hidden="false" customHeight="true" outlineLevel="0" collapsed="false">
      <c r="B29" s="87" t="n">
        <v>5</v>
      </c>
      <c r="C29" s="88" t="n">
        <f aca="false">500*SIN(RADIANS(5))</f>
        <v>43.5778713738291</v>
      </c>
      <c r="D29" s="88" t="n">
        <f aca="false">500*COS(RADIANS(5))</f>
        <v>498.097349045873</v>
      </c>
      <c r="E29" s="88" t="n">
        <f aca="false">2000*SIN(RADIANS(5))</f>
        <v>174.311485495316</v>
      </c>
      <c r="F29" s="88" t="n">
        <f aca="false">2000*COS(RADIANS(5))</f>
        <v>1992.38939618349</v>
      </c>
      <c r="G29" s="88" t="n">
        <f aca="false">5000*SIN(RADIANS(5))</f>
        <v>435.778713738291</v>
      </c>
      <c r="H29" s="88" t="n">
        <f aca="false">5000*COS(RADIANS(5))</f>
        <v>4980.97349045873</v>
      </c>
      <c r="I29" s="88" t="n">
        <f aca="false">IF(1_DATOS!C46&gt;=1,1_DATOS!C5*2025.4*SIN(RADIANS(5))+C7*SIN(RADIANS(D7)),"")</f>
        <v>4413.13103402767</v>
      </c>
      <c r="J29" s="88" t="n">
        <f aca="false">IF(1_DATOS!C46&gt;=1,1_DATOS!C5*2025.4*COS(RADIANS(5))+C7*COS(RADIANS(D7)),"")</f>
        <v>46942.3185378755</v>
      </c>
      <c r="K29" s="88" t="n">
        <f aca="false">IF(1_DATOS!C46&gt;=2,1_DATOS!C5*2025.4*SIN(RADIANS(5))+C8*SIN(RADIANS(D8)),"")</f>
        <v>5849.61563599548</v>
      </c>
      <c r="L29" s="88" t="n">
        <f aca="false">IF(1_DATOS!C46&gt;=2,1_DATOS!C5*2025.4*COS(RADIANS(5))+C8*COS(RADIANS(D8)),"")</f>
        <v>46495.6095305747</v>
      </c>
      <c r="M29" s="88" t="n">
        <f aca="false">IF(1_DATOS!C47&gt;=1,1_DATOS!C7*2025.4*SIN(RADIANS(5))+C9*SIN(RADIANS(D9)),"")</f>
        <v>1234.4194198501</v>
      </c>
      <c r="N29" s="88" t="n">
        <f aca="false">IF(1_DATOS!C47&gt;=1,1_DATOS!C7*2025.4*COS(RADIANS(5))+C9*COS(RADIANS(D9)),"")</f>
        <v>23328.4294216971</v>
      </c>
      <c r="O29" s="88" t="n">
        <f aca="false">IF(1_DATOS!C47&gt;=2,1_DATOS!C7*2025.4*SIN(RADIANS(5))+C10*SIN(RADIANS(D10)),"")</f>
        <v>1234.4194198501</v>
      </c>
      <c r="P29" s="88" t="n">
        <f aca="false">IF(1_DATOS!C47&gt;=2,1_DATOS!C7*2025.4*COS(RADIANS(5))+C10*COS(RADIANS(D10)),"")</f>
        <v>25096.1963746634</v>
      </c>
      <c r="Q29" s="88" t="str">
        <f aca="false">IF(1_DATOS!C47&gt;=3,1_DATOS!C7*2025.4*SIN(RADIANS(5))+C11*SIN(RADIANS(D11)),"")</f>
        <v/>
      </c>
      <c r="R29" s="88" t="str">
        <f aca="false">IF(1_DATOS!C47&gt;=3,1_DATOS!C7*2025.4*COS(RADIANS(5))+C11*COS(RADIANS(D11)),"")</f>
        <v/>
      </c>
    </row>
    <row r="30" customFormat="false" ht="9.75" hidden="false" customHeight="true" outlineLevel="0" collapsed="false">
      <c r="B30" s="87" t="n">
        <v>10</v>
      </c>
      <c r="C30" s="88" t="n">
        <f aca="false">500*SIN(RADIANS(10))</f>
        <v>86.8240888334652</v>
      </c>
      <c r="D30" s="88" t="n">
        <f aca="false">500*COS(RADIANS(10))</f>
        <v>492.403876506104</v>
      </c>
      <c r="E30" s="88" t="n">
        <f aca="false">2000*SIN(RADIANS(10))</f>
        <v>347.296355333861</v>
      </c>
      <c r="F30" s="88" t="n">
        <f aca="false">2000*COS(RADIANS(10))</f>
        <v>1969.61550602442</v>
      </c>
      <c r="G30" s="88" t="n">
        <f aca="false">5000*SIN(RADIANS(10))</f>
        <v>868.240888334652</v>
      </c>
      <c r="H30" s="88" t="n">
        <f aca="false">5000*COS(RADIANS(10))</f>
        <v>4924.03876506104</v>
      </c>
      <c r="I30" s="88" t="n">
        <f aca="false">IF(1_DATOS!C46&gt;=1,1_DATOS!C5*2025.4*SIN(RADIANS(10))+C7*SIN(RADIANS(D7)),"")</f>
        <v>8792.67547616502</v>
      </c>
      <c r="J30" s="88" t="n">
        <f aca="false">IF(1_DATOS!C46&gt;=1,1_DATOS!C5*2025.4*COS(RADIANS(10))+C7*COS(RADIANS(D7)),"")</f>
        <v>46365.7405737732</v>
      </c>
      <c r="K30" s="88" t="n">
        <f aca="false">IF(1_DATOS!C46&gt;=2,1_DATOS!C5*2025.4*SIN(RADIANS(10))+C8*SIN(RADIANS(D8)),"")</f>
        <v>10229.1600781328</v>
      </c>
      <c r="L30" s="88" t="n">
        <f aca="false">IF(1_DATOS!C46&gt;=2,1_DATOS!C5*2025.4*COS(RADIANS(10))+C8*COS(RADIANS(D8)),"")</f>
        <v>45919.0315664723</v>
      </c>
      <c r="M30" s="88" t="n">
        <f aca="false">IF(1_DATOS!C47&gt;=1,1_DATOS!C7*2025.4*SIN(RADIANS(10))+C9*SIN(RADIANS(D9)),"")</f>
        <v>3336.60075207602</v>
      </c>
      <c r="N30" s="88" t="n">
        <f aca="false">IF(1_DATOS!C47&gt;=1,1_DATOS!C7*2025.4*COS(RADIANS(10))+C9*COS(RADIANS(D9)),"")</f>
        <v>23051.6719989279</v>
      </c>
      <c r="O30" s="88" t="n">
        <f aca="false">IF(1_DATOS!C47&gt;=2,1_DATOS!C7*2025.4*SIN(RADIANS(10))+C10*SIN(RADIANS(D10)),"")</f>
        <v>3336.60075207602</v>
      </c>
      <c r="P30" s="88" t="n">
        <f aca="false">IF(1_DATOS!C47&gt;=2,1_DATOS!C7*2025.4*COS(RADIANS(10))+C10*COS(RADIANS(D10)),"")</f>
        <v>24819.4389518943</v>
      </c>
      <c r="Q30" s="88" t="str">
        <f aca="false">IF(1_DATOS!C47&gt;=3,1_DATOS!C7*2025.4*SIN(RADIANS(10))+C11*SIN(RADIANS(D11)),"")</f>
        <v/>
      </c>
      <c r="R30" s="88" t="str">
        <f aca="false">IF(1_DATOS!C47&gt;=3,1_DATOS!C7*2025.4*COS(RADIANS(10))+C11*COS(RADIANS(D11)),"")</f>
        <v/>
      </c>
    </row>
    <row r="31" customFormat="false" ht="9.75" hidden="false" customHeight="true" outlineLevel="0" collapsed="false">
      <c r="B31" s="87" t="n">
        <v>15</v>
      </c>
      <c r="C31" s="88" t="n">
        <f aca="false">500*SIN(RADIANS(15))</f>
        <v>129.40952255126</v>
      </c>
      <c r="D31" s="88" t="n">
        <f aca="false">500*COS(RADIANS(15))</f>
        <v>482.962913144534</v>
      </c>
      <c r="E31" s="88" t="n">
        <f aca="false">2000*SIN(RADIANS(15))</f>
        <v>517.638090205042</v>
      </c>
      <c r="F31" s="88" t="n">
        <f aca="false">2000*COS(RADIANS(15))</f>
        <v>1931.85165257814</v>
      </c>
      <c r="G31" s="88" t="n">
        <f aca="false">5000*SIN(RADIANS(15))</f>
        <v>1294.0952255126</v>
      </c>
      <c r="H31" s="88" t="n">
        <f aca="false">5000*COS(RADIANS(15))</f>
        <v>4829.62913144534</v>
      </c>
      <c r="I31" s="88" t="n">
        <f aca="false">IF(1_DATOS!C46&gt;=1,1_DATOS!C5*2025.4*SIN(RADIANS(15))+C7*SIN(RADIANS(D7)),"")</f>
        <v>13105.3023487661</v>
      </c>
      <c r="J31" s="88" t="n">
        <f aca="false">IF(1_DATOS!C46&gt;=1,1_DATOS!C5*2025.4*COS(RADIANS(15))+C7*COS(RADIANS(D7)),"")</f>
        <v>45409.654214147</v>
      </c>
      <c r="K31" s="88" t="n">
        <f aca="false">IF(1_DATOS!C46&gt;=2,1_DATOS!C5*2025.4*SIN(RADIANS(15))+C8*SIN(RADIANS(D8)),"")</f>
        <v>14541.7869507339</v>
      </c>
      <c r="L31" s="88" t="n">
        <f aca="false">IF(1_DATOS!C46&gt;=2,1_DATOS!C5*2025.4*COS(RADIANS(15))+C8*COS(RADIANS(D8)),"")</f>
        <v>44962.9452068462</v>
      </c>
      <c r="M31" s="88" t="n">
        <f aca="false">IF(1_DATOS!C47&gt;=1,1_DATOS!C7*2025.4*SIN(RADIANS(15))+C9*SIN(RADIANS(D9)),"")</f>
        <v>5406.66165092456</v>
      </c>
      <c r="N31" s="88" t="n">
        <f aca="false">IF(1_DATOS!C47&gt;=1,1_DATOS!C7*2025.4*COS(RADIANS(15))+C9*COS(RADIANS(D9)),"")</f>
        <v>22592.7505463074</v>
      </c>
      <c r="O31" s="88" t="n">
        <f aca="false">IF(1_DATOS!C47&gt;=2,1_DATOS!C7*2025.4*SIN(RADIANS(15))+C10*SIN(RADIANS(D10)),"")</f>
        <v>5406.66165092456</v>
      </c>
      <c r="P31" s="88" t="n">
        <f aca="false">IF(1_DATOS!C47&gt;=2,1_DATOS!C7*2025.4*COS(RADIANS(15))+C10*COS(RADIANS(D10)),"")</f>
        <v>24360.5174992737</v>
      </c>
      <c r="Q31" s="88" t="str">
        <f aca="false">IF(1_DATOS!C47&gt;=3,1_DATOS!C7*2025.4*SIN(RADIANS(15))+C11*SIN(RADIANS(D11)),"")</f>
        <v/>
      </c>
      <c r="R31" s="88" t="str">
        <f aca="false">IF(1_DATOS!C47&gt;=3,1_DATOS!C7*2025.4*COS(RADIANS(15))+C11*COS(RADIANS(D11)),"")</f>
        <v/>
      </c>
    </row>
    <row r="32" customFormat="false" ht="9.75" hidden="false" customHeight="true" outlineLevel="0" collapsed="false">
      <c r="B32" s="87" t="n">
        <v>20</v>
      </c>
      <c r="C32" s="88" t="n">
        <f aca="false">500*SIN(RADIANS(20))</f>
        <v>171.010071662834</v>
      </c>
      <c r="D32" s="88" t="n">
        <f aca="false">500*COS(RADIANS(20))</f>
        <v>469.846310392954</v>
      </c>
      <c r="E32" s="88" t="n">
        <f aca="false">2000*SIN(RADIANS(20))</f>
        <v>684.040286651337</v>
      </c>
      <c r="F32" s="88" t="n">
        <f aca="false">2000*COS(RADIANS(20))</f>
        <v>1879.38524157182</v>
      </c>
      <c r="G32" s="88" t="n">
        <f aca="false">5000*SIN(RADIANS(20))</f>
        <v>1710.10071662834</v>
      </c>
      <c r="H32" s="88" t="n">
        <f aca="false">5000*COS(RADIANS(20))</f>
        <v>4698.46310392954</v>
      </c>
      <c r="I32" s="88" t="n">
        <f aca="false">IF(1_DATOS!C46&gt;=1,1_DATOS!C5*2025.4*SIN(RADIANS(20))+C7*SIN(RADIANS(D7)),"")</f>
        <v>17318.1899572952</v>
      </c>
      <c r="J32" s="88" t="n">
        <f aca="false">IF(1_DATOS!C46&gt;=1,1_DATOS!C5*2025.4*COS(RADIANS(20))+C7*COS(RADIANS(D7)),"")</f>
        <v>44081.3358534945</v>
      </c>
      <c r="K32" s="88" t="n">
        <f aca="false">IF(1_DATOS!C46&gt;=2,1_DATOS!C5*2025.4*SIN(RADIANS(20))+C8*SIN(RADIANS(D8)),"")</f>
        <v>18754.674559263</v>
      </c>
      <c r="L32" s="88" t="n">
        <f aca="false">IF(1_DATOS!C46&gt;=2,1_DATOS!C5*2025.4*COS(RADIANS(20))+C8*COS(RADIANS(D8)),"")</f>
        <v>43634.6268461937</v>
      </c>
      <c r="M32" s="88" t="n">
        <f aca="false">IF(1_DATOS!C47&gt;=1,1_DATOS!C7*2025.4*SIN(RADIANS(20))+C9*SIN(RADIANS(D9)),"")</f>
        <v>7428.84770301853</v>
      </c>
      <c r="N32" s="88" t="n">
        <f aca="false">IF(1_DATOS!C47&gt;=1,1_DATOS!C7*2025.4*COS(RADIANS(20))+C9*COS(RADIANS(D9)),"")</f>
        <v>21955.1577331942</v>
      </c>
      <c r="O32" s="88" t="n">
        <f aca="false">IF(1_DATOS!C47&gt;=2,1_DATOS!C7*2025.4*SIN(RADIANS(20))+C10*SIN(RADIANS(D10)),"")</f>
        <v>7428.84770301853</v>
      </c>
      <c r="P32" s="88" t="n">
        <f aca="false">IF(1_DATOS!C47&gt;=2,1_DATOS!C7*2025.4*COS(RADIANS(20))+C10*COS(RADIANS(D10)),"")</f>
        <v>23722.9246861605</v>
      </c>
      <c r="Q32" s="88" t="str">
        <f aca="false">IF(1_DATOS!C47&gt;=3,1_DATOS!C7*2025.4*SIN(RADIANS(20))+C11*SIN(RADIANS(D11)),"")</f>
        <v/>
      </c>
      <c r="R32" s="88" t="str">
        <f aca="false">IF(1_DATOS!C47&gt;=3,1_DATOS!C7*2025.4*COS(RADIANS(20))+C11*COS(RADIANS(D11)),"")</f>
        <v/>
      </c>
    </row>
    <row r="33" customFormat="false" ht="9.75" hidden="false" customHeight="true" outlineLevel="0" collapsed="false">
      <c r="B33" s="87" t="n">
        <v>25</v>
      </c>
      <c r="C33" s="88" t="n">
        <f aca="false">500*SIN(RADIANS(25))</f>
        <v>211.30913087035</v>
      </c>
      <c r="D33" s="88" t="n">
        <f aca="false">500*COS(RADIANS(25))</f>
        <v>453.153893518325</v>
      </c>
      <c r="E33" s="88" t="n">
        <f aca="false">2000*SIN(RADIANS(25))</f>
        <v>845.236523481399</v>
      </c>
      <c r="F33" s="88" t="n">
        <f aca="false">2000*COS(RADIANS(25))</f>
        <v>1812.6155740733</v>
      </c>
      <c r="G33" s="88" t="n">
        <f aca="false">5000*SIN(RADIANS(25))</f>
        <v>2113.0913087035</v>
      </c>
      <c r="H33" s="88" t="n">
        <f aca="false">5000*COS(RADIANS(25))</f>
        <v>4531.53893518325</v>
      </c>
      <c r="I33" s="88" t="n">
        <f aca="false">IF(1_DATOS!C46&gt;=1,1_DATOS!C5*2025.4*SIN(RADIANS(25))+C7*SIN(RADIANS(D7)),"")</f>
        <v>21399.2756832403</v>
      </c>
      <c r="J33" s="88" t="n">
        <f aca="false">IF(1_DATOS!C46&gt;=1,1_DATOS!C5*2025.4*COS(RADIANS(25))+C7*COS(RADIANS(D7)),"")</f>
        <v>42390.8947966008</v>
      </c>
      <c r="K33" s="88" t="n">
        <f aca="false">IF(1_DATOS!C46&gt;=2,1_DATOS!C5*2025.4*SIN(RADIANS(25))+C8*SIN(RADIANS(D8)),"")</f>
        <v>22835.7602852081</v>
      </c>
      <c r="L33" s="88" t="n">
        <f aca="false">IF(1_DATOS!C46&gt;=2,1_DATOS!C5*2025.4*COS(RADIANS(25))+C8*COS(RADIANS(D8)),"")</f>
        <v>41944.1857893</v>
      </c>
      <c r="M33" s="88" t="n">
        <f aca="false">IF(1_DATOS!C47&gt;=1,1_DATOS!C7*2025.4*SIN(RADIANS(25))+C9*SIN(RADIANS(D9)),"")</f>
        <v>9387.76885147217</v>
      </c>
      <c r="N33" s="88" t="n">
        <f aca="false">IF(1_DATOS!C47&gt;=1,1_DATOS!C7*2025.4*COS(RADIANS(25))+C9*COS(RADIANS(D9)),"")</f>
        <v>21143.7460258852</v>
      </c>
      <c r="O33" s="88" t="n">
        <f aca="false">IF(1_DATOS!C47&gt;=2,1_DATOS!C7*2025.4*SIN(RADIANS(25))+C10*SIN(RADIANS(D10)),"")</f>
        <v>9387.76885147217</v>
      </c>
      <c r="P33" s="88" t="n">
        <f aca="false">IF(1_DATOS!C47&gt;=2,1_DATOS!C7*2025.4*COS(RADIANS(25))+C10*COS(RADIANS(D10)),"")</f>
        <v>22911.5129788516</v>
      </c>
      <c r="Q33" s="88" t="str">
        <f aca="false">IF(1_DATOS!C47&gt;=3,1_DATOS!C7*2025.4*SIN(RADIANS(25))+C11*SIN(RADIANS(D11)),"")</f>
        <v/>
      </c>
      <c r="R33" s="88" t="str">
        <f aca="false">IF(1_DATOS!C47&gt;=3,1_DATOS!C7*2025.4*COS(RADIANS(25))+C11*COS(RADIANS(D11)),"")</f>
        <v/>
      </c>
    </row>
    <row r="34" customFormat="false" ht="9.75" hidden="false" customHeight="true" outlineLevel="0" collapsed="false">
      <c r="B34" s="87" t="n">
        <v>30</v>
      </c>
      <c r="C34" s="88" t="n">
        <f aca="false">500*SIN(RADIANS(30))</f>
        <v>250</v>
      </c>
      <c r="D34" s="88" t="n">
        <f aca="false">500*COS(RADIANS(30))</f>
        <v>433.012701892219</v>
      </c>
      <c r="E34" s="88" t="n">
        <f aca="false">2000*SIN(RADIANS(30))</f>
        <v>1000</v>
      </c>
      <c r="F34" s="88" t="n">
        <f aca="false">2000*COS(RADIANS(30))</f>
        <v>1732.05080756888</v>
      </c>
      <c r="G34" s="88" t="n">
        <f aca="false">5000*SIN(RADIANS(30))</f>
        <v>2500</v>
      </c>
      <c r="H34" s="88" t="n">
        <f aca="false">5000*COS(RADIANS(30))</f>
        <v>4330.12701892219</v>
      </c>
      <c r="I34" s="88" t="n">
        <f aca="false">IF(1_DATOS!C46&gt;=1,1_DATOS!C5*2025.4*SIN(RADIANS(30))+C7*SIN(RADIANS(D7)),"")</f>
        <v>25317.5</v>
      </c>
      <c r="J34" s="88" t="n">
        <f aca="false">IF(1_DATOS!C46&gt;=1,1_DATOS!C5*2025.4*COS(RADIANS(30))+C7*COS(RADIANS(D7)),"")</f>
        <v>40351.1963206251</v>
      </c>
      <c r="K34" s="88" t="n">
        <f aca="false">IF(1_DATOS!C46&gt;=2,1_DATOS!C5*2025.4*SIN(RADIANS(30))+C8*SIN(RADIANS(D8)),"")</f>
        <v>26753.9846019678</v>
      </c>
      <c r="L34" s="88" t="n">
        <f aca="false">IF(1_DATOS!C46&gt;=2,1_DATOS!C5*2025.4*COS(RADIANS(30))+C8*COS(RADIANS(D8)),"")</f>
        <v>39904.4873133242</v>
      </c>
      <c r="M34" s="88" t="n">
        <f aca="false">IF(1_DATOS!C47&gt;=1,1_DATOS!C7*2025.4*SIN(RADIANS(30))+C9*SIN(RADIANS(D9)),"")</f>
        <v>11268.5165235168</v>
      </c>
      <c r="N34" s="88" t="n">
        <f aca="false">IF(1_DATOS!C47&gt;=1,1_DATOS!C7*2025.4*COS(RADIANS(30))+C9*COS(RADIANS(D9)),"")</f>
        <v>20164.6907574168</v>
      </c>
      <c r="O34" s="88" t="n">
        <f aca="false">IF(1_DATOS!C47&gt;=2,1_DATOS!C7*2025.4*SIN(RADIANS(30))+C10*SIN(RADIANS(D10)),"")</f>
        <v>11268.5165235168</v>
      </c>
      <c r="P34" s="88" t="n">
        <f aca="false">IF(1_DATOS!C47&gt;=2,1_DATOS!C7*2025.4*COS(RADIANS(30))+C10*COS(RADIANS(D10)),"")</f>
        <v>21932.4577103832</v>
      </c>
      <c r="Q34" s="88" t="str">
        <f aca="false">IF(1_DATOS!C47&gt;=3,1_DATOS!C7*2025.4*SIN(RADIANS(30))+C11*SIN(RADIANS(D11)),"")</f>
        <v/>
      </c>
      <c r="R34" s="88" t="str">
        <f aca="false">IF(1_DATOS!C47&gt;=3,1_DATOS!C7*2025.4*COS(RADIANS(30))+C11*COS(RADIANS(D11)),"")</f>
        <v/>
      </c>
    </row>
    <row r="35" customFormat="false" ht="9.75" hidden="false" customHeight="true" outlineLevel="0" collapsed="false">
      <c r="B35" s="87" t="n">
        <v>35</v>
      </c>
      <c r="C35" s="88" t="n">
        <f aca="false">500*SIN(RADIANS(35))</f>
        <v>286.788218175523</v>
      </c>
      <c r="D35" s="88" t="n">
        <f aca="false">500*COS(RADIANS(35))</f>
        <v>409.576022144496</v>
      </c>
      <c r="E35" s="88" t="n">
        <f aca="false">2000*SIN(RADIANS(35))</f>
        <v>1147.15287270209</v>
      </c>
      <c r="F35" s="88" t="n">
        <f aca="false">2000*COS(RADIANS(35))</f>
        <v>1638.30408857798</v>
      </c>
      <c r="G35" s="88" t="n">
        <f aca="false">5000*SIN(RADIANS(35))</f>
        <v>2867.88218175523</v>
      </c>
      <c r="H35" s="88" t="n">
        <f aca="false">5000*COS(RADIANS(35))</f>
        <v>4095.76022144496</v>
      </c>
      <c r="I35" s="88" t="n">
        <f aca="false">IF(1_DATOS!C46&gt;=1,1_DATOS!C5*2025.4*SIN(RADIANS(35))+C7*SIN(RADIANS(D7)),"")</f>
        <v>29043.0428546352</v>
      </c>
      <c r="J35" s="88" t="n">
        <f aca="false">IF(1_DATOS!C46&gt;=1,1_DATOS!C5*2025.4*COS(RADIANS(35))+C7*COS(RADIANS(D7)),"")</f>
        <v>37977.7637625731</v>
      </c>
      <c r="K35" s="88" t="n">
        <f aca="false">IF(1_DATOS!C46&gt;=2,1_DATOS!C5*2025.4*SIN(RADIANS(35))+C8*SIN(RADIANS(D8)),"")</f>
        <v>30479.527456603</v>
      </c>
      <c r="L35" s="88" t="n">
        <f aca="false">IF(1_DATOS!C46&gt;=2,1_DATOS!C5*2025.4*COS(RADIANS(35))+C8*COS(RADIANS(D8)),"")</f>
        <v>37531.0547552723</v>
      </c>
      <c r="M35" s="88" t="n">
        <f aca="false">IF(1_DATOS!C47&gt;=1,1_DATOS!C7*2025.4*SIN(RADIANS(35))+C9*SIN(RADIANS(D9)),"")</f>
        <v>13056.7770937417</v>
      </c>
      <c r="N35" s="88" t="n">
        <f aca="false">IF(1_DATOS!C47&gt;=1,1_DATOS!C7*2025.4*COS(RADIANS(35))+C9*COS(RADIANS(D9)),"")</f>
        <v>19025.4431295519</v>
      </c>
      <c r="O35" s="88" t="n">
        <f aca="false">IF(1_DATOS!C47&gt;=2,1_DATOS!C7*2025.4*SIN(RADIANS(35))+C10*SIN(RADIANS(D10)),"")</f>
        <v>13056.7770937417</v>
      </c>
      <c r="P35" s="88" t="n">
        <f aca="false">IF(1_DATOS!C47&gt;=2,1_DATOS!C7*2025.4*COS(RADIANS(35))+C10*COS(RADIANS(D10)),"")</f>
        <v>20793.2100825183</v>
      </c>
      <c r="Q35" s="88" t="str">
        <f aca="false">IF(1_DATOS!C47&gt;=3,1_DATOS!C7*2025.4*SIN(RADIANS(35))+C11*SIN(RADIANS(D11)),"")</f>
        <v/>
      </c>
      <c r="R35" s="88" t="str">
        <f aca="false">IF(1_DATOS!C47&gt;=3,1_DATOS!C7*2025.4*COS(RADIANS(35))+C11*COS(RADIANS(D11)),"")</f>
        <v/>
      </c>
    </row>
    <row r="36" customFormat="false" ht="9.75" hidden="false" customHeight="true" outlineLevel="0" collapsed="false">
      <c r="B36" s="87" t="n">
        <v>40</v>
      </c>
      <c r="C36" s="88" t="n">
        <f aca="false">500*SIN(RADIANS(40))</f>
        <v>321.39380484327</v>
      </c>
      <c r="D36" s="88" t="n">
        <f aca="false">500*COS(RADIANS(40))</f>
        <v>383.022221559489</v>
      </c>
      <c r="E36" s="88" t="n">
        <f aca="false">2000*SIN(RADIANS(40))</f>
        <v>1285.57521937308</v>
      </c>
      <c r="F36" s="88" t="n">
        <f aca="false">2000*COS(RADIANS(40))</f>
        <v>1532.08888623796</v>
      </c>
      <c r="G36" s="88" t="n">
        <f aca="false">5000*SIN(RADIANS(40))</f>
        <v>3213.9380484327</v>
      </c>
      <c r="H36" s="88" t="n">
        <f aca="false">5000*COS(RADIANS(40))</f>
        <v>3830.22221559489</v>
      </c>
      <c r="I36" s="88" t="n">
        <f aca="false">IF(1_DATOS!C46&gt;=1,1_DATOS!C5*2025.4*SIN(RADIANS(40))+C7*SIN(RADIANS(D7)),"")</f>
        <v>32547.5506164779</v>
      </c>
      <c r="J36" s="88" t="n">
        <f aca="false">IF(1_DATOS!C46&gt;=1,1_DATOS!C5*2025.4*COS(RADIANS(40))+C7*COS(RADIANS(D7)),"")</f>
        <v>35288.6603773295</v>
      </c>
      <c r="K36" s="88" t="n">
        <f aca="false">IF(1_DATOS!C46&gt;=2,1_DATOS!C5*2025.4*SIN(RADIANS(40))+C8*SIN(RADIANS(D8)),"")</f>
        <v>33984.0352184457</v>
      </c>
      <c r="L36" s="88" t="n">
        <f aca="false">IF(1_DATOS!C46&gt;=2,1_DATOS!C5*2025.4*COS(RADIANS(40))+C8*COS(RADIANS(D8)),"")</f>
        <v>34841.9513700286</v>
      </c>
      <c r="M36" s="88" t="n">
        <f aca="false">IF(1_DATOS!C47&gt;=1,1_DATOS!C7*2025.4*SIN(RADIANS(40))+C9*SIN(RADIANS(D9)),"")</f>
        <v>14738.9408194262</v>
      </c>
      <c r="N36" s="88" t="n">
        <f aca="false">IF(1_DATOS!C47&gt;=1,1_DATOS!C7*2025.4*COS(RADIANS(40))+C9*COS(RADIANS(D9)),"")</f>
        <v>17734.673504635</v>
      </c>
      <c r="O36" s="88" t="n">
        <f aca="false">IF(1_DATOS!C47&gt;=2,1_DATOS!C7*2025.4*SIN(RADIANS(40))+C10*SIN(RADIANS(D10)),"")</f>
        <v>14738.9408194262</v>
      </c>
      <c r="P36" s="88" t="n">
        <f aca="false">IF(1_DATOS!C47&gt;=2,1_DATOS!C7*2025.4*COS(RADIANS(40))+C10*COS(RADIANS(D10)),"")</f>
        <v>19502.4404576013</v>
      </c>
      <c r="Q36" s="88" t="str">
        <f aca="false">IF(1_DATOS!C47&gt;=3,1_DATOS!C7*2025.4*SIN(RADIANS(40))+C11*SIN(RADIANS(D11)),"")</f>
        <v/>
      </c>
      <c r="R36" s="88" t="str">
        <f aca="false">IF(1_DATOS!C47&gt;=3,1_DATOS!C7*2025.4*COS(RADIANS(40))+C11*COS(RADIANS(D11)),"")</f>
        <v/>
      </c>
    </row>
    <row r="37" customFormat="false" ht="9.75" hidden="false" customHeight="true" outlineLevel="0" collapsed="false">
      <c r="B37" s="87" t="n">
        <v>45</v>
      </c>
      <c r="C37" s="88" t="n">
        <f aca="false">500*SIN(RADIANS(45))</f>
        <v>353.553390593274</v>
      </c>
      <c r="D37" s="88" t="n">
        <f aca="false">500*COS(RADIANS(45))</f>
        <v>353.553390593274</v>
      </c>
      <c r="E37" s="88" t="n">
        <f aca="false">2000*SIN(RADIANS(45))</f>
        <v>1414.21356237309</v>
      </c>
      <c r="F37" s="88" t="n">
        <f aca="false">2000*COS(RADIANS(45))</f>
        <v>1414.2135623731</v>
      </c>
      <c r="G37" s="88" t="n">
        <f aca="false">5000*SIN(RADIANS(45))</f>
        <v>3535.53390593274</v>
      </c>
      <c r="H37" s="88" t="n">
        <f aca="false">5000*COS(RADIANS(45))</f>
        <v>3535.53390593274</v>
      </c>
      <c r="I37" s="88" t="n">
        <f aca="false">IF(1_DATOS!C46&gt;=1,1_DATOS!C5*2025.4*SIN(RADIANS(45))+C7*SIN(RADIANS(D7)),"")</f>
        <v>35804.3518653808</v>
      </c>
      <c r="J37" s="88" t="n">
        <f aca="false">IF(1_DATOS!C46&gt;=1,1_DATOS!C5*2025.4*COS(RADIANS(45))+C7*COS(RADIANS(D7)),"")</f>
        <v>32304.3518653808</v>
      </c>
      <c r="K37" s="88" t="n">
        <f aca="false">IF(1_DATOS!C46&gt;=2,1_DATOS!C5*2025.4*SIN(RADIANS(45))+C8*SIN(RADIANS(D8)),"")</f>
        <v>37240.8364673486</v>
      </c>
      <c r="L37" s="88" t="n">
        <f aca="false">IF(1_DATOS!C46&gt;=2,1_DATOS!C5*2025.4*COS(RADIANS(45))+C8*COS(RADIANS(D8)),"")</f>
        <v>31857.64285808</v>
      </c>
      <c r="M37" s="88" t="n">
        <f aca="false">IF(1_DATOS!C47&gt;=1,1_DATOS!C7*2025.4*SIN(RADIANS(45))+C9*SIN(RADIANS(D9)),"")</f>
        <v>16302.2054188996</v>
      </c>
      <c r="N37" s="88" t="n">
        <f aca="false">IF(1_DATOS!C47&gt;=1,1_DATOS!C7*2025.4*COS(RADIANS(45))+C9*COS(RADIANS(D9)),"")</f>
        <v>16302.2054188996</v>
      </c>
      <c r="O37" s="88" t="n">
        <f aca="false">IF(1_DATOS!C47&gt;=2,1_DATOS!C7*2025.4*SIN(RADIANS(45))+C10*SIN(RADIANS(D10)),"")</f>
        <v>16302.2054188996</v>
      </c>
      <c r="P37" s="88" t="n">
        <f aca="false">IF(1_DATOS!C47&gt;=2,1_DATOS!C7*2025.4*COS(RADIANS(45))+C10*COS(RADIANS(D10)),"")</f>
        <v>18069.972371866</v>
      </c>
      <c r="Q37" s="88" t="str">
        <f aca="false">IF(1_DATOS!C47&gt;=3,1_DATOS!C7*2025.4*SIN(RADIANS(45))+C11*SIN(RADIANS(D11)),"")</f>
        <v/>
      </c>
      <c r="R37" s="88" t="str">
        <f aca="false">IF(1_DATOS!C47&gt;=3,1_DATOS!C7*2025.4*COS(RADIANS(45))+C11*COS(RADIANS(D11)),"")</f>
        <v/>
      </c>
    </row>
    <row r="38" customFormat="false" ht="9.75" hidden="false" customHeight="true" outlineLevel="0" collapsed="false">
      <c r="B38" s="87" t="n">
        <v>50</v>
      </c>
      <c r="C38" s="88" t="n">
        <f aca="false">500*SIN(RADIANS(50))</f>
        <v>383.022221559489</v>
      </c>
      <c r="D38" s="88" t="n">
        <f aca="false">500*COS(RADIANS(50))</f>
        <v>321.39380484327</v>
      </c>
      <c r="E38" s="88" t="n">
        <f aca="false">2000*SIN(RADIANS(50))</f>
        <v>1532.08888623796</v>
      </c>
      <c r="F38" s="88" t="n">
        <f aca="false">2000*COS(RADIANS(50))</f>
        <v>1285.57521937308</v>
      </c>
      <c r="G38" s="88" t="n">
        <f aca="false">5000*SIN(RADIANS(50))</f>
        <v>3830.22221559489</v>
      </c>
      <c r="H38" s="88" t="n">
        <f aca="false">5000*COS(RADIANS(50))</f>
        <v>3213.9380484327</v>
      </c>
      <c r="I38" s="88" t="n">
        <f aca="false">IF(1_DATOS!C46&gt;=1,1_DATOS!C5*2025.4*SIN(RADIANS(50))+C7*SIN(RADIANS(D7)),"")</f>
        <v>38788.6603773295</v>
      </c>
      <c r="J38" s="88" t="n">
        <f aca="false">IF(1_DATOS!C46&gt;=1,1_DATOS!C5*2025.4*COS(RADIANS(50))+C7*COS(RADIANS(D7)),"")</f>
        <v>29047.5506164779</v>
      </c>
      <c r="K38" s="88" t="n">
        <f aca="false">IF(1_DATOS!C46&gt;=2,1_DATOS!C5*2025.4*SIN(RADIANS(50))+C8*SIN(RADIANS(D8)),"")</f>
        <v>40225.1449792973</v>
      </c>
      <c r="L38" s="88" t="n">
        <f aca="false">IF(1_DATOS!C46&gt;=2,1_DATOS!C5*2025.4*COS(RADIANS(50))+C8*COS(RADIANS(D8)),"")</f>
        <v>28600.8416091771</v>
      </c>
      <c r="M38" s="88" t="n">
        <f aca="false">IF(1_DATOS!C47&gt;=1,1_DATOS!C7*2025.4*SIN(RADIANS(50))+C9*SIN(RADIANS(D9)),"")</f>
        <v>17734.673504635</v>
      </c>
      <c r="N38" s="88" t="n">
        <f aca="false">IF(1_DATOS!C47&gt;=1,1_DATOS!C7*2025.4*COS(RADIANS(50))+C9*COS(RADIANS(D9)),"")</f>
        <v>14738.9408194262</v>
      </c>
      <c r="O38" s="88" t="n">
        <f aca="false">IF(1_DATOS!C47&gt;=2,1_DATOS!C7*2025.4*SIN(RADIANS(50))+C10*SIN(RADIANS(D10)),"")</f>
        <v>17734.673504635</v>
      </c>
      <c r="P38" s="88" t="n">
        <f aca="false">IF(1_DATOS!C47&gt;=2,1_DATOS!C7*2025.4*COS(RADIANS(50))+C10*COS(RADIANS(D10)),"")</f>
        <v>16506.7077723926</v>
      </c>
      <c r="Q38" s="88" t="str">
        <f aca="false">IF(1_DATOS!C47&gt;=3,1_DATOS!C7*2025.4*SIN(RADIANS(50))+C11*SIN(RADIANS(D11)),"")</f>
        <v/>
      </c>
      <c r="R38" s="88" t="str">
        <f aca="false">IF(1_DATOS!C47&gt;=3,1_DATOS!C7*2025.4*COS(RADIANS(50))+C11*COS(RADIANS(D11)),"")</f>
        <v/>
      </c>
    </row>
    <row r="39" customFormat="false" ht="9.75" hidden="false" customHeight="true" outlineLevel="0" collapsed="false">
      <c r="B39" s="87" t="n">
        <v>55</v>
      </c>
      <c r="C39" s="88" t="n">
        <f aca="false">500*SIN(RADIANS(55))</f>
        <v>409.576022144496</v>
      </c>
      <c r="D39" s="88" t="n">
        <f aca="false">500*COS(RADIANS(55))</f>
        <v>286.788218175523</v>
      </c>
      <c r="E39" s="88" t="n">
        <f aca="false">2000*SIN(RADIANS(55))</f>
        <v>1638.30408857798</v>
      </c>
      <c r="F39" s="88" t="n">
        <f aca="false">2000*COS(RADIANS(55))</f>
        <v>1147.15287270209</v>
      </c>
      <c r="G39" s="88" t="n">
        <f aca="false">5000*SIN(RADIANS(55))</f>
        <v>4095.76022144496</v>
      </c>
      <c r="H39" s="88" t="n">
        <f aca="false">5000*COS(RADIANS(55))</f>
        <v>2867.88218175523</v>
      </c>
      <c r="I39" s="88" t="n">
        <f aca="false">IF(1_DATOS!C46&gt;=1,1_DATOS!C5*2025.4*SIN(RADIANS(55))+C7*SIN(RADIANS(D7)),"")</f>
        <v>41477.7637625731</v>
      </c>
      <c r="J39" s="88" t="n">
        <f aca="false">IF(1_DATOS!C46&gt;=1,1_DATOS!C5*2025.4*COS(RADIANS(55))+C7*COS(RADIANS(D7)),"")</f>
        <v>25543.0428546352</v>
      </c>
      <c r="K39" s="88" t="n">
        <f aca="false">IF(1_DATOS!C46&gt;=2,1_DATOS!C5*2025.4*SIN(RADIANS(55))+C8*SIN(RADIANS(D8)),"")</f>
        <v>42914.2483645409</v>
      </c>
      <c r="L39" s="88" t="n">
        <f aca="false">IF(1_DATOS!C46&gt;=2,1_DATOS!C5*2025.4*COS(RADIANS(55))+C8*COS(RADIANS(D8)),"")</f>
        <v>25096.3338473344</v>
      </c>
      <c r="M39" s="88" t="n">
        <f aca="false">IF(1_DATOS!C47&gt;=1,1_DATOS!C7*2025.4*SIN(RADIANS(55))+C9*SIN(RADIANS(D9)),"")</f>
        <v>19025.4431295519</v>
      </c>
      <c r="N39" s="88" t="n">
        <f aca="false">IF(1_DATOS!C47&gt;=1,1_DATOS!C7*2025.4*COS(RADIANS(55))+C9*COS(RADIANS(D9)),"")</f>
        <v>13056.7770937417</v>
      </c>
      <c r="O39" s="88" t="n">
        <f aca="false">IF(1_DATOS!C47&gt;=2,1_DATOS!C7*2025.4*SIN(RADIANS(55))+C10*SIN(RADIANS(D10)),"")</f>
        <v>19025.4431295519</v>
      </c>
      <c r="P39" s="88" t="n">
        <f aca="false">IF(1_DATOS!C47&gt;=2,1_DATOS!C7*2025.4*COS(RADIANS(55))+C10*COS(RADIANS(D10)),"")</f>
        <v>14824.5440467081</v>
      </c>
      <c r="Q39" s="88" t="str">
        <f aca="false">IF(1_DATOS!C47&gt;=3,1_DATOS!C7*2025.4*SIN(RADIANS(55))+C11*SIN(RADIANS(D11)),"")</f>
        <v/>
      </c>
      <c r="R39" s="88" t="str">
        <f aca="false">IF(1_DATOS!C47&gt;=3,1_DATOS!C7*2025.4*COS(RADIANS(55))+C11*COS(RADIANS(D11)),"")</f>
        <v/>
      </c>
    </row>
    <row r="40" customFormat="false" ht="9.75" hidden="false" customHeight="true" outlineLevel="0" collapsed="false">
      <c r="B40" s="87" t="n">
        <v>60</v>
      </c>
      <c r="C40" s="88" t="n">
        <f aca="false">500*SIN(RADIANS(60))</f>
        <v>433.012701892219</v>
      </c>
      <c r="D40" s="88" t="n">
        <f aca="false">500*COS(RADIANS(60))</f>
        <v>250</v>
      </c>
      <c r="E40" s="88" t="n">
        <f aca="false">2000*SIN(RADIANS(60))</f>
        <v>1732.05080756888</v>
      </c>
      <c r="F40" s="88" t="n">
        <f aca="false">2000*COS(RADIANS(60))</f>
        <v>1000</v>
      </c>
      <c r="G40" s="88" t="n">
        <f aca="false">5000*SIN(RADIANS(60))</f>
        <v>4330.12701892219</v>
      </c>
      <c r="H40" s="88" t="n">
        <f aca="false">5000*COS(RADIANS(60))</f>
        <v>2500</v>
      </c>
      <c r="I40" s="88" t="n">
        <f aca="false">IF(1_DATOS!C46&gt;=1,1_DATOS!C5*2025.4*SIN(RADIANS(60))+C7*SIN(RADIANS(D7)),"")</f>
        <v>43851.1963206251</v>
      </c>
      <c r="J40" s="88" t="n">
        <f aca="false">IF(1_DATOS!C46&gt;=1,1_DATOS!C5*2025.4*COS(RADIANS(60))+C7*COS(RADIANS(D7)),"")</f>
        <v>21817.5</v>
      </c>
      <c r="K40" s="88" t="n">
        <f aca="false">IF(1_DATOS!C46&gt;=2,1_DATOS!C5*2025.4*SIN(RADIANS(60))+C8*SIN(RADIANS(D8)),"")</f>
        <v>45287.6809225929</v>
      </c>
      <c r="L40" s="88" t="n">
        <f aca="false">IF(1_DATOS!C46&gt;=2,1_DATOS!C5*2025.4*COS(RADIANS(60))+C8*COS(RADIANS(D8)),"")</f>
        <v>21370.7909926992</v>
      </c>
      <c r="M40" s="88" t="n">
        <f aca="false">IF(1_DATOS!C47&gt;=1,1_DATOS!C7*2025.4*SIN(RADIANS(60))+C9*SIN(RADIANS(D9)),"")</f>
        <v>20164.6907574168</v>
      </c>
      <c r="N40" s="88" t="n">
        <f aca="false">IF(1_DATOS!C47&gt;=1,1_DATOS!C7*2025.4*COS(RADIANS(60))+C9*COS(RADIANS(D9)),"")</f>
        <v>11268.5165235168</v>
      </c>
      <c r="O40" s="88" t="n">
        <f aca="false">IF(1_DATOS!C47&gt;=2,1_DATOS!C7*2025.4*SIN(RADIANS(60))+C10*SIN(RADIANS(D10)),"")</f>
        <v>20164.6907574168</v>
      </c>
      <c r="P40" s="88" t="n">
        <f aca="false">IF(1_DATOS!C47&gt;=2,1_DATOS!C7*2025.4*COS(RADIANS(60))+C10*COS(RADIANS(D10)),"")</f>
        <v>13036.2834764832</v>
      </c>
      <c r="Q40" s="88" t="str">
        <f aca="false">IF(1_DATOS!C47&gt;=3,1_DATOS!C7*2025.4*SIN(RADIANS(60))+C11*SIN(RADIANS(D11)),"")</f>
        <v/>
      </c>
      <c r="R40" s="88" t="str">
        <f aca="false">IF(1_DATOS!C47&gt;=3,1_DATOS!C7*2025.4*COS(RADIANS(60))+C11*COS(RADIANS(D11)),"")</f>
        <v/>
      </c>
    </row>
    <row r="41" customFormat="false" ht="9.75" hidden="false" customHeight="true" outlineLevel="0" collapsed="false">
      <c r="B41" s="87" t="n">
        <v>65</v>
      </c>
      <c r="C41" s="88" t="n">
        <f aca="false">500*SIN(RADIANS(65))</f>
        <v>453.153893518325</v>
      </c>
      <c r="D41" s="88" t="n">
        <f aca="false">500*COS(RADIANS(65))</f>
        <v>211.30913087035</v>
      </c>
      <c r="E41" s="88" t="n">
        <f aca="false">2000*SIN(RADIANS(65))</f>
        <v>1812.6155740733</v>
      </c>
      <c r="F41" s="88" t="n">
        <f aca="false">2000*COS(RADIANS(65))</f>
        <v>845.236523481399</v>
      </c>
      <c r="G41" s="88" t="n">
        <f aca="false">5000*SIN(RADIANS(65))</f>
        <v>4531.53893518325</v>
      </c>
      <c r="H41" s="88" t="n">
        <f aca="false">5000*COS(RADIANS(65))</f>
        <v>2113.0913087035</v>
      </c>
      <c r="I41" s="88" t="n">
        <f aca="false">IF(1_DATOS!C46&gt;=1,1_DATOS!C5*2025.4*SIN(RADIANS(65))+C7*SIN(RADIANS(D7)),"")</f>
        <v>45890.8947966008</v>
      </c>
      <c r="J41" s="88" t="n">
        <f aca="false">IF(1_DATOS!C46&gt;=1,1_DATOS!C5*2025.4*COS(RADIANS(65))+C7*COS(RADIANS(D7)),"")</f>
        <v>17899.2756832403</v>
      </c>
      <c r="K41" s="88" t="n">
        <f aca="false">IF(1_DATOS!C46&gt;=2,1_DATOS!C5*2025.4*SIN(RADIANS(65))+C8*SIN(RADIANS(D8)),"")</f>
        <v>47327.3793985686</v>
      </c>
      <c r="L41" s="88" t="n">
        <f aca="false">IF(1_DATOS!C46&gt;=2,1_DATOS!C5*2025.4*COS(RADIANS(65))+C8*COS(RADIANS(D8)),"")</f>
        <v>17452.5666759395</v>
      </c>
      <c r="M41" s="88" t="n">
        <f aca="false">IF(1_DATOS!C47&gt;=1,1_DATOS!C7*2025.4*SIN(RADIANS(65))+C9*SIN(RADIANS(D9)),"")</f>
        <v>21143.7460258852</v>
      </c>
      <c r="N41" s="88" t="n">
        <f aca="false">IF(1_DATOS!C47&gt;=1,1_DATOS!C7*2025.4*COS(RADIANS(65))+C9*COS(RADIANS(D9)),"")</f>
        <v>9387.76885147217</v>
      </c>
      <c r="O41" s="88" t="n">
        <f aca="false">IF(1_DATOS!C47&gt;=2,1_DATOS!C7*2025.4*SIN(RADIANS(65))+C10*SIN(RADIANS(D10)),"")</f>
        <v>21143.7460258852</v>
      </c>
      <c r="P41" s="88" t="n">
        <f aca="false">IF(1_DATOS!C47&gt;=2,1_DATOS!C7*2025.4*COS(RADIANS(65))+C10*COS(RADIANS(D10)),"")</f>
        <v>11155.5358044385</v>
      </c>
      <c r="Q41" s="88" t="str">
        <f aca="false">IF(1_DATOS!C47&gt;=3,1_DATOS!C7*2025.4*SIN(RADIANS(65))+C11*SIN(RADIANS(D11)),"")</f>
        <v/>
      </c>
      <c r="R41" s="88" t="str">
        <f aca="false">IF(1_DATOS!C47&gt;=3,1_DATOS!C7*2025.4*COS(RADIANS(65))+C11*COS(RADIANS(D11)),"")</f>
        <v/>
      </c>
    </row>
    <row r="42" customFormat="false" ht="9.75" hidden="false" customHeight="true" outlineLevel="0" collapsed="false">
      <c r="B42" s="87" t="n">
        <v>70</v>
      </c>
      <c r="C42" s="88" t="n">
        <f aca="false">500*SIN(RADIANS(70))</f>
        <v>469.846310392954</v>
      </c>
      <c r="D42" s="88" t="n">
        <f aca="false">500*COS(RADIANS(70))</f>
        <v>171.010071662834</v>
      </c>
      <c r="E42" s="88" t="n">
        <f aca="false">2000*SIN(RADIANS(70))</f>
        <v>1879.38524157182</v>
      </c>
      <c r="F42" s="88" t="n">
        <f aca="false">2000*COS(RADIANS(70))</f>
        <v>684.040286651338</v>
      </c>
      <c r="G42" s="88" t="n">
        <f aca="false">5000*SIN(RADIANS(70))</f>
        <v>4698.46310392954</v>
      </c>
      <c r="H42" s="88" t="n">
        <f aca="false">5000*COS(RADIANS(70))</f>
        <v>1710.10071662834</v>
      </c>
      <c r="I42" s="88" t="n">
        <f aca="false">IF(1_DATOS!C46&gt;=1,1_DATOS!C5*2025.4*SIN(RADIANS(70))+C7*SIN(RADIANS(D7)),"")</f>
        <v>47581.3358534945</v>
      </c>
      <c r="J42" s="88" t="n">
        <f aca="false">IF(1_DATOS!C46&gt;=1,1_DATOS!C5*2025.4*COS(RADIANS(70))+C7*COS(RADIANS(D7)),"")</f>
        <v>13818.1899572952</v>
      </c>
      <c r="K42" s="88" t="n">
        <f aca="false">IF(1_DATOS!C46&gt;=2,1_DATOS!C5*2025.4*SIN(RADIANS(70))+C8*SIN(RADIANS(D8)),"")</f>
        <v>49017.8204554623</v>
      </c>
      <c r="L42" s="88" t="n">
        <f aca="false">IF(1_DATOS!C46&gt;=2,1_DATOS!C5*2025.4*COS(RADIANS(70))+C8*COS(RADIANS(D8)),"")</f>
        <v>13371.4809499944</v>
      </c>
      <c r="M42" s="88" t="n">
        <f aca="false">IF(1_DATOS!C47&gt;=1,1_DATOS!C7*2025.4*SIN(RADIANS(70))+C9*SIN(RADIANS(D9)),"")</f>
        <v>21955.1577331942</v>
      </c>
      <c r="N42" s="88" t="n">
        <f aca="false">IF(1_DATOS!C47&gt;=1,1_DATOS!C7*2025.4*COS(RADIANS(70))+C9*COS(RADIANS(D9)),"")</f>
        <v>7428.84770301853</v>
      </c>
      <c r="O42" s="88" t="n">
        <f aca="false">IF(1_DATOS!C47&gt;=2,1_DATOS!C7*2025.4*SIN(RADIANS(70))+C10*SIN(RADIANS(D10)),"")</f>
        <v>21955.1577331942</v>
      </c>
      <c r="P42" s="88" t="n">
        <f aca="false">IF(1_DATOS!C47&gt;=2,1_DATOS!C7*2025.4*COS(RADIANS(70))+C10*COS(RADIANS(D10)),"")</f>
        <v>9196.6146559849</v>
      </c>
      <c r="Q42" s="88" t="str">
        <f aca="false">IF(1_DATOS!C47&gt;=3,1_DATOS!C7*2025.4*SIN(RADIANS(70))+C11*SIN(RADIANS(D11)),"")</f>
        <v/>
      </c>
      <c r="R42" s="88" t="str">
        <f aca="false">IF(1_DATOS!C47&gt;=3,1_DATOS!C7*2025.4*COS(RADIANS(70))+C11*COS(RADIANS(D11)),"")</f>
        <v/>
      </c>
    </row>
    <row r="43" customFormat="false" ht="9.75" hidden="false" customHeight="true" outlineLevel="0" collapsed="false">
      <c r="B43" s="87" t="n">
        <v>75</v>
      </c>
      <c r="C43" s="88" t="n">
        <f aca="false">500*SIN(RADIANS(75))</f>
        <v>482.962913144534</v>
      </c>
      <c r="D43" s="88" t="n">
        <f aca="false">500*COS(RADIANS(75))</f>
        <v>129.40952255126</v>
      </c>
      <c r="E43" s="88" t="n">
        <f aca="false">2000*SIN(RADIANS(75))</f>
        <v>1931.85165257814</v>
      </c>
      <c r="F43" s="88" t="n">
        <f aca="false">2000*COS(RADIANS(75))</f>
        <v>517.638090205042</v>
      </c>
      <c r="G43" s="88" t="n">
        <f aca="false">5000*SIN(RADIANS(75))</f>
        <v>4829.62913144534</v>
      </c>
      <c r="H43" s="88" t="n">
        <f aca="false">5000*COS(RADIANS(75))</f>
        <v>1294.0952255126</v>
      </c>
      <c r="I43" s="88" t="n">
        <f aca="false">IF(1_DATOS!C46&gt;=1,1_DATOS!C5*2025.4*SIN(RADIANS(75))+C7*SIN(RADIANS(D7)),"")</f>
        <v>48909.654214147</v>
      </c>
      <c r="J43" s="88" t="n">
        <f aca="false">IF(1_DATOS!C46&gt;=1,1_DATOS!C5*2025.4*COS(RADIANS(75))+C7*COS(RADIANS(D7)),"")</f>
        <v>9605.30234876614</v>
      </c>
      <c r="K43" s="88" t="n">
        <f aca="false">IF(1_DATOS!C46&gt;=2,1_DATOS!C5*2025.4*SIN(RADIANS(75))+C8*SIN(RADIANS(D8)),"")</f>
        <v>50346.1388161148</v>
      </c>
      <c r="L43" s="88" t="n">
        <f aca="false">IF(1_DATOS!C46&gt;=2,1_DATOS!C5*2025.4*COS(RADIANS(75))+C8*COS(RADIANS(D8)),"")</f>
        <v>9158.59334146532</v>
      </c>
      <c r="M43" s="88" t="n">
        <f aca="false">IF(1_DATOS!C47&gt;=1,1_DATOS!C7*2025.4*SIN(RADIANS(75))+C9*SIN(RADIANS(D9)),"")</f>
        <v>22592.7505463074</v>
      </c>
      <c r="N43" s="88" t="n">
        <f aca="false">IF(1_DATOS!C47&gt;=1,1_DATOS!C7*2025.4*COS(RADIANS(75))+C9*COS(RADIANS(D9)),"")</f>
        <v>5406.66165092456</v>
      </c>
      <c r="O43" s="88" t="n">
        <f aca="false">IF(1_DATOS!C47&gt;=2,1_DATOS!C7*2025.4*SIN(RADIANS(75))+C10*SIN(RADIANS(D10)),"")</f>
        <v>22592.7505463074</v>
      </c>
      <c r="P43" s="88" t="n">
        <f aca="false">IF(1_DATOS!C47&gt;=2,1_DATOS!C7*2025.4*COS(RADIANS(75))+C10*COS(RADIANS(D10)),"")</f>
        <v>7174.42860389093</v>
      </c>
      <c r="Q43" s="88" t="str">
        <f aca="false">IF(1_DATOS!C47&gt;=3,1_DATOS!C7*2025.4*SIN(RADIANS(75))+C11*SIN(RADIANS(D11)),"")</f>
        <v/>
      </c>
      <c r="R43" s="88" t="str">
        <f aca="false">IF(1_DATOS!C47&gt;=3,1_DATOS!C7*2025.4*COS(RADIANS(75))+C11*COS(RADIANS(D11)),"")</f>
        <v/>
      </c>
    </row>
    <row r="44" customFormat="false" ht="9.75" hidden="false" customHeight="true" outlineLevel="0" collapsed="false">
      <c r="B44" s="87" t="n">
        <v>80</v>
      </c>
      <c r="C44" s="88" t="n">
        <f aca="false">500*SIN(RADIANS(80))</f>
        <v>492.403876506104</v>
      </c>
      <c r="D44" s="88" t="n">
        <f aca="false">500*COS(RADIANS(80))</f>
        <v>86.8240888334652</v>
      </c>
      <c r="E44" s="88" t="n">
        <f aca="false">2000*SIN(RADIANS(80))</f>
        <v>1969.61550602442</v>
      </c>
      <c r="F44" s="88" t="n">
        <f aca="false">2000*COS(RADIANS(80))</f>
        <v>347.296355333861</v>
      </c>
      <c r="G44" s="88" t="n">
        <f aca="false">5000*SIN(RADIANS(80))</f>
        <v>4924.03876506104</v>
      </c>
      <c r="H44" s="88" t="n">
        <f aca="false">5000*COS(RADIANS(80))</f>
        <v>868.240888334652</v>
      </c>
      <c r="I44" s="88" t="n">
        <f aca="false">IF(1_DATOS!C46&gt;=1,1_DATOS!C5*2025.4*SIN(RADIANS(80))+C7*SIN(RADIANS(D7)),"")</f>
        <v>49865.7405737732</v>
      </c>
      <c r="J44" s="88" t="n">
        <f aca="false">IF(1_DATOS!C46&gt;=1,1_DATOS!C5*2025.4*COS(RADIANS(80))+C7*COS(RADIANS(D7)),"")</f>
        <v>5292.67547616502</v>
      </c>
      <c r="K44" s="88" t="n">
        <f aca="false">IF(1_DATOS!C46&gt;=2,1_DATOS!C5*2025.4*SIN(RADIANS(80))+C8*SIN(RADIANS(D8)),"")</f>
        <v>51302.225175741</v>
      </c>
      <c r="L44" s="88" t="n">
        <f aca="false">IF(1_DATOS!C46&gt;=2,1_DATOS!C5*2025.4*COS(RADIANS(80))+C8*COS(RADIANS(D8)),"")</f>
        <v>4845.96646886421</v>
      </c>
      <c r="M44" s="88" t="n">
        <f aca="false">IF(1_DATOS!C47&gt;=1,1_DATOS!C7*2025.4*SIN(RADIANS(80))+C9*SIN(RADIANS(D9)),"")</f>
        <v>23051.6719989279</v>
      </c>
      <c r="N44" s="88" t="n">
        <f aca="false">IF(1_DATOS!C47&gt;=1,1_DATOS!C7*2025.4*COS(RADIANS(80))+C9*COS(RADIANS(D9)),"")</f>
        <v>3336.60075207603</v>
      </c>
      <c r="O44" s="88" t="n">
        <f aca="false">IF(1_DATOS!C47&gt;=2,1_DATOS!C7*2025.4*SIN(RADIANS(80))+C10*SIN(RADIANS(D10)),"")</f>
        <v>23051.6719989279</v>
      </c>
      <c r="P44" s="88" t="n">
        <f aca="false">IF(1_DATOS!C47&gt;=2,1_DATOS!C7*2025.4*COS(RADIANS(80))+C10*COS(RADIANS(D10)),"")</f>
        <v>5104.3677050424</v>
      </c>
      <c r="Q44" s="88" t="str">
        <f aca="false">IF(1_DATOS!C47&gt;=3,1_DATOS!C7*2025.4*SIN(RADIANS(80))+C11*SIN(RADIANS(D11)),"")</f>
        <v/>
      </c>
      <c r="R44" s="88" t="str">
        <f aca="false">IF(1_DATOS!C47&gt;=3,1_DATOS!C7*2025.4*COS(RADIANS(80))+C11*COS(RADIANS(D11)),"")</f>
        <v/>
      </c>
    </row>
    <row r="45" customFormat="false" ht="9.75" hidden="false" customHeight="true" outlineLevel="0" collapsed="false">
      <c r="B45" s="87" t="n">
        <v>85</v>
      </c>
      <c r="C45" s="88" t="n">
        <f aca="false">500*SIN(RADIANS(85))</f>
        <v>498.097349045873</v>
      </c>
      <c r="D45" s="88" t="n">
        <f aca="false">500*COS(RADIANS(85))</f>
        <v>43.5778713738292</v>
      </c>
      <c r="E45" s="88" t="n">
        <f aca="false">2000*SIN(RADIANS(85))</f>
        <v>1992.38939618349</v>
      </c>
      <c r="F45" s="88" t="n">
        <f aca="false">2000*COS(RADIANS(85))</f>
        <v>174.311485495317</v>
      </c>
      <c r="G45" s="88" t="n">
        <f aca="false">5000*SIN(RADIANS(85))</f>
        <v>4980.97349045873</v>
      </c>
      <c r="H45" s="88" t="n">
        <f aca="false">5000*COS(RADIANS(85))</f>
        <v>435.778713738292</v>
      </c>
      <c r="I45" s="88" t="n">
        <f aca="false">IF(1_DATOS!C46&gt;=1,1_DATOS!C5*2025.4*SIN(RADIANS(85))+C7*SIN(RADIANS(D7)),"")</f>
        <v>50442.3185378755</v>
      </c>
      <c r="J45" s="88" t="n">
        <f aca="false">IF(1_DATOS!C46&gt;=1,1_DATOS!C5*2025.4*COS(RADIANS(85))+C7*COS(RADIANS(D7)),"")</f>
        <v>913.131034027681</v>
      </c>
      <c r="K45" s="88" t="n">
        <f aca="false">IF(1_DATOS!C46&gt;=2,1_DATOS!C5*2025.4*SIN(RADIANS(85))+C8*SIN(RADIANS(D8)),"")</f>
        <v>51878.8031398433</v>
      </c>
      <c r="L45" s="88" t="n">
        <f aca="false">IF(1_DATOS!C46&gt;=2,1_DATOS!C5*2025.4*COS(RADIANS(85))+C8*COS(RADIANS(D8)),"")</f>
        <v>466.422026726867</v>
      </c>
      <c r="M45" s="88" t="n">
        <f aca="false">IF(1_DATOS!C47&gt;=1,1_DATOS!C7*2025.4*SIN(RADIANS(85))+C9*SIN(RADIANS(D9)),"")</f>
        <v>23328.4294216971</v>
      </c>
      <c r="N45" s="88" t="n">
        <f aca="false">IF(1_DATOS!C47&gt;=1,1_DATOS!C7*2025.4*COS(RADIANS(85))+C9*COS(RADIANS(D9)),"")</f>
        <v>1234.4194198501</v>
      </c>
      <c r="O45" s="88" t="n">
        <f aca="false">IF(1_DATOS!C47&gt;=2,1_DATOS!C7*2025.4*SIN(RADIANS(85))+C10*SIN(RADIANS(D10)),"")</f>
        <v>23328.4294216971</v>
      </c>
      <c r="P45" s="88" t="n">
        <f aca="false">IF(1_DATOS!C47&gt;=2,1_DATOS!C7*2025.4*COS(RADIANS(85))+C10*COS(RADIANS(D10)),"")</f>
        <v>3002.18637281647</v>
      </c>
      <c r="Q45" s="88" t="str">
        <f aca="false">IF(1_DATOS!C47&gt;=3,1_DATOS!C7*2025.4*SIN(RADIANS(85))+C11*SIN(RADIANS(D11)),"")</f>
        <v/>
      </c>
      <c r="R45" s="88" t="str">
        <f aca="false">IF(1_DATOS!C47&gt;=3,1_DATOS!C7*2025.4*COS(RADIANS(85))+C11*COS(RADIANS(D11)),"")</f>
        <v/>
      </c>
    </row>
    <row r="46" customFormat="false" ht="9.75" hidden="false" customHeight="true" outlineLevel="0" collapsed="false">
      <c r="B46" s="87" t="n">
        <v>90</v>
      </c>
      <c r="C46" s="88" t="n">
        <f aca="false">500*SIN(RADIANS(90))</f>
        <v>500</v>
      </c>
      <c r="D46" s="88" t="n">
        <f aca="false">500*COS(RADIANS(90))</f>
        <v>3.06161699786838E-014</v>
      </c>
      <c r="E46" s="88" t="n">
        <f aca="false">2000*SIN(RADIANS(90))</f>
        <v>2000</v>
      </c>
      <c r="F46" s="88" t="n">
        <f aca="false">2000*COS(RADIANS(90))</f>
        <v>1.22464679914735E-013</v>
      </c>
      <c r="G46" s="88" t="n">
        <f aca="false">5000*SIN(RADIANS(90))</f>
        <v>5000</v>
      </c>
      <c r="H46" s="88" t="n">
        <f aca="false">5000*COS(RADIANS(90))</f>
        <v>3.06161699786838E-013</v>
      </c>
      <c r="I46" s="88" t="n">
        <f aca="false">IF(1_DATOS!C46&gt;=1,1_DATOS!C5*2025.4*SIN(RADIANS(90))+C7*SIN(RADIANS(D7)),"")</f>
        <v>50635</v>
      </c>
      <c r="J46" s="88" t="n">
        <f aca="false">IF(1_DATOS!C46&gt;=1,1_DATOS!C5*2025.4*COS(RADIANS(90))+C7*COS(RADIANS(D7)),"")</f>
        <v>-3500</v>
      </c>
      <c r="K46" s="88" t="n">
        <f aca="false">IF(1_DATOS!C46&gt;=2,1_DATOS!C5*2025.4*SIN(RADIANS(90))+C8*SIN(RADIANS(D8)),"")</f>
        <v>52071.4846019678</v>
      </c>
      <c r="L46" s="88" t="n">
        <f aca="false">IF(1_DATOS!C46&gt;=2,1_DATOS!C5*2025.4*COS(RADIANS(90))+C8*COS(RADIANS(D8)),"")</f>
        <v>-3946.70900730081</v>
      </c>
      <c r="M46" s="88" t="n">
        <f aca="false">IF(1_DATOS!C47&gt;=1,1_DATOS!C7*2025.4*SIN(RADIANS(90))+C9*SIN(RADIANS(D9)),"")</f>
        <v>23420.9165235168</v>
      </c>
      <c r="N46" s="88" t="n">
        <f aca="false">IF(1_DATOS!C47&gt;=1,1_DATOS!C7*2025.4*COS(RADIANS(90))+C9*COS(RADIANS(D9)),"")</f>
        <v>-883.883476483183</v>
      </c>
      <c r="O46" s="88" t="n">
        <f aca="false">IF(1_DATOS!C47&gt;=2,1_DATOS!C7*2025.4*SIN(RADIANS(90))+C10*SIN(RADIANS(D10)),"")</f>
        <v>23420.9165235168</v>
      </c>
      <c r="P46" s="88" t="n">
        <f aca="false">IF(1_DATOS!C47&gt;=2,1_DATOS!C7*2025.4*COS(RADIANS(90))+C10*COS(RADIANS(D10)),"")</f>
        <v>883.883476483186</v>
      </c>
      <c r="Q46" s="88" t="str">
        <f aca="false">IF(1_DATOS!C47&gt;=3,1_DATOS!C7*2025.4*SIN(RADIANS(90))+C11*SIN(RADIANS(D11)),"")</f>
        <v/>
      </c>
      <c r="R46" s="88" t="str">
        <f aca="false">IF(1_DATOS!C47&gt;=3,1_DATOS!C7*2025.4*COS(RADIANS(90))+C11*COS(RADIANS(D11)),"")</f>
        <v/>
      </c>
    </row>
    <row r="47" customFormat="false" ht="9.75" hidden="false" customHeight="true" outlineLevel="0" collapsed="false">
      <c r="B47" s="87" t="n">
        <v>95</v>
      </c>
      <c r="C47" s="88" t="n">
        <f aca="false">500*SIN(RADIANS(95))</f>
        <v>498.097349045873</v>
      </c>
      <c r="D47" s="88" t="n">
        <f aca="false">500*COS(RADIANS(95))</f>
        <v>-43.5778713738291</v>
      </c>
      <c r="E47" s="88" t="n">
        <f aca="false">2000*SIN(RADIANS(95))</f>
        <v>1992.38939618349</v>
      </c>
      <c r="F47" s="88" t="n">
        <f aca="false">2000*COS(RADIANS(95))</f>
        <v>-174.311485495316</v>
      </c>
      <c r="G47" s="88" t="n">
        <f aca="false">5000*SIN(RADIANS(95))</f>
        <v>4980.97349045873</v>
      </c>
      <c r="H47" s="88" t="n">
        <f aca="false">5000*COS(RADIANS(95))</f>
        <v>-435.778713738291</v>
      </c>
      <c r="I47" s="88" t="n">
        <f aca="false">IF(1_DATOS!C46&gt;=1,1_DATOS!C5*2025.4*SIN(RADIANS(95))+C7*SIN(RADIANS(D7)),"")</f>
        <v>50442.3185378755</v>
      </c>
      <c r="J47" s="88" t="n">
        <f aca="false">IF(1_DATOS!C46&gt;=1,1_DATOS!C5*2025.4*COS(RADIANS(95))+C7*COS(RADIANS(D7)),"")</f>
        <v>-7913.13103402768</v>
      </c>
      <c r="K47" s="88" t="n">
        <f aca="false">IF(1_DATOS!C46&gt;=2,1_DATOS!C5*2025.4*SIN(RADIANS(95))+C8*SIN(RADIANS(D8)),"")</f>
        <v>51878.8031398433</v>
      </c>
      <c r="L47" s="88" t="n">
        <f aca="false">IF(1_DATOS!C46&gt;=2,1_DATOS!C5*2025.4*COS(RADIANS(95))+C8*COS(RADIANS(D8)),"")</f>
        <v>-8359.84004132849</v>
      </c>
      <c r="M47" s="88" t="n">
        <f aca="false">IF(1_DATOS!C47&gt;=1,1_DATOS!C7*2025.4*SIN(RADIANS(95))+C9*SIN(RADIANS(D9)),"")</f>
        <v>23328.4294216971</v>
      </c>
      <c r="N47" s="88" t="n">
        <f aca="false">IF(1_DATOS!C47&gt;=1,1_DATOS!C7*2025.4*COS(RADIANS(95))+C9*COS(RADIANS(D9)),"")</f>
        <v>-3002.18637281647</v>
      </c>
      <c r="O47" s="88" t="n">
        <f aca="false">IF(1_DATOS!C47&gt;=2,1_DATOS!C7*2025.4*SIN(RADIANS(95))+C10*SIN(RADIANS(D10)),"")</f>
        <v>23328.4294216971</v>
      </c>
      <c r="P47" s="88" t="n">
        <f aca="false">IF(1_DATOS!C47&gt;=2,1_DATOS!C7*2025.4*COS(RADIANS(95))+C10*COS(RADIANS(D10)),"")</f>
        <v>-1234.4194198501</v>
      </c>
      <c r="Q47" s="88" t="str">
        <f aca="false">IF(1_DATOS!C47&gt;=3,1_DATOS!C7*2025.4*SIN(RADIANS(95))+C11*SIN(RADIANS(D11)),"")</f>
        <v/>
      </c>
      <c r="R47" s="88" t="str">
        <f aca="false">IF(1_DATOS!C47&gt;=3,1_DATOS!C7*2025.4*COS(RADIANS(95))+C11*COS(RADIANS(D11)),"")</f>
        <v/>
      </c>
    </row>
    <row r="48" customFormat="false" ht="9.75" hidden="false" customHeight="true" outlineLevel="0" collapsed="false">
      <c r="B48" s="87" t="n">
        <v>100</v>
      </c>
      <c r="C48" s="88" t="n">
        <f aca="false">500*SIN(RADIANS(100))</f>
        <v>492.403876506104</v>
      </c>
      <c r="D48" s="88" t="n">
        <f aca="false">500*COS(RADIANS(100))</f>
        <v>-86.8240888334652</v>
      </c>
      <c r="E48" s="88" t="n">
        <f aca="false">2000*SIN(RADIANS(100))</f>
        <v>1969.61550602442</v>
      </c>
      <c r="F48" s="88" t="n">
        <f aca="false">2000*COS(RADIANS(100))</f>
        <v>-347.296355333861</v>
      </c>
      <c r="G48" s="88" t="n">
        <f aca="false">5000*SIN(RADIANS(100))</f>
        <v>4924.03876506104</v>
      </c>
      <c r="H48" s="88" t="n">
        <f aca="false">5000*COS(RADIANS(100))</f>
        <v>-868.240888334652</v>
      </c>
      <c r="I48" s="88" t="n">
        <f aca="false">IF(1_DATOS!C46&gt;=1,1_DATOS!C5*2025.4*SIN(RADIANS(100))+C7*SIN(RADIANS(D7)),"")</f>
        <v>49865.7405737732</v>
      </c>
      <c r="J48" s="88" t="n">
        <f aca="false">IF(1_DATOS!C46&gt;=1,1_DATOS!C5*2025.4*COS(RADIANS(100))+C7*COS(RADIANS(D7)),"")</f>
        <v>-12292.675476165</v>
      </c>
      <c r="K48" s="88" t="n">
        <f aca="false">IF(1_DATOS!C46&gt;=2,1_DATOS!C5*2025.4*SIN(RADIANS(100))+C8*SIN(RADIANS(D8)),"")</f>
        <v>51302.225175741</v>
      </c>
      <c r="L48" s="88" t="n">
        <f aca="false">IF(1_DATOS!C46&gt;=2,1_DATOS!C5*2025.4*COS(RADIANS(100))+C8*COS(RADIANS(D8)),"")</f>
        <v>-12739.3844834658</v>
      </c>
      <c r="M48" s="88" t="n">
        <f aca="false">IF(1_DATOS!C47&gt;=1,1_DATOS!C7*2025.4*SIN(RADIANS(100))+C9*SIN(RADIANS(D9)),"")</f>
        <v>23051.6719989279</v>
      </c>
      <c r="N48" s="88" t="n">
        <f aca="false">IF(1_DATOS!C47&gt;=1,1_DATOS!C7*2025.4*COS(RADIANS(100))+C9*COS(RADIANS(D9)),"")</f>
        <v>-5104.36770504239</v>
      </c>
      <c r="O48" s="88" t="n">
        <f aca="false">IF(1_DATOS!C47&gt;=2,1_DATOS!C7*2025.4*SIN(RADIANS(100))+C10*SIN(RADIANS(D10)),"")</f>
        <v>23051.6719989279</v>
      </c>
      <c r="P48" s="88" t="n">
        <f aca="false">IF(1_DATOS!C47&gt;=2,1_DATOS!C7*2025.4*COS(RADIANS(100))+C10*COS(RADIANS(D10)),"")</f>
        <v>-3336.60075207602</v>
      </c>
      <c r="Q48" s="88" t="str">
        <f aca="false">IF(1_DATOS!C47&gt;=3,1_DATOS!C7*2025.4*SIN(RADIANS(100))+C11*SIN(RADIANS(D11)),"")</f>
        <v/>
      </c>
      <c r="R48" s="88" t="str">
        <f aca="false">IF(1_DATOS!C47&gt;=3,1_DATOS!C7*2025.4*COS(RADIANS(100))+C11*COS(RADIANS(D11)),"")</f>
        <v/>
      </c>
    </row>
    <row r="49" customFormat="false" ht="9.75" hidden="false" customHeight="true" outlineLevel="0" collapsed="false">
      <c r="B49" s="87" t="n">
        <v>105</v>
      </c>
      <c r="C49" s="88" t="n">
        <f aca="false">500*SIN(RADIANS(105))</f>
        <v>482.962913144534</v>
      </c>
      <c r="D49" s="88" t="n">
        <f aca="false">500*COS(RADIANS(105))</f>
        <v>-129.40952255126</v>
      </c>
      <c r="E49" s="88" t="n">
        <f aca="false">2000*SIN(RADIANS(105))</f>
        <v>1931.85165257814</v>
      </c>
      <c r="F49" s="88" t="n">
        <f aca="false">2000*COS(RADIANS(105))</f>
        <v>-517.638090205042</v>
      </c>
      <c r="G49" s="88" t="n">
        <f aca="false">5000*SIN(RADIANS(105))</f>
        <v>4829.62913144534</v>
      </c>
      <c r="H49" s="88" t="n">
        <f aca="false">5000*COS(RADIANS(105))</f>
        <v>-1294.0952255126</v>
      </c>
      <c r="I49" s="88" t="n">
        <f aca="false">IF(1_DATOS!C46&gt;=1,1_DATOS!C5*2025.4*SIN(RADIANS(105))+C7*SIN(RADIANS(D7)),"")</f>
        <v>48909.654214147</v>
      </c>
      <c r="J49" s="88" t="n">
        <f aca="false">IF(1_DATOS!C46&gt;=1,1_DATOS!C5*2025.4*COS(RADIANS(105))+C7*COS(RADIANS(D7)),"")</f>
        <v>-16605.3023487661</v>
      </c>
      <c r="K49" s="88" t="n">
        <f aca="false">IF(1_DATOS!C46&gt;=2,1_DATOS!C5*2025.4*SIN(RADIANS(105))+C8*SIN(RADIANS(D8)),"")</f>
        <v>50346.1388161148</v>
      </c>
      <c r="L49" s="88" t="n">
        <f aca="false">IF(1_DATOS!C46&gt;=2,1_DATOS!C5*2025.4*COS(RADIANS(105))+C8*COS(RADIANS(D8)),"")</f>
        <v>-17052.011356067</v>
      </c>
      <c r="M49" s="88" t="n">
        <f aca="false">IF(1_DATOS!C47&gt;=1,1_DATOS!C7*2025.4*SIN(RADIANS(105))+C9*SIN(RADIANS(D9)),"")</f>
        <v>22592.7505463074</v>
      </c>
      <c r="N49" s="88" t="n">
        <f aca="false">IF(1_DATOS!C47&gt;=1,1_DATOS!C7*2025.4*COS(RADIANS(105))+C9*COS(RADIANS(D9)),"")</f>
        <v>-7174.42860389093</v>
      </c>
      <c r="O49" s="88" t="n">
        <f aca="false">IF(1_DATOS!C47&gt;=2,1_DATOS!C7*2025.4*SIN(RADIANS(105))+C10*SIN(RADIANS(D10)),"")</f>
        <v>22592.7505463074</v>
      </c>
      <c r="P49" s="88" t="n">
        <f aca="false">IF(1_DATOS!C47&gt;=2,1_DATOS!C7*2025.4*COS(RADIANS(105))+C10*COS(RADIANS(D10)),"")</f>
        <v>-5406.66165092457</v>
      </c>
      <c r="Q49" s="88" t="str">
        <f aca="false">IF(1_DATOS!C47&gt;=3,1_DATOS!C7*2025.4*SIN(RADIANS(105))+C11*SIN(RADIANS(D11)),"")</f>
        <v/>
      </c>
      <c r="R49" s="88" t="str">
        <f aca="false">IF(1_DATOS!C47&gt;=3,1_DATOS!C7*2025.4*COS(RADIANS(105))+C11*COS(RADIANS(D11)),"")</f>
        <v/>
      </c>
    </row>
    <row r="50" customFormat="false" ht="9.75" hidden="false" customHeight="true" outlineLevel="0" collapsed="false">
      <c r="B50" s="87" t="n">
        <v>110</v>
      </c>
      <c r="C50" s="88" t="n">
        <f aca="false">500*SIN(RADIANS(110))</f>
        <v>469.846310392954</v>
      </c>
      <c r="D50" s="88" t="n">
        <f aca="false">500*COS(RADIANS(110))</f>
        <v>-171.010071662834</v>
      </c>
      <c r="E50" s="88" t="n">
        <f aca="false">2000*SIN(RADIANS(110))</f>
        <v>1879.38524157182</v>
      </c>
      <c r="F50" s="88" t="n">
        <f aca="false">2000*COS(RADIANS(110))</f>
        <v>-684.040286651337</v>
      </c>
      <c r="G50" s="88" t="n">
        <f aca="false">5000*SIN(RADIANS(110))</f>
        <v>4698.46310392954</v>
      </c>
      <c r="H50" s="88" t="n">
        <f aca="false">5000*COS(RADIANS(110))</f>
        <v>-1710.10071662834</v>
      </c>
      <c r="I50" s="88" t="n">
        <f aca="false">IF(1_DATOS!C46&gt;=1,1_DATOS!C5*2025.4*SIN(RADIANS(110))+C7*SIN(RADIANS(D7)),"")</f>
        <v>47581.3358534945</v>
      </c>
      <c r="J50" s="88" t="n">
        <f aca="false">IF(1_DATOS!C46&gt;=1,1_DATOS!C5*2025.4*COS(RADIANS(110))+C7*COS(RADIANS(D7)),"")</f>
        <v>-20818.1899572952</v>
      </c>
      <c r="K50" s="88" t="n">
        <f aca="false">IF(1_DATOS!C46&gt;=2,1_DATOS!C5*2025.4*SIN(RADIANS(110))+C8*SIN(RADIANS(D8)),"")</f>
        <v>49017.8204554623</v>
      </c>
      <c r="L50" s="88" t="n">
        <f aca="false">IF(1_DATOS!C46&gt;=2,1_DATOS!C5*2025.4*COS(RADIANS(110))+C8*COS(RADIANS(D8)),"")</f>
        <v>-21264.8989645961</v>
      </c>
      <c r="M50" s="88" t="n">
        <f aca="false">IF(1_DATOS!C47&gt;=1,1_DATOS!C7*2025.4*SIN(RADIANS(110))+C9*SIN(RADIANS(D9)),"")</f>
        <v>21955.1577331942</v>
      </c>
      <c r="N50" s="88" t="n">
        <f aca="false">IF(1_DATOS!C47&gt;=1,1_DATOS!C7*2025.4*COS(RADIANS(110))+C9*COS(RADIANS(D9)),"")</f>
        <v>-9196.6146559849</v>
      </c>
      <c r="O50" s="88" t="n">
        <f aca="false">IF(1_DATOS!C47&gt;=2,1_DATOS!C7*2025.4*SIN(RADIANS(110))+C10*SIN(RADIANS(D10)),"")</f>
        <v>21955.1577331942</v>
      </c>
      <c r="P50" s="88" t="n">
        <f aca="false">IF(1_DATOS!C47&gt;=2,1_DATOS!C7*2025.4*COS(RADIANS(110))+C10*COS(RADIANS(D10)),"")</f>
        <v>-7428.84770301853</v>
      </c>
      <c r="Q50" s="88" t="str">
        <f aca="false">IF(1_DATOS!C47&gt;=3,1_DATOS!C7*2025.4*SIN(RADIANS(110))+C11*SIN(RADIANS(D11)),"")</f>
        <v/>
      </c>
      <c r="R50" s="88" t="str">
        <f aca="false">IF(1_DATOS!C47&gt;=3,1_DATOS!C7*2025.4*COS(RADIANS(110))+C11*COS(RADIANS(D11)),"")</f>
        <v/>
      </c>
    </row>
    <row r="51" customFormat="false" ht="9.75" hidden="false" customHeight="true" outlineLevel="0" collapsed="false">
      <c r="B51" s="87" t="n">
        <v>115</v>
      </c>
      <c r="C51" s="88" t="n">
        <f aca="false">500*SIN(RADIANS(115))</f>
        <v>453.153893518325</v>
      </c>
      <c r="D51" s="88" t="n">
        <f aca="false">500*COS(RADIANS(115))</f>
        <v>-211.30913087035</v>
      </c>
      <c r="E51" s="88" t="n">
        <f aca="false">2000*SIN(RADIANS(115))</f>
        <v>1812.6155740733</v>
      </c>
      <c r="F51" s="88" t="n">
        <f aca="false">2000*COS(RADIANS(115))</f>
        <v>-845.236523481399</v>
      </c>
      <c r="G51" s="88" t="n">
        <f aca="false">5000*SIN(RADIANS(115))</f>
        <v>4531.53893518325</v>
      </c>
      <c r="H51" s="88" t="n">
        <f aca="false">5000*COS(RADIANS(115))</f>
        <v>-2113.0913087035</v>
      </c>
      <c r="I51" s="88" t="n">
        <f aca="false">IF(1_DATOS!C46&gt;=1,1_DATOS!C5*2025.4*SIN(RADIANS(115))+C7*SIN(RADIANS(D7)),"")</f>
        <v>45890.8947966008</v>
      </c>
      <c r="J51" s="88" t="n">
        <f aca="false">IF(1_DATOS!C46&gt;=1,1_DATOS!C5*2025.4*COS(RADIANS(115))+C7*COS(RADIANS(D7)),"")</f>
        <v>-24899.2756832403</v>
      </c>
      <c r="K51" s="88" t="n">
        <f aca="false">IF(1_DATOS!C46&gt;=2,1_DATOS!C5*2025.4*SIN(RADIANS(115))+C8*SIN(RADIANS(D8)),"")</f>
        <v>47327.3793985686</v>
      </c>
      <c r="L51" s="88" t="n">
        <f aca="false">IF(1_DATOS!C46&gt;=2,1_DATOS!C5*2025.4*COS(RADIANS(115))+C8*COS(RADIANS(D8)),"")</f>
        <v>-25345.9846905411</v>
      </c>
      <c r="M51" s="88" t="n">
        <f aca="false">IF(1_DATOS!C47&gt;=1,1_DATOS!C7*2025.4*SIN(RADIANS(115))+C9*SIN(RADIANS(D9)),"")</f>
        <v>21143.7460258852</v>
      </c>
      <c r="N51" s="88" t="n">
        <f aca="false">IF(1_DATOS!C47&gt;=1,1_DATOS!C7*2025.4*COS(RADIANS(115))+C9*COS(RADIANS(D9)),"")</f>
        <v>-11155.5358044385</v>
      </c>
      <c r="O51" s="88" t="n">
        <f aca="false">IF(1_DATOS!C47&gt;=2,1_DATOS!C7*2025.4*SIN(RADIANS(115))+C10*SIN(RADIANS(D10)),"")</f>
        <v>21143.7460258852</v>
      </c>
      <c r="P51" s="88" t="n">
        <f aca="false">IF(1_DATOS!C47&gt;=2,1_DATOS!C7*2025.4*COS(RADIANS(115))+C10*COS(RADIANS(D10)),"")</f>
        <v>-9387.76885147217</v>
      </c>
      <c r="Q51" s="88" t="str">
        <f aca="false">IF(1_DATOS!C47&gt;=3,1_DATOS!C7*2025.4*SIN(RADIANS(115))+C11*SIN(RADIANS(D11)),"")</f>
        <v/>
      </c>
      <c r="R51" s="88" t="str">
        <f aca="false">IF(1_DATOS!C47&gt;=3,1_DATOS!C7*2025.4*COS(RADIANS(115))+C11*COS(RADIANS(D11)),"")</f>
        <v/>
      </c>
    </row>
    <row r="52" customFormat="false" ht="9.75" hidden="false" customHeight="true" outlineLevel="0" collapsed="false">
      <c r="B52" s="87" t="n">
        <v>120</v>
      </c>
      <c r="C52" s="88" t="n">
        <f aca="false">500*SIN(RADIANS(120))</f>
        <v>433.012701892219</v>
      </c>
      <c r="D52" s="88" t="n">
        <f aca="false">500*COS(RADIANS(120))</f>
        <v>-250</v>
      </c>
      <c r="E52" s="88" t="n">
        <f aca="false">2000*SIN(RADIANS(120))</f>
        <v>1732.05080756888</v>
      </c>
      <c r="F52" s="88" t="n">
        <f aca="false">2000*COS(RADIANS(120))</f>
        <v>-1000</v>
      </c>
      <c r="G52" s="88" t="n">
        <f aca="false">5000*SIN(RADIANS(120))</f>
        <v>4330.12701892219</v>
      </c>
      <c r="H52" s="88" t="n">
        <f aca="false">5000*COS(RADIANS(120))</f>
        <v>-2500</v>
      </c>
      <c r="I52" s="88" t="n">
        <f aca="false">IF(1_DATOS!C46&gt;=1,1_DATOS!C5*2025.4*SIN(RADIANS(120))+C7*SIN(RADIANS(D7)),"")</f>
        <v>43851.1963206251</v>
      </c>
      <c r="J52" s="88" t="n">
        <f aca="false">IF(1_DATOS!C46&gt;=1,1_DATOS!C5*2025.4*COS(RADIANS(120))+C7*COS(RADIANS(D7)),"")</f>
        <v>-28817.5</v>
      </c>
      <c r="K52" s="88" t="n">
        <f aca="false">IF(1_DATOS!C46&gt;=2,1_DATOS!C5*2025.4*SIN(RADIANS(120))+C8*SIN(RADIANS(D8)),"")</f>
        <v>45287.6809225929</v>
      </c>
      <c r="L52" s="88" t="n">
        <f aca="false">IF(1_DATOS!C46&gt;=2,1_DATOS!C5*2025.4*COS(RADIANS(120))+C8*COS(RADIANS(D8)),"")</f>
        <v>-29264.2090073008</v>
      </c>
      <c r="M52" s="88" t="n">
        <f aca="false">IF(1_DATOS!C47&gt;=1,1_DATOS!C7*2025.4*SIN(RADIANS(120))+C9*SIN(RADIANS(D9)),"")</f>
        <v>20164.6907574168</v>
      </c>
      <c r="N52" s="88" t="n">
        <f aca="false">IF(1_DATOS!C47&gt;=1,1_DATOS!C7*2025.4*COS(RADIANS(120))+C9*COS(RADIANS(D9)),"")</f>
        <v>-13036.2834764832</v>
      </c>
      <c r="O52" s="88" t="n">
        <f aca="false">IF(1_DATOS!C47&gt;=2,1_DATOS!C7*2025.4*SIN(RADIANS(120))+C10*SIN(RADIANS(D10)),"")</f>
        <v>20164.6907574168</v>
      </c>
      <c r="P52" s="88" t="n">
        <f aca="false">IF(1_DATOS!C47&gt;=2,1_DATOS!C7*2025.4*COS(RADIANS(120))+C10*COS(RADIANS(D10)),"")</f>
        <v>-11268.5165235168</v>
      </c>
      <c r="Q52" s="88" t="str">
        <f aca="false">IF(1_DATOS!C47&gt;=3,1_DATOS!C7*2025.4*SIN(RADIANS(120))+C11*SIN(RADIANS(D11)),"")</f>
        <v/>
      </c>
      <c r="R52" s="88" t="str">
        <f aca="false">IF(1_DATOS!C47&gt;=3,1_DATOS!C7*2025.4*COS(RADIANS(120))+C11*COS(RADIANS(D11)),"")</f>
        <v/>
      </c>
    </row>
    <row r="53" customFormat="false" ht="9.75" hidden="false" customHeight="true" outlineLevel="0" collapsed="false">
      <c r="B53" s="87" t="n">
        <v>125</v>
      </c>
      <c r="C53" s="88" t="n">
        <f aca="false">500*SIN(RADIANS(125))</f>
        <v>409.576022144496</v>
      </c>
      <c r="D53" s="88" t="n">
        <f aca="false">500*COS(RADIANS(125))</f>
        <v>-286.788218175523</v>
      </c>
      <c r="E53" s="88" t="n">
        <f aca="false">2000*SIN(RADIANS(125))</f>
        <v>1638.30408857798</v>
      </c>
      <c r="F53" s="88" t="n">
        <f aca="false">2000*COS(RADIANS(125))</f>
        <v>-1147.15287270209</v>
      </c>
      <c r="G53" s="88" t="n">
        <f aca="false">5000*SIN(RADIANS(125))</f>
        <v>4095.76022144496</v>
      </c>
      <c r="H53" s="88" t="n">
        <f aca="false">5000*COS(RADIANS(125))</f>
        <v>-2867.88218175523</v>
      </c>
      <c r="I53" s="88" t="n">
        <f aca="false">IF(1_DATOS!C46&gt;=1,1_DATOS!C5*2025.4*SIN(RADIANS(125))+C7*SIN(RADIANS(D7)),"")</f>
        <v>41477.7637625731</v>
      </c>
      <c r="J53" s="88" t="n">
        <f aca="false">IF(1_DATOS!C46&gt;=1,1_DATOS!C5*2025.4*COS(RADIANS(125))+C7*COS(RADIANS(D7)),"")</f>
        <v>-32543.0428546352</v>
      </c>
      <c r="K53" s="88" t="n">
        <f aca="false">IF(1_DATOS!C46&gt;=2,1_DATOS!C5*2025.4*SIN(RADIANS(125))+C8*SIN(RADIANS(D8)),"")</f>
        <v>42914.2483645409</v>
      </c>
      <c r="L53" s="88" t="n">
        <f aca="false">IF(1_DATOS!C46&gt;=2,1_DATOS!C5*2025.4*COS(RADIANS(125))+C8*COS(RADIANS(D8)),"")</f>
        <v>-32989.751861936</v>
      </c>
      <c r="M53" s="88" t="n">
        <f aca="false">IF(1_DATOS!C47&gt;=1,1_DATOS!C7*2025.4*SIN(RADIANS(125))+C9*SIN(RADIANS(D9)),"")</f>
        <v>19025.4431295519</v>
      </c>
      <c r="N53" s="88" t="n">
        <f aca="false">IF(1_DATOS!C47&gt;=1,1_DATOS!C7*2025.4*COS(RADIANS(125))+C9*COS(RADIANS(D9)),"")</f>
        <v>-14824.5440467081</v>
      </c>
      <c r="O53" s="88" t="n">
        <f aca="false">IF(1_DATOS!C47&gt;=2,1_DATOS!C7*2025.4*SIN(RADIANS(125))+C10*SIN(RADIANS(D10)),"")</f>
        <v>19025.4431295519</v>
      </c>
      <c r="P53" s="88" t="n">
        <f aca="false">IF(1_DATOS!C47&gt;=2,1_DATOS!C7*2025.4*COS(RADIANS(125))+C10*COS(RADIANS(D10)),"")</f>
        <v>-13056.7770937417</v>
      </c>
      <c r="Q53" s="88" t="str">
        <f aca="false">IF(1_DATOS!C47&gt;=3,1_DATOS!C7*2025.4*SIN(RADIANS(125))+C11*SIN(RADIANS(D11)),"")</f>
        <v/>
      </c>
      <c r="R53" s="88" t="str">
        <f aca="false">IF(1_DATOS!C47&gt;=3,1_DATOS!C7*2025.4*COS(RADIANS(125))+C11*COS(RADIANS(D11)),"")</f>
        <v/>
      </c>
    </row>
    <row r="54" customFormat="false" ht="9.75" hidden="false" customHeight="true" outlineLevel="0" collapsed="false">
      <c r="B54" s="87" t="n">
        <v>130</v>
      </c>
      <c r="C54" s="88" t="n">
        <f aca="false">500*SIN(RADIANS(130))</f>
        <v>383.022221559489</v>
      </c>
      <c r="D54" s="88" t="n">
        <f aca="false">500*COS(RADIANS(130))</f>
        <v>-321.39380484327</v>
      </c>
      <c r="E54" s="88" t="n">
        <f aca="false">2000*SIN(RADIANS(130))</f>
        <v>1532.08888623796</v>
      </c>
      <c r="F54" s="88" t="n">
        <f aca="false">2000*COS(RADIANS(130))</f>
        <v>-1285.57521937308</v>
      </c>
      <c r="G54" s="88" t="n">
        <f aca="false">5000*SIN(RADIANS(130))</f>
        <v>3830.22221559489</v>
      </c>
      <c r="H54" s="88" t="n">
        <f aca="false">5000*COS(RADIANS(130))</f>
        <v>-3213.9380484327</v>
      </c>
      <c r="I54" s="88" t="n">
        <f aca="false">IF(1_DATOS!C46&gt;=1,1_DATOS!C5*2025.4*SIN(RADIANS(130))+C7*SIN(RADIANS(D7)),"")</f>
        <v>38788.6603773295</v>
      </c>
      <c r="J54" s="88" t="n">
        <f aca="false">IF(1_DATOS!C46&gt;=1,1_DATOS!C5*2025.4*COS(RADIANS(130))+C7*COS(RADIANS(D7)),"")</f>
        <v>-36047.5506164779</v>
      </c>
      <c r="K54" s="88" t="n">
        <f aca="false">IF(1_DATOS!C46&gt;=2,1_DATOS!C5*2025.4*SIN(RADIANS(130))+C8*SIN(RADIANS(D8)),"")</f>
        <v>40225.1449792973</v>
      </c>
      <c r="L54" s="88" t="n">
        <f aca="false">IF(1_DATOS!C46&gt;=2,1_DATOS!C5*2025.4*COS(RADIANS(130))+C8*COS(RADIANS(D8)),"")</f>
        <v>-36494.2596237787</v>
      </c>
      <c r="M54" s="88" t="n">
        <f aca="false">IF(1_DATOS!C47&gt;=1,1_DATOS!C7*2025.4*SIN(RADIANS(130))+C9*SIN(RADIANS(D9)),"")</f>
        <v>17734.673504635</v>
      </c>
      <c r="N54" s="88" t="n">
        <f aca="false">IF(1_DATOS!C47&gt;=1,1_DATOS!C7*2025.4*COS(RADIANS(130))+C9*COS(RADIANS(D9)),"")</f>
        <v>-16506.7077723926</v>
      </c>
      <c r="O54" s="88" t="n">
        <f aca="false">IF(1_DATOS!C47&gt;=2,1_DATOS!C7*2025.4*SIN(RADIANS(130))+C10*SIN(RADIANS(D10)),"")</f>
        <v>17734.673504635</v>
      </c>
      <c r="P54" s="88" t="n">
        <f aca="false">IF(1_DATOS!C47&gt;=2,1_DATOS!C7*2025.4*COS(RADIANS(130))+C10*COS(RADIANS(D10)),"")</f>
        <v>-14738.9408194262</v>
      </c>
      <c r="Q54" s="88" t="str">
        <f aca="false">IF(1_DATOS!C47&gt;=3,1_DATOS!C7*2025.4*SIN(RADIANS(130))+C11*SIN(RADIANS(D11)),"")</f>
        <v/>
      </c>
      <c r="R54" s="88" t="str">
        <f aca="false">IF(1_DATOS!C47&gt;=3,1_DATOS!C7*2025.4*COS(RADIANS(130))+C11*COS(RADIANS(D11)),"")</f>
        <v/>
      </c>
    </row>
    <row r="55" customFormat="false" ht="9.75" hidden="false" customHeight="true" outlineLevel="0" collapsed="false">
      <c r="B55" s="87" t="n">
        <v>135</v>
      </c>
      <c r="C55" s="88" t="n">
        <f aca="false">500*SIN(RADIANS(135))</f>
        <v>353.553390593274</v>
      </c>
      <c r="D55" s="88" t="n">
        <f aca="false">500*COS(RADIANS(135))</f>
        <v>-353.553390593274</v>
      </c>
      <c r="E55" s="88" t="n">
        <f aca="false">2000*SIN(RADIANS(135))</f>
        <v>1414.2135623731</v>
      </c>
      <c r="F55" s="88" t="n">
        <f aca="false">2000*COS(RADIANS(135))</f>
        <v>-1414.21356237309</v>
      </c>
      <c r="G55" s="88" t="n">
        <f aca="false">5000*SIN(RADIANS(135))</f>
        <v>3535.53390593274</v>
      </c>
      <c r="H55" s="88" t="n">
        <f aca="false">5000*COS(RADIANS(135))</f>
        <v>-3535.53390593274</v>
      </c>
      <c r="I55" s="88" t="n">
        <f aca="false">IF(1_DATOS!C46&gt;=1,1_DATOS!C5*2025.4*SIN(RADIANS(135))+C7*SIN(RADIANS(D7)),"")</f>
        <v>35804.3518653808</v>
      </c>
      <c r="J55" s="88" t="n">
        <f aca="false">IF(1_DATOS!C46&gt;=1,1_DATOS!C5*2025.4*COS(RADIANS(135))+C7*COS(RADIANS(D7)),"")</f>
        <v>-39304.3518653808</v>
      </c>
      <c r="K55" s="88" t="n">
        <f aca="false">IF(1_DATOS!C46&gt;=2,1_DATOS!C5*2025.4*SIN(RADIANS(135))+C8*SIN(RADIANS(D8)),"")</f>
        <v>37240.8364673486</v>
      </c>
      <c r="L55" s="88" t="n">
        <f aca="false">IF(1_DATOS!C46&gt;=2,1_DATOS!C5*2025.4*COS(RADIANS(135))+C8*COS(RADIANS(D8)),"")</f>
        <v>-39751.0608726816</v>
      </c>
      <c r="M55" s="88" t="n">
        <f aca="false">IF(1_DATOS!C47&gt;=1,1_DATOS!C7*2025.4*SIN(RADIANS(135))+C9*SIN(RADIANS(D9)),"")</f>
        <v>16302.2054188996</v>
      </c>
      <c r="N55" s="88" t="n">
        <f aca="false">IF(1_DATOS!C47&gt;=1,1_DATOS!C7*2025.4*COS(RADIANS(135))+C9*COS(RADIANS(D9)),"")</f>
        <v>-18069.972371866</v>
      </c>
      <c r="O55" s="88" t="n">
        <f aca="false">IF(1_DATOS!C47&gt;=2,1_DATOS!C7*2025.4*SIN(RADIANS(135))+C10*SIN(RADIANS(D10)),"")</f>
        <v>16302.2054188996</v>
      </c>
      <c r="P55" s="88" t="n">
        <f aca="false">IF(1_DATOS!C47&gt;=2,1_DATOS!C7*2025.4*COS(RADIANS(135))+C10*COS(RADIANS(D10)),"")</f>
        <v>-16302.2054188996</v>
      </c>
      <c r="Q55" s="88" t="str">
        <f aca="false">IF(1_DATOS!C47&gt;=3,1_DATOS!C7*2025.4*SIN(RADIANS(135))+C11*SIN(RADIANS(D11)),"")</f>
        <v/>
      </c>
      <c r="R55" s="88" t="str">
        <f aca="false">IF(1_DATOS!C47&gt;=3,1_DATOS!C7*2025.4*COS(RADIANS(135))+C11*COS(RADIANS(D11)),"")</f>
        <v/>
      </c>
    </row>
    <row r="56" customFormat="false" ht="9.75" hidden="false" customHeight="true" outlineLevel="0" collapsed="false">
      <c r="B56" s="87" t="n">
        <v>140</v>
      </c>
      <c r="C56" s="88" t="n">
        <f aca="false">500*SIN(RADIANS(140))</f>
        <v>321.39380484327</v>
      </c>
      <c r="D56" s="88" t="n">
        <f aca="false">500*COS(RADIANS(140))</f>
        <v>-383.022221559489</v>
      </c>
      <c r="E56" s="88" t="n">
        <f aca="false">2000*SIN(RADIANS(140))</f>
        <v>1285.57521937308</v>
      </c>
      <c r="F56" s="88" t="n">
        <f aca="false">2000*COS(RADIANS(140))</f>
        <v>-1532.08888623796</v>
      </c>
      <c r="G56" s="88" t="n">
        <f aca="false">5000*SIN(RADIANS(140))</f>
        <v>3213.9380484327</v>
      </c>
      <c r="H56" s="88" t="n">
        <f aca="false">5000*COS(RADIANS(140))</f>
        <v>-3830.22221559489</v>
      </c>
      <c r="I56" s="88" t="n">
        <f aca="false">IF(1_DATOS!C46&gt;=1,1_DATOS!C5*2025.4*SIN(RADIANS(140))+C7*SIN(RADIANS(D7)),"")</f>
        <v>32547.5506164779</v>
      </c>
      <c r="J56" s="88" t="n">
        <f aca="false">IF(1_DATOS!C46&gt;=1,1_DATOS!C5*2025.4*COS(RADIANS(140))+C7*COS(RADIANS(D7)),"")</f>
        <v>-42288.6603773295</v>
      </c>
      <c r="K56" s="88" t="n">
        <f aca="false">IF(1_DATOS!C46&gt;=2,1_DATOS!C5*2025.4*SIN(RADIANS(140))+C8*SIN(RADIANS(D8)),"")</f>
        <v>33984.0352184457</v>
      </c>
      <c r="L56" s="88" t="n">
        <f aca="false">IF(1_DATOS!C46&gt;=2,1_DATOS!C5*2025.4*COS(RADIANS(140))+C8*COS(RADIANS(D8)),"")</f>
        <v>-42735.3693846303</v>
      </c>
      <c r="M56" s="88" t="n">
        <f aca="false">IF(1_DATOS!C47&gt;=1,1_DATOS!C7*2025.4*SIN(RADIANS(140))+C9*SIN(RADIANS(D9)),"")</f>
        <v>14738.9408194262</v>
      </c>
      <c r="N56" s="88" t="n">
        <f aca="false">IF(1_DATOS!C47&gt;=1,1_DATOS!C7*2025.4*COS(RADIANS(140))+C9*COS(RADIANS(D9)),"")</f>
        <v>-19502.4404576013</v>
      </c>
      <c r="O56" s="88" t="n">
        <f aca="false">IF(1_DATOS!C47&gt;=2,1_DATOS!C7*2025.4*SIN(RADIANS(140))+C10*SIN(RADIANS(D10)),"")</f>
        <v>14738.9408194262</v>
      </c>
      <c r="P56" s="88" t="n">
        <f aca="false">IF(1_DATOS!C47&gt;=2,1_DATOS!C7*2025.4*COS(RADIANS(140))+C10*COS(RADIANS(D10)),"")</f>
        <v>-17734.673504635</v>
      </c>
      <c r="Q56" s="88" t="str">
        <f aca="false">IF(1_DATOS!C47&gt;=3,1_DATOS!C7*2025.4*SIN(RADIANS(140))+C11*SIN(RADIANS(D11)),"")</f>
        <v/>
      </c>
      <c r="R56" s="88" t="str">
        <f aca="false">IF(1_DATOS!C47&gt;=3,1_DATOS!C7*2025.4*COS(RADIANS(140))+C11*COS(RADIANS(D11)),"")</f>
        <v/>
      </c>
    </row>
    <row r="57" customFormat="false" ht="9.75" hidden="false" customHeight="true" outlineLevel="0" collapsed="false">
      <c r="B57" s="87" t="n">
        <v>145</v>
      </c>
      <c r="C57" s="88" t="n">
        <f aca="false">500*SIN(RADIANS(145))</f>
        <v>286.788218175523</v>
      </c>
      <c r="D57" s="88" t="n">
        <f aca="false">500*COS(RADIANS(145))</f>
        <v>-409.576022144496</v>
      </c>
      <c r="E57" s="88" t="n">
        <f aca="false">2000*SIN(RADIANS(145))</f>
        <v>1147.15287270209</v>
      </c>
      <c r="F57" s="88" t="n">
        <f aca="false">2000*COS(RADIANS(145))</f>
        <v>-1638.30408857798</v>
      </c>
      <c r="G57" s="88" t="n">
        <f aca="false">5000*SIN(RADIANS(145))</f>
        <v>2867.88218175523</v>
      </c>
      <c r="H57" s="88" t="n">
        <f aca="false">5000*COS(RADIANS(145))</f>
        <v>-4095.76022144496</v>
      </c>
      <c r="I57" s="88" t="n">
        <f aca="false">IF(1_DATOS!C46&gt;=1,1_DATOS!C5*2025.4*SIN(RADIANS(145))+C7*SIN(RADIANS(D7)),"")</f>
        <v>29043.0428546352</v>
      </c>
      <c r="J57" s="88" t="n">
        <f aca="false">IF(1_DATOS!C46&gt;=1,1_DATOS!C5*2025.4*COS(RADIANS(145))+C7*COS(RADIANS(D7)),"")</f>
        <v>-44977.7637625731</v>
      </c>
      <c r="K57" s="88" t="n">
        <f aca="false">IF(1_DATOS!C46&gt;=2,1_DATOS!C5*2025.4*SIN(RADIANS(145))+C8*SIN(RADIANS(D8)),"")</f>
        <v>30479.527456603</v>
      </c>
      <c r="L57" s="88" t="n">
        <f aca="false">IF(1_DATOS!C46&gt;=2,1_DATOS!C5*2025.4*COS(RADIANS(145))+C8*COS(RADIANS(D8)),"")</f>
        <v>-45424.4727698739</v>
      </c>
      <c r="M57" s="88" t="n">
        <f aca="false">IF(1_DATOS!C47&gt;=1,1_DATOS!C7*2025.4*SIN(RADIANS(145))+C9*SIN(RADIANS(D9)),"")</f>
        <v>13056.7770937417</v>
      </c>
      <c r="N57" s="88" t="n">
        <f aca="false">IF(1_DATOS!C47&gt;=1,1_DATOS!C7*2025.4*COS(RADIANS(145))+C9*COS(RADIANS(D9)),"")</f>
        <v>-20793.2100825183</v>
      </c>
      <c r="O57" s="88" t="n">
        <f aca="false">IF(1_DATOS!C47&gt;=2,1_DATOS!C7*2025.4*SIN(RADIANS(145))+C10*SIN(RADIANS(D10)),"")</f>
        <v>13056.7770937417</v>
      </c>
      <c r="P57" s="88" t="n">
        <f aca="false">IF(1_DATOS!C47&gt;=2,1_DATOS!C7*2025.4*COS(RADIANS(145))+C10*COS(RADIANS(D10)),"")</f>
        <v>-19025.4431295519</v>
      </c>
      <c r="Q57" s="88" t="str">
        <f aca="false">IF(1_DATOS!C47&gt;=3,1_DATOS!C7*2025.4*SIN(RADIANS(145))+C11*SIN(RADIANS(D11)),"")</f>
        <v/>
      </c>
      <c r="R57" s="88" t="str">
        <f aca="false">IF(1_DATOS!C47&gt;=3,1_DATOS!C7*2025.4*COS(RADIANS(145))+C11*COS(RADIANS(D11)),"")</f>
        <v/>
      </c>
    </row>
    <row r="58" customFormat="false" ht="9.75" hidden="false" customHeight="true" outlineLevel="0" collapsed="false">
      <c r="B58" s="87" t="n">
        <v>150</v>
      </c>
      <c r="C58" s="88" t="n">
        <f aca="false">500*SIN(RADIANS(150))</f>
        <v>250</v>
      </c>
      <c r="D58" s="88" t="n">
        <f aca="false">500*COS(RADIANS(150))</f>
        <v>-433.012701892219</v>
      </c>
      <c r="E58" s="88" t="n">
        <f aca="false">2000*SIN(RADIANS(150))</f>
        <v>1000</v>
      </c>
      <c r="F58" s="88" t="n">
        <f aca="false">2000*COS(RADIANS(150))</f>
        <v>-1732.05080756888</v>
      </c>
      <c r="G58" s="88" t="n">
        <f aca="false">5000*SIN(RADIANS(150))</f>
        <v>2500</v>
      </c>
      <c r="H58" s="88" t="n">
        <f aca="false">5000*COS(RADIANS(150))</f>
        <v>-4330.12701892219</v>
      </c>
      <c r="I58" s="88" t="n">
        <f aca="false">IF(1_DATOS!C46&gt;=1,1_DATOS!C5*2025.4*SIN(RADIANS(150))+C7*SIN(RADIANS(D7)),"")</f>
        <v>25317.5</v>
      </c>
      <c r="J58" s="88" t="n">
        <f aca="false">IF(1_DATOS!C46&gt;=1,1_DATOS!C5*2025.4*COS(RADIANS(150))+C7*COS(RADIANS(D7)),"")</f>
        <v>-47351.1963206251</v>
      </c>
      <c r="K58" s="88" t="n">
        <f aca="false">IF(1_DATOS!C46&gt;=2,1_DATOS!C5*2025.4*SIN(RADIANS(150))+C8*SIN(RADIANS(D8)),"")</f>
        <v>26753.9846019678</v>
      </c>
      <c r="L58" s="88" t="n">
        <f aca="false">IF(1_DATOS!C46&gt;=2,1_DATOS!C5*2025.4*COS(RADIANS(150))+C8*COS(RADIANS(D8)),"")</f>
        <v>-47797.9053279259</v>
      </c>
      <c r="M58" s="88" t="n">
        <f aca="false">IF(1_DATOS!C47&gt;=1,1_DATOS!C7*2025.4*SIN(RADIANS(150))+C9*SIN(RADIANS(D9)),"")</f>
        <v>11268.5165235168</v>
      </c>
      <c r="N58" s="88" t="n">
        <f aca="false">IF(1_DATOS!C47&gt;=1,1_DATOS!C7*2025.4*COS(RADIANS(150))+C9*COS(RADIANS(D9)),"")</f>
        <v>-21932.4577103832</v>
      </c>
      <c r="O58" s="88" t="n">
        <f aca="false">IF(1_DATOS!C47&gt;=2,1_DATOS!C7*2025.4*SIN(RADIANS(150))+C10*SIN(RADIANS(D10)),"")</f>
        <v>11268.5165235168</v>
      </c>
      <c r="P58" s="88" t="n">
        <f aca="false">IF(1_DATOS!C47&gt;=2,1_DATOS!C7*2025.4*COS(RADIANS(150))+C10*COS(RADIANS(D10)),"")</f>
        <v>-20164.6907574168</v>
      </c>
      <c r="Q58" s="88" t="str">
        <f aca="false">IF(1_DATOS!C47&gt;=3,1_DATOS!C7*2025.4*SIN(RADIANS(150))+C11*SIN(RADIANS(D11)),"")</f>
        <v/>
      </c>
      <c r="R58" s="88" t="str">
        <f aca="false">IF(1_DATOS!C47&gt;=3,1_DATOS!C7*2025.4*COS(RADIANS(150))+C11*COS(RADIANS(D11)),"")</f>
        <v/>
      </c>
    </row>
    <row r="59" customFormat="false" ht="9.75" hidden="false" customHeight="true" outlineLevel="0" collapsed="false">
      <c r="B59" s="87" t="n">
        <v>155</v>
      </c>
      <c r="C59" s="88" t="n">
        <f aca="false">500*SIN(RADIANS(155))</f>
        <v>211.30913087035</v>
      </c>
      <c r="D59" s="88" t="n">
        <f aca="false">500*COS(RADIANS(155))</f>
        <v>-453.153893518325</v>
      </c>
      <c r="E59" s="88" t="n">
        <f aca="false">2000*SIN(RADIANS(155))</f>
        <v>845.236523481399</v>
      </c>
      <c r="F59" s="88" t="n">
        <f aca="false">2000*COS(RADIANS(155))</f>
        <v>-1812.6155740733</v>
      </c>
      <c r="G59" s="88" t="n">
        <f aca="false">5000*SIN(RADIANS(155))</f>
        <v>2113.0913087035</v>
      </c>
      <c r="H59" s="88" t="n">
        <f aca="false">5000*COS(RADIANS(155))</f>
        <v>-4531.53893518325</v>
      </c>
      <c r="I59" s="88" t="n">
        <f aca="false">IF(1_DATOS!C46&gt;=1,1_DATOS!C5*2025.4*SIN(RADIANS(155))+C7*SIN(RADIANS(D7)),"")</f>
        <v>21399.2756832403</v>
      </c>
      <c r="J59" s="88" t="n">
        <f aca="false">IF(1_DATOS!C46&gt;=1,1_DATOS!C5*2025.4*COS(RADIANS(155))+C7*COS(RADIANS(D7)),"")</f>
        <v>-49390.8947966008</v>
      </c>
      <c r="K59" s="88" t="n">
        <f aca="false">IF(1_DATOS!C46&gt;=2,1_DATOS!C5*2025.4*SIN(RADIANS(155))+C8*SIN(RADIANS(D8)),"")</f>
        <v>22835.7602852081</v>
      </c>
      <c r="L59" s="88" t="n">
        <f aca="false">IF(1_DATOS!C46&gt;=2,1_DATOS!C5*2025.4*COS(RADIANS(155))+C8*COS(RADIANS(D8)),"")</f>
        <v>-49837.6038039016</v>
      </c>
      <c r="M59" s="88" t="n">
        <f aca="false">IF(1_DATOS!C47&gt;=1,1_DATOS!C7*2025.4*SIN(RADIANS(155))+C9*SIN(RADIANS(D9)),"")</f>
        <v>9387.76885147217</v>
      </c>
      <c r="N59" s="88" t="n">
        <f aca="false">IF(1_DATOS!C47&gt;=1,1_DATOS!C7*2025.4*COS(RADIANS(155))+C9*COS(RADIANS(D9)),"")</f>
        <v>-22911.5129788516</v>
      </c>
      <c r="O59" s="88" t="n">
        <f aca="false">IF(1_DATOS!C47&gt;=2,1_DATOS!C7*2025.4*SIN(RADIANS(155))+C10*SIN(RADIANS(D10)),"")</f>
        <v>9387.76885147217</v>
      </c>
      <c r="P59" s="88" t="n">
        <f aca="false">IF(1_DATOS!C47&gt;=2,1_DATOS!C7*2025.4*COS(RADIANS(155))+C10*COS(RADIANS(D10)),"")</f>
        <v>-21143.7460258852</v>
      </c>
      <c r="Q59" s="88" t="str">
        <f aca="false">IF(1_DATOS!C47&gt;=3,1_DATOS!C7*2025.4*SIN(RADIANS(155))+C11*SIN(RADIANS(D11)),"")</f>
        <v/>
      </c>
      <c r="R59" s="88" t="str">
        <f aca="false">IF(1_DATOS!C47&gt;=3,1_DATOS!C7*2025.4*COS(RADIANS(155))+C11*COS(RADIANS(D11)),"")</f>
        <v/>
      </c>
    </row>
    <row r="60" customFormat="false" ht="9.75" hidden="false" customHeight="true" outlineLevel="0" collapsed="false">
      <c r="B60" s="87" t="n">
        <v>160</v>
      </c>
      <c r="C60" s="88" t="n">
        <f aca="false">500*SIN(RADIANS(160))</f>
        <v>171.010071662834</v>
      </c>
      <c r="D60" s="88" t="n">
        <f aca="false">500*COS(RADIANS(160))</f>
        <v>-469.846310392954</v>
      </c>
      <c r="E60" s="88" t="n">
        <f aca="false">2000*SIN(RADIANS(160))</f>
        <v>684.040286651338</v>
      </c>
      <c r="F60" s="88" t="n">
        <f aca="false">2000*COS(RADIANS(160))</f>
        <v>-1879.38524157182</v>
      </c>
      <c r="G60" s="88" t="n">
        <f aca="false">5000*SIN(RADIANS(160))</f>
        <v>1710.10071662834</v>
      </c>
      <c r="H60" s="88" t="n">
        <f aca="false">5000*COS(RADIANS(160))</f>
        <v>-4698.46310392954</v>
      </c>
      <c r="I60" s="88" t="n">
        <f aca="false">IF(1_DATOS!C46&gt;=1,1_DATOS!C5*2025.4*SIN(RADIANS(160))+C7*SIN(RADIANS(D7)),"")</f>
        <v>17318.1899572952</v>
      </c>
      <c r="J60" s="88" t="n">
        <f aca="false">IF(1_DATOS!C46&gt;=1,1_DATOS!C5*2025.4*COS(RADIANS(160))+C7*COS(RADIANS(D7)),"")</f>
        <v>-51081.3358534945</v>
      </c>
      <c r="K60" s="88" t="n">
        <f aca="false">IF(1_DATOS!C46&gt;=2,1_DATOS!C5*2025.4*SIN(RADIANS(160))+C8*SIN(RADIANS(D8)),"")</f>
        <v>18754.6745592631</v>
      </c>
      <c r="L60" s="88" t="n">
        <f aca="false">IF(1_DATOS!C46&gt;=2,1_DATOS!C5*2025.4*COS(RADIANS(160))+C8*COS(RADIANS(D8)),"")</f>
        <v>-51528.0448607953</v>
      </c>
      <c r="M60" s="88" t="n">
        <f aca="false">IF(1_DATOS!C47&gt;=1,1_DATOS!C7*2025.4*SIN(RADIANS(160))+C9*SIN(RADIANS(D9)),"")</f>
        <v>7428.84770301853</v>
      </c>
      <c r="N60" s="88" t="n">
        <f aca="false">IF(1_DATOS!C47&gt;=1,1_DATOS!C7*2025.4*COS(RADIANS(160))+C9*COS(RADIANS(D9)),"")</f>
        <v>-23722.9246861605</v>
      </c>
      <c r="O60" s="88" t="n">
        <f aca="false">IF(1_DATOS!C47&gt;=2,1_DATOS!C7*2025.4*SIN(RADIANS(160))+C10*SIN(RADIANS(D10)),"")</f>
        <v>7428.84770301853</v>
      </c>
      <c r="P60" s="88" t="n">
        <f aca="false">IF(1_DATOS!C47&gt;=2,1_DATOS!C7*2025.4*COS(RADIANS(160))+C10*COS(RADIANS(D10)),"")</f>
        <v>-21955.1577331942</v>
      </c>
      <c r="Q60" s="88" t="str">
        <f aca="false">IF(1_DATOS!C47&gt;=3,1_DATOS!C7*2025.4*SIN(RADIANS(160))+C11*SIN(RADIANS(D11)),"")</f>
        <v/>
      </c>
      <c r="R60" s="88" t="str">
        <f aca="false">IF(1_DATOS!C47&gt;=3,1_DATOS!C7*2025.4*COS(RADIANS(160))+C11*COS(RADIANS(D11)),"")</f>
        <v/>
      </c>
    </row>
    <row r="61" customFormat="false" ht="9.75" hidden="false" customHeight="true" outlineLevel="0" collapsed="false">
      <c r="B61" s="87" t="n">
        <v>165</v>
      </c>
      <c r="C61" s="88" t="n">
        <f aca="false">500*SIN(RADIANS(165))</f>
        <v>129.409522551261</v>
      </c>
      <c r="D61" s="88" t="n">
        <f aca="false">500*COS(RADIANS(165))</f>
        <v>-482.962913144534</v>
      </c>
      <c r="E61" s="88" t="n">
        <f aca="false">2000*SIN(RADIANS(165))</f>
        <v>517.638090205042</v>
      </c>
      <c r="F61" s="88" t="n">
        <f aca="false">2000*COS(RADIANS(165))</f>
        <v>-1931.85165257814</v>
      </c>
      <c r="G61" s="88" t="n">
        <f aca="false">5000*SIN(RADIANS(165))</f>
        <v>1294.09522551261</v>
      </c>
      <c r="H61" s="88" t="n">
        <f aca="false">5000*COS(RADIANS(165))</f>
        <v>-4829.62913144534</v>
      </c>
      <c r="I61" s="88" t="n">
        <f aca="false">IF(1_DATOS!C46&gt;=1,1_DATOS!C5*2025.4*SIN(RADIANS(165))+C7*SIN(RADIANS(D7)),"")</f>
        <v>13105.3023487662</v>
      </c>
      <c r="J61" s="88" t="n">
        <f aca="false">IF(1_DATOS!C46&gt;=1,1_DATOS!C5*2025.4*COS(RADIANS(165))+C7*COS(RADIANS(D7)),"")</f>
        <v>-52409.654214147</v>
      </c>
      <c r="K61" s="88" t="n">
        <f aca="false">IF(1_DATOS!C46&gt;=2,1_DATOS!C5*2025.4*SIN(RADIANS(165))+C8*SIN(RADIANS(D8)),"")</f>
        <v>14541.786950734</v>
      </c>
      <c r="L61" s="88" t="n">
        <f aca="false">IF(1_DATOS!C46&gt;=2,1_DATOS!C5*2025.4*COS(RADIANS(165))+C8*COS(RADIANS(D8)),"")</f>
        <v>-52856.3632214478</v>
      </c>
      <c r="M61" s="88" t="n">
        <f aca="false">IF(1_DATOS!C47&gt;=1,1_DATOS!C7*2025.4*SIN(RADIANS(165))+C9*SIN(RADIANS(D9)),"")</f>
        <v>5406.66165092457</v>
      </c>
      <c r="N61" s="88" t="n">
        <f aca="false">IF(1_DATOS!C47&gt;=1,1_DATOS!C7*2025.4*COS(RADIANS(165))+C9*COS(RADIANS(D9)),"")</f>
        <v>-24360.5174992737</v>
      </c>
      <c r="O61" s="88" t="n">
        <f aca="false">IF(1_DATOS!C47&gt;=2,1_DATOS!C7*2025.4*SIN(RADIANS(165))+C10*SIN(RADIANS(D10)),"")</f>
        <v>5406.66165092457</v>
      </c>
      <c r="P61" s="88" t="n">
        <f aca="false">IF(1_DATOS!C47&gt;=2,1_DATOS!C7*2025.4*COS(RADIANS(165))+C10*COS(RADIANS(D10)),"")</f>
        <v>-22592.7505463074</v>
      </c>
      <c r="Q61" s="88" t="str">
        <f aca="false">IF(1_DATOS!C47&gt;=3,1_DATOS!C7*2025.4*SIN(RADIANS(165))+C11*SIN(RADIANS(D11)),"")</f>
        <v/>
      </c>
      <c r="R61" s="88" t="str">
        <f aca="false">IF(1_DATOS!C47&gt;=3,1_DATOS!C7*2025.4*COS(RADIANS(165))+C11*COS(RADIANS(D11)),"")</f>
        <v/>
      </c>
    </row>
    <row r="62" customFormat="false" ht="9.75" hidden="false" customHeight="true" outlineLevel="0" collapsed="false">
      <c r="B62" s="87" t="n">
        <v>170</v>
      </c>
      <c r="C62" s="88" t="n">
        <f aca="false">500*SIN(RADIANS(170))</f>
        <v>86.8240888334653</v>
      </c>
      <c r="D62" s="88" t="n">
        <f aca="false">500*COS(RADIANS(170))</f>
        <v>-492.403876506104</v>
      </c>
      <c r="E62" s="88" t="n">
        <f aca="false">2000*SIN(RADIANS(170))</f>
        <v>347.296355333861</v>
      </c>
      <c r="F62" s="88" t="n">
        <f aca="false">2000*COS(RADIANS(170))</f>
        <v>-1969.61550602442</v>
      </c>
      <c r="G62" s="88" t="n">
        <f aca="false">5000*SIN(RADIANS(170))</f>
        <v>868.240888334654</v>
      </c>
      <c r="H62" s="88" t="n">
        <f aca="false">5000*COS(RADIANS(170))</f>
        <v>-4924.03876506104</v>
      </c>
      <c r="I62" s="88" t="n">
        <f aca="false">IF(1_DATOS!C46&gt;=1,1_DATOS!C5*2025.4*SIN(RADIANS(170))+C7*SIN(RADIANS(D7)),"")</f>
        <v>8792.67547616504</v>
      </c>
      <c r="J62" s="88" t="n">
        <f aca="false">IF(1_DATOS!C46&gt;=1,1_DATOS!C5*2025.4*COS(RADIANS(170))+C7*COS(RADIANS(D7)),"")</f>
        <v>-53365.7405737732</v>
      </c>
      <c r="K62" s="88" t="n">
        <f aca="false">IF(1_DATOS!C46&gt;=2,1_DATOS!C5*2025.4*SIN(RADIANS(170))+C8*SIN(RADIANS(D8)),"")</f>
        <v>10229.1600781328</v>
      </c>
      <c r="L62" s="88" t="n">
        <f aca="false">IF(1_DATOS!C46&gt;=2,1_DATOS!C5*2025.4*COS(RADIANS(170))+C8*COS(RADIANS(D8)),"")</f>
        <v>-53812.449581074</v>
      </c>
      <c r="M62" s="88" t="n">
        <f aca="false">IF(1_DATOS!C47&gt;=1,1_DATOS!C7*2025.4*SIN(RADIANS(170))+C9*SIN(RADIANS(D9)),"")</f>
        <v>3336.60075207603</v>
      </c>
      <c r="N62" s="88" t="n">
        <f aca="false">IF(1_DATOS!C47&gt;=1,1_DATOS!C7*2025.4*COS(RADIANS(170))+C9*COS(RADIANS(D9)),"")</f>
        <v>-24819.4389518943</v>
      </c>
      <c r="O62" s="88" t="n">
        <f aca="false">IF(1_DATOS!C47&gt;=2,1_DATOS!C7*2025.4*SIN(RADIANS(170))+C10*SIN(RADIANS(D10)),"")</f>
        <v>3336.60075207603</v>
      </c>
      <c r="P62" s="88" t="n">
        <f aca="false">IF(1_DATOS!C47&gt;=2,1_DATOS!C7*2025.4*COS(RADIANS(170))+C10*COS(RADIANS(D10)),"")</f>
        <v>-23051.6719989279</v>
      </c>
      <c r="Q62" s="88" t="str">
        <f aca="false">IF(1_DATOS!C47&gt;=3,1_DATOS!C7*2025.4*SIN(RADIANS(170))+C11*SIN(RADIANS(D11)),"")</f>
        <v/>
      </c>
      <c r="R62" s="88" t="str">
        <f aca="false">IF(1_DATOS!C47&gt;=3,1_DATOS!C7*2025.4*COS(RADIANS(170))+C11*COS(RADIANS(D11)),"")</f>
        <v/>
      </c>
    </row>
    <row r="63" customFormat="false" ht="9.75" hidden="false" customHeight="true" outlineLevel="0" collapsed="false">
      <c r="B63" s="87" t="n">
        <v>175</v>
      </c>
      <c r="C63" s="88" t="n">
        <f aca="false">500*SIN(RADIANS(175))</f>
        <v>43.5778713738291</v>
      </c>
      <c r="D63" s="88" t="n">
        <f aca="false">500*COS(RADIANS(175))</f>
        <v>-498.097349045873</v>
      </c>
      <c r="E63" s="88" t="n">
        <f aca="false">2000*SIN(RADIANS(175))</f>
        <v>174.311485495316</v>
      </c>
      <c r="F63" s="88" t="n">
        <f aca="false">2000*COS(RADIANS(175))</f>
        <v>-1992.38939618349</v>
      </c>
      <c r="G63" s="88" t="n">
        <f aca="false">5000*SIN(RADIANS(175))</f>
        <v>435.778713738291</v>
      </c>
      <c r="H63" s="88" t="n">
        <f aca="false">5000*COS(RADIANS(175))</f>
        <v>-4980.97349045873</v>
      </c>
      <c r="I63" s="88" t="n">
        <f aca="false">IF(1_DATOS!C46&gt;=1,1_DATOS!C5*2025.4*SIN(RADIANS(175))+C7*SIN(RADIANS(D7)),"")</f>
        <v>4413.13103402767</v>
      </c>
      <c r="J63" s="88" t="n">
        <f aca="false">IF(1_DATOS!C46&gt;=1,1_DATOS!C5*2025.4*COS(RADIANS(175))+C7*COS(RADIANS(D7)),"")</f>
        <v>-53942.3185378755</v>
      </c>
      <c r="K63" s="88" t="n">
        <f aca="false">IF(1_DATOS!C46&gt;=2,1_DATOS!C5*2025.4*SIN(RADIANS(175))+C8*SIN(RADIANS(D8)),"")</f>
        <v>5849.61563599548</v>
      </c>
      <c r="L63" s="88" t="n">
        <f aca="false">IF(1_DATOS!C46&gt;=2,1_DATOS!C5*2025.4*COS(RADIANS(175))+C8*COS(RADIANS(D8)),"")</f>
        <v>-54389.0275451764</v>
      </c>
      <c r="M63" s="88" t="n">
        <f aca="false">IF(1_DATOS!C47&gt;=1,1_DATOS!C7*2025.4*SIN(RADIANS(175))+C9*SIN(RADIANS(D9)),"")</f>
        <v>1234.4194198501</v>
      </c>
      <c r="N63" s="88" t="n">
        <f aca="false">IF(1_DATOS!C47&gt;=1,1_DATOS!C7*2025.4*COS(RADIANS(175))+C9*COS(RADIANS(D9)),"")</f>
        <v>-25096.1963746634</v>
      </c>
      <c r="O63" s="88" t="n">
        <f aca="false">IF(1_DATOS!C47&gt;=2,1_DATOS!C7*2025.4*SIN(RADIANS(175))+C10*SIN(RADIANS(D10)),"")</f>
        <v>1234.4194198501</v>
      </c>
      <c r="P63" s="88" t="n">
        <f aca="false">IF(1_DATOS!C47&gt;=2,1_DATOS!C7*2025.4*COS(RADIANS(175))+C10*COS(RADIANS(D10)),"")</f>
        <v>-23328.4294216971</v>
      </c>
      <c r="Q63" s="88" t="str">
        <f aca="false">IF(1_DATOS!C47&gt;=3,1_DATOS!C7*2025.4*SIN(RADIANS(175))+C11*SIN(RADIANS(D11)),"")</f>
        <v/>
      </c>
      <c r="R63" s="88" t="str">
        <f aca="false">IF(1_DATOS!C47&gt;=3,1_DATOS!C7*2025.4*COS(RADIANS(175))+C11*COS(RADIANS(D11)),"")</f>
        <v/>
      </c>
    </row>
    <row r="64" customFormat="false" ht="9.75" hidden="false" customHeight="true" outlineLevel="0" collapsed="false">
      <c r="B64" s="87" t="n">
        <v>180</v>
      </c>
      <c r="C64" s="88" t="n">
        <f aca="false">500*SIN(RADIANS(180))</f>
        <v>6.12323399573677E-014</v>
      </c>
      <c r="D64" s="88" t="n">
        <f aca="false">500*COS(RADIANS(180))</f>
        <v>-500</v>
      </c>
      <c r="E64" s="88" t="n">
        <f aca="false">2000*SIN(RADIANS(180))</f>
        <v>2.44929359829471E-013</v>
      </c>
      <c r="F64" s="88" t="n">
        <f aca="false">2000*COS(RADIANS(180))</f>
        <v>-2000</v>
      </c>
      <c r="G64" s="88" t="n">
        <f aca="false">5000*SIN(RADIANS(180))</f>
        <v>6.12323399573677E-013</v>
      </c>
      <c r="H64" s="88" t="n">
        <f aca="false">5000*COS(RADIANS(180))</f>
        <v>-5000</v>
      </c>
      <c r="I64" s="88" t="n">
        <f aca="false">IF(1_DATOS!C46&gt;=1,1_DATOS!C5*2025.4*SIN(RADIANS(180))+C7*SIN(RADIANS(D7)),"")</f>
        <v>6.6296254471842E-012</v>
      </c>
      <c r="J64" s="88" t="n">
        <f aca="false">IF(1_DATOS!C46&gt;=1,1_DATOS!C5*2025.4*COS(RADIANS(180))+C7*COS(RADIANS(D7)),"")</f>
        <v>-54135</v>
      </c>
      <c r="K64" s="88" t="n">
        <f aca="false">IF(1_DATOS!C46&gt;=2,1_DATOS!C5*2025.4*SIN(RADIANS(180))+C8*SIN(RADIANS(D8)),"")</f>
        <v>1436.48460196782</v>
      </c>
      <c r="L64" s="88" t="n">
        <f aca="false">IF(1_DATOS!C46&gt;=2,1_DATOS!C5*2025.4*COS(RADIANS(180))+C8*COS(RADIANS(D8)),"")</f>
        <v>-54581.7090073008</v>
      </c>
      <c r="M64" s="88" t="n">
        <f aca="false">IF(1_DATOS!C47&gt;=1,1_DATOS!C7*2025.4*SIN(RADIANS(180))+C9*SIN(RADIANS(D9)),"")</f>
        <v>-883.883476483181</v>
      </c>
      <c r="N64" s="88" t="n">
        <f aca="false">IF(1_DATOS!C47&gt;=1,1_DATOS!C7*2025.4*COS(RADIANS(180))+C9*COS(RADIANS(D9)),"")</f>
        <v>-25188.6834764832</v>
      </c>
      <c r="O64" s="88" t="n">
        <f aca="false">IF(1_DATOS!C47&gt;=2,1_DATOS!C7*2025.4*SIN(RADIANS(180))+C10*SIN(RADIANS(D10)),"")</f>
        <v>-883.883476483182</v>
      </c>
      <c r="P64" s="88" t="n">
        <f aca="false">IF(1_DATOS!C47&gt;=2,1_DATOS!C7*2025.4*COS(RADIANS(180))+C10*COS(RADIANS(D10)),"")</f>
        <v>-23420.9165235168</v>
      </c>
      <c r="Q64" s="88" t="str">
        <f aca="false">IF(1_DATOS!C47&gt;=3,1_DATOS!C7*2025.4*SIN(RADIANS(180))+C11*SIN(RADIANS(D11)),"")</f>
        <v/>
      </c>
      <c r="R64" s="88" t="str">
        <f aca="false">IF(1_DATOS!C47&gt;=3,1_DATOS!C7*2025.4*COS(RADIANS(180))+C11*COS(RADIANS(D11)),"")</f>
        <v/>
      </c>
    </row>
    <row r="65" customFormat="false" ht="9.75" hidden="false" customHeight="true" outlineLevel="0" collapsed="false">
      <c r="B65" s="87" t="n">
        <v>185</v>
      </c>
      <c r="C65" s="88" t="n">
        <f aca="false">500*SIN(RADIANS(185))</f>
        <v>-43.577871373829</v>
      </c>
      <c r="D65" s="88" t="n">
        <f aca="false">500*COS(RADIANS(185))</f>
        <v>-498.097349045873</v>
      </c>
      <c r="E65" s="88" t="n">
        <f aca="false">2000*SIN(RADIANS(185))</f>
        <v>-174.311485495316</v>
      </c>
      <c r="F65" s="88" t="n">
        <f aca="false">2000*COS(RADIANS(185))</f>
        <v>-1992.38939618349</v>
      </c>
      <c r="G65" s="88" t="n">
        <f aca="false">5000*SIN(RADIANS(185))</f>
        <v>-435.77871373829</v>
      </c>
      <c r="H65" s="88" t="n">
        <f aca="false">5000*COS(RADIANS(185))</f>
        <v>-4980.97349045873</v>
      </c>
      <c r="I65" s="88" t="n">
        <f aca="false">IF(1_DATOS!C46&gt;=1,1_DATOS!C5*2025.4*SIN(RADIANS(185))+C7*SIN(RADIANS(D7)),"")</f>
        <v>-4413.13103402766</v>
      </c>
      <c r="J65" s="88" t="n">
        <f aca="false">IF(1_DATOS!C46&gt;=1,1_DATOS!C5*2025.4*COS(RADIANS(185))+C7*COS(RADIANS(D7)),"")</f>
        <v>-53942.3185378755</v>
      </c>
      <c r="K65" s="88" t="n">
        <f aca="false">IF(1_DATOS!C46&gt;=2,1_DATOS!C5*2025.4*SIN(RADIANS(185))+C8*SIN(RADIANS(D8)),"")</f>
        <v>-2976.64643205985</v>
      </c>
      <c r="L65" s="88" t="n">
        <f aca="false">IF(1_DATOS!C46&gt;=2,1_DATOS!C5*2025.4*COS(RADIANS(185))+C8*COS(RADIANS(D8)),"")</f>
        <v>-54389.0275451764</v>
      </c>
      <c r="M65" s="88" t="n">
        <f aca="false">IF(1_DATOS!C47&gt;=1,1_DATOS!C7*2025.4*SIN(RADIANS(185))+C9*SIN(RADIANS(D9)),"")</f>
        <v>-3002.18637281646</v>
      </c>
      <c r="N65" s="88" t="n">
        <f aca="false">IF(1_DATOS!C47&gt;=1,1_DATOS!C7*2025.4*COS(RADIANS(185))+C9*COS(RADIANS(D9)),"")</f>
        <v>-25096.1963746634</v>
      </c>
      <c r="O65" s="88" t="n">
        <f aca="false">IF(1_DATOS!C47&gt;=2,1_DATOS!C7*2025.4*SIN(RADIANS(185))+C10*SIN(RADIANS(D10)),"")</f>
        <v>-3002.18637281646</v>
      </c>
      <c r="P65" s="88" t="n">
        <f aca="false">IF(1_DATOS!C47&gt;=2,1_DATOS!C7*2025.4*COS(RADIANS(185))+C10*COS(RADIANS(D10)),"")</f>
        <v>-23328.4294216971</v>
      </c>
      <c r="Q65" s="88" t="str">
        <f aca="false">IF(1_DATOS!C47&gt;=3,1_DATOS!C7*2025.4*SIN(RADIANS(185))+C11*SIN(RADIANS(D11)),"")</f>
        <v/>
      </c>
      <c r="R65" s="88" t="str">
        <f aca="false">IF(1_DATOS!C47&gt;=3,1_DATOS!C7*2025.4*COS(RADIANS(185))+C11*COS(RADIANS(D11)),"")</f>
        <v/>
      </c>
    </row>
    <row r="66" customFormat="false" ht="9.75" hidden="false" customHeight="true" outlineLevel="0" collapsed="false">
      <c r="B66" s="87" t="n">
        <v>190</v>
      </c>
      <c r="C66" s="88" t="n">
        <f aca="false">500*SIN(RADIANS(190))</f>
        <v>-86.8240888334652</v>
      </c>
      <c r="D66" s="88" t="n">
        <f aca="false">500*COS(RADIANS(190))</f>
        <v>-492.403876506104</v>
      </c>
      <c r="E66" s="88" t="n">
        <f aca="false">2000*SIN(RADIANS(190))</f>
        <v>-347.296355333861</v>
      </c>
      <c r="F66" s="88" t="n">
        <f aca="false">2000*COS(RADIANS(190))</f>
        <v>-1969.61550602442</v>
      </c>
      <c r="G66" s="88" t="n">
        <f aca="false">5000*SIN(RADIANS(190))</f>
        <v>-868.240888334652</v>
      </c>
      <c r="H66" s="88" t="n">
        <f aca="false">5000*COS(RADIANS(190))</f>
        <v>-4924.03876506104</v>
      </c>
      <c r="I66" s="88" t="n">
        <f aca="false">IF(1_DATOS!C46&gt;=1,1_DATOS!C5*2025.4*SIN(RADIANS(190))+C7*SIN(RADIANS(D7)),"")</f>
        <v>-8792.67547616503</v>
      </c>
      <c r="J66" s="88" t="n">
        <f aca="false">IF(1_DATOS!C46&gt;=1,1_DATOS!C5*2025.4*COS(RADIANS(190))+C7*COS(RADIANS(D7)),"")</f>
        <v>-53365.7405737732</v>
      </c>
      <c r="K66" s="88" t="n">
        <f aca="false">IF(1_DATOS!C46&gt;=2,1_DATOS!C5*2025.4*SIN(RADIANS(190))+C8*SIN(RADIANS(D8)),"")</f>
        <v>-7356.19087419722</v>
      </c>
      <c r="L66" s="88" t="n">
        <f aca="false">IF(1_DATOS!C46&gt;=2,1_DATOS!C5*2025.4*COS(RADIANS(190))+C8*COS(RADIANS(D8)),"")</f>
        <v>-53812.449581074</v>
      </c>
      <c r="M66" s="88" t="n">
        <f aca="false">IF(1_DATOS!C47&gt;=1,1_DATOS!C7*2025.4*SIN(RADIANS(190))+C9*SIN(RADIANS(D9)),"")</f>
        <v>-5104.3677050424</v>
      </c>
      <c r="N66" s="88" t="n">
        <f aca="false">IF(1_DATOS!C47&gt;=1,1_DATOS!C7*2025.4*COS(RADIANS(190))+C9*COS(RADIANS(D9)),"")</f>
        <v>-24819.4389518943</v>
      </c>
      <c r="O66" s="88" t="n">
        <f aca="false">IF(1_DATOS!C47&gt;=2,1_DATOS!C7*2025.4*SIN(RADIANS(190))+C10*SIN(RADIANS(D10)),"")</f>
        <v>-5104.3677050424</v>
      </c>
      <c r="P66" s="88" t="n">
        <f aca="false">IF(1_DATOS!C47&gt;=2,1_DATOS!C7*2025.4*COS(RADIANS(190))+C10*COS(RADIANS(D10)),"")</f>
        <v>-23051.6719989279</v>
      </c>
      <c r="Q66" s="88" t="str">
        <f aca="false">IF(1_DATOS!C47&gt;=3,1_DATOS!C7*2025.4*SIN(RADIANS(190))+C11*SIN(RADIANS(D11)),"")</f>
        <v/>
      </c>
      <c r="R66" s="88" t="str">
        <f aca="false">IF(1_DATOS!C47&gt;=3,1_DATOS!C7*2025.4*COS(RADIANS(190))+C11*COS(RADIANS(D11)),"")</f>
        <v/>
      </c>
    </row>
    <row r="67" customFormat="false" ht="9.75" hidden="false" customHeight="true" outlineLevel="0" collapsed="false">
      <c r="B67" s="87" t="n">
        <v>195</v>
      </c>
      <c r="C67" s="88" t="n">
        <f aca="false">500*SIN(RADIANS(195))</f>
        <v>-129.40952255126</v>
      </c>
      <c r="D67" s="88" t="n">
        <f aca="false">500*COS(RADIANS(195))</f>
        <v>-482.962913144534</v>
      </c>
      <c r="E67" s="88" t="n">
        <f aca="false">2000*SIN(RADIANS(195))</f>
        <v>-517.638090205041</v>
      </c>
      <c r="F67" s="88" t="n">
        <f aca="false">2000*COS(RADIANS(195))</f>
        <v>-1931.85165257814</v>
      </c>
      <c r="G67" s="88" t="n">
        <f aca="false">5000*SIN(RADIANS(195))</f>
        <v>-1294.0952255126</v>
      </c>
      <c r="H67" s="88" t="n">
        <f aca="false">5000*COS(RADIANS(195))</f>
        <v>-4829.62913144534</v>
      </c>
      <c r="I67" s="88" t="n">
        <f aca="false">IF(1_DATOS!C46&gt;=1,1_DATOS!C5*2025.4*SIN(RADIANS(195))+C7*SIN(RADIANS(D7)),"")</f>
        <v>-13105.3023487661</v>
      </c>
      <c r="J67" s="88" t="n">
        <f aca="false">IF(1_DATOS!C46&gt;=1,1_DATOS!C5*2025.4*COS(RADIANS(195))+C7*COS(RADIANS(D7)),"")</f>
        <v>-52409.654214147</v>
      </c>
      <c r="K67" s="88" t="n">
        <f aca="false">IF(1_DATOS!C46&gt;=2,1_DATOS!C5*2025.4*SIN(RADIANS(195))+C8*SIN(RADIANS(D8)),"")</f>
        <v>-11668.8177467983</v>
      </c>
      <c r="L67" s="88" t="n">
        <f aca="false">IF(1_DATOS!C46&gt;=2,1_DATOS!C5*2025.4*COS(RADIANS(195))+C8*COS(RADIANS(D8)),"")</f>
        <v>-52856.3632214478</v>
      </c>
      <c r="M67" s="88" t="n">
        <f aca="false">IF(1_DATOS!C47&gt;=1,1_DATOS!C7*2025.4*SIN(RADIANS(195))+C9*SIN(RADIANS(D9)),"")</f>
        <v>-7174.42860389092</v>
      </c>
      <c r="N67" s="88" t="n">
        <f aca="false">IF(1_DATOS!C47&gt;=1,1_DATOS!C7*2025.4*COS(RADIANS(195))+C9*COS(RADIANS(D9)),"")</f>
        <v>-24360.5174992737</v>
      </c>
      <c r="O67" s="88" t="n">
        <f aca="false">IF(1_DATOS!C47&gt;=2,1_DATOS!C7*2025.4*SIN(RADIANS(195))+C10*SIN(RADIANS(D10)),"")</f>
        <v>-7174.42860389092</v>
      </c>
      <c r="P67" s="88" t="n">
        <f aca="false">IF(1_DATOS!C47&gt;=2,1_DATOS!C7*2025.4*COS(RADIANS(195))+C10*COS(RADIANS(D10)),"")</f>
        <v>-22592.7505463074</v>
      </c>
      <c r="Q67" s="88" t="str">
        <f aca="false">IF(1_DATOS!C47&gt;=3,1_DATOS!C7*2025.4*SIN(RADIANS(195))+C11*SIN(RADIANS(D11)),"")</f>
        <v/>
      </c>
      <c r="R67" s="88" t="str">
        <f aca="false">IF(1_DATOS!C47&gt;=3,1_DATOS!C7*2025.4*COS(RADIANS(195))+C11*COS(RADIANS(D11)),"")</f>
        <v/>
      </c>
    </row>
    <row r="68" customFormat="false" ht="9.75" hidden="false" customHeight="true" outlineLevel="0" collapsed="false">
      <c r="B68" s="87" t="n">
        <v>200</v>
      </c>
      <c r="C68" s="88" t="n">
        <f aca="false">500*SIN(RADIANS(200))</f>
        <v>-171.010071662834</v>
      </c>
      <c r="D68" s="88" t="n">
        <f aca="false">500*COS(RADIANS(200))</f>
        <v>-469.846310392954</v>
      </c>
      <c r="E68" s="88" t="n">
        <f aca="false">2000*SIN(RADIANS(200))</f>
        <v>-684.040286651337</v>
      </c>
      <c r="F68" s="88" t="n">
        <f aca="false">2000*COS(RADIANS(200))</f>
        <v>-1879.38524157182</v>
      </c>
      <c r="G68" s="88" t="n">
        <f aca="false">5000*SIN(RADIANS(200))</f>
        <v>-1710.10071662834</v>
      </c>
      <c r="H68" s="88" t="n">
        <f aca="false">5000*COS(RADIANS(200))</f>
        <v>-4698.46310392954</v>
      </c>
      <c r="I68" s="88" t="n">
        <f aca="false">IF(1_DATOS!C46&gt;=1,1_DATOS!C5*2025.4*SIN(RADIANS(200))+C7*SIN(RADIANS(D7)),"")</f>
        <v>-17318.1899572952</v>
      </c>
      <c r="J68" s="88" t="n">
        <f aca="false">IF(1_DATOS!C46&gt;=1,1_DATOS!C5*2025.4*COS(RADIANS(200))+C7*COS(RADIANS(D7)),"")</f>
        <v>-51081.3358534945</v>
      </c>
      <c r="K68" s="88" t="n">
        <f aca="false">IF(1_DATOS!C46&gt;=2,1_DATOS!C5*2025.4*SIN(RADIANS(200))+C8*SIN(RADIANS(D8)),"")</f>
        <v>-15881.7053553274</v>
      </c>
      <c r="L68" s="88" t="n">
        <f aca="false">IF(1_DATOS!C46&gt;=2,1_DATOS!C5*2025.4*COS(RADIANS(200))+C8*COS(RADIANS(D8)),"")</f>
        <v>-51528.0448607953</v>
      </c>
      <c r="M68" s="88" t="n">
        <f aca="false">IF(1_DATOS!C47&gt;=1,1_DATOS!C7*2025.4*SIN(RADIANS(200))+C9*SIN(RADIANS(D9)),"")</f>
        <v>-9196.6146559849</v>
      </c>
      <c r="N68" s="88" t="n">
        <f aca="false">IF(1_DATOS!C47&gt;=1,1_DATOS!C7*2025.4*COS(RADIANS(200))+C9*COS(RADIANS(D9)),"")</f>
        <v>-23722.9246861605</v>
      </c>
      <c r="O68" s="88" t="n">
        <f aca="false">IF(1_DATOS!C47&gt;=2,1_DATOS!C7*2025.4*SIN(RADIANS(200))+C10*SIN(RADIANS(D10)),"")</f>
        <v>-9196.6146559849</v>
      </c>
      <c r="P68" s="88" t="n">
        <f aca="false">IF(1_DATOS!C47&gt;=2,1_DATOS!C7*2025.4*COS(RADIANS(200))+C10*COS(RADIANS(D10)),"")</f>
        <v>-21955.1577331942</v>
      </c>
      <c r="Q68" s="88" t="str">
        <f aca="false">IF(1_DATOS!C47&gt;=3,1_DATOS!C7*2025.4*SIN(RADIANS(200))+C11*SIN(RADIANS(D11)),"")</f>
        <v/>
      </c>
      <c r="R68" s="88" t="str">
        <f aca="false">IF(1_DATOS!C47&gt;=3,1_DATOS!C7*2025.4*COS(RADIANS(200))+C11*COS(RADIANS(D11)),"")</f>
        <v/>
      </c>
    </row>
    <row r="69" customFormat="false" ht="9.75" hidden="false" customHeight="true" outlineLevel="0" collapsed="false">
      <c r="B69" s="87" t="n">
        <v>205</v>
      </c>
      <c r="C69" s="88" t="n">
        <f aca="false">500*SIN(RADIANS(205))</f>
        <v>-211.30913087035</v>
      </c>
      <c r="D69" s="88" t="n">
        <f aca="false">500*COS(RADIANS(205))</f>
        <v>-453.153893518325</v>
      </c>
      <c r="E69" s="88" t="n">
        <f aca="false">2000*SIN(RADIANS(205))</f>
        <v>-845.236523481399</v>
      </c>
      <c r="F69" s="88" t="n">
        <f aca="false">2000*COS(RADIANS(205))</f>
        <v>-1812.6155740733</v>
      </c>
      <c r="G69" s="88" t="n">
        <f aca="false">5000*SIN(RADIANS(205))</f>
        <v>-2113.0913087035</v>
      </c>
      <c r="H69" s="88" t="n">
        <f aca="false">5000*COS(RADIANS(205))</f>
        <v>-4531.53893518325</v>
      </c>
      <c r="I69" s="88" t="n">
        <f aca="false">IF(1_DATOS!C46&gt;=1,1_DATOS!C5*2025.4*SIN(RADIANS(205))+C7*SIN(RADIANS(D7)),"")</f>
        <v>-21399.2756832403</v>
      </c>
      <c r="J69" s="88" t="n">
        <f aca="false">IF(1_DATOS!C46&gt;=1,1_DATOS!C5*2025.4*COS(RADIANS(205))+C7*COS(RADIANS(D7)),"")</f>
        <v>-49390.8947966008</v>
      </c>
      <c r="K69" s="88" t="n">
        <f aca="false">IF(1_DATOS!C46&gt;=2,1_DATOS!C5*2025.4*SIN(RADIANS(205))+C8*SIN(RADIANS(D8)),"")</f>
        <v>-19962.7910812725</v>
      </c>
      <c r="L69" s="88" t="n">
        <f aca="false">IF(1_DATOS!C46&gt;=2,1_DATOS!C5*2025.4*COS(RADIANS(205))+C8*COS(RADIANS(D8)),"")</f>
        <v>-49837.6038039016</v>
      </c>
      <c r="M69" s="88" t="n">
        <f aca="false">IF(1_DATOS!C47&gt;=1,1_DATOS!C7*2025.4*SIN(RADIANS(205))+C9*SIN(RADIANS(D9)),"")</f>
        <v>-11155.5358044385</v>
      </c>
      <c r="N69" s="88" t="n">
        <f aca="false">IF(1_DATOS!C47&gt;=1,1_DATOS!C7*2025.4*COS(RADIANS(205))+C9*COS(RADIANS(D9)),"")</f>
        <v>-22911.5129788516</v>
      </c>
      <c r="O69" s="88" t="n">
        <f aca="false">IF(1_DATOS!C47&gt;=2,1_DATOS!C7*2025.4*SIN(RADIANS(205))+C10*SIN(RADIANS(D10)),"")</f>
        <v>-11155.5358044385</v>
      </c>
      <c r="P69" s="88" t="n">
        <f aca="false">IF(1_DATOS!C47&gt;=2,1_DATOS!C7*2025.4*COS(RADIANS(205))+C10*COS(RADIANS(D10)),"")</f>
        <v>-21143.7460258852</v>
      </c>
      <c r="Q69" s="88" t="str">
        <f aca="false">IF(1_DATOS!C47&gt;=3,1_DATOS!C7*2025.4*SIN(RADIANS(205))+C11*SIN(RADIANS(D11)),"")</f>
        <v/>
      </c>
      <c r="R69" s="88" t="str">
        <f aca="false">IF(1_DATOS!C47&gt;=3,1_DATOS!C7*2025.4*COS(RADIANS(205))+C11*COS(RADIANS(D11)),"")</f>
        <v/>
      </c>
    </row>
    <row r="70" customFormat="false" ht="9.75" hidden="false" customHeight="true" outlineLevel="0" collapsed="false">
      <c r="B70" s="87" t="n">
        <v>210</v>
      </c>
      <c r="C70" s="88" t="n">
        <f aca="false">500*SIN(RADIANS(210))</f>
        <v>-250</v>
      </c>
      <c r="D70" s="88" t="n">
        <f aca="false">500*COS(RADIANS(210))</f>
        <v>-433.012701892219</v>
      </c>
      <c r="E70" s="88" t="n">
        <f aca="false">2000*SIN(RADIANS(210))</f>
        <v>-1000</v>
      </c>
      <c r="F70" s="88" t="n">
        <f aca="false">2000*COS(RADIANS(210))</f>
        <v>-1732.05080756888</v>
      </c>
      <c r="G70" s="88" t="n">
        <f aca="false">5000*SIN(RADIANS(210))</f>
        <v>-2500</v>
      </c>
      <c r="H70" s="88" t="n">
        <f aca="false">5000*COS(RADIANS(210))</f>
        <v>-4330.12701892219</v>
      </c>
      <c r="I70" s="88" t="n">
        <f aca="false">IF(1_DATOS!C46&gt;=1,1_DATOS!C5*2025.4*SIN(RADIANS(210))+C7*SIN(RADIANS(D7)),"")</f>
        <v>-25317.5</v>
      </c>
      <c r="J70" s="88" t="n">
        <f aca="false">IF(1_DATOS!C46&gt;=1,1_DATOS!C5*2025.4*COS(RADIANS(210))+C7*COS(RADIANS(D7)),"")</f>
        <v>-47351.1963206251</v>
      </c>
      <c r="K70" s="88" t="n">
        <f aca="false">IF(1_DATOS!C46&gt;=2,1_DATOS!C5*2025.4*SIN(RADIANS(210))+C8*SIN(RADIANS(D8)),"")</f>
        <v>-23881.0153980322</v>
      </c>
      <c r="L70" s="88" t="n">
        <f aca="false">IF(1_DATOS!C46&gt;=2,1_DATOS!C5*2025.4*COS(RADIANS(210))+C8*COS(RADIANS(D8)),"")</f>
        <v>-47797.9053279259</v>
      </c>
      <c r="M70" s="88" t="n">
        <f aca="false">IF(1_DATOS!C47&gt;=1,1_DATOS!C7*2025.4*SIN(RADIANS(210))+C9*SIN(RADIANS(D9)),"")</f>
        <v>-13036.2834764832</v>
      </c>
      <c r="N70" s="88" t="n">
        <f aca="false">IF(1_DATOS!C47&gt;=1,1_DATOS!C7*2025.4*COS(RADIANS(210))+C9*COS(RADIANS(D9)),"")</f>
        <v>-21932.4577103832</v>
      </c>
      <c r="O70" s="88" t="n">
        <f aca="false">IF(1_DATOS!C47&gt;=2,1_DATOS!C7*2025.4*SIN(RADIANS(210))+C10*SIN(RADIANS(D10)),"")</f>
        <v>-13036.2834764832</v>
      </c>
      <c r="P70" s="88" t="n">
        <f aca="false">IF(1_DATOS!C47&gt;=2,1_DATOS!C7*2025.4*COS(RADIANS(210))+C10*COS(RADIANS(D10)),"")</f>
        <v>-20164.6907574168</v>
      </c>
      <c r="Q70" s="88" t="str">
        <f aca="false">IF(1_DATOS!C47&gt;=3,1_DATOS!C7*2025.4*SIN(RADIANS(210))+C11*SIN(RADIANS(D11)),"")</f>
        <v/>
      </c>
      <c r="R70" s="88" t="str">
        <f aca="false">IF(1_DATOS!C47&gt;=3,1_DATOS!C7*2025.4*COS(RADIANS(210))+C11*COS(RADIANS(D11)),"")</f>
        <v/>
      </c>
    </row>
    <row r="71" customFormat="false" ht="9.75" hidden="false" customHeight="true" outlineLevel="0" collapsed="false">
      <c r="B71" s="87" t="n">
        <v>215</v>
      </c>
      <c r="C71" s="88" t="n">
        <f aca="false">500*SIN(RADIANS(215))</f>
        <v>-286.788218175523</v>
      </c>
      <c r="D71" s="88" t="n">
        <f aca="false">500*COS(RADIANS(215))</f>
        <v>-409.576022144496</v>
      </c>
      <c r="E71" s="88" t="n">
        <f aca="false">2000*SIN(RADIANS(215))</f>
        <v>-1147.15287270209</v>
      </c>
      <c r="F71" s="88" t="n">
        <f aca="false">2000*COS(RADIANS(215))</f>
        <v>-1638.30408857798</v>
      </c>
      <c r="G71" s="88" t="n">
        <f aca="false">5000*SIN(RADIANS(215))</f>
        <v>-2867.88218175523</v>
      </c>
      <c r="H71" s="88" t="n">
        <f aca="false">5000*COS(RADIANS(215))</f>
        <v>-4095.76022144496</v>
      </c>
      <c r="I71" s="88" t="n">
        <f aca="false">IF(1_DATOS!C46&gt;=1,1_DATOS!C5*2025.4*SIN(RADIANS(215))+C7*SIN(RADIANS(D7)),"")</f>
        <v>-29043.0428546352</v>
      </c>
      <c r="J71" s="88" t="n">
        <f aca="false">IF(1_DATOS!C46&gt;=1,1_DATOS!C5*2025.4*COS(RADIANS(215))+C7*COS(RADIANS(D7)),"")</f>
        <v>-44977.7637625731</v>
      </c>
      <c r="K71" s="88" t="n">
        <f aca="false">IF(1_DATOS!C46&gt;=2,1_DATOS!C5*2025.4*SIN(RADIANS(215))+C8*SIN(RADIANS(D8)),"")</f>
        <v>-27606.5582526674</v>
      </c>
      <c r="L71" s="88" t="n">
        <f aca="false">IF(1_DATOS!C46&gt;=2,1_DATOS!C5*2025.4*COS(RADIANS(215))+C8*COS(RADIANS(D8)),"")</f>
        <v>-45424.4727698739</v>
      </c>
      <c r="M71" s="88" t="n">
        <f aca="false">IF(1_DATOS!C47&gt;=1,1_DATOS!C7*2025.4*SIN(RADIANS(215))+C9*SIN(RADIANS(D9)),"")</f>
        <v>-14824.5440467081</v>
      </c>
      <c r="N71" s="88" t="n">
        <f aca="false">IF(1_DATOS!C47&gt;=1,1_DATOS!C7*2025.4*COS(RADIANS(215))+C9*COS(RADIANS(D9)),"")</f>
        <v>-20793.2100825183</v>
      </c>
      <c r="O71" s="88" t="n">
        <f aca="false">IF(1_DATOS!C47&gt;=2,1_DATOS!C7*2025.4*SIN(RADIANS(215))+C10*SIN(RADIANS(D10)),"")</f>
        <v>-14824.5440467081</v>
      </c>
      <c r="P71" s="88" t="n">
        <f aca="false">IF(1_DATOS!C47&gt;=2,1_DATOS!C7*2025.4*COS(RADIANS(215))+C10*COS(RADIANS(D10)),"")</f>
        <v>-19025.4431295519</v>
      </c>
      <c r="Q71" s="88" t="str">
        <f aca="false">IF(1_DATOS!C47&gt;=3,1_DATOS!C7*2025.4*SIN(RADIANS(215))+C11*SIN(RADIANS(D11)),"")</f>
        <v/>
      </c>
      <c r="R71" s="88" t="str">
        <f aca="false">IF(1_DATOS!C47&gt;=3,1_DATOS!C7*2025.4*COS(RADIANS(215))+C11*COS(RADIANS(D11)),"")</f>
        <v/>
      </c>
    </row>
    <row r="72" customFormat="false" ht="9.75" hidden="false" customHeight="true" outlineLevel="0" collapsed="false">
      <c r="B72" s="87" t="n">
        <v>220</v>
      </c>
      <c r="C72" s="88" t="n">
        <f aca="false">500*SIN(RADIANS(220))</f>
        <v>-321.39380484327</v>
      </c>
      <c r="D72" s="88" t="n">
        <f aca="false">500*COS(RADIANS(220))</f>
        <v>-383.022221559489</v>
      </c>
      <c r="E72" s="88" t="n">
        <f aca="false">2000*SIN(RADIANS(220))</f>
        <v>-1285.57521937308</v>
      </c>
      <c r="F72" s="88" t="n">
        <f aca="false">2000*COS(RADIANS(220))</f>
        <v>-1532.08888623796</v>
      </c>
      <c r="G72" s="88" t="n">
        <f aca="false">5000*SIN(RADIANS(220))</f>
        <v>-3213.9380484327</v>
      </c>
      <c r="H72" s="88" t="n">
        <f aca="false">5000*COS(RADIANS(220))</f>
        <v>-3830.22221559489</v>
      </c>
      <c r="I72" s="88" t="n">
        <f aca="false">IF(1_DATOS!C46&gt;=1,1_DATOS!C5*2025.4*SIN(RADIANS(220))+C7*SIN(RADIANS(D7)),"")</f>
        <v>-32547.5506164779</v>
      </c>
      <c r="J72" s="88" t="n">
        <f aca="false">IF(1_DATOS!C46&gt;=1,1_DATOS!C5*2025.4*COS(RADIANS(220))+C7*COS(RADIANS(D7)),"")</f>
        <v>-42288.6603773295</v>
      </c>
      <c r="K72" s="88" t="n">
        <f aca="false">IF(1_DATOS!C46&gt;=2,1_DATOS!C5*2025.4*SIN(RADIANS(220))+C8*SIN(RADIANS(D8)),"")</f>
        <v>-31111.0660145101</v>
      </c>
      <c r="L72" s="88" t="n">
        <f aca="false">IF(1_DATOS!C46&gt;=2,1_DATOS!C5*2025.4*COS(RADIANS(220))+C8*COS(RADIANS(D8)),"")</f>
        <v>-42735.3693846303</v>
      </c>
      <c r="M72" s="88" t="n">
        <f aca="false">IF(1_DATOS!C47&gt;=1,1_DATOS!C7*2025.4*SIN(RADIANS(220))+C9*SIN(RADIANS(D9)),"")</f>
        <v>-16506.7077723926</v>
      </c>
      <c r="N72" s="88" t="n">
        <f aca="false">IF(1_DATOS!C47&gt;=1,1_DATOS!C7*2025.4*COS(RADIANS(220))+C9*COS(RADIANS(D9)),"")</f>
        <v>-19502.4404576013</v>
      </c>
      <c r="O72" s="88" t="n">
        <f aca="false">IF(1_DATOS!C47&gt;=2,1_DATOS!C7*2025.4*SIN(RADIANS(220))+C10*SIN(RADIANS(D10)),"")</f>
        <v>-16506.7077723926</v>
      </c>
      <c r="P72" s="88" t="n">
        <f aca="false">IF(1_DATOS!C47&gt;=2,1_DATOS!C7*2025.4*COS(RADIANS(220))+C10*COS(RADIANS(D10)),"")</f>
        <v>-17734.673504635</v>
      </c>
      <c r="Q72" s="88" t="str">
        <f aca="false">IF(1_DATOS!C47&gt;=3,1_DATOS!C7*2025.4*SIN(RADIANS(220))+C11*SIN(RADIANS(D11)),"")</f>
        <v/>
      </c>
      <c r="R72" s="88" t="str">
        <f aca="false">IF(1_DATOS!C47&gt;=3,1_DATOS!C7*2025.4*COS(RADIANS(220))+C11*COS(RADIANS(D11)),"")</f>
        <v/>
      </c>
    </row>
    <row r="73" customFormat="false" ht="9.75" hidden="false" customHeight="true" outlineLevel="0" collapsed="false">
      <c r="B73" s="87" t="n">
        <v>225</v>
      </c>
      <c r="C73" s="88" t="n">
        <f aca="false">500*SIN(RADIANS(225))</f>
        <v>-353.553390593274</v>
      </c>
      <c r="D73" s="88" t="n">
        <f aca="false">500*COS(RADIANS(225))</f>
        <v>-353.553390593274</v>
      </c>
      <c r="E73" s="88" t="n">
        <f aca="false">2000*SIN(RADIANS(225))</f>
        <v>-1414.21356237309</v>
      </c>
      <c r="F73" s="88" t="n">
        <f aca="false">2000*COS(RADIANS(225))</f>
        <v>-1414.2135623731</v>
      </c>
      <c r="G73" s="88" t="n">
        <f aca="false">5000*SIN(RADIANS(225))</f>
        <v>-3535.53390593274</v>
      </c>
      <c r="H73" s="88" t="n">
        <f aca="false">5000*COS(RADIANS(225))</f>
        <v>-3535.53390593274</v>
      </c>
      <c r="I73" s="88" t="n">
        <f aca="false">IF(1_DATOS!C46&gt;=1,1_DATOS!C5*2025.4*SIN(RADIANS(225))+C7*SIN(RADIANS(D7)),"")</f>
        <v>-35804.3518653808</v>
      </c>
      <c r="J73" s="88" t="n">
        <f aca="false">IF(1_DATOS!C46&gt;=1,1_DATOS!C5*2025.4*COS(RADIANS(225))+C7*COS(RADIANS(D7)),"")</f>
        <v>-39304.3518653808</v>
      </c>
      <c r="K73" s="88" t="n">
        <f aca="false">IF(1_DATOS!C46&gt;=2,1_DATOS!C5*2025.4*SIN(RADIANS(225))+C8*SIN(RADIANS(D8)),"")</f>
        <v>-34367.867263413</v>
      </c>
      <c r="L73" s="88" t="n">
        <f aca="false">IF(1_DATOS!C46&gt;=2,1_DATOS!C5*2025.4*COS(RADIANS(225))+C8*COS(RADIANS(D8)),"")</f>
        <v>-39751.0608726817</v>
      </c>
      <c r="M73" s="88" t="n">
        <f aca="false">IF(1_DATOS!C47&gt;=1,1_DATOS!C7*2025.4*SIN(RADIANS(225))+C9*SIN(RADIANS(D9)),"")</f>
        <v>-18069.972371866</v>
      </c>
      <c r="N73" s="88" t="n">
        <f aca="false">IF(1_DATOS!C47&gt;=1,1_DATOS!C7*2025.4*COS(RADIANS(225))+C9*COS(RADIANS(D9)),"")</f>
        <v>-18069.972371866</v>
      </c>
      <c r="O73" s="88" t="n">
        <f aca="false">IF(1_DATOS!C47&gt;=2,1_DATOS!C7*2025.4*SIN(RADIANS(225))+C10*SIN(RADIANS(D10)),"")</f>
        <v>-18069.972371866</v>
      </c>
      <c r="P73" s="88" t="n">
        <f aca="false">IF(1_DATOS!C47&gt;=2,1_DATOS!C7*2025.4*COS(RADIANS(225))+C10*COS(RADIANS(D10)),"")</f>
        <v>-16302.2054188996</v>
      </c>
      <c r="Q73" s="88" t="str">
        <f aca="false">IF(1_DATOS!C47&gt;=3,1_DATOS!C7*2025.4*SIN(RADIANS(225))+C11*SIN(RADIANS(D11)),"")</f>
        <v/>
      </c>
      <c r="R73" s="88" t="str">
        <f aca="false">IF(1_DATOS!C47&gt;=3,1_DATOS!C7*2025.4*COS(RADIANS(225))+C11*COS(RADIANS(D11)),"")</f>
        <v/>
      </c>
    </row>
    <row r="74" customFormat="false" ht="9.75" hidden="false" customHeight="true" outlineLevel="0" collapsed="false">
      <c r="B74" s="87" t="n">
        <v>230</v>
      </c>
      <c r="C74" s="88" t="n">
        <f aca="false">500*SIN(RADIANS(230))</f>
        <v>-383.022221559489</v>
      </c>
      <c r="D74" s="88" t="n">
        <f aca="false">500*COS(RADIANS(230))</f>
        <v>-321.39380484327</v>
      </c>
      <c r="E74" s="88" t="n">
        <f aca="false">2000*SIN(RADIANS(230))</f>
        <v>-1532.08888623796</v>
      </c>
      <c r="F74" s="88" t="n">
        <f aca="false">2000*COS(RADIANS(230))</f>
        <v>-1285.57521937308</v>
      </c>
      <c r="G74" s="88" t="n">
        <f aca="false">5000*SIN(RADIANS(230))</f>
        <v>-3830.22221559489</v>
      </c>
      <c r="H74" s="88" t="n">
        <f aca="false">5000*COS(RADIANS(230))</f>
        <v>-3213.9380484327</v>
      </c>
      <c r="I74" s="88" t="n">
        <f aca="false">IF(1_DATOS!C46&gt;=1,1_DATOS!C5*2025.4*SIN(RADIANS(230))+C7*SIN(RADIANS(D7)),"")</f>
        <v>-38788.6603773295</v>
      </c>
      <c r="J74" s="88" t="n">
        <f aca="false">IF(1_DATOS!C46&gt;=1,1_DATOS!C5*2025.4*COS(RADIANS(230))+C7*COS(RADIANS(D7)),"")</f>
        <v>-36047.5506164779</v>
      </c>
      <c r="K74" s="88" t="n">
        <f aca="false">IF(1_DATOS!C46&gt;=2,1_DATOS!C5*2025.4*SIN(RADIANS(230))+C8*SIN(RADIANS(D8)),"")</f>
        <v>-37352.1757753616</v>
      </c>
      <c r="L74" s="88" t="n">
        <f aca="false">IF(1_DATOS!C46&gt;=2,1_DATOS!C5*2025.4*COS(RADIANS(230))+C8*COS(RADIANS(D8)),"")</f>
        <v>-36494.2596237787</v>
      </c>
      <c r="M74" s="88" t="n">
        <f aca="false">IF(1_DATOS!C47&gt;=1,1_DATOS!C7*2025.4*SIN(RADIANS(230))+C9*SIN(RADIANS(D9)),"")</f>
        <v>-19502.4404576013</v>
      </c>
      <c r="N74" s="88" t="n">
        <f aca="false">IF(1_DATOS!C47&gt;=1,1_DATOS!C7*2025.4*COS(RADIANS(230))+C9*COS(RADIANS(D9)),"")</f>
        <v>-16506.7077723926</v>
      </c>
      <c r="O74" s="88" t="n">
        <f aca="false">IF(1_DATOS!C47&gt;=2,1_DATOS!C7*2025.4*SIN(RADIANS(230))+C10*SIN(RADIANS(D10)),"")</f>
        <v>-19502.4404576013</v>
      </c>
      <c r="P74" s="88" t="n">
        <f aca="false">IF(1_DATOS!C47&gt;=2,1_DATOS!C7*2025.4*COS(RADIANS(230))+C10*COS(RADIANS(D10)),"")</f>
        <v>-14738.9408194262</v>
      </c>
      <c r="Q74" s="88" t="str">
        <f aca="false">IF(1_DATOS!C47&gt;=3,1_DATOS!C7*2025.4*SIN(RADIANS(230))+C11*SIN(RADIANS(D11)),"")</f>
        <v/>
      </c>
      <c r="R74" s="88" t="str">
        <f aca="false">IF(1_DATOS!C47&gt;=3,1_DATOS!C7*2025.4*COS(RADIANS(230))+C11*COS(RADIANS(D11)),"")</f>
        <v/>
      </c>
    </row>
    <row r="75" customFormat="false" ht="9.75" hidden="false" customHeight="true" outlineLevel="0" collapsed="false">
      <c r="B75" s="87" t="n">
        <v>235</v>
      </c>
      <c r="C75" s="88" t="n">
        <f aca="false">500*SIN(RADIANS(235))</f>
        <v>-409.576022144496</v>
      </c>
      <c r="D75" s="88" t="n">
        <f aca="false">500*COS(RADIANS(235))</f>
        <v>-286.788218175523</v>
      </c>
      <c r="E75" s="88" t="n">
        <f aca="false">2000*SIN(RADIANS(235))</f>
        <v>-1638.30408857798</v>
      </c>
      <c r="F75" s="88" t="n">
        <f aca="false">2000*COS(RADIANS(235))</f>
        <v>-1147.15287270209</v>
      </c>
      <c r="G75" s="88" t="n">
        <f aca="false">5000*SIN(RADIANS(235))</f>
        <v>-4095.76022144496</v>
      </c>
      <c r="H75" s="88" t="n">
        <f aca="false">5000*COS(RADIANS(235))</f>
        <v>-2867.88218175523</v>
      </c>
      <c r="I75" s="88" t="n">
        <f aca="false">IF(1_DATOS!C46&gt;=1,1_DATOS!C5*2025.4*SIN(RADIANS(235))+C7*SIN(RADIANS(D7)),"")</f>
        <v>-41477.7637625731</v>
      </c>
      <c r="J75" s="88" t="n">
        <f aca="false">IF(1_DATOS!C46&gt;=1,1_DATOS!C5*2025.4*COS(RADIANS(235))+C7*COS(RADIANS(D7)),"")</f>
        <v>-32543.0428546352</v>
      </c>
      <c r="K75" s="88" t="n">
        <f aca="false">IF(1_DATOS!C46&gt;=2,1_DATOS!C5*2025.4*SIN(RADIANS(235))+C8*SIN(RADIANS(D8)),"")</f>
        <v>-40041.2791606053</v>
      </c>
      <c r="L75" s="88" t="n">
        <f aca="false">IF(1_DATOS!C46&gt;=2,1_DATOS!C5*2025.4*COS(RADIANS(235))+C8*COS(RADIANS(D8)),"")</f>
        <v>-32989.7518619361</v>
      </c>
      <c r="M75" s="88" t="n">
        <f aca="false">IF(1_DATOS!C47&gt;=1,1_DATOS!C7*2025.4*SIN(RADIANS(235))+C9*SIN(RADIANS(D9)),"")</f>
        <v>-20793.2100825183</v>
      </c>
      <c r="N75" s="88" t="n">
        <f aca="false">IF(1_DATOS!C47&gt;=1,1_DATOS!C7*2025.4*COS(RADIANS(235))+C9*COS(RADIANS(D9)),"")</f>
        <v>-14824.5440467081</v>
      </c>
      <c r="O75" s="88" t="n">
        <f aca="false">IF(1_DATOS!C47&gt;=2,1_DATOS!C7*2025.4*SIN(RADIANS(235))+C10*SIN(RADIANS(D10)),"")</f>
        <v>-20793.2100825183</v>
      </c>
      <c r="P75" s="88" t="n">
        <f aca="false">IF(1_DATOS!C47&gt;=2,1_DATOS!C7*2025.4*COS(RADIANS(235))+C10*COS(RADIANS(D10)),"")</f>
        <v>-13056.7770937417</v>
      </c>
      <c r="Q75" s="88" t="str">
        <f aca="false">IF(1_DATOS!C47&gt;=3,1_DATOS!C7*2025.4*SIN(RADIANS(235))+C11*SIN(RADIANS(D11)),"")</f>
        <v/>
      </c>
      <c r="R75" s="88" t="str">
        <f aca="false">IF(1_DATOS!C47&gt;=3,1_DATOS!C7*2025.4*COS(RADIANS(235))+C11*COS(RADIANS(D11)),"")</f>
        <v/>
      </c>
    </row>
    <row r="76" customFormat="false" ht="9.75" hidden="false" customHeight="true" outlineLevel="0" collapsed="false">
      <c r="B76" s="87" t="n">
        <v>240</v>
      </c>
      <c r="C76" s="88" t="n">
        <f aca="false">500*SIN(RADIANS(240))</f>
        <v>-433.012701892219</v>
      </c>
      <c r="D76" s="88" t="n">
        <f aca="false">500*COS(RADIANS(240))</f>
        <v>-250</v>
      </c>
      <c r="E76" s="88" t="n">
        <f aca="false">2000*SIN(RADIANS(240))</f>
        <v>-1732.05080756888</v>
      </c>
      <c r="F76" s="88" t="n">
        <f aca="false">2000*COS(RADIANS(240))</f>
        <v>-1000</v>
      </c>
      <c r="G76" s="88" t="n">
        <f aca="false">5000*SIN(RADIANS(240))</f>
        <v>-4330.12701892219</v>
      </c>
      <c r="H76" s="88" t="n">
        <f aca="false">5000*COS(RADIANS(240))</f>
        <v>-2500</v>
      </c>
      <c r="I76" s="88" t="n">
        <f aca="false">IF(1_DATOS!C46&gt;=1,1_DATOS!C5*2025.4*SIN(RADIANS(240))+C7*SIN(RADIANS(D7)),"")</f>
        <v>-43851.196320625</v>
      </c>
      <c r="J76" s="88" t="n">
        <f aca="false">IF(1_DATOS!C46&gt;=1,1_DATOS!C5*2025.4*COS(RADIANS(240))+C7*COS(RADIANS(D7)),"")</f>
        <v>-28817.5</v>
      </c>
      <c r="K76" s="88" t="n">
        <f aca="false">IF(1_DATOS!C46&gt;=2,1_DATOS!C5*2025.4*SIN(RADIANS(240))+C8*SIN(RADIANS(D8)),"")</f>
        <v>-42414.7117186572</v>
      </c>
      <c r="L76" s="88" t="n">
        <f aca="false">IF(1_DATOS!C46&gt;=2,1_DATOS!C5*2025.4*COS(RADIANS(240))+C8*COS(RADIANS(D8)),"")</f>
        <v>-29264.2090073008</v>
      </c>
      <c r="M76" s="88" t="n">
        <f aca="false">IF(1_DATOS!C47&gt;=1,1_DATOS!C7*2025.4*SIN(RADIANS(240))+C9*SIN(RADIANS(D9)),"")</f>
        <v>-21932.4577103832</v>
      </c>
      <c r="N76" s="88" t="n">
        <f aca="false">IF(1_DATOS!C47&gt;=1,1_DATOS!C7*2025.4*COS(RADIANS(240))+C9*COS(RADIANS(D9)),"")</f>
        <v>-13036.2834764832</v>
      </c>
      <c r="O76" s="88" t="n">
        <f aca="false">IF(1_DATOS!C47&gt;=2,1_DATOS!C7*2025.4*SIN(RADIANS(240))+C10*SIN(RADIANS(D10)),"")</f>
        <v>-21932.4577103832</v>
      </c>
      <c r="P76" s="88" t="n">
        <f aca="false">IF(1_DATOS!C47&gt;=2,1_DATOS!C7*2025.4*COS(RADIANS(240))+C10*COS(RADIANS(D10)),"")</f>
        <v>-11268.5165235168</v>
      </c>
      <c r="Q76" s="88" t="str">
        <f aca="false">IF(1_DATOS!C47&gt;=3,1_DATOS!C7*2025.4*SIN(RADIANS(240))+C11*SIN(RADIANS(D11)),"")</f>
        <v/>
      </c>
      <c r="R76" s="88" t="str">
        <f aca="false">IF(1_DATOS!C47&gt;=3,1_DATOS!C7*2025.4*COS(RADIANS(240))+C11*COS(RADIANS(D11)),"")</f>
        <v/>
      </c>
    </row>
    <row r="77" customFormat="false" ht="9.75" hidden="false" customHeight="true" outlineLevel="0" collapsed="false">
      <c r="B77" s="87" t="n">
        <v>245</v>
      </c>
      <c r="C77" s="88" t="n">
        <f aca="false">500*SIN(RADIANS(245))</f>
        <v>-453.153893518325</v>
      </c>
      <c r="D77" s="88" t="n">
        <f aca="false">500*COS(RADIANS(245))</f>
        <v>-211.30913087035</v>
      </c>
      <c r="E77" s="88" t="n">
        <f aca="false">2000*SIN(RADIANS(245))</f>
        <v>-1812.6155740733</v>
      </c>
      <c r="F77" s="88" t="n">
        <f aca="false">2000*COS(RADIANS(245))</f>
        <v>-845.236523481398</v>
      </c>
      <c r="G77" s="88" t="n">
        <f aca="false">5000*SIN(RADIANS(245))</f>
        <v>-4531.53893518325</v>
      </c>
      <c r="H77" s="88" t="n">
        <f aca="false">5000*COS(RADIANS(245))</f>
        <v>-2113.0913087035</v>
      </c>
      <c r="I77" s="88" t="n">
        <f aca="false">IF(1_DATOS!C46&gt;=1,1_DATOS!C5*2025.4*SIN(RADIANS(245))+C7*SIN(RADIANS(D7)),"")</f>
        <v>-45890.8947966008</v>
      </c>
      <c r="J77" s="88" t="n">
        <f aca="false">IF(1_DATOS!C46&gt;=1,1_DATOS!C5*2025.4*COS(RADIANS(245))+C7*COS(RADIANS(D7)),"")</f>
        <v>-24899.2756832403</v>
      </c>
      <c r="K77" s="88" t="n">
        <f aca="false">IF(1_DATOS!C46&gt;=2,1_DATOS!C5*2025.4*SIN(RADIANS(245))+C8*SIN(RADIANS(D8)),"")</f>
        <v>-44454.410194633</v>
      </c>
      <c r="L77" s="88" t="n">
        <f aca="false">IF(1_DATOS!C46&gt;=2,1_DATOS!C5*2025.4*COS(RADIANS(245))+C8*COS(RADIANS(D8)),"")</f>
        <v>-25345.9846905411</v>
      </c>
      <c r="M77" s="88" t="n">
        <f aca="false">IF(1_DATOS!C47&gt;=1,1_DATOS!C7*2025.4*SIN(RADIANS(245))+C9*SIN(RADIANS(D9)),"")</f>
        <v>-22911.5129788516</v>
      </c>
      <c r="N77" s="88" t="n">
        <f aca="false">IF(1_DATOS!C47&gt;=1,1_DATOS!C7*2025.4*COS(RADIANS(245))+C9*COS(RADIANS(D9)),"")</f>
        <v>-11155.5358044385</v>
      </c>
      <c r="O77" s="88" t="n">
        <f aca="false">IF(1_DATOS!C47&gt;=2,1_DATOS!C7*2025.4*SIN(RADIANS(245))+C10*SIN(RADIANS(D10)),"")</f>
        <v>-22911.5129788516</v>
      </c>
      <c r="P77" s="88" t="n">
        <f aca="false">IF(1_DATOS!C47&gt;=2,1_DATOS!C7*2025.4*COS(RADIANS(245))+C10*COS(RADIANS(D10)),"")</f>
        <v>-9387.76885147216</v>
      </c>
      <c r="Q77" s="88" t="str">
        <f aca="false">IF(1_DATOS!C47&gt;=3,1_DATOS!C7*2025.4*SIN(RADIANS(245))+C11*SIN(RADIANS(D11)),"")</f>
        <v/>
      </c>
      <c r="R77" s="88" t="str">
        <f aca="false">IF(1_DATOS!C47&gt;=3,1_DATOS!C7*2025.4*COS(RADIANS(245))+C11*COS(RADIANS(D11)),"")</f>
        <v/>
      </c>
    </row>
    <row r="78" customFormat="false" ht="9.75" hidden="false" customHeight="true" outlineLevel="0" collapsed="false">
      <c r="B78" s="87" t="n">
        <v>250</v>
      </c>
      <c r="C78" s="88" t="n">
        <f aca="false">500*SIN(RADIANS(250))</f>
        <v>-469.846310392954</v>
      </c>
      <c r="D78" s="88" t="n">
        <f aca="false">500*COS(RADIANS(250))</f>
        <v>-171.010071662835</v>
      </c>
      <c r="E78" s="88" t="n">
        <f aca="false">2000*SIN(RADIANS(250))</f>
        <v>-1879.38524157182</v>
      </c>
      <c r="F78" s="88" t="n">
        <f aca="false">2000*COS(RADIANS(250))</f>
        <v>-684.040286651339</v>
      </c>
      <c r="G78" s="88" t="n">
        <f aca="false">5000*SIN(RADIANS(250))</f>
        <v>-4698.46310392954</v>
      </c>
      <c r="H78" s="88" t="n">
        <f aca="false">5000*COS(RADIANS(250))</f>
        <v>-1710.10071662835</v>
      </c>
      <c r="I78" s="88" t="n">
        <f aca="false">IF(1_DATOS!C46&gt;=1,1_DATOS!C5*2025.4*SIN(RADIANS(250))+C7*SIN(RADIANS(D7)),"")</f>
        <v>-47581.3358534945</v>
      </c>
      <c r="J78" s="88" t="n">
        <f aca="false">IF(1_DATOS!C46&gt;=1,1_DATOS!C5*2025.4*COS(RADIANS(250))+C7*COS(RADIANS(D7)),"")</f>
        <v>-20818.1899572953</v>
      </c>
      <c r="K78" s="88" t="n">
        <f aca="false">IF(1_DATOS!C46&gt;=2,1_DATOS!C5*2025.4*SIN(RADIANS(250))+C8*SIN(RADIANS(D8)),"")</f>
        <v>-46144.8512515267</v>
      </c>
      <c r="L78" s="88" t="n">
        <f aca="false">IF(1_DATOS!C46&gt;=2,1_DATOS!C5*2025.4*COS(RADIANS(250))+C8*COS(RADIANS(D8)),"")</f>
        <v>-21264.8989645961</v>
      </c>
      <c r="M78" s="88" t="n">
        <f aca="false">IF(1_DATOS!C47&gt;=1,1_DATOS!C7*2025.4*SIN(RADIANS(250))+C9*SIN(RADIANS(D9)),"")</f>
        <v>-23722.9246861605</v>
      </c>
      <c r="N78" s="88" t="n">
        <f aca="false">IF(1_DATOS!C47&gt;=1,1_DATOS!C7*2025.4*COS(RADIANS(250))+C9*COS(RADIANS(D9)),"")</f>
        <v>-9196.61465598492</v>
      </c>
      <c r="O78" s="88" t="n">
        <f aca="false">IF(1_DATOS!C47&gt;=2,1_DATOS!C7*2025.4*SIN(RADIANS(250))+C10*SIN(RADIANS(D10)),"")</f>
        <v>-23722.9246861605</v>
      </c>
      <c r="P78" s="88" t="n">
        <f aca="false">IF(1_DATOS!C47&gt;=2,1_DATOS!C7*2025.4*COS(RADIANS(250))+C10*COS(RADIANS(D10)),"")</f>
        <v>-7428.84770301855</v>
      </c>
      <c r="Q78" s="88" t="str">
        <f aca="false">IF(1_DATOS!C47&gt;=3,1_DATOS!C7*2025.4*SIN(RADIANS(250))+C11*SIN(RADIANS(D11)),"")</f>
        <v/>
      </c>
      <c r="R78" s="88" t="str">
        <f aca="false">IF(1_DATOS!C47&gt;=3,1_DATOS!C7*2025.4*COS(RADIANS(250))+C11*COS(RADIANS(D11)),"")</f>
        <v/>
      </c>
    </row>
    <row r="79" customFormat="false" ht="9.75" hidden="false" customHeight="true" outlineLevel="0" collapsed="false">
      <c r="B79" s="87" t="n">
        <v>255</v>
      </c>
      <c r="C79" s="88" t="n">
        <f aca="false">500*SIN(RADIANS(255))</f>
        <v>-482.962913144534</v>
      </c>
      <c r="D79" s="88" t="n">
        <f aca="false">500*COS(RADIANS(255))</f>
        <v>-129.40952255126</v>
      </c>
      <c r="E79" s="88" t="n">
        <f aca="false">2000*SIN(RADIANS(255))</f>
        <v>-1931.85165257814</v>
      </c>
      <c r="F79" s="88" t="n">
        <f aca="false">2000*COS(RADIANS(255))</f>
        <v>-517.638090205041</v>
      </c>
      <c r="G79" s="88" t="n">
        <f aca="false">5000*SIN(RADIANS(255))</f>
        <v>-4829.62913144534</v>
      </c>
      <c r="H79" s="88" t="n">
        <f aca="false">5000*COS(RADIANS(255))</f>
        <v>-1294.0952255126</v>
      </c>
      <c r="I79" s="88" t="n">
        <f aca="false">IF(1_DATOS!C46&gt;=1,1_DATOS!C5*2025.4*SIN(RADIANS(255))+C7*SIN(RADIANS(D7)),"")</f>
        <v>-48909.654214147</v>
      </c>
      <c r="J79" s="88" t="n">
        <f aca="false">IF(1_DATOS!C46&gt;=1,1_DATOS!C5*2025.4*COS(RADIANS(255))+C7*COS(RADIANS(D7)),"")</f>
        <v>-16605.3023487661</v>
      </c>
      <c r="K79" s="88" t="n">
        <f aca="false">IF(1_DATOS!C46&gt;=2,1_DATOS!C5*2025.4*SIN(RADIANS(255))+C8*SIN(RADIANS(D8)),"")</f>
        <v>-47473.1696121792</v>
      </c>
      <c r="L79" s="88" t="n">
        <f aca="false">IF(1_DATOS!C46&gt;=2,1_DATOS!C5*2025.4*COS(RADIANS(255))+C8*COS(RADIANS(D8)),"")</f>
        <v>-17052.011356067</v>
      </c>
      <c r="M79" s="88" t="n">
        <f aca="false">IF(1_DATOS!C47&gt;=1,1_DATOS!C7*2025.4*SIN(RADIANS(255))+C9*SIN(RADIANS(D9)),"")</f>
        <v>-24360.5174992737</v>
      </c>
      <c r="N79" s="88" t="n">
        <f aca="false">IF(1_DATOS!C47&gt;=1,1_DATOS!C7*2025.4*COS(RADIANS(255))+C9*COS(RADIANS(D9)),"")</f>
        <v>-7174.42860389093</v>
      </c>
      <c r="O79" s="88" t="n">
        <f aca="false">IF(1_DATOS!C47&gt;=2,1_DATOS!C7*2025.4*SIN(RADIANS(255))+C10*SIN(RADIANS(D10)),"")</f>
        <v>-24360.5174992737</v>
      </c>
      <c r="P79" s="88" t="n">
        <f aca="false">IF(1_DATOS!C47&gt;=2,1_DATOS!C7*2025.4*COS(RADIANS(255))+C10*COS(RADIANS(D10)),"")</f>
        <v>-5406.66165092456</v>
      </c>
      <c r="Q79" s="88" t="str">
        <f aca="false">IF(1_DATOS!C47&gt;=3,1_DATOS!C7*2025.4*SIN(RADIANS(255))+C11*SIN(RADIANS(D11)),"")</f>
        <v/>
      </c>
      <c r="R79" s="88" t="str">
        <f aca="false">IF(1_DATOS!C47&gt;=3,1_DATOS!C7*2025.4*COS(RADIANS(255))+C11*COS(RADIANS(D11)),"")</f>
        <v/>
      </c>
    </row>
    <row r="80" customFormat="false" ht="9.75" hidden="false" customHeight="true" outlineLevel="0" collapsed="false">
      <c r="B80" s="87" t="n">
        <v>260</v>
      </c>
      <c r="C80" s="88" t="n">
        <f aca="false">500*SIN(RADIANS(260))</f>
        <v>-492.403876506104</v>
      </c>
      <c r="D80" s="88" t="n">
        <f aca="false">500*COS(RADIANS(260))</f>
        <v>-86.8240888334652</v>
      </c>
      <c r="E80" s="88" t="n">
        <f aca="false">2000*SIN(RADIANS(260))</f>
        <v>-1969.61550602442</v>
      </c>
      <c r="F80" s="88" t="n">
        <f aca="false">2000*COS(RADIANS(260))</f>
        <v>-347.296355333861</v>
      </c>
      <c r="G80" s="88" t="n">
        <f aca="false">5000*SIN(RADIANS(260))</f>
        <v>-4924.03876506104</v>
      </c>
      <c r="H80" s="88" t="n">
        <f aca="false">5000*COS(RADIANS(260))</f>
        <v>-868.240888334652</v>
      </c>
      <c r="I80" s="88" t="n">
        <f aca="false">IF(1_DATOS!C46&gt;=1,1_DATOS!C5*2025.4*SIN(RADIANS(260))+C7*SIN(RADIANS(D7)),"")</f>
        <v>-49865.7405737732</v>
      </c>
      <c r="J80" s="88" t="n">
        <f aca="false">IF(1_DATOS!C46&gt;=1,1_DATOS!C5*2025.4*COS(RADIANS(260))+C7*COS(RADIANS(D7)),"")</f>
        <v>-12292.675476165</v>
      </c>
      <c r="K80" s="88" t="n">
        <f aca="false">IF(1_DATOS!C46&gt;=2,1_DATOS!C5*2025.4*SIN(RADIANS(260))+C8*SIN(RADIANS(D8)),"")</f>
        <v>-48429.2559718053</v>
      </c>
      <c r="L80" s="88" t="n">
        <f aca="false">IF(1_DATOS!C46&gt;=2,1_DATOS!C5*2025.4*COS(RADIANS(260))+C8*COS(RADIANS(D8)),"")</f>
        <v>-12739.3844834658</v>
      </c>
      <c r="M80" s="88" t="n">
        <f aca="false">IF(1_DATOS!C47&gt;=1,1_DATOS!C7*2025.4*SIN(RADIANS(260))+C9*SIN(RADIANS(D9)),"")</f>
        <v>-24819.4389518943</v>
      </c>
      <c r="N80" s="88" t="n">
        <f aca="false">IF(1_DATOS!C47&gt;=1,1_DATOS!C7*2025.4*COS(RADIANS(260))+C9*COS(RADIANS(D9)),"")</f>
        <v>-5104.36770504239</v>
      </c>
      <c r="O80" s="88" t="n">
        <f aca="false">IF(1_DATOS!C47&gt;=2,1_DATOS!C7*2025.4*SIN(RADIANS(260))+C10*SIN(RADIANS(D10)),"")</f>
        <v>-24819.4389518943</v>
      </c>
      <c r="P80" s="88" t="n">
        <f aca="false">IF(1_DATOS!C47&gt;=2,1_DATOS!C7*2025.4*COS(RADIANS(260))+C10*COS(RADIANS(D10)),"")</f>
        <v>-3336.60075207602</v>
      </c>
      <c r="Q80" s="88" t="str">
        <f aca="false">IF(1_DATOS!C47&gt;=3,1_DATOS!C7*2025.4*SIN(RADIANS(260))+C11*SIN(RADIANS(D11)),"")</f>
        <v/>
      </c>
      <c r="R80" s="88" t="str">
        <f aca="false">IF(1_DATOS!C47&gt;=3,1_DATOS!C7*2025.4*COS(RADIANS(260))+C11*COS(RADIANS(D11)),"")</f>
        <v/>
      </c>
    </row>
    <row r="81" customFormat="false" ht="9.75" hidden="false" customHeight="true" outlineLevel="0" collapsed="false">
      <c r="B81" s="87" t="n">
        <v>265</v>
      </c>
      <c r="C81" s="88" t="n">
        <f aca="false">500*SIN(RADIANS(265))</f>
        <v>-498.097349045873</v>
      </c>
      <c r="D81" s="88" t="n">
        <f aca="false">500*COS(RADIANS(265))</f>
        <v>-43.5778713738291</v>
      </c>
      <c r="E81" s="88" t="n">
        <f aca="false">2000*SIN(RADIANS(265))</f>
        <v>-1992.38939618349</v>
      </c>
      <c r="F81" s="88" t="n">
        <f aca="false">2000*COS(RADIANS(265))</f>
        <v>-174.311485495317</v>
      </c>
      <c r="G81" s="88" t="n">
        <f aca="false">5000*SIN(RADIANS(265))</f>
        <v>-4980.97349045873</v>
      </c>
      <c r="H81" s="88" t="n">
        <f aca="false">5000*COS(RADIANS(265))</f>
        <v>-435.778713738291</v>
      </c>
      <c r="I81" s="88" t="n">
        <f aca="false">IF(1_DATOS!C46&gt;=1,1_DATOS!C5*2025.4*SIN(RADIANS(265))+C7*SIN(RADIANS(D7)),"")</f>
        <v>-50442.3185378755</v>
      </c>
      <c r="J81" s="88" t="n">
        <f aca="false">IF(1_DATOS!C46&gt;=1,1_DATOS!C5*2025.4*COS(RADIANS(265))+C7*COS(RADIANS(D7)),"")</f>
        <v>-7913.13103402768</v>
      </c>
      <c r="K81" s="88" t="n">
        <f aca="false">IF(1_DATOS!C46&gt;=2,1_DATOS!C5*2025.4*SIN(RADIANS(265))+C8*SIN(RADIANS(D8)),"")</f>
        <v>-49005.8339359077</v>
      </c>
      <c r="L81" s="88" t="n">
        <f aca="false">IF(1_DATOS!C46&gt;=2,1_DATOS!C5*2025.4*COS(RADIANS(265))+C8*COS(RADIANS(D8)),"")</f>
        <v>-8359.84004132849</v>
      </c>
      <c r="M81" s="88" t="n">
        <f aca="false">IF(1_DATOS!C47&gt;=1,1_DATOS!C7*2025.4*SIN(RADIANS(265))+C9*SIN(RADIANS(D9)),"")</f>
        <v>-25096.1963746634</v>
      </c>
      <c r="N81" s="88" t="n">
        <f aca="false">IF(1_DATOS!C47&gt;=1,1_DATOS!C7*2025.4*COS(RADIANS(265))+C9*COS(RADIANS(D9)),"")</f>
        <v>-3002.18637281647</v>
      </c>
      <c r="O81" s="88" t="n">
        <f aca="false">IF(1_DATOS!C47&gt;=2,1_DATOS!C7*2025.4*SIN(RADIANS(265))+C10*SIN(RADIANS(D10)),"")</f>
        <v>-25096.1963746634</v>
      </c>
      <c r="P81" s="88" t="n">
        <f aca="false">IF(1_DATOS!C47&gt;=2,1_DATOS!C7*2025.4*COS(RADIANS(265))+C10*COS(RADIANS(D10)),"")</f>
        <v>-1234.4194198501</v>
      </c>
      <c r="Q81" s="88" t="str">
        <f aca="false">IF(1_DATOS!C47&gt;=3,1_DATOS!C7*2025.4*SIN(RADIANS(265))+C11*SIN(RADIANS(D11)),"")</f>
        <v/>
      </c>
      <c r="R81" s="88" t="str">
        <f aca="false">IF(1_DATOS!C47&gt;=3,1_DATOS!C7*2025.4*COS(RADIANS(265))+C11*COS(RADIANS(D11)),"")</f>
        <v/>
      </c>
    </row>
    <row r="82" customFormat="false" ht="9.75" hidden="false" customHeight="true" outlineLevel="0" collapsed="false">
      <c r="B82" s="87" t="n">
        <v>270</v>
      </c>
      <c r="C82" s="88" t="n">
        <f aca="false">500*SIN(RADIANS(270))</f>
        <v>-500</v>
      </c>
      <c r="D82" s="88" t="n">
        <f aca="false">500*COS(RADIANS(270))</f>
        <v>-9.18485099360515E-014</v>
      </c>
      <c r="E82" s="88" t="n">
        <f aca="false">2000*SIN(RADIANS(270))</f>
        <v>-2000</v>
      </c>
      <c r="F82" s="88" t="n">
        <f aca="false">2000*COS(RADIANS(270))</f>
        <v>-3.67394039744206E-013</v>
      </c>
      <c r="G82" s="88" t="n">
        <f aca="false">5000*SIN(RADIANS(270))</f>
        <v>-5000</v>
      </c>
      <c r="H82" s="88" t="n">
        <f aca="false">5000*COS(RADIANS(270))</f>
        <v>-9.18485099360515E-013</v>
      </c>
      <c r="I82" s="88" t="n">
        <f aca="false">IF(1_DATOS!C46&gt;=1,1_DATOS!C5*2025.4*SIN(RADIANS(270))+C7*SIN(RADIANS(D7)),"")</f>
        <v>-50635</v>
      </c>
      <c r="J82" s="88" t="n">
        <f aca="false">IF(1_DATOS!C46&gt;=1,1_DATOS!C5*2025.4*COS(RADIANS(270))+C7*COS(RADIANS(D7)),"")</f>
        <v>-3500.00000000001</v>
      </c>
      <c r="K82" s="88" t="n">
        <f aca="false">IF(1_DATOS!C46&gt;=2,1_DATOS!C5*2025.4*SIN(RADIANS(270))+C8*SIN(RADIANS(D8)),"")</f>
        <v>-49198.5153980322</v>
      </c>
      <c r="L82" s="88" t="n">
        <f aca="false">IF(1_DATOS!C46&gt;=2,1_DATOS!C5*2025.4*COS(RADIANS(270))+C8*COS(RADIANS(D8)),"")</f>
        <v>-3946.70900730082</v>
      </c>
      <c r="M82" s="88" t="n">
        <f aca="false">IF(1_DATOS!C47&gt;=1,1_DATOS!C7*2025.4*SIN(RADIANS(270))+C9*SIN(RADIANS(D9)),"")</f>
        <v>-25188.6834764832</v>
      </c>
      <c r="N82" s="88" t="n">
        <f aca="false">IF(1_DATOS!C47&gt;=1,1_DATOS!C7*2025.4*COS(RADIANS(270))+C9*COS(RADIANS(D9)),"")</f>
        <v>-883.883476483189</v>
      </c>
      <c r="O82" s="88" t="n">
        <f aca="false">IF(1_DATOS!C47&gt;=2,1_DATOS!C7*2025.4*SIN(RADIANS(270))+C10*SIN(RADIANS(D10)),"")</f>
        <v>-25188.6834764832</v>
      </c>
      <c r="P82" s="88" t="n">
        <f aca="false">IF(1_DATOS!C47&gt;=2,1_DATOS!C7*2025.4*COS(RADIANS(270))+C10*COS(RADIANS(D10)),"")</f>
        <v>883.88347648318</v>
      </c>
      <c r="Q82" s="88" t="str">
        <f aca="false">IF(1_DATOS!C47&gt;=3,1_DATOS!C7*2025.4*SIN(RADIANS(270))+C11*SIN(RADIANS(D11)),"")</f>
        <v/>
      </c>
      <c r="R82" s="88" t="str">
        <f aca="false">IF(1_DATOS!C47&gt;=3,1_DATOS!C7*2025.4*COS(RADIANS(270))+C11*COS(RADIANS(D11)),"")</f>
        <v/>
      </c>
    </row>
    <row r="83" customFormat="false" ht="9.75" hidden="false" customHeight="true" outlineLevel="0" collapsed="false">
      <c r="B83" s="87" t="n">
        <v>275</v>
      </c>
      <c r="C83" s="88" t="n">
        <f aca="false">500*SIN(RADIANS(275))</f>
        <v>-498.097349045873</v>
      </c>
      <c r="D83" s="88" t="n">
        <f aca="false">500*COS(RADIANS(275))</f>
        <v>43.5778713738289</v>
      </c>
      <c r="E83" s="88" t="n">
        <f aca="false">2000*SIN(RADIANS(275))</f>
        <v>-1992.38939618349</v>
      </c>
      <c r="F83" s="88" t="n">
        <f aca="false">2000*COS(RADIANS(275))</f>
        <v>174.311485495316</v>
      </c>
      <c r="G83" s="88" t="n">
        <f aca="false">5000*SIN(RADIANS(275))</f>
        <v>-4980.97349045873</v>
      </c>
      <c r="H83" s="88" t="n">
        <f aca="false">5000*COS(RADIANS(275))</f>
        <v>435.778713738289</v>
      </c>
      <c r="I83" s="88" t="n">
        <f aca="false">IF(1_DATOS!C46&gt;=1,1_DATOS!C5*2025.4*SIN(RADIANS(275))+C7*SIN(RADIANS(D7)),"")</f>
        <v>-50442.3185378755</v>
      </c>
      <c r="J83" s="88" t="n">
        <f aca="false">IF(1_DATOS!C46&gt;=1,1_DATOS!C5*2025.4*COS(RADIANS(275))+C7*COS(RADIANS(D7)),"")</f>
        <v>913.131034027657</v>
      </c>
      <c r="K83" s="88" t="n">
        <f aca="false">IF(1_DATOS!C46&gt;=2,1_DATOS!C5*2025.4*SIN(RADIANS(275))+C8*SIN(RADIANS(D8)),"")</f>
        <v>-49005.8339359077</v>
      </c>
      <c r="L83" s="88" t="n">
        <f aca="false">IF(1_DATOS!C46&gt;=2,1_DATOS!C5*2025.4*COS(RADIANS(275))+C8*COS(RADIANS(D8)),"")</f>
        <v>466.422026726842</v>
      </c>
      <c r="M83" s="88" t="n">
        <f aca="false">IF(1_DATOS!C47&gt;=1,1_DATOS!C7*2025.4*SIN(RADIANS(275))+C9*SIN(RADIANS(D9)),"")</f>
        <v>-25096.1963746634</v>
      </c>
      <c r="N83" s="88" t="n">
        <f aca="false">IF(1_DATOS!C47&gt;=1,1_DATOS!C7*2025.4*COS(RADIANS(275))+C9*COS(RADIANS(D9)),"")</f>
        <v>1234.41941985009</v>
      </c>
      <c r="O83" s="88" t="n">
        <f aca="false">IF(1_DATOS!C47&gt;=2,1_DATOS!C7*2025.4*SIN(RADIANS(275))+C10*SIN(RADIANS(D10)),"")</f>
        <v>-25096.1963746634</v>
      </c>
      <c r="P83" s="88" t="n">
        <f aca="false">IF(1_DATOS!C47&gt;=2,1_DATOS!C7*2025.4*COS(RADIANS(275))+C10*COS(RADIANS(D10)),"")</f>
        <v>3002.18637281646</v>
      </c>
      <c r="Q83" s="88" t="str">
        <f aca="false">IF(1_DATOS!C47&gt;=3,1_DATOS!C7*2025.4*SIN(RADIANS(275))+C11*SIN(RADIANS(D11)),"")</f>
        <v/>
      </c>
      <c r="R83" s="88" t="str">
        <f aca="false">IF(1_DATOS!C47&gt;=3,1_DATOS!C7*2025.4*COS(RADIANS(275))+C11*COS(RADIANS(D11)),"")</f>
        <v/>
      </c>
    </row>
    <row r="84" customFormat="false" ht="9.75" hidden="false" customHeight="true" outlineLevel="0" collapsed="false">
      <c r="B84" s="87" t="n">
        <v>280</v>
      </c>
      <c r="C84" s="88" t="n">
        <f aca="false">500*SIN(RADIANS(280))</f>
        <v>-492.403876506104</v>
      </c>
      <c r="D84" s="88" t="n">
        <f aca="false">500*COS(RADIANS(280))</f>
        <v>86.824088833465</v>
      </c>
      <c r="E84" s="88" t="n">
        <f aca="false">2000*SIN(RADIANS(280))</f>
        <v>-1969.61550602442</v>
      </c>
      <c r="F84" s="88" t="n">
        <f aca="false">2000*COS(RADIANS(280))</f>
        <v>347.29635533386</v>
      </c>
      <c r="G84" s="88" t="n">
        <f aca="false">5000*SIN(RADIANS(280))</f>
        <v>-4924.03876506104</v>
      </c>
      <c r="H84" s="88" t="n">
        <f aca="false">5000*COS(RADIANS(280))</f>
        <v>868.24088833465</v>
      </c>
      <c r="I84" s="88" t="n">
        <f aca="false">IF(1_DATOS!C46&gt;=1,1_DATOS!C5*2025.4*SIN(RADIANS(280))+C7*SIN(RADIANS(D7)),"")</f>
        <v>-49865.7405737732</v>
      </c>
      <c r="J84" s="88" t="n">
        <f aca="false">IF(1_DATOS!C46&gt;=1,1_DATOS!C5*2025.4*COS(RADIANS(280))+C7*COS(RADIANS(D7)),"")</f>
        <v>5292.675476165</v>
      </c>
      <c r="K84" s="88" t="n">
        <f aca="false">IF(1_DATOS!C46&gt;=2,1_DATOS!C5*2025.4*SIN(RADIANS(280))+C8*SIN(RADIANS(D8)),"")</f>
        <v>-48429.2559718054</v>
      </c>
      <c r="L84" s="88" t="n">
        <f aca="false">IF(1_DATOS!C46&gt;=2,1_DATOS!C5*2025.4*COS(RADIANS(280))+C8*COS(RADIANS(D8)),"")</f>
        <v>4845.96646886418</v>
      </c>
      <c r="M84" s="88" t="n">
        <f aca="false">IF(1_DATOS!C47&gt;=1,1_DATOS!C7*2025.4*SIN(RADIANS(280))+C9*SIN(RADIANS(D9)),"")</f>
        <v>-24819.4389518943</v>
      </c>
      <c r="N84" s="88" t="n">
        <f aca="false">IF(1_DATOS!C47&gt;=1,1_DATOS!C7*2025.4*COS(RADIANS(280))+C9*COS(RADIANS(D9)),"")</f>
        <v>3336.60075207602</v>
      </c>
      <c r="O84" s="88" t="n">
        <f aca="false">IF(1_DATOS!C47&gt;=2,1_DATOS!C7*2025.4*SIN(RADIANS(280))+C10*SIN(RADIANS(D10)),"")</f>
        <v>-24819.4389518943</v>
      </c>
      <c r="P84" s="88" t="n">
        <f aca="false">IF(1_DATOS!C47&gt;=2,1_DATOS!C7*2025.4*COS(RADIANS(280))+C10*COS(RADIANS(D10)),"")</f>
        <v>5104.36770504239</v>
      </c>
      <c r="Q84" s="88" t="str">
        <f aca="false">IF(1_DATOS!C47&gt;=3,1_DATOS!C7*2025.4*SIN(RADIANS(280))+C11*SIN(RADIANS(D11)),"")</f>
        <v/>
      </c>
      <c r="R84" s="88" t="str">
        <f aca="false">IF(1_DATOS!C47&gt;=3,1_DATOS!C7*2025.4*COS(RADIANS(280))+C11*COS(RADIANS(D11)),"")</f>
        <v/>
      </c>
    </row>
    <row r="85" customFormat="false" ht="9.75" hidden="false" customHeight="true" outlineLevel="0" collapsed="false">
      <c r="B85" s="87" t="n">
        <v>285</v>
      </c>
      <c r="C85" s="88" t="n">
        <f aca="false">500*SIN(RADIANS(285))</f>
        <v>-482.962913144534</v>
      </c>
      <c r="D85" s="88" t="n">
        <f aca="false">500*COS(RADIANS(285))</f>
        <v>129.40952255126</v>
      </c>
      <c r="E85" s="88" t="n">
        <f aca="false">2000*SIN(RADIANS(285))</f>
        <v>-1931.85165257814</v>
      </c>
      <c r="F85" s="88" t="n">
        <f aca="false">2000*COS(RADIANS(285))</f>
        <v>517.638090205041</v>
      </c>
      <c r="G85" s="88" t="n">
        <f aca="false">5000*SIN(RADIANS(285))</f>
        <v>-4829.62913144534</v>
      </c>
      <c r="H85" s="88" t="n">
        <f aca="false">5000*COS(RADIANS(285))</f>
        <v>1294.0952255126</v>
      </c>
      <c r="I85" s="88" t="n">
        <f aca="false">IF(1_DATOS!C46&gt;=1,1_DATOS!C5*2025.4*SIN(RADIANS(285))+C7*SIN(RADIANS(D7)),"")</f>
        <v>-48909.654214147</v>
      </c>
      <c r="J85" s="88" t="n">
        <f aca="false">IF(1_DATOS!C46&gt;=1,1_DATOS!C5*2025.4*COS(RADIANS(285))+C7*COS(RADIANS(D7)),"")</f>
        <v>9605.30234876612</v>
      </c>
      <c r="K85" s="88" t="n">
        <f aca="false">IF(1_DATOS!C46&gt;=2,1_DATOS!C5*2025.4*SIN(RADIANS(285))+C8*SIN(RADIANS(D8)),"")</f>
        <v>-47473.1696121792</v>
      </c>
      <c r="L85" s="88" t="n">
        <f aca="false">IF(1_DATOS!C46&gt;=2,1_DATOS!C5*2025.4*COS(RADIANS(285))+C8*COS(RADIANS(D8)),"")</f>
        <v>9158.5933414653</v>
      </c>
      <c r="M85" s="88" t="n">
        <f aca="false">IF(1_DATOS!C47&gt;=1,1_DATOS!C7*2025.4*SIN(RADIANS(285))+C9*SIN(RADIANS(D9)),"")</f>
        <v>-24360.5174992737</v>
      </c>
      <c r="N85" s="88" t="n">
        <f aca="false">IF(1_DATOS!C47&gt;=1,1_DATOS!C7*2025.4*COS(RADIANS(285))+C9*COS(RADIANS(D9)),"")</f>
        <v>5406.66165092455</v>
      </c>
      <c r="O85" s="88" t="n">
        <f aca="false">IF(1_DATOS!C47&gt;=2,1_DATOS!C7*2025.4*SIN(RADIANS(285))+C10*SIN(RADIANS(D10)),"")</f>
        <v>-24360.5174992737</v>
      </c>
      <c r="P85" s="88" t="n">
        <f aca="false">IF(1_DATOS!C47&gt;=2,1_DATOS!C7*2025.4*COS(RADIANS(285))+C10*COS(RADIANS(D10)),"")</f>
        <v>7174.42860389092</v>
      </c>
      <c r="Q85" s="88" t="str">
        <f aca="false">IF(1_DATOS!C47&gt;=3,1_DATOS!C7*2025.4*SIN(RADIANS(285))+C11*SIN(RADIANS(D11)),"")</f>
        <v/>
      </c>
      <c r="R85" s="88" t="str">
        <f aca="false">IF(1_DATOS!C47&gt;=3,1_DATOS!C7*2025.4*COS(RADIANS(285))+C11*COS(RADIANS(D11)),"")</f>
        <v/>
      </c>
    </row>
    <row r="86" customFormat="false" ht="9.75" hidden="false" customHeight="true" outlineLevel="0" collapsed="false">
      <c r="B86" s="87" t="n">
        <v>290</v>
      </c>
      <c r="C86" s="88" t="n">
        <f aca="false">500*SIN(RADIANS(290))</f>
        <v>-469.846310392954</v>
      </c>
      <c r="D86" s="88" t="n">
        <f aca="false">500*COS(RADIANS(290))</f>
        <v>171.010071662835</v>
      </c>
      <c r="E86" s="88" t="n">
        <f aca="false">2000*SIN(RADIANS(290))</f>
        <v>-1879.38524157182</v>
      </c>
      <c r="F86" s="88" t="n">
        <f aca="false">2000*COS(RADIANS(290))</f>
        <v>684.040286651338</v>
      </c>
      <c r="G86" s="88" t="n">
        <f aca="false">5000*SIN(RADIANS(290))</f>
        <v>-4698.46310392954</v>
      </c>
      <c r="H86" s="88" t="n">
        <f aca="false">5000*COS(RADIANS(290))</f>
        <v>1710.10071662835</v>
      </c>
      <c r="I86" s="88" t="n">
        <f aca="false">IF(1_DATOS!C46&gt;=1,1_DATOS!C5*2025.4*SIN(RADIANS(290))+C7*SIN(RADIANS(D7)),"")</f>
        <v>-47581.3358534945</v>
      </c>
      <c r="J86" s="88" t="n">
        <f aca="false">IF(1_DATOS!C46&gt;=1,1_DATOS!C5*2025.4*COS(RADIANS(290))+C7*COS(RADIANS(D7)),"")</f>
        <v>13818.1899572953</v>
      </c>
      <c r="K86" s="88" t="n">
        <f aca="false">IF(1_DATOS!C46&gt;=2,1_DATOS!C5*2025.4*SIN(RADIANS(290))+C8*SIN(RADIANS(D8)),"")</f>
        <v>-46144.8512515267</v>
      </c>
      <c r="L86" s="88" t="n">
        <f aca="false">IF(1_DATOS!C46&gt;=2,1_DATOS!C5*2025.4*COS(RADIANS(290))+C8*COS(RADIANS(D8)),"")</f>
        <v>13371.4809499944</v>
      </c>
      <c r="M86" s="88" t="n">
        <f aca="false">IF(1_DATOS!C47&gt;=1,1_DATOS!C7*2025.4*SIN(RADIANS(290))+C9*SIN(RADIANS(D9)),"")</f>
        <v>-23722.9246861605</v>
      </c>
      <c r="N86" s="88" t="n">
        <f aca="false">IF(1_DATOS!C47&gt;=1,1_DATOS!C7*2025.4*COS(RADIANS(290))+C9*COS(RADIANS(D9)),"")</f>
        <v>7428.84770301854</v>
      </c>
      <c r="O86" s="88" t="n">
        <f aca="false">IF(1_DATOS!C47&gt;=2,1_DATOS!C7*2025.4*SIN(RADIANS(290))+C10*SIN(RADIANS(D10)),"")</f>
        <v>-23722.9246861605</v>
      </c>
      <c r="P86" s="88" t="n">
        <f aca="false">IF(1_DATOS!C47&gt;=2,1_DATOS!C7*2025.4*COS(RADIANS(290))+C10*COS(RADIANS(D10)),"")</f>
        <v>9196.61465598491</v>
      </c>
      <c r="Q86" s="88" t="str">
        <f aca="false">IF(1_DATOS!C47&gt;=3,1_DATOS!C7*2025.4*SIN(RADIANS(290))+C11*SIN(RADIANS(D11)),"")</f>
        <v/>
      </c>
      <c r="R86" s="88" t="str">
        <f aca="false">IF(1_DATOS!C47&gt;=3,1_DATOS!C7*2025.4*COS(RADIANS(290))+C11*COS(RADIANS(D11)),"")</f>
        <v/>
      </c>
    </row>
    <row r="87" customFormat="false" ht="9.75" hidden="false" customHeight="true" outlineLevel="0" collapsed="false">
      <c r="B87" s="87" t="n">
        <v>295</v>
      </c>
      <c r="C87" s="88" t="n">
        <f aca="false">500*SIN(RADIANS(295))</f>
        <v>-453.153893518325</v>
      </c>
      <c r="D87" s="88" t="n">
        <f aca="false">500*COS(RADIANS(295))</f>
        <v>211.309130870349</v>
      </c>
      <c r="E87" s="88" t="n">
        <f aca="false">2000*SIN(RADIANS(295))</f>
        <v>-1812.6155740733</v>
      </c>
      <c r="F87" s="88" t="n">
        <f aca="false">2000*COS(RADIANS(295))</f>
        <v>845.236523481398</v>
      </c>
      <c r="G87" s="88" t="n">
        <f aca="false">5000*SIN(RADIANS(295))</f>
        <v>-4531.53893518325</v>
      </c>
      <c r="H87" s="88" t="n">
        <f aca="false">5000*COS(RADIANS(295))</f>
        <v>2113.09130870349</v>
      </c>
      <c r="I87" s="88" t="n">
        <f aca="false">IF(1_DATOS!C46&gt;=1,1_DATOS!C5*2025.4*SIN(RADIANS(295))+C7*SIN(RADIANS(D7)),"")</f>
        <v>-45890.8947966008</v>
      </c>
      <c r="J87" s="88" t="n">
        <f aca="false">IF(1_DATOS!C46&gt;=1,1_DATOS!C5*2025.4*COS(RADIANS(295))+C7*COS(RADIANS(D7)),"")</f>
        <v>17899.2756832403</v>
      </c>
      <c r="K87" s="88" t="n">
        <f aca="false">IF(1_DATOS!C46&gt;=2,1_DATOS!C5*2025.4*SIN(RADIANS(295))+C8*SIN(RADIANS(D8)),"")</f>
        <v>-44454.410194633</v>
      </c>
      <c r="L87" s="88" t="n">
        <f aca="false">IF(1_DATOS!C46&gt;=2,1_DATOS!C5*2025.4*COS(RADIANS(295))+C8*COS(RADIANS(D8)),"")</f>
        <v>17452.5666759395</v>
      </c>
      <c r="M87" s="88" t="n">
        <f aca="false">IF(1_DATOS!C47&gt;=1,1_DATOS!C7*2025.4*SIN(RADIANS(295))+C9*SIN(RADIANS(D9)),"")</f>
        <v>-22911.5129788516</v>
      </c>
      <c r="N87" s="88" t="n">
        <f aca="false">IF(1_DATOS!C47&gt;=1,1_DATOS!C7*2025.4*COS(RADIANS(295))+C9*COS(RADIANS(D9)),"")</f>
        <v>9387.76885147215</v>
      </c>
      <c r="O87" s="88" t="n">
        <f aca="false">IF(1_DATOS!C47&gt;=2,1_DATOS!C7*2025.4*SIN(RADIANS(295))+C10*SIN(RADIANS(D10)),"")</f>
        <v>-22911.5129788516</v>
      </c>
      <c r="P87" s="88" t="n">
        <f aca="false">IF(1_DATOS!C47&gt;=2,1_DATOS!C7*2025.4*COS(RADIANS(295))+C10*COS(RADIANS(D10)),"")</f>
        <v>11155.5358044385</v>
      </c>
      <c r="Q87" s="88" t="str">
        <f aca="false">IF(1_DATOS!C47&gt;=3,1_DATOS!C7*2025.4*SIN(RADIANS(295))+C11*SIN(RADIANS(D11)),"")</f>
        <v/>
      </c>
      <c r="R87" s="88" t="str">
        <f aca="false">IF(1_DATOS!C47&gt;=3,1_DATOS!C7*2025.4*COS(RADIANS(295))+C11*COS(RADIANS(D11)),"")</f>
        <v/>
      </c>
    </row>
    <row r="88" customFormat="false" ht="9.75" hidden="false" customHeight="true" outlineLevel="0" collapsed="false">
      <c r="B88" s="87" t="n">
        <v>300</v>
      </c>
      <c r="C88" s="88" t="n">
        <f aca="false">500*SIN(RADIANS(300))</f>
        <v>-433.012701892219</v>
      </c>
      <c r="D88" s="88" t="n">
        <f aca="false">500*COS(RADIANS(300))</f>
        <v>250</v>
      </c>
      <c r="E88" s="88" t="n">
        <f aca="false">2000*SIN(RADIANS(300))</f>
        <v>-1732.05080756888</v>
      </c>
      <c r="F88" s="88" t="n">
        <f aca="false">2000*COS(RADIANS(300))</f>
        <v>1000</v>
      </c>
      <c r="G88" s="88" t="n">
        <f aca="false">5000*SIN(RADIANS(300))</f>
        <v>-4330.12701892219</v>
      </c>
      <c r="H88" s="88" t="n">
        <f aca="false">5000*COS(RADIANS(300))</f>
        <v>2500</v>
      </c>
      <c r="I88" s="88" t="n">
        <f aca="false">IF(1_DATOS!C46&gt;=1,1_DATOS!C5*2025.4*SIN(RADIANS(300))+C7*SIN(RADIANS(D7)),"")</f>
        <v>-43851.1963206251</v>
      </c>
      <c r="J88" s="88" t="n">
        <f aca="false">IF(1_DATOS!C46&gt;=1,1_DATOS!C5*2025.4*COS(RADIANS(300))+C7*COS(RADIANS(D7)),"")</f>
        <v>21817.5</v>
      </c>
      <c r="K88" s="88" t="n">
        <f aca="false">IF(1_DATOS!C46&gt;=2,1_DATOS!C5*2025.4*SIN(RADIANS(300))+C8*SIN(RADIANS(D8)),"")</f>
        <v>-42414.7117186572</v>
      </c>
      <c r="L88" s="88" t="n">
        <f aca="false">IF(1_DATOS!C46&gt;=2,1_DATOS!C5*2025.4*COS(RADIANS(300))+C8*COS(RADIANS(D8)),"")</f>
        <v>21370.7909926992</v>
      </c>
      <c r="M88" s="88" t="n">
        <f aca="false">IF(1_DATOS!C47&gt;=1,1_DATOS!C7*2025.4*SIN(RADIANS(300))+C9*SIN(RADIANS(D9)),"")</f>
        <v>-21932.4577103832</v>
      </c>
      <c r="N88" s="88" t="n">
        <f aca="false">IF(1_DATOS!C47&gt;=1,1_DATOS!C7*2025.4*COS(RADIANS(300))+C9*COS(RADIANS(D9)),"")</f>
        <v>11268.5165235168</v>
      </c>
      <c r="O88" s="88" t="n">
        <f aca="false">IF(1_DATOS!C47&gt;=2,1_DATOS!C7*2025.4*SIN(RADIANS(300))+C10*SIN(RADIANS(D10)),"")</f>
        <v>-21932.4577103832</v>
      </c>
      <c r="P88" s="88" t="n">
        <f aca="false">IF(1_DATOS!C47&gt;=2,1_DATOS!C7*2025.4*COS(RADIANS(300))+C10*COS(RADIANS(D10)),"")</f>
        <v>13036.2834764832</v>
      </c>
      <c r="Q88" s="88" t="str">
        <f aca="false">IF(1_DATOS!C47&gt;=3,1_DATOS!C7*2025.4*SIN(RADIANS(300))+C11*SIN(RADIANS(D11)),"")</f>
        <v/>
      </c>
      <c r="R88" s="88" t="str">
        <f aca="false">IF(1_DATOS!C47&gt;=3,1_DATOS!C7*2025.4*COS(RADIANS(300))+C11*COS(RADIANS(D11)),"")</f>
        <v/>
      </c>
    </row>
    <row r="89" customFormat="false" ht="9.75" hidden="false" customHeight="true" outlineLevel="0" collapsed="false">
      <c r="B89" s="87" t="n">
        <v>305</v>
      </c>
      <c r="C89" s="88" t="n">
        <f aca="false">500*SIN(RADIANS(305))</f>
        <v>-409.576022144496</v>
      </c>
      <c r="D89" s="88" t="n">
        <f aca="false">500*COS(RADIANS(305))</f>
        <v>286.788218175523</v>
      </c>
      <c r="E89" s="88" t="n">
        <f aca="false">2000*SIN(RADIANS(305))</f>
        <v>-1638.30408857798</v>
      </c>
      <c r="F89" s="88" t="n">
        <f aca="false">2000*COS(RADIANS(305))</f>
        <v>1147.15287270209</v>
      </c>
      <c r="G89" s="88" t="n">
        <f aca="false">5000*SIN(RADIANS(305))</f>
        <v>-4095.76022144496</v>
      </c>
      <c r="H89" s="88" t="n">
        <f aca="false">5000*COS(RADIANS(305))</f>
        <v>2867.88218175523</v>
      </c>
      <c r="I89" s="88" t="n">
        <f aca="false">IF(1_DATOS!C46&gt;=1,1_DATOS!C5*2025.4*SIN(RADIANS(305))+C7*SIN(RADIANS(D7)),"")</f>
        <v>-41477.7637625731</v>
      </c>
      <c r="J89" s="88" t="n">
        <f aca="false">IF(1_DATOS!C46&gt;=1,1_DATOS!C5*2025.4*COS(RADIANS(305))+C7*COS(RADIANS(D7)),"")</f>
        <v>25543.0428546352</v>
      </c>
      <c r="K89" s="88" t="n">
        <f aca="false">IF(1_DATOS!C46&gt;=2,1_DATOS!C5*2025.4*SIN(RADIANS(305))+C8*SIN(RADIANS(D8)),"")</f>
        <v>-40041.2791606053</v>
      </c>
      <c r="L89" s="88" t="n">
        <f aca="false">IF(1_DATOS!C46&gt;=2,1_DATOS!C5*2025.4*COS(RADIANS(305))+C8*COS(RADIANS(D8)),"")</f>
        <v>25096.3338473344</v>
      </c>
      <c r="M89" s="88" t="n">
        <f aca="false">IF(1_DATOS!C47&gt;=1,1_DATOS!C7*2025.4*SIN(RADIANS(305))+C9*SIN(RADIANS(D9)),"")</f>
        <v>-20793.2100825183</v>
      </c>
      <c r="N89" s="88" t="n">
        <f aca="false">IF(1_DATOS!C47&gt;=1,1_DATOS!C7*2025.4*COS(RADIANS(305))+C9*COS(RADIANS(D9)),"")</f>
        <v>13056.7770937417</v>
      </c>
      <c r="O89" s="88" t="n">
        <f aca="false">IF(1_DATOS!C47&gt;=2,1_DATOS!C7*2025.4*SIN(RADIANS(305))+C10*SIN(RADIANS(D10)),"")</f>
        <v>-20793.2100825183</v>
      </c>
      <c r="P89" s="88" t="n">
        <f aca="false">IF(1_DATOS!C47&gt;=2,1_DATOS!C7*2025.4*COS(RADIANS(305))+C10*COS(RADIANS(D10)),"")</f>
        <v>14824.5440467081</v>
      </c>
      <c r="Q89" s="88" t="str">
        <f aca="false">IF(1_DATOS!C47&gt;=3,1_DATOS!C7*2025.4*SIN(RADIANS(305))+C11*SIN(RADIANS(D11)),"")</f>
        <v/>
      </c>
      <c r="R89" s="88" t="str">
        <f aca="false">IF(1_DATOS!C47&gt;=3,1_DATOS!C7*2025.4*COS(RADIANS(305))+C11*COS(RADIANS(D11)),"")</f>
        <v/>
      </c>
    </row>
    <row r="90" customFormat="false" ht="9.75" hidden="false" customHeight="true" outlineLevel="0" collapsed="false">
      <c r="B90" s="87" t="n">
        <v>310</v>
      </c>
      <c r="C90" s="88" t="n">
        <f aca="false">500*SIN(RADIANS(310))</f>
        <v>-383.022221559489</v>
      </c>
      <c r="D90" s="88" t="n">
        <f aca="false">500*COS(RADIANS(310))</f>
        <v>321.39380484327</v>
      </c>
      <c r="E90" s="88" t="n">
        <f aca="false">2000*SIN(RADIANS(310))</f>
        <v>-1532.08888623796</v>
      </c>
      <c r="F90" s="88" t="n">
        <f aca="false">2000*COS(RADIANS(310))</f>
        <v>1285.57521937308</v>
      </c>
      <c r="G90" s="88" t="n">
        <f aca="false">5000*SIN(RADIANS(310))</f>
        <v>-3830.22221559489</v>
      </c>
      <c r="H90" s="88" t="n">
        <f aca="false">5000*COS(RADIANS(310))</f>
        <v>3213.9380484327</v>
      </c>
      <c r="I90" s="88" t="n">
        <f aca="false">IF(1_DATOS!C46&gt;=1,1_DATOS!C5*2025.4*SIN(RADIANS(310))+C7*SIN(RADIANS(D7)),"")</f>
        <v>-38788.6603773295</v>
      </c>
      <c r="J90" s="88" t="n">
        <f aca="false">IF(1_DATOS!C46&gt;=1,1_DATOS!C5*2025.4*COS(RADIANS(310))+C7*COS(RADIANS(D7)),"")</f>
        <v>29047.5506164779</v>
      </c>
      <c r="K90" s="88" t="n">
        <f aca="false">IF(1_DATOS!C46&gt;=2,1_DATOS!C5*2025.4*SIN(RADIANS(310))+C8*SIN(RADIANS(D8)),"")</f>
        <v>-37352.1757753617</v>
      </c>
      <c r="L90" s="88" t="n">
        <f aca="false">IF(1_DATOS!C46&gt;=2,1_DATOS!C5*2025.4*COS(RADIANS(310))+C8*COS(RADIANS(D8)),"")</f>
        <v>28600.8416091771</v>
      </c>
      <c r="M90" s="88" t="n">
        <f aca="false">IF(1_DATOS!C47&gt;=1,1_DATOS!C7*2025.4*SIN(RADIANS(310))+C9*SIN(RADIANS(D9)),"")</f>
        <v>-19502.4404576013</v>
      </c>
      <c r="N90" s="88" t="n">
        <f aca="false">IF(1_DATOS!C47&gt;=1,1_DATOS!C7*2025.4*COS(RADIANS(310))+C9*COS(RADIANS(D9)),"")</f>
        <v>14738.9408194262</v>
      </c>
      <c r="O90" s="88" t="n">
        <f aca="false">IF(1_DATOS!C47&gt;=2,1_DATOS!C7*2025.4*SIN(RADIANS(310))+C10*SIN(RADIANS(D10)),"")</f>
        <v>-19502.4404576013</v>
      </c>
      <c r="P90" s="88" t="n">
        <f aca="false">IF(1_DATOS!C47&gt;=2,1_DATOS!C7*2025.4*COS(RADIANS(310))+C10*COS(RADIANS(D10)),"")</f>
        <v>16506.7077723926</v>
      </c>
      <c r="Q90" s="88" t="str">
        <f aca="false">IF(1_DATOS!C47&gt;=3,1_DATOS!C7*2025.4*SIN(RADIANS(310))+C11*SIN(RADIANS(D11)),"")</f>
        <v/>
      </c>
      <c r="R90" s="88" t="str">
        <f aca="false">IF(1_DATOS!C47&gt;=3,1_DATOS!C7*2025.4*COS(RADIANS(310))+C11*COS(RADIANS(D11)),"")</f>
        <v/>
      </c>
    </row>
    <row r="91" customFormat="false" ht="9.75" hidden="false" customHeight="true" outlineLevel="0" collapsed="false">
      <c r="B91" s="87" t="n">
        <v>315</v>
      </c>
      <c r="C91" s="88" t="n">
        <f aca="false">500*SIN(RADIANS(315))</f>
        <v>-353.553390593274</v>
      </c>
      <c r="D91" s="88" t="n">
        <f aca="false">500*COS(RADIANS(315))</f>
        <v>353.553390593274</v>
      </c>
      <c r="E91" s="88" t="n">
        <f aca="false">2000*SIN(RADIANS(315))</f>
        <v>-1414.2135623731</v>
      </c>
      <c r="F91" s="88" t="n">
        <f aca="false">2000*COS(RADIANS(315))</f>
        <v>1414.21356237309</v>
      </c>
      <c r="G91" s="88" t="n">
        <f aca="false">5000*SIN(RADIANS(315))</f>
        <v>-3535.53390593274</v>
      </c>
      <c r="H91" s="88" t="n">
        <f aca="false">5000*COS(RADIANS(315))</f>
        <v>3535.53390593274</v>
      </c>
      <c r="I91" s="88" t="n">
        <f aca="false">IF(1_DATOS!C46&gt;=1,1_DATOS!C5*2025.4*SIN(RADIANS(315))+C7*SIN(RADIANS(D7)),"")</f>
        <v>-35804.3518653808</v>
      </c>
      <c r="J91" s="88" t="n">
        <f aca="false">IF(1_DATOS!C46&gt;=1,1_DATOS!C5*2025.4*COS(RADIANS(315))+C7*COS(RADIANS(D7)),"")</f>
        <v>32304.3518653808</v>
      </c>
      <c r="K91" s="88" t="n">
        <f aca="false">IF(1_DATOS!C46&gt;=2,1_DATOS!C5*2025.4*SIN(RADIANS(315))+C8*SIN(RADIANS(D8)),"")</f>
        <v>-34367.867263413</v>
      </c>
      <c r="L91" s="88" t="n">
        <f aca="false">IF(1_DATOS!C46&gt;=2,1_DATOS!C5*2025.4*COS(RADIANS(315))+C8*COS(RADIANS(D8)),"")</f>
        <v>31857.64285808</v>
      </c>
      <c r="M91" s="88" t="n">
        <f aca="false">IF(1_DATOS!C47&gt;=1,1_DATOS!C7*2025.4*SIN(RADIANS(315))+C9*SIN(RADIANS(D9)),"")</f>
        <v>-18069.972371866</v>
      </c>
      <c r="N91" s="88" t="n">
        <f aca="false">IF(1_DATOS!C47&gt;=1,1_DATOS!C7*2025.4*COS(RADIANS(315))+C9*COS(RADIANS(D9)),"")</f>
        <v>16302.2054188996</v>
      </c>
      <c r="O91" s="88" t="n">
        <f aca="false">IF(1_DATOS!C47&gt;=2,1_DATOS!C7*2025.4*SIN(RADIANS(315))+C10*SIN(RADIANS(D10)),"")</f>
        <v>-18069.972371866</v>
      </c>
      <c r="P91" s="88" t="n">
        <f aca="false">IF(1_DATOS!C47&gt;=2,1_DATOS!C7*2025.4*COS(RADIANS(315))+C10*COS(RADIANS(D10)),"")</f>
        <v>18069.972371866</v>
      </c>
      <c r="Q91" s="88" t="str">
        <f aca="false">IF(1_DATOS!C47&gt;=3,1_DATOS!C7*2025.4*SIN(RADIANS(315))+C11*SIN(RADIANS(D11)),"")</f>
        <v/>
      </c>
      <c r="R91" s="88" t="str">
        <f aca="false">IF(1_DATOS!C47&gt;=3,1_DATOS!C7*2025.4*COS(RADIANS(315))+C11*COS(RADIANS(D11)),"")</f>
        <v/>
      </c>
    </row>
    <row r="92" customFormat="false" ht="9.75" hidden="false" customHeight="true" outlineLevel="0" collapsed="false">
      <c r="B92" s="87" t="n">
        <v>320</v>
      </c>
      <c r="C92" s="88" t="n">
        <f aca="false">500*SIN(RADIANS(320))</f>
        <v>-321.39380484327</v>
      </c>
      <c r="D92" s="88" t="n">
        <f aca="false">500*COS(RADIANS(320))</f>
        <v>383.022221559489</v>
      </c>
      <c r="E92" s="88" t="n">
        <f aca="false">2000*SIN(RADIANS(320))</f>
        <v>-1285.57521937308</v>
      </c>
      <c r="F92" s="88" t="n">
        <f aca="false">2000*COS(RADIANS(320))</f>
        <v>1532.08888623796</v>
      </c>
      <c r="G92" s="88" t="n">
        <f aca="false">5000*SIN(RADIANS(320))</f>
        <v>-3213.9380484327</v>
      </c>
      <c r="H92" s="88" t="n">
        <f aca="false">5000*COS(RADIANS(320))</f>
        <v>3830.22221559489</v>
      </c>
      <c r="I92" s="88" t="n">
        <f aca="false">IF(1_DATOS!C46&gt;=1,1_DATOS!C5*2025.4*SIN(RADIANS(320))+C7*SIN(RADIANS(D7)),"")</f>
        <v>-32547.5506164779</v>
      </c>
      <c r="J92" s="88" t="n">
        <f aca="false">IF(1_DATOS!C46&gt;=1,1_DATOS!C5*2025.4*COS(RADIANS(320))+C7*COS(RADIANS(D7)),"")</f>
        <v>35288.6603773294</v>
      </c>
      <c r="K92" s="88" t="n">
        <f aca="false">IF(1_DATOS!C46&gt;=2,1_DATOS!C5*2025.4*SIN(RADIANS(320))+C8*SIN(RADIANS(D8)),"")</f>
        <v>-31111.0660145101</v>
      </c>
      <c r="L92" s="88" t="n">
        <f aca="false">IF(1_DATOS!C46&gt;=2,1_DATOS!C5*2025.4*COS(RADIANS(320))+C8*COS(RADIANS(D8)),"")</f>
        <v>34841.9513700286</v>
      </c>
      <c r="M92" s="88" t="n">
        <f aca="false">IF(1_DATOS!C47&gt;=1,1_DATOS!C7*2025.4*SIN(RADIANS(320))+C9*SIN(RADIANS(D9)),"")</f>
        <v>-16506.7077723926</v>
      </c>
      <c r="N92" s="88" t="n">
        <f aca="false">IF(1_DATOS!C47&gt;=1,1_DATOS!C7*2025.4*COS(RADIANS(320))+C9*COS(RADIANS(D9)),"")</f>
        <v>17734.673504635</v>
      </c>
      <c r="O92" s="88" t="n">
        <f aca="false">IF(1_DATOS!C47&gt;=2,1_DATOS!C7*2025.4*SIN(RADIANS(320))+C10*SIN(RADIANS(D10)),"")</f>
        <v>-16506.7077723926</v>
      </c>
      <c r="P92" s="88" t="n">
        <f aca="false">IF(1_DATOS!C47&gt;=2,1_DATOS!C7*2025.4*COS(RADIANS(320))+C10*COS(RADIANS(D10)),"")</f>
        <v>19502.4404576013</v>
      </c>
      <c r="Q92" s="88" t="str">
        <f aca="false">IF(1_DATOS!C47&gt;=3,1_DATOS!C7*2025.4*SIN(RADIANS(320))+C11*SIN(RADIANS(D11)),"")</f>
        <v/>
      </c>
      <c r="R92" s="88" t="str">
        <f aca="false">IF(1_DATOS!C47&gt;=3,1_DATOS!C7*2025.4*COS(RADIANS(320))+C11*COS(RADIANS(D11)),"")</f>
        <v/>
      </c>
    </row>
    <row r="93" customFormat="false" ht="9.75" hidden="false" customHeight="true" outlineLevel="0" collapsed="false">
      <c r="B93" s="87" t="n">
        <v>325</v>
      </c>
      <c r="C93" s="88" t="n">
        <f aca="false">500*SIN(RADIANS(325))</f>
        <v>-286.788218175523</v>
      </c>
      <c r="D93" s="88" t="n">
        <f aca="false">500*COS(RADIANS(325))</f>
        <v>409.576022144496</v>
      </c>
      <c r="E93" s="88" t="n">
        <f aca="false">2000*SIN(RADIANS(325))</f>
        <v>-1147.15287270209</v>
      </c>
      <c r="F93" s="88" t="n">
        <f aca="false">2000*COS(RADIANS(325))</f>
        <v>1638.30408857798</v>
      </c>
      <c r="G93" s="88" t="n">
        <f aca="false">5000*SIN(RADIANS(325))</f>
        <v>-2867.88218175523</v>
      </c>
      <c r="H93" s="88" t="n">
        <f aca="false">5000*COS(RADIANS(325))</f>
        <v>4095.76022144496</v>
      </c>
      <c r="I93" s="88" t="n">
        <f aca="false">IF(1_DATOS!C46&gt;=1,1_DATOS!C5*2025.4*SIN(RADIANS(325))+C7*SIN(RADIANS(D7)),"")</f>
        <v>-29043.0428546352</v>
      </c>
      <c r="J93" s="88" t="n">
        <f aca="false">IF(1_DATOS!C46&gt;=1,1_DATOS!C5*2025.4*COS(RADIANS(325))+C7*COS(RADIANS(D7)),"")</f>
        <v>37977.7637625731</v>
      </c>
      <c r="K93" s="88" t="n">
        <f aca="false">IF(1_DATOS!C46&gt;=2,1_DATOS!C5*2025.4*SIN(RADIANS(325))+C8*SIN(RADIANS(D8)),"")</f>
        <v>-27606.5582526674</v>
      </c>
      <c r="L93" s="88" t="n">
        <f aca="false">IF(1_DATOS!C46&gt;=2,1_DATOS!C5*2025.4*COS(RADIANS(325))+C8*COS(RADIANS(D8)),"")</f>
        <v>37531.0547552723</v>
      </c>
      <c r="M93" s="88" t="n">
        <f aca="false">IF(1_DATOS!C47&gt;=1,1_DATOS!C7*2025.4*SIN(RADIANS(325))+C9*SIN(RADIANS(D9)),"")</f>
        <v>-14824.5440467081</v>
      </c>
      <c r="N93" s="88" t="n">
        <f aca="false">IF(1_DATOS!C47&gt;=1,1_DATOS!C7*2025.4*COS(RADIANS(325))+C9*COS(RADIANS(D9)),"")</f>
        <v>19025.4431295519</v>
      </c>
      <c r="O93" s="88" t="n">
        <f aca="false">IF(1_DATOS!C47&gt;=2,1_DATOS!C7*2025.4*SIN(RADIANS(325))+C10*SIN(RADIANS(D10)),"")</f>
        <v>-14824.5440467081</v>
      </c>
      <c r="P93" s="88" t="n">
        <f aca="false">IF(1_DATOS!C47&gt;=2,1_DATOS!C7*2025.4*COS(RADIANS(325))+C10*COS(RADIANS(D10)),"")</f>
        <v>20793.2100825183</v>
      </c>
      <c r="Q93" s="88" t="str">
        <f aca="false">IF(1_DATOS!C47&gt;=3,1_DATOS!C7*2025.4*SIN(RADIANS(325))+C11*SIN(RADIANS(D11)),"")</f>
        <v/>
      </c>
      <c r="R93" s="88" t="str">
        <f aca="false">IF(1_DATOS!C47&gt;=3,1_DATOS!C7*2025.4*COS(RADIANS(325))+C11*COS(RADIANS(D11)),"")</f>
        <v/>
      </c>
    </row>
    <row r="94" customFormat="false" ht="9.75" hidden="false" customHeight="true" outlineLevel="0" collapsed="false">
      <c r="B94" s="87" t="n">
        <v>330</v>
      </c>
      <c r="C94" s="88" t="n">
        <f aca="false">500*SIN(RADIANS(330))</f>
        <v>-250</v>
      </c>
      <c r="D94" s="88" t="n">
        <f aca="false">500*COS(RADIANS(330))</f>
        <v>433.012701892219</v>
      </c>
      <c r="E94" s="88" t="n">
        <f aca="false">2000*SIN(RADIANS(330))</f>
        <v>-1000</v>
      </c>
      <c r="F94" s="88" t="n">
        <f aca="false">2000*COS(RADIANS(330))</f>
        <v>1732.05080756888</v>
      </c>
      <c r="G94" s="88" t="n">
        <f aca="false">5000*SIN(RADIANS(330))</f>
        <v>-2500</v>
      </c>
      <c r="H94" s="88" t="n">
        <f aca="false">5000*COS(RADIANS(330))</f>
        <v>4330.12701892219</v>
      </c>
      <c r="I94" s="88" t="n">
        <f aca="false">IF(1_DATOS!C46&gt;=1,1_DATOS!C5*2025.4*SIN(RADIANS(330))+C7*SIN(RADIANS(D7)),"")</f>
        <v>-25317.5</v>
      </c>
      <c r="J94" s="88" t="n">
        <f aca="false">IF(1_DATOS!C46&gt;=1,1_DATOS!C5*2025.4*COS(RADIANS(330))+C7*COS(RADIANS(D7)),"")</f>
        <v>40351.196320625</v>
      </c>
      <c r="K94" s="88" t="n">
        <f aca="false">IF(1_DATOS!C46&gt;=2,1_DATOS!C5*2025.4*SIN(RADIANS(330))+C8*SIN(RADIANS(D8)),"")</f>
        <v>-23881.0153980322</v>
      </c>
      <c r="L94" s="88" t="n">
        <f aca="false">IF(1_DATOS!C46&gt;=2,1_DATOS!C5*2025.4*COS(RADIANS(330))+C8*COS(RADIANS(D8)),"")</f>
        <v>39904.4873133242</v>
      </c>
      <c r="M94" s="88" t="n">
        <f aca="false">IF(1_DATOS!C47&gt;=1,1_DATOS!C7*2025.4*SIN(RADIANS(330))+C9*SIN(RADIANS(D9)),"")</f>
        <v>-13036.2834764832</v>
      </c>
      <c r="N94" s="88" t="n">
        <f aca="false">IF(1_DATOS!C47&gt;=1,1_DATOS!C7*2025.4*COS(RADIANS(330))+C9*COS(RADIANS(D9)),"")</f>
        <v>20164.6907574168</v>
      </c>
      <c r="O94" s="88" t="n">
        <f aca="false">IF(1_DATOS!C47&gt;=2,1_DATOS!C7*2025.4*SIN(RADIANS(330))+C10*SIN(RADIANS(D10)),"")</f>
        <v>-13036.2834764832</v>
      </c>
      <c r="P94" s="88" t="n">
        <f aca="false">IF(1_DATOS!C47&gt;=2,1_DATOS!C7*2025.4*COS(RADIANS(330))+C10*COS(RADIANS(D10)),"")</f>
        <v>21932.4577103832</v>
      </c>
      <c r="Q94" s="88" t="str">
        <f aca="false">IF(1_DATOS!C47&gt;=3,1_DATOS!C7*2025.4*SIN(RADIANS(330))+C11*SIN(RADIANS(D11)),"")</f>
        <v/>
      </c>
      <c r="R94" s="88" t="str">
        <f aca="false">IF(1_DATOS!C47&gt;=3,1_DATOS!C7*2025.4*COS(RADIANS(330))+C11*COS(RADIANS(D11)),"")</f>
        <v/>
      </c>
    </row>
    <row r="95" customFormat="false" ht="9.75" hidden="false" customHeight="true" outlineLevel="0" collapsed="false">
      <c r="B95" s="87" t="n">
        <v>335</v>
      </c>
      <c r="C95" s="88" t="n">
        <f aca="false">500*SIN(RADIANS(335))</f>
        <v>-211.30913087035</v>
      </c>
      <c r="D95" s="88" t="n">
        <f aca="false">500*COS(RADIANS(335))</f>
        <v>453.153893518325</v>
      </c>
      <c r="E95" s="88" t="n">
        <f aca="false">2000*SIN(RADIANS(335))</f>
        <v>-845.236523481398</v>
      </c>
      <c r="F95" s="88" t="n">
        <f aca="false">2000*COS(RADIANS(335))</f>
        <v>1812.6155740733</v>
      </c>
      <c r="G95" s="88" t="n">
        <f aca="false">5000*SIN(RADIANS(335))</f>
        <v>-2113.0913087035</v>
      </c>
      <c r="H95" s="88" t="n">
        <f aca="false">5000*COS(RADIANS(335))</f>
        <v>4531.53893518325</v>
      </c>
      <c r="I95" s="88" t="n">
        <f aca="false">IF(1_DATOS!C46&gt;=1,1_DATOS!C5*2025.4*SIN(RADIANS(335))+C7*SIN(RADIANS(D7)),"")</f>
        <v>-21399.2756832403</v>
      </c>
      <c r="J95" s="88" t="n">
        <f aca="false">IF(1_DATOS!C46&gt;=1,1_DATOS!C5*2025.4*COS(RADIANS(335))+C7*COS(RADIANS(D7)),"")</f>
        <v>42390.8947966008</v>
      </c>
      <c r="K95" s="88" t="n">
        <f aca="false">IF(1_DATOS!C46&gt;=2,1_DATOS!C5*2025.4*SIN(RADIANS(335))+C8*SIN(RADIANS(D8)),"")</f>
        <v>-19962.7910812725</v>
      </c>
      <c r="L95" s="88" t="n">
        <f aca="false">IF(1_DATOS!C46&gt;=2,1_DATOS!C5*2025.4*COS(RADIANS(335))+C8*COS(RADIANS(D8)),"")</f>
        <v>41944.1857893</v>
      </c>
      <c r="M95" s="88" t="n">
        <f aca="false">IF(1_DATOS!C47&gt;=1,1_DATOS!C7*2025.4*SIN(RADIANS(335))+C9*SIN(RADIANS(D9)),"")</f>
        <v>-11155.5358044385</v>
      </c>
      <c r="N95" s="88" t="n">
        <f aca="false">IF(1_DATOS!C47&gt;=1,1_DATOS!C7*2025.4*COS(RADIANS(335))+C9*COS(RADIANS(D9)),"")</f>
        <v>21143.7460258852</v>
      </c>
      <c r="O95" s="88" t="n">
        <f aca="false">IF(1_DATOS!C47&gt;=2,1_DATOS!C7*2025.4*SIN(RADIANS(335))+C10*SIN(RADIANS(D10)),"")</f>
        <v>-11155.5358044385</v>
      </c>
      <c r="P95" s="88" t="n">
        <f aca="false">IF(1_DATOS!C47&gt;=2,1_DATOS!C7*2025.4*COS(RADIANS(335))+C10*COS(RADIANS(D10)),"")</f>
        <v>22911.5129788516</v>
      </c>
      <c r="Q95" s="88" t="str">
        <f aca="false">IF(1_DATOS!C47&gt;=3,1_DATOS!C7*2025.4*SIN(RADIANS(335))+C11*SIN(RADIANS(D11)),"")</f>
        <v/>
      </c>
      <c r="R95" s="88" t="str">
        <f aca="false">IF(1_DATOS!C47&gt;=3,1_DATOS!C7*2025.4*COS(RADIANS(335))+C11*COS(RADIANS(D11)),"")</f>
        <v/>
      </c>
    </row>
    <row r="96" customFormat="false" ht="9.75" hidden="false" customHeight="true" outlineLevel="0" collapsed="false">
      <c r="B96" s="87" t="n">
        <v>340</v>
      </c>
      <c r="C96" s="88" t="n">
        <f aca="false">500*SIN(RADIANS(340))</f>
        <v>-171.010071662835</v>
      </c>
      <c r="D96" s="88" t="n">
        <f aca="false">500*COS(RADIANS(340))</f>
        <v>469.846310392954</v>
      </c>
      <c r="E96" s="88" t="n">
        <f aca="false">2000*SIN(RADIANS(340))</f>
        <v>-684.040286651339</v>
      </c>
      <c r="F96" s="88" t="n">
        <f aca="false">2000*COS(RADIANS(340))</f>
        <v>1879.38524157182</v>
      </c>
      <c r="G96" s="88" t="n">
        <f aca="false">5000*SIN(RADIANS(340))</f>
        <v>-1710.10071662835</v>
      </c>
      <c r="H96" s="88" t="n">
        <f aca="false">5000*COS(RADIANS(340))</f>
        <v>4698.46310392954</v>
      </c>
      <c r="I96" s="88" t="n">
        <f aca="false">IF(1_DATOS!C46&gt;=1,1_DATOS!C5*2025.4*SIN(RADIANS(340))+C7*SIN(RADIANS(D7)),"")</f>
        <v>-17318.1899572953</v>
      </c>
      <c r="J96" s="88" t="n">
        <f aca="false">IF(1_DATOS!C46&gt;=1,1_DATOS!C5*2025.4*COS(RADIANS(340))+C7*COS(RADIANS(D7)),"")</f>
        <v>44081.3358534945</v>
      </c>
      <c r="K96" s="88" t="n">
        <f aca="false">IF(1_DATOS!C46&gt;=2,1_DATOS!C5*2025.4*SIN(RADIANS(340))+C8*SIN(RADIANS(D8)),"")</f>
        <v>-15881.7053553275</v>
      </c>
      <c r="L96" s="88" t="n">
        <f aca="false">IF(1_DATOS!C46&gt;=2,1_DATOS!C5*2025.4*COS(RADIANS(340))+C8*COS(RADIANS(D8)),"")</f>
        <v>43634.6268461936</v>
      </c>
      <c r="M96" s="88" t="n">
        <f aca="false">IF(1_DATOS!C47&gt;=1,1_DATOS!C7*2025.4*SIN(RADIANS(340))+C9*SIN(RADIANS(D9)),"")</f>
        <v>-9196.61465598492</v>
      </c>
      <c r="N96" s="88" t="n">
        <f aca="false">IF(1_DATOS!C47&gt;=1,1_DATOS!C7*2025.4*COS(RADIANS(340))+C9*COS(RADIANS(D9)),"")</f>
        <v>21955.1577331942</v>
      </c>
      <c r="O96" s="88" t="n">
        <f aca="false">IF(1_DATOS!C47&gt;=2,1_DATOS!C7*2025.4*SIN(RADIANS(340))+C10*SIN(RADIANS(D10)),"")</f>
        <v>-9196.61465598492</v>
      </c>
      <c r="P96" s="88" t="n">
        <f aca="false">IF(1_DATOS!C47&gt;=2,1_DATOS!C7*2025.4*COS(RADIANS(340))+C10*COS(RADIANS(D10)),"")</f>
        <v>23722.9246861605</v>
      </c>
      <c r="Q96" s="88" t="str">
        <f aca="false">IF(1_DATOS!C47&gt;=3,1_DATOS!C7*2025.4*SIN(RADIANS(340))+C11*SIN(RADIANS(D11)),"")</f>
        <v/>
      </c>
      <c r="R96" s="88" t="str">
        <f aca="false">IF(1_DATOS!C47&gt;=3,1_DATOS!C7*2025.4*COS(RADIANS(340))+C11*COS(RADIANS(D11)),"")</f>
        <v/>
      </c>
    </row>
    <row r="97" customFormat="false" ht="9.75" hidden="false" customHeight="true" outlineLevel="0" collapsed="false">
      <c r="B97" s="87" t="n">
        <v>345</v>
      </c>
      <c r="C97" s="88" t="n">
        <f aca="false">500*SIN(RADIANS(345))</f>
        <v>-129.40952255126</v>
      </c>
      <c r="D97" s="88" t="n">
        <f aca="false">500*COS(RADIANS(345))</f>
        <v>482.962913144534</v>
      </c>
      <c r="E97" s="88" t="n">
        <f aca="false">2000*SIN(RADIANS(345))</f>
        <v>-517.638090205041</v>
      </c>
      <c r="F97" s="88" t="n">
        <f aca="false">2000*COS(RADIANS(345))</f>
        <v>1931.85165257814</v>
      </c>
      <c r="G97" s="88" t="n">
        <f aca="false">5000*SIN(RADIANS(345))</f>
        <v>-1294.0952255126</v>
      </c>
      <c r="H97" s="88" t="n">
        <f aca="false">5000*COS(RADIANS(345))</f>
        <v>4829.62913144534</v>
      </c>
      <c r="I97" s="88" t="n">
        <f aca="false">IF(1_DATOS!C46&gt;=1,1_DATOS!C5*2025.4*SIN(RADIANS(345))+C7*SIN(RADIANS(D7)),"")</f>
        <v>-13105.3023487661</v>
      </c>
      <c r="J97" s="88" t="n">
        <f aca="false">IF(1_DATOS!C46&gt;=1,1_DATOS!C5*2025.4*COS(RADIANS(345))+C7*COS(RADIANS(D7)),"")</f>
        <v>45409.654214147</v>
      </c>
      <c r="K97" s="88" t="n">
        <f aca="false">IF(1_DATOS!C46&gt;=2,1_DATOS!C5*2025.4*SIN(RADIANS(345))+C8*SIN(RADIANS(D8)),"")</f>
        <v>-11668.8177467983</v>
      </c>
      <c r="L97" s="88" t="n">
        <f aca="false">IF(1_DATOS!C46&gt;=2,1_DATOS!C5*2025.4*COS(RADIANS(345))+C8*COS(RADIANS(D8)),"")</f>
        <v>44962.9452068462</v>
      </c>
      <c r="M97" s="88" t="n">
        <f aca="false">IF(1_DATOS!C47&gt;=1,1_DATOS!C7*2025.4*SIN(RADIANS(345))+C9*SIN(RADIANS(D9)),"")</f>
        <v>-7174.42860389093</v>
      </c>
      <c r="N97" s="88" t="n">
        <f aca="false">IF(1_DATOS!C47&gt;=1,1_DATOS!C7*2025.4*COS(RADIANS(345))+C9*COS(RADIANS(D9)),"")</f>
        <v>22592.7505463074</v>
      </c>
      <c r="O97" s="88" t="n">
        <f aca="false">IF(1_DATOS!C47&gt;=2,1_DATOS!C7*2025.4*SIN(RADIANS(345))+C10*SIN(RADIANS(D10)),"")</f>
        <v>-7174.42860389093</v>
      </c>
      <c r="P97" s="88" t="n">
        <f aca="false">IF(1_DATOS!C47&gt;=2,1_DATOS!C7*2025.4*COS(RADIANS(345))+C10*COS(RADIANS(D10)),"")</f>
        <v>24360.5174992737</v>
      </c>
      <c r="Q97" s="88" t="str">
        <f aca="false">IF(1_DATOS!C47&gt;=3,1_DATOS!C7*2025.4*SIN(RADIANS(345))+C11*SIN(RADIANS(D11)),"")</f>
        <v/>
      </c>
      <c r="R97" s="88" t="str">
        <f aca="false">IF(1_DATOS!C47&gt;=3,1_DATOS!C7*2025.4*COS(RADIANS(345))+C11*COS(RADIANS(D11)),"")</f>
        <v/>
      </c>
    </row>
    <row r="98" customFormat="false" ht="9.75" hidden="false" customHeight="true" outlineLevel="0" collapsed="false">
      <c r="B98" s="87" t="n">
        <v>350</v>
      </c>
      <c r="C98" s="88" t="n">
        <f aca="false">500*SIN(RADIANS(350))</f>
        <v>-86.8240888334652</v>
      </c>
      <c r="D98" s="88" t="n">
        <f aca="false">500*COS(RADIANS(350))</f>
        <v>492.403876506104</v>
      </c>
      <c r="E98" s="88" t="n">
        <f aca="false">2000*SIN(RADIANS(350))</f>
        <v>-347.296355333861</v>
      </c>
      <c r="F98" s="88" t="n">
        <f aca="false">2000*COS(RADIANS(350))</f>
        <v>1969.61550602442</v>
      </c>
      <c r="G98" s="88" t="n">
        <f aca="false">5000*SIN(RADIANS(350))</f>
        <v>-868.240888334652</v>
      </c>
      <c r="H98" s="88" t="n">
        <f aca="false">5000*COS(RADIANS(350))</f>
        <v>4924.03876506104</v>
      </c>
      <c r="I98" s="88" t="n">
        <f aca="false">IF(1_DATOS!C46&gt;=1,1_DATOS!C5*2025.4*SIN(RADIANS(350))+C7*SIN(RADIANS(D7)),"")</f>
        <v>-8792.67547616502</v>
      </c>
      <c r="J98" s="88" t="n">
        <f aca="false">IF(1_DATOS!C46&gt;=1,1_DATOS!C5*2025.4*COS(RADIANS(350))+C7*COS(RADIANS(D7)),"")</f>
        <v>46365.7405737732</v>
      </c>
      <c r="K98" s="88" t="n">
        <f aca="false">IF(1_DATOS!C46&gt;=2,1_DATOS!C5*2025.4*SIN(RADIANS(350))+C8*SIN(RADIANS(D8)),"")</f>
        <v>-7356.19087419721</v>
      </c>
      <c r="L98" s="88" t="n">
        <f aca="false">IF(1_DATOS!C46&gt;=2,1_DATOS!C5*2025.4*COS(RADIANS(350))+C8*COS(RADIANS(D8)),"")</f>
        <v>45919.0315664723</v>
      </c>
      <c r="M98" s="88" t="n">
        <f aca="false">IF(1_DATOS!C47&gt;=1,1_DATOS!C7*2025.4*SIN(RADIANS(350))+C9*SIN(RADIANS(D9)),"")</f>
        <v>-5104.3677050424</v>
      </c>
      <c r="N98" s="88" t="n">
        <f aca="false">IF(1_DATOS!C47&gt;=1,1_DATOS!C7*2025.4*COS(RADIANS(350))+C9*COS(RADIANS(D9)),"")</f>
        <v>23051.6719989279</v>
      </c>
      <c r="O98" s="88" t="n">
        <f aca="false">IF(1_DATOS!C47&gt;=2,1_DATOS!C7*2025.4*SIN(RADIANS(350))+C10*SIN(RADIANS(D10)),"")</f>
        <v>-5104.3677050424</v>
      </c>
      <c r="P98" s="88" t="n">
        <f aca="false">IF(1_DATOS!C47&gt;=2,1_DATOS!C7*2025.4*COS(RADIANS(350))+C10*COS(RADIANS(D10)),"")</f>
        <v>24819.4389518943</v>
      </c>
      <c r="Q98" s="88" t="str">
        <f aca="false">IF(1_DATOS!C47&gt;=3,1_DATOS!C7*2025.4*SIN(RADIANS(350))+C11*SIN(RADIANS(D11)),"")</f>
        <v/>
      </c>
      <c r="R98" s="88" t="str">
        <f aca="false">IF(1_DATOS!C47&gt;=3,1_DATOS!C7*2025.4*COS(RADIANS(350))+C11*COS(RADIANS(D11)),"")</f>
        <v/>
      </c>
    </row>
    <row r="99" customFormat="false" ht="9.75" hidden="false" customHeight="true" outlineLevel="0" collapsed="false">
      <c r="B99" s="87" t="n">
        <v>355</v>
      </c>
      <c r="C99" s="88" t="n">
        <f aca="false">500*SIN(RADIANS(355))</f>
        <v>-43.5778713738292</v>
      </c>
      <c r="D99" s="88" t="n">
        <f aca="false">500*COS(RADIANS(355))</f>
        <v>498.097349045873</v>
      </c>
      <c r="E99" s="88" t="n">
        <f aca="false">2000*SIN(RADIANS(355))</f>
        <v>-174.311485495317</v>
      </c>
      <c r="F99" s="88" t="n">
        <f aca="false">2000*COS(RADIANS(355))</f>
        <v>1992.38939618349</v>
      </c>
      <c r="G99" s="88" t="n">
        <f aca="false">5000*SIN(RADIANS(355))</f>
        <v>-435.778713738292</v>
      </c>
      <c r="H99" s="88" t="n">
        <f aca="false">5000*COS(RADIANS(355))</f>
        <v>4980.97349045873</v>
      </c>
      <c r="I99" s="88" t="n">
        <f aca="false">IF(1_DATOS!C46&gt;=1,1_DATOS!C5*2025.4*SIN(RADIANS(355))+C7*SIN(RADIANS(D7)),"")</f>
        <v>-4413.13103402768</v>
      </c>
      <c r="J99" s="88" t="n">
        <f aca="false">IF(1_DATOS!C46&gt;=1,1_DATOS!C5*2025.4*COS(RADIANS(355))+C7*COS(RADIANS(D7)),"")</f>
        <v>46942.3185378755</v>
      </c>
      <c r="K99" s="88" t="n">
        <f aca="false">IF(1_DATOS!C46&gt;=2,1_DATOS!C5*2025.4*SIN(RADIANS(355))+C8*SIN(RADIANS(D8)),"")</f>
        <v>-2976.64643205987</v>
      </c>
      <c r="L99" s="88" t="n">
        <f aca="false">IF(1_DATOS!C46&gt;=2,1_DATOS!C5*2025.4*COS(RADIANS(355))+C8*COS(RADIANS(D8)),"")</f>
        <v>46495.6095305747</v>
      </c>
      <c r="M99" s="88" t="n">
        <f aca="false">IF(1_DATOS!C47&gt;=1,1_DATOS!C7*2025.4*SIN(RADIANS(355))+C9*SIN(RADIANS(D9)),"")</f>
        <v>-3002.18637281647</v>
      </c>
      <c r="N99" s="88" t="n">
        <f aca="false">IF(1_DATOS!C47&gt;=1,1_DATOS!C7*2025.4*COS(RADIANS(355))+C9*COS(RADIANS(D9)),"")</f>
        <v>23328.4294216971</v>
      </c>
      <c r="O99" s="88" t="n">
        <f aca="false">IF(1_DATOS!C47&gt;=2,1_DATOS!C7*2025.4*SIN(RADIANS(355))+C10*SIN(RADIANS(D10)),"")</f>
        <v>-3002.18637281647</v>
      </c>
      <c r="P99" s="88" t="n">
        <f aca="false">IF(1_DATOS!C47&gt;=2,1_DATOS!C7*2025.4*COS(RADIANS(355))+C10*COS(RADIANS(D10)),"")</f>
        <v>25096.1963746634</v>
      </c>
      <c r="Q99" s="88" t="str">
        <f aca="false">IF(1_DATOS!C47&gt;=3,1_DATOS!C7*2025.4*SIN(RADIANS(355))+C11*SIN(RADIANS(D11)),"")</f>
        <v/>
      </c>
      <c r="R99" s="88" t="str">
        <f aca="false">IF(1_DATOS!C47&gt;=3,1_DATOS!C7*2025.4*COS(RADIANS(355))+C11*COS(RADIANS(D11)),"")</f>
        <v/>
      </c>
    </row>
    <row r="100" customFormat="false" ht="9.75" hidden="false" customHeight="true" outlineLevel="0" collapsed="false">
      <c r="B100" s="87" t="n">
        <v>360</v>
      </c>
      <c r="C100" s="88" t="n">
        <f aca="false">500*SIN(RADIANS(360))</f>
        <v>-1.22464679914735E-013</v>
      </c>
      <c r="D100" s="88" t="n">
        <f aca="false">500*COS(RADIANS(360))</f>
        <v>500</v>
      </c>
      <c r="E100" s="88" t="n">
        <f aca="false">2000*SIN(RADIANS(360))</f>
        <v>-4.89858719658941E-013</v>
      </c>
      <c r="F100" s="88" t="n">
        <f aca="false">2000*COS(RADIANS(360))</f>
        <v>2000</v>
      </c>
      <c r="G100" s="88" t="n">
        <f aca="false">5000*SIN(RADIANS(360))</f>
        <v>-1.22464679914735E-012</v>
      </c>
      <c r="H100" s="88" t="n">
        <f aca="false">5000*COS(RADIANS(360))</f>
        <v>5000</v>
      </c>
      <c r="I100" s="88" t="n">
        <f aca="false">IF(1_DATOS!C46&gt;=1,1_DATOS!C5*2025.4*SIN(RADIANS(360))+C7*SIN(RADIANS(D7)),"")</f>
        <v>-1.19733717552637E-011</v>
      </c>
      <c r="J100" s="88" t="n">
        <f aca="false">IF(1_DATOS!C46&gt;=1,1_DATOS!C5*2025.4*COS(RADIANS(360))+C7*COS(RADIANS(D7)),"")</f>
        <v>47135</v>
      </c>
      <c r="K100" s="88" t="n">
        <f aca="false">IF(1_DATOS!C46&gt;=2,1_DATOS!C5*2025.4*SIN(RADIANS(360))+C8*SIN(RADIANS(D8)),"")</f>
        <v>1436.4846019678</v>
      </c>
      <c r="L100" s="88" t="n">
        <f aca="false">IF(1_DATOS!C46&gt;=2,1_DATOS!C5*2025.4*COS(RADIANS(360))+C8*COS(RADIANS(D8)),"")</f>
        <v>46688.2909926992</v>
      </c>
      <c r="M100" s="88" t="n">
        <f aca="false">IF(1_DATOS!C47&gt;=1,1_DATOS!C7*2025.4*SIN(RADIANS(360))+C9*SIN(RADIANS(D9)),"")</f>
        <v>-883.88347648319</v>
      </c>
      <c r="N100" s="88" t="n">
        <f aca="false">IF(1_DATOS!C47&gt;=1,1_DATOS!C7*2025.4*COS(RADIANS(360))+C9*COS(RADIANS(D9)),"")</f>
        <v>23420.9165235168</v>
      </c>
      <c r="O100" s="88" t="n">
        <f aca="false">IF(1_DATOS!C47&gt;=2,1_DATOS!C7*2025.4*SIN(RADIANS(360))+C10*SIN(RADIANS(D10)),"")</f>
        <v>-883.883476483191</v>
      </c>
      <c r="P100" s="88" t="n">
        <f aca="false">IF(1_DATOS!C47&gt;=2,1_DATOS!C7*2025.4*COS(RADIANS(360))+C10*COS(RADIANS(D10)),"")</f>
        <v>25188.6834764832</v>
      </c>
      <c r="Q100" s="88" t="str">
        <f aca="false">IF(1_DATOS!C47&gt;=3,1_DATOS!C7*2025.4*SIN(RADIANS(360))+C11*SIN(RADIANS(D11)),"")</f>
        <v/>
      </c>
      <c r="R100" s="88" t="str">
        <f aca="false">IF(1_DATOS!C47&gt;=3,1_DATOS!C7*2025.4*COS(RADIANS(360))+C11*COS(RADIANS(D11)),"")</f>
        <v/>
      </c>
    </row>
    <row r="101" customFormat="false" ht="10.5" hidden="false" customHeight="true" outlineLevel="0" collapsed="false">
      <c r="B101" s="89" t="s">
        <v>321</v>
      </c>
      <c r="C101" s="90" t="n">
        <f aca="false">0</f>
        <v>0</v>
      </c>
      <c r="D101" s="90" t="n">
        <f aca="false">0</f>
        <v>0</v>
      </c>
    </row>
    <row r="102" customFormat="false" ht="10.5" hidden="false" customHeight="true" outlineLevel="0" collapsed="false">
      <c r="B102" s="89" t="s">
        <v>322</v>
      </c>
      <c r="C102" s="90" t="n">
        <f aca="false">C7*SIN(RADIANS(D7))</f>
        <v>4.28626379701574E-013</v>
      </c>
      <c r="D102" s="90" t="n">
        <f aca="false">C7*COS(RADIANS(D7))</f>
        <v>-3500</v>
      </c>
    </row>
    <row r="103" customFormat="false" ht="10.5" hidden="false" customHeight="true" outlineLevel="0" collapsed="false">
      <c r="B103" s="89" t="s">
        <v>323</v>
      </c>
      <c r="C103" s="90" t="n">
        <f aca="false">IF(1_DATOS!C46&gt;=2,C8*SIN(RADIANS(D8)),"")</f>
        <v>1436.48460196781</v>
      </c>
      <c r="D103" s="90" t="n">
        <f aca="false">IF(1_DATOS!C46&gt;=2,C8*COS(RADIANS(D8)),"")</f>
        <v>-3946.70900730082</v>
      </c>
    </row>
    <row r="104" customFormat="false" ht="10.5" hidden="false" customHeight="true" outlineLevel="0" collapsed="false">
      <c r="B104" s="89" t="s">
        <v>324</v>
      </c>
      <c r="C104" s="90" t="n">
        <f aca="false">IF(1_DATOS!C47&gt;=1,C9*SIN(RADIANS(D9)),"")</f>
        <v>-883.883476483184</v>
      </c>
      <c r="D104" s="90" t="n">
        <f aca="false">IF(1_DATOS!C47&gt;=1,C9*COS(RADIANS(D9)),"")</f>
        <v>-883.883476483185</v>
      </c>
    </row>
    <row r="105" customFormat="false" ht="10.5" hidden="false" customHeight="true" outlineLevel="0" collapsed="false">
      <c r="B105" s="89" t="s">
        <v>325</v>
      </c>
      <c r="C105" s="90" t="n">
        <f aca="false">IF(1_DATOS!C47&gt;=2,C10*SIN(RADIANS(D10)),"")</f>
        <v>-883.883476483185</v>
      </c>
      <c r="D105" s="90" t="n">
        <f aca="false">IF(1_DATOS!C47&gt;=2,C10*COS(RADIANS(D10)),"")</f>
        <v>883.883476483184</v>
      </c>
    </row>
    <row r="106" customFormat="false" ht="10.5" hidden="false" customHeight="true" outlineLevel="0" collapsed="false">
      <c r="B106" s="89" t="s">
        <v>326</v>
      </c>
      <c r="C106" s="90" t="str">
        <f aca="false">IF(1_DATOS!C47&gt;=3,C11*SIN(RADIANS(D11)),"")</f>
        <v/>
      </c>
      <c r="D106" s="90" t="str">
        <f aca="false">IF(1_DATOS!C47&gt;=3,C11*COS(RADIANS(D11)),"")</f>
        <v/>
      </c>
    </row>
  </sheetData>
  <mergeCells count="9">
    <mergeCell ref="B1:K1"/>
    <mergeCell ref="B2:K2"/>
    <mergeCell ref="B4:K4"/>
    <mergeCell ref="C5:D5"/>
    <mergeCell ref="B12:K12"/>
    <mergeCell ref="B14:K14"/>
    <mergeCell ref="B15:K15"/>
    <mergeCell ref="B23:K23"/>
    <mergeCell ref="B26:K2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R10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18" min="2" style="0" width="9"/>
  </cols>
  <sheetData>
    <row r="1" customFormat="false" ht="36" hidden="false" customHeight="true" outlineLevel="0" collapsed="false">
      <c r="B1" s="68" t="s">
        <v>327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customFormat="false" ht="21.75" hidden="false" customHeight="true" outlineLevel="0" collapsed="false">
      <c r="B2" s="49" t="s">
        <v>328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4" customFormat="false" ht="21.75" hidden="false" customHeight="true" outlineLevel="0" collapsed="false">
      <c r="B4" s="29" t="s">
        <v>329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customFormat="false" ht="19.5" hidden="false" customHeight="true" outlineLevel="0" collapsed="false">
      <c r="B5" s="91" t="s">
        <v>70</v>
      </c>
      <c r="C5" s="92" t="str">
        <f aca="false">1_DATOS!C45</f>
        <v>2-FFG+2-FF23</v>
      </c>
      <c r="D5" s="92"/>
      <c r="F5" s="72" t="s">
        <v>282</v>
      </c>
      <c r="G5" s="73" t="n">
        <f aca="false">1_DATOS!C32</f>
        <v>0</v>
      </c>
      <c r="I5" s="74" t="s">
        <v>283</v>
      </c>
      <c r="J5" s="93" t="n">
        <f aca="false">1_DATOS!C46</f>
        <v>2</v>
      </c>
      <c r="L5" s="94" t="s">
        <v>330</v>
      </c>
      <c r="M5" s="95" t="n">
        <f aca="false">1_DATOS!C47</f>
        <v>2</v>
      </c>
    </row>
    <row r="6" customFormat="false" ht="24" hidden="false" customHeight="true" outlineLevel="0" collapsed="false">
      <c r="B6" s="30" t="s">
        <v>264</v>
      </c>
      <c r="C6" s="30" t="s">
        <v>331</v>
      </c>
      <c r="D6" s="30" t="s">
        <v>332</v>
      </c>
      <c r="E6" s="30" t="s">
        <v>333</v>
      </c>
      <c r="F6" s="30" t="s">
        <v>334</v>
      </c>
      <c r="G6" s="30" t="s">
        <v>335</v>
      </c>
    </row>
    <row r="7" customFormat="false" ht="16.5" hidden="false" customHeight="true" outlineLevel="0" collapsed="false">
      <c r="B7" s="77" t="s">
        <v>272</v>
      </c>
      <c r="C7" s="8" t="n">
        <f aca="false">1_DATOS!C33</f>
        <v>3500</v>
      </c>
      <c r="D7" s="6" t="n">
        <f aca="false">1_DATOS!C34</f>
        <v>180</v>
      </c>
      <c r="E7" s="53" t="str">
        <f aca="false">IF(1_DATOS!C46&gt;=1,"SI","NO")</f>
        <v>SI</v>
      </c>
      <c r="F7" s="96" t="s">
        <v>79</v>
      </c>
      <c r="G7" s="97" t="n">
        <f aca="false">1_DATOS!C5</f>
        <v>25</v>
      </c>
    </row>
    <row r="8" customFormat="false" ht="16.5" hidden="false" customHeight="true" outlineLevel="0" collapsed="false">
      <c r="B8" s="77" t="s">
        <v>273</v>
      </c>
      <c r="C8" s="8" t="n">
        <f aca="false">1_DATOS!C35</f>
        <v>4200</v>
      </c>
      <c r="D8" s="6" t="n">
        <f aca="false">1_DATOS!C36</f>
        <v>160</v>
      </c>
      <c r="E8" s="53" t="str">
        <f aca="false">IF(1_DATOS!C46&gt;=2,"SI","NO")</f>
        <v>SI</v>
      </c>
      <c r="F8" s="96" t="s">
        <v>79</v>
      </c>
      <c r="G8" s="97" t="n">
        <f aca="false">1_DATOS!C5</f>
        <v>25</v>
      </c>
    </row>
    <row r="9" customFormat="false" ht="16.5" hidden="false" customHeight="true" outlineLevel="0" collapsed="false">
      <c r="B9" s="81" t="s">
        <v>274</v>
      </c>
      <c r="C9" s="82" t="n">
        <f aca="false">1_DATOS!C37</f>
        <v>1250</v>
      </c>
      <c r="D9" s="15" t="n">
        <f aca="false">1_DATOS!C38</f>
        <v>225</v>
      </c>
      <c r="E9" s="53" t="str">
        <f aca="false">IF(1_DATOS!C47&gt;=1,"SI","NO")</f>
        <v>SI</v>
      </c>
      <c r="F9" s="98" t="s">
        <v>336</v>
      </c>
      <c r="G9" s="99" t="n">
        <f aca="false">1_DATOS!C7</f>
        <v>12</v>
      </c>
    </row>
    <row r="10" customFormat="false" ht="16.5" hidden="false" customHeight="true" outlineLevel="0" collapsed="false">
      <c r="B10" s="81" t="s">
        <v>275</v>
      </c>
      <c r="C10" s="82" t="n">
        <f aca="false">1_DATOS!C39</f>
        <v>1250</v>
      </c>
      <c r="D10" s="15" t="n">
        <f aca="false">1_DATOS!C40</f>
        <v>315</v>
      </c>
      <c r="E10" s="53" t="str">
        <f aca="false">IF(1_DATOS!C47&gt;=2,"SI","NO")</f>
        <v>SI</v>
      </c>
      <c r="F10" s="98" t="s">
        <v>336</v>
      </c>
      <c r="G10" s="99" t="n">
        <f aca="false">1_DATOS!C7</f>
        <v>12</v>
      </c>
    </row>
    <row r="11" customFormat="false" ht="16.5" hidden="false" customHeight="true" outlineLevel="0" collapsed="false">
      <c r="B11" s="81" t="s">
        <v>276</v>
      </c>
      <c r="C11" s="82" t="n">
        <f aca="false">1_DATOS!C41</f>
        <v>900</v>
      </c>
      <c r="D11" s="15" t="n">
        <f aca="false">1_DATOS!C42</f>
        <v>90</v>
      </c>
      <c r="E11" s="53" t="str">
        <f aca="false">IF(1_DATOS!C47&gt;=3,"SI","NO")</f>
        <v>NO</v>
      </c>
      <c r="F11" s="98" t="s">
        <v>336</v>
      </c>
      <c r="G11" s="99" t="n">
        <f aca="false">1_DATOS!C7</f>
        <v>12</v>
      </c>
    </row>
    <row r="12" customFormat="false" ht="21.75" hidden="false" customHeight="true" outlineLevel="0" collapsed="false">
      <c r="B12" s="67" t="s">
        <v>337</v>
      </c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</row>
    <row r="14" customFormat="false" ht="21.75" hidden="false" customHeight="true" outlineLevel="0" collapsed="false">
      <c r="B14" s="50" t="s">
        <v>338</v>
      </c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</row>
    <row r="15" customFormat="false" ht="27.75" hidden="false" customHeight="true" outlineLevel="0" collapsed="false">
      <c r="B15" s="51" t="s">
        <v>339</v>
      </c>
      <c r="C15" s="51" t="s">
        <v>340</v>
      </c>
      <c r="D15" s="51" t="s">
        <v>341</v>
      </c>
      <c r="E15" s="51" t="s">
        <v>342</v>
      </c>
      <c r="F15" s="51" t="s">
        <v>343</v>
      </c>
      <c r="G15" s="51" t="s">
        <v>344</v>
      </c>
      <c r="H15" s="51" t="s">
        <v>345</v>
      </c>
    </row>
    <row r="16" customFormat="false" ht="19.5" hidden="false" customHeight="true" outlineLevel="0" collapsed="false">
      <c r="B16" s="100" t="s">
        <v>346</v>
      </c>
      <c r="C16" s="101" t="s">
        <v>132</v>
      </c>
      <c r="D16" s="101" t="s">
        <v>132</v>
      </c>
      <c r="E16" s="101" t="s">
        <v>132</v>
      </c>
      <c r="F16" s="101" t="s">
        <v>132</v>
      </c>
      <c r="G16" s="101" t="s">
        <v>347</v>
      </c>
      <c r="H16" s="101" t="s">
        <v>348</v>
      </c>
    </row>
    <row r="17" customFormat="false" ht="19.5" hidden="false" customHeight="true" outlineLevel="0" collapsed="false">
      <c r="B17" s="102" t="s">
        <v>349</v>
      </c>
      <c r="C17" s="103" t="s">
        <v>132</v>
      </c>
      <c r="D17" s="103" t="s">
        <v>133</v>
      </c>
      <c r="E17" s="103" t="s">
        <v>132</v>
      </c>
      <c r="F17" s="103" t="s">
        <v>133</v>
      </c>
      <c r="G17" s="103" t="s">
        <v>350</v>
      </c>
      <c r="H17" s="103" t="s">
        <v>351</v>
      </c>
    </row>
    <row r="18" customFormat="false" ht="19.5" hidden="false" customHeight="true" outlineLevel="0" collapsed="false">
      <c r="B18" s="100" t="s">
        <v>352</v>
      </c>
      <c r="C18" s="101" t="s">
        <v>132</v>
      </c>
      <c r="D18" s="101" t="s">
        <v>134</v>
      </c>
      <c r="E18" s="101" t="s">
        <v>132</v>
      </c>
      <c r="F18" s="101" t="s">
        <v>134</v>
      </c>
      <c r="G18" s="101" t="s">
        <v>353</v>
      </c>
      <c r="H18" s="101" t="s">
        <v>354</v>
      </c>
    </row>
    <row r="19" customFormat="false" ht="19.5" hidden="false" customHeight="true" outlineLevel="0" collapsed="false">
      <c r="B19" s="102" t="s">
        <v>355</v>
      </c>
      <c r="C19" s="103" t="s">
        <v>133</v>
      </c>
      <c r="D19" s="103" t="s">
        <v>132</v>
      </c>
      <c r="E19" s="103" t="s">
        <v>133</v>
      </c>
      <c r="F19" s="103" t="s">
        <v>132</v>
      </c>
      <c r="G19" s="103" t="s">
        <v>356</v>
      </c>
      <c r="H19" s="103" t="s">
        <v>357</v>
      </c>
    </row>
    <row r="20" customFormat="false" ht="19.5" hidden="false" customHeight="true" outlineLevel="0" collapsed="false">
      <c r="B20" s="104" t="s">
        <v>71</v>
      </c>
      <c r="C20" s="105" t="s">
        <v>133</v>
      </c>
      <c r="D20" s="105" t="s">
        <v>133</v>
      </c>
      <c r="E20" s="105" t="s">
        <v>133</v>
      </c>
      <c r="F20" s="105" t="s">
        <v>133</v>
      </c>
      <c r="G20" s="105" t="s">
        <v>358</v>
      </c>
      <c r="H20" s="105" t="s">
        <v>359</v>
      </c>
    </row>
    <row r="21" customFormat="false" ht="19.5" hidden="false" customHeight="true" outlineLevel="0" collapsed="false">
      <c r="B21" s="102" t="s">
        <v>360</v>
      </c>
      <c r="C21" s="103" t="s">
        <v>133</v>
      </c>
      <c r="D21" s="103" t="s">
        <v>134</v>
      </c>
      <c r="E21" s="103" t="s">
        <v>133</v>
      </c>
      <c r="F21" s="103" t="s">
        <v>134</v>
      </c>
      <c r="G21" s="103" t="s">
        <v>361</v>
      </c>
      <c r="H21" s="103" t="s">
        <v>362</v>
      </c>
    </row>
    <row r="23" customFormat="false" ht="15.75" hidden="false" customHeight="true" outlineLevel="0" collapsed="false">
      <c r="B23" s="106" t="s">
        <v>363</v>
      </c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</row>
    <row r="24" customFormat="false" ht="12" hidden="false" customHeight="true" outlineLevel="0" collapsed="false">
      <c r="B24" s="107" t="s">
        <v>364</v>
      </c>
      <c r="C24" s="107" t="s">
        <v>305</v>
      </c>
      <c r="D24" s="107" t="s">
        <v>306</v>
      </c>
      <c r="E24" s="107" t="s">
        <v>307</v>
      </c>
      <c r="F24" s="107" t="s">
        <v>308</v>
      </c>
      <c r="G24" s="107" t="s">
        <v>309</v>
      </c>
      <c r="H24" s="107" t="s">
        <v>310</v>
      </c>
      <c r="I24" s="107" t="s">
        <v>365</v>
      </c>
      <c r="J24" s="107" t="s">
        <v>366</v>
      </c>
      <c r="K24" s="107" t="s">
        <v>367</v>
      </c>
      <c r="L24" s="107" t="s">
        <v>368</v>
      </c>
      <c r="M24" s="107" t="s">
        <v>369</v>
      </c>
      <c r="N24" s="107" t="s">
        <v>370</v>
      </c>
      <c r="O24" s="107" t="s">
        <v>371</v>
      </c>
      <c r="P24" s="107" t="s">
        <v>372</v>
      </c>
      <c r="Q24" s="107" t="s">
        <v>373</v>
      </c>
      <c r="R24" s="107" t="s">
        <v>374</v>
      </c>
    </row>
    <row r="25" customFormat="false" ht="9" hidden="false" customHeight="true" outlineLevel="0" collapsed="false">
      <c r="B25" s="87" t="n">
        <v>0</v>
      </c>
      <c r="C25" s="88" t="n">
        <f aca="false">500*SIN(RADIANS(0))</f>
        <v>0</v>
      </c>
      <c r="D25" s="88" t="n">
        <f aca="false">500*COS(RADIANS(0))</f>
        <v>500</v>
      </c>
      <c r="E25" s="88" t="n">
        <f aca="false">2000*SIN(RADIANS(0))</f>
        <v>0</v>
      </c>
      <c r="F25" s="88" t="n">
        <f aca="false">2000*COS(RADIANS(0))</f>
        <v>2000</v>
      </c>
      <c r="G25" s="88" t="n">
        <f aca="false">5000*SIN(RADIANS(0))</f>
        <v>0</v>
      </c>
      <c r="H25" s="88" t="n">
        <f aca="false">5000*COS(RADIANS(0))</f>
        <v>5000</v>
      </c>
      <c r="I25" s="88" t="n">
        <f aca="false">IF(1_DATOS!C46&gt;=1,1_DATOS!C5*2025.4*SIN(RADIANS(0))+C7*SIN(RADIANS(D7)),"")</f>
        <v>4.28626379701574E-013</v>
      </c>
      <c r="J25" s="88" t="n">
        <f aca="false">IF(1_DATOS!C46&gt;=1,1_DATOS!C5*2025.4*COS(RADIANS(0))+C7*COS(RADIANS(D7)),"")</f>
        <v>47135</v>
      </c>
      <c r="K25" s="88" t="n">
        <f aca="false">IF(1_DATOS!C46&gt;=2,1_DATOS!C5*2025.4*SIN(RADIANS(0))+C8*SIN(RADIANS(D8)),"")</f>
        <v>1436.48460196781</v>
      </c>
      <c r="L25" s="88" t="n">
        <f aca="false">IF(1_DATOS!C46&gt;=2,1_DATOS!C5*2025.4*COS(RADIANS(0))+C8*COS(RADIANS(D8)),"")</f>
        <v>46688.2909926992</v>
      </c>
      <c r="M25" s="88" t="n">
        <f aca="false">IF(1_DATOS!C47&gt;=1,1_DATOS!C7*2025.4*SIN(RADIANS(0))+C9*SIN(RADIANS(D9)),"")</f>
        <v>-883.883476483184</v>
      </c>
      <c r="N25" s="88" t="n">
        <f aca="false">IF(1_DATOS!C47&gt;=1,1_DATOS!C7*2025.4*COS(RADIANS(0))+C9*COS(RADIANS(D9)),"")</f>
        <v>23420.9165235168</v>
      </c>
      <c r="O25" s="88" t="n">
        <f aca="false">IF(1_DATOS!C47&gt;=2,1_DATOS!C7*2025.4*SIN(RADIANS(0))+C10*SIN(RADIANS(D10)),"")</f>
        <v>-883.883476483185</v>
      </c>
      <c r="P25" s="88" t="n">
        <f aca="false">IF(1_DATOS!C47&gt;=2,1_DATOS!C7*2025.4*COS(RADIANS(0))+C10*COS(RADIANS(D10)),"")</f>
        <v>25188.6834764832</v>
      </c>
      <c r="Q25" s="88" t="str">
        <f aca="false">IF(1_DATOS!C47&gt;=3,1_DATOS!C7*2025.4*SIN(RADIANS(0))+C11*SIN(RADIANS(D11)),"")</f>
        <v/>
      </c>
      <c r="R25" s="88" t="str">
        <f aca="false">IF(1_DATOS!C47&gt;=3,1_DATOS!C7*2025.4*COS(RADIANS(0))+C11*COS(RADIANS(D11)),"")</f>
        <v/>
      </c>
    </row>
    <row r="26" customFormat="false" ht="9" hidden="false" customHeight="true" outlineLevel="0" collapsed="false">
      <c r="B26" s="87" t="n">
        <v>5</v>
      </c>
      <c r="C26" s="88" t="n">
        <f aca="false">500*SIN(RADIANS(5))</f>
        <v>43.5778713738291</v>
      </c>
      <c r="D26" s="88" t="n">
        <f aca="false">500*COS(RADIANS(5))</f>
        <v>498.097349045873</v>
      </c>
      <c r="E26" s="88" t="n">
        <f aca="false">2000*SIN(RADIANS(5))</f>
        <v>174.311485495316</v>
      </c>
      <c r="F26" s="88" t="n">
        <f aca="false">2000*COS(RADIANS(5))</f>
        <v>1992.38939618349</v>
      </c>
      <c r="G26" s="88" t="n">
        <f aca="false">5000*SIN(RADIANS(5))</f>
        <v>435.778713738291</v>
      </c>
      <c r="H26" s="88" t="n">
        <f aca="false">5000*COS(RADIANS(5))</f>
        <v>4980.97349045873</v>
      </c>
      <c r="I26" s="88" t="n">
        <f aca="false">IF(1_DATOS!C46&gt;=1,1_DATOS!C5*2025.4*SIN(RADIANS(5))+C7*SIN(RADIANS(D7)),"")</f>
        <v>4413.13103402767</v>
      </c>
      <c r="J26" s="88" t="n">
        <f aca="false">IF(1_DATOS!C46&gt;=1,1_DATOS!C5*2025.4*COS(RADIANS(5))+C7*COS(RADIANS(D7)),"")</f>
        <v>46942.3185378755</v>
      </c>
      <c r="K26" s="88" t="n">
        <f aca="false">IF(1_DATOS!C46&gt;=2,1_DATOS!C5*2025.4*SIN(RADIANS(5))+C8*SIN(RADIANS(D8)),"")</f>
        <v>5849.61563599548</v>
      </c>
      <c r="L26" s="88" t="n">
        <f aca="false">IF(1_DATOS!C46&gt;=2,1_DATOS!C5*2025.4*COS(RADIANS(5))+C8*COS(RADIANS(D8)),"")</f>
        <v>46495.6095305747</v>
      </c>
      <c r="M26" s="88" t="n">
        <f aca="false">IF(1_DATOS!C47&gt;=1,1_DATOS!C7*2025.4*SIN(RADIANS(5))+C9*SIN(RADIANS(D9)),"")</f>
        <v>1234.4194198501</v>
      </c>
      <c r="N26" s="88" t="n">
        <f aca="false">IF(1_DATOS!C47&gt;=1,1_DATOS!C7*2025.4*COS(RADIANS(5))+C9*COS(RADIANS(D9)),"")</f>
        <v>23328.4294216971</v>
      </c>
      <c r="O26" s="88" t="n">
        <f aca="false">IF(1_DATOS!C47&gt;=2,1_DATOS!C7*2025.4*SIN(RADIANS(5))+C10*SIN(RADIANS(D10)),"")</f>
        <v>1234.4194198501</v>
      </c>
      <c r="P26" s="88" t="n">
        <f aca="false">IF(1_DATOS!C47&gt;=2,1_DATOS!C7*2025.4*COS(RADIANS(5))+C10*COS(RADIANS(D10)),"")</f>
        <v>25096.1963746634</v>
      </c>
      <c r="Q26" s="88" t="str">
        <f aca="false">IF(1_DATOS!C47&gt;=3,1_DATOS!C7*2025.4*SIN(RADIANS(5))+C11*SIN(RADIANS(D11)),"")</f>
        <v/>
      </c>
      <c r="R26" s="88" t="str">
        <f aca="false">IF(1_DATOS!C47&gt;=3,1_DATOS!C7*2025.4*COS(RADIANS(5))+C11*COS(RADIANS(D11)),"")</f>
        <v/>
      </c>
    </row>
    <row r="27" customFormat="false" ht="9" hidden="false" customHeight="true" outlineLevel="0" collapsed="false">
      <c r="B27" s="87" t="n">
        <v>10</v>
      </c>
      <c r="C27" s="88" t="n">
        <f aca="false">500*SIN(RADIANS(10))</f>
        <v>86.8240888334652</v>
      </c>
      <c r="D27" s="88" t="n">
        <f aca="false">500*COS(RADIANS(10))</f>
        <v>492.403876506104</v>
      </c>
      <c r="E27" s="88" t="n">
        <f aca="false">2000*SIN(RADIANS(10))</f>
        <v>347.296355333861</v>
      </c>
      <c r="F27" s="88" t="n">
        <f aca="false">2000*COS(RADIANS(10))</f>
        <v>1969.61550602442</v>
      </c>
      <c r="G27" s="88" t="n">
        <f aca="false">5000*SIN(RADIANS(10))</f>
        <v>868.240888334652</v>
      </c>
      <c r="H27" s="88" t="n">
        <f aca="false">5000*COS(RADIANS(10))</f>
        <v>4924.03876506104</v>
      </c>
      <c r="I27" s="88" t="n">
        <f aca="false">IF(1_DATOS!C46&gt;=1,1_DATOS!C5*2025.4*SIN(RADIANS(10))+C7*SIN(RADIANS(D7)),"")</f>
        <v>8792.67547616502</v>
      </c>
      <c r="J27" s="88" t="n">
        <f aca="false">IF(1_DATOS!C46&gt;=1,1_DATOS!C5*2025.4*COS(RADIANS(10))+C7*COS(RADIANS(D7)),"")</f>
        <v>46365.7405737732</v>
      </c>
      <c r="K27" s="88" t="n">
        <f aca="false">IF(1_DATOS!C46&gt;=2,1_DATOS!C5*2025.4*SIN(RADIANS(10))+C8*SIN(RADIANS(D8)),"")</f>
        <v>10229.1600781328</v>
      </c>
      <c r="L27" s="88" t="n">
        <f aca="false">IF(1_DATOS!C46&gt;=2,1_DATOS!C5*2025.4*COS(RADIANS(10))+C8*COS(RADIANS(D8)),"")</f>
        <v>45919.0315664723</v>
      </c>
      <c r="M27" s="88" t="n">
        <f aca="false">IF(1_DATOS!C47&gt;=1,1_DATOS!C7*2025.4*SIN(RADIANS(10))+C9*SIN(RADIANS(D9)),"")</f>
        <v>3336.60075207602</v>
      </c>
      <c r="N27" s="88" t="n">
        <f aca="false">IF(1_DATOS!C47&gt;=1,1_DATOS!C7*2025.4*COS(RADIANS(10))+C9*COS(RADIANS(D9)),"")</f>
        <v>23051.6719989279</v>
      </c>
      <c r="O27" s="88" t="n">
        <f aca="false">IF(1_DATOS!C47&gt;=2,1_DATOS!C7*2025.4*SIN(RADIANS(10))+C10*SIN(RADIANS(D10)),"")</f>
        <v>3336.60075207602</v>
      </c>
      <c r="P27" s="88" t="n">
        <f aca="false">IF(1_DATOS!C47&gt;=2,1_DATOS!C7*2025.4*COS(RADIANS(10))+C10*COS(RADIANS(D10)),"")</f>
        <v>24819.4389518943</v>
      </c>
      <c r="Q27" s="88" t="str">
        <f aca="false">IF(1_DATOS!C47&gt;=3,1_DATOS!C7*2025.4*SIN(RADIANS(10))+C11*SIN(RADIANS(D11)),"")</f>
        <v/>
      </c>
      <c r="R27" s="88" t="str">
        <f aca="false">IF(1_DATOS!C47&gt;=3,1_DATOS!C7*2025.4*COS(RADIANS(10))+C11*COS(RADIANS(D11)),"")</f>
        <v/>
      </c>
    </row>
    <row r="28" customFormat="false" ht="9" hidden="false" customHeight="true" outlineLevel="0" collapsed="false">
      <c r="B28" s="87" t="n">
        <v>15</v>
      </c>
      <c r="C28" s="88" t="n">
        <f aca="false">500*SIN(RADIANS(15))</f>
        <v>129.40952255126</v>
      </c>
      <c r="D28" s="88" t="n">
        <f aca="false">500*COS(RADIANS(15))</f>
        <v>482.962913144534</v>
      </c>
      <c r="E28" s="88" t="n">
        <f aca="false">2000*SIN(RADIANS(15))</f>
        <v>517.638090205042</v>
      </c>
      <c r="F28" s="88" t="n">
        <f aca="false">2000*COS(RADIANS(15))</f>
        <v>1931.85165257814</v>
      </c>
      <c r="G28" s="88" t="n">
        <f aca="false">5000*SIN(RADIANS(15))</f>
        <v>1294.0952255126</v>
      </c>
      <c r="H28" s="88" t="n">
        <f aca="false">5000*COS(RADIANS(15))</f>
        <v>4829.62913144534</v>
      </c>
      <c r="I28" s="88" t="n">
        <f aca="false">IF(1_DATOS!C46&gt;=1,1_DATOS!C5*2025.4*SIN(RADIANS(15))+C7*SIN(RADIANS(D7)),"")</f>
        <v>13105.3023487661</v>
      </c>
      <c r="J28" s="88" t="n">
        <f aca="false">IF(1_DATOS!C46&gt;=1,1_DATOS!C5*2025.4*COS(RADIANS(15))+C7*COS(RADIANS(D7)),"")</f>
        <v>45409.654214147</v>
      </c>
      <c r="K28" s="88" t="n">
        <f aca="false">IF(1_DATOS!C46&gt;=2,1_DATOS!C5*2025.4*SIN(RADIANS(15))+C8*SIN(RADIANS(D8)),"")</f>
        <v>14541.7869507339</v>
      </c>
      <c r="L28" s="88" t="n">
        <f aca="false">IF(1_DATOS!C46&gt;=2,1_DATOS!C5*2025.4*COS(RADIANS(15))+C8*COS(RADIANS(D8)),"")</f>
        <v>44962.9452068462</v>
      </c>
      <c r="M28" s="88" t="n">
        <f aca="false">IF(1_DATOS!C47&gt;=1,1_DATOS!C7*2025.4*SIN(RADIANS(15))+C9*SIN(RADIANS(D9)),"")</f>
        <v>5406.66165092456</v>
      </c>
      <c r="N28" s="88" t="n">
        <f aca="false">IF(1_DATOS!C47&gt;=1,1_DATOS!C7*2025.4*COS(RADIANS(15))+C9*COS(RADIANS(D9)),"")</f>
        <v>22592.7505463074</v>
      </c>
      <c r="O28" s="88" t="n">
        <f aca="false">IF(1_DATOS!C47&gt;=2,1_DATOS!C7*2025.4*SIN(RADIANS(15))+C10*SIN(RADIANS(D10)),"")</f>
        <v>5406.66165092456</v>
      </c>
      <c r="P28" s="88" t="n">
        <f aca="false">IF(1_DATOS!C47&gt;=2,1_DATOS!C7*2025.4*COS(RADIANS(15))+C10*COS(RADIANS(D10)),"")</f>
        <v>24360.5174992737</v>
      </c>
      <c r="Q28" s="88" t="str">
        <f aca="false">IF(1_DATOS!C47&gt;=3,1_DATOS!C7*2025.4*SIN(RADIANS(15))+C11*SIN(RADIANS(D11)),"")</f>
        <v/>
      </c>
      <c r="R28" s="88" t="str">
        <f aca="false">IF(1_DATOS!C47&gt;=3,1_DATOS!C7*2025.4*COS(RADIANS(15))+C11*COS(RADIANS(D11)),"")</f>
        <v/>
      </c>
    </row>
    <row r="29" customFormat="false" ht="9" hidden="false" customHeight="true" outlineLevel="0" collapsed="false">
      <c r="B29" s="87" t="n">
        <v>20</v>
      </c>
      <c r="C29" s="88" t="n">
        <f aca="false">500*SIN(RADIANS(20))</f>
        <v>171.010071662834</v>
      </c>
      <c r="D29" s="88" t="n">
        <f aca="false">500*COS(RADIANS(20))</f>
        <v>469.846310392954</v>
      </c>
      <c r="E29" s="88" t="n">
        <f aca="false">2000*SIN(RADIANS(20))</f>
        <v>684.040286651337</v>
      </c>
      <c r="F29" s="88" t="n">
        <f aca="false">2000*COS(RADIANS(20))</f>
        <v>1879.38524157182</v>
      </c>
      <c r="G29" s="88" t="n">
        <f aca="false">5000*SIN(RADIANS(20))</f>
        <v>1710.10071662834</v>
      </c>
      <c r="H29" s="88" t="n">
        <f aca="false">5000*COS(RADIANS(20))</f>
        <v>4698.46310392954</v>
      </c>
      <c r="I29" s="88" t="n">
        <f aca="false">IF(1_DATOS!C46&gt;=1,1_DATOS!C5*2025.4*SIN(RADIANS(20))+C7*SIN(RADIANS(D7)),"")</f>
        <v>17318.1899572952</v>
      </c>
      <c r="J29" s="88" t="n">
        <f aca="false">IF(1_DATOS!C46&gt;=1,1_DATOS!C5*2025.4*COS(RADIANS(20))+C7*COS(RADIANS(D7)),"")</f>
        <v>44081.3358534945</v>
      </c>
      <c r="K29" s="88" t="n">
        <f aca="false">IF(1_DATOS!C46&gt;=2,1_DATOS!C5*2025.4*SIN(RADIANS(20))+C8*SIN(RADIANS(D8)),"")</f>
        <v>18754.674559263</v>
      </c>
      <c r="L29" s="88" t="n">
        <f aca="false">IF(1_DATOS!C46&gt;=2,1_DATOS!C5*2025.4*COS(RADIANS(20))+C8*COS(RADIANS(D8)),"")</f>
        <v>43634.6268461937</v>
      </c>
      <c r="M29" s="88" t="n">
        <f aca="false">IF(1_DATOS!C47&gt;=1,1_DATOS!C7*2025.4*SIN(RADIANS(20))+C9*SIN(RADIANS(D9)),"")</f>
        <v>7428.84770301853</v>
      </c>
      <c r="N29" s="88" t="n">
        <f aca="false">IF(1_DATOS!C47&gt;=1,1_DATOS!C7*2025.4*COS(RADIANS(20))+C9*COS(RADIANS(D9)),"")</f>
        <v>21955.1577331942</v>
      </c>
      <c r="O29" s="88" t="n">
        <f aca="false">IF(1_DATOS!C47&gt;=2,1_DATOS!C7*2025.4*SIN(RADIANS(20))+C10*SIN(RADIANS(D10)),"")</f>
        <v>7428.84770301853</v>
      </c>
      <c r="P29" s="88" t="n">
        <f aca="false">IF(1_DATOS!C47&gt;=2,1_DATOS!C7*2025.4*COS(RADIANS(20))+C10*COS(RADIANS(D10)),"")</f>
        <v>23722.9246861605</v>
      </c>
      <c r="Q29" s="88" t="str">
        <f aca="false">IF(1_DATOS!C47&gt;=3,1_DATOS!C7*2025.4*SIN(RADIANS(20))+C11*SIN(RADIANS(D11)),"")</f>
        <v/>
      </c>
      <c r="R29" s="88" t="str">
        <f aca="false">IF(1_DATOS!C47&gt;=3,1_DATOS!C7*2025.4*COS(RADIANS(20))+C11*COS(RADIANS(D11)),"")</f>
        <v/>
      </c>
    </row>
    <row r="30" customFormat="false" ht="9" hidden="false" customHeight="true" outlineLevel="0" collapsed="false">
      <c r="B30" s="87" t="n">
        <v>25</v>
      </c>
      <c r="C30" s="88" t="n">
        <f aca="false">500*SIN(RADIANS(25))</f>
        <v>211.30913087035</v>
      </c>
      <c r="D30" s="88" t="n">
        <f aca="false">500*COS(RADIANS(25))</f>
        <v>453.153893518325</v>
      </c>
      <c r="E30" s="88" t="n">
        <f aca="false">2000*SIN(RADIANS(25))</f>
        <v>845.236523481399</v>
      </c>
      <c r="F30" s="88" t="n">
        <f aca="false">2000*COS(RADIANS(25))</f>
        <v>1812.6155740733</v>
      </c>
      <c r="G30" s="88" t="n">
        <f aca="false">5000*SIN(RADIANS(25))</f>
        <v>2113.0913087035</v>
      </c>
      <c r="H30" s="88" t="n">
        <f aca="false">5000*COS(RADIANS(25))</f>
        <v>4531.53893518325</v>
      </c>
      <c r="I30" s="88" t="n">
        <f aca="false">IF(1_DATOS!C46&gt;=1,1_DATOS!C5*2025.4*SIN(RADIANS(25))+C7*SIN(RADIANS(D7)),"")</f>
        <v>21399.2756832403</v>
      </c>
      <c r="J30" s="88" t="n">
        <f aca="false">IF(1_DATOS!C46&gt;=1,1_DATOS!C5*2025.4*COS(RADIANS(25))+C7*COS(RADIANS(D7)),"")</f>
        <v>42390.8947966008</v>
      </c>
      <c r="K30" s="88" t="n">
        <f aca="false">IF(1_DATOS!C46&gt;=2,1_DATOS!C5*2025.4*SIN(RADIANS(25))+C8*SIN(RADIANS(D8)),"")</f>
        <v>22835.7602852081</v>
      </c>
      <c r="L30" s="88" t="n">
        <f aca="false">IF(1_DATOS!C46&gt;=2,1_DATOS!C5*2025.4*COS(RADIANS(25))+C8*COS(RADIANS(D8)),"")</f>
        <v>41944.1857893</v>
      </c>
      <c r="M30" s="88" t="n">
        <f aca="false">IF(1_DATOS!C47&gt;=1,1_DATOS!C7*2025.4*SIN(RADIANS(25))+C9*SIN(RADIANS(D9)),"")</f>
        <v>9387.76885147217</v>
      </c>
      <c r="N30" s="88" t="n">
        <f aca="false">IF(1_DATOS!C47&gt;=1,1_DATOS!C7*2025.4*COS(RADIANS(25))+C9*COS(RADIANS(D9)),"")</f>
        <v>21143.7460258852</v>
      </c>
      <c r="O30" s="88" t="n">
        <f aca="false">IF(1_DATOS!C47&gt;=2,1_DATOS!C7*2025.4*SIN(RADIANS(25))+C10*SIN(RADIANS(D10)),"")</f>
        <v>9387.76885147217</v>
      </c>
      <c r="P30" s="88" t="n">
        <f aca="false">IF(1_DATOS!C47&gt;=2,1_DATOS!C7*2025.4*COS(RADIANS(25))+C10*COS(RADIANS(D10)),"")</f>
        <v>22911.5129788516</v>
      </c>
      <c r="Q30" s="88" t="str">
        <f aca="false">IF(1_DATOS!C47&gt;=3,1_DATOS!C7*2025.4*SIN(RADIANS(25))+C11*SIN(RADIANS(D11)),"")</f>
        <v/>
      </c>
      <c r="R30" s="88" t="str">
        <f aca="false">IF(1_DATOS!C47&gt;=3,1_DATOS!C7*2025.4*COS(RADIANS(25))+C11*COS(RADIANS(D11)),"")</f>
        <v/>
      </c>
    </row>
    <row r="31" customFormat="false" ht="9" hidden="false" customHeight="true" outlineLevel="0" collapsed="false">
      <c r="B31" s="87" t="n">
        <v>30</v>
      </c>
      <c r="C31" s="88" t="n">
        <f aca="false">500*SIN(RADIANS(30))</f>
        <v>250</v>
      </c>
      <c r="D31" s="88" t="n">
        <f aca="false">500*COS(RADIANS(30))</f>
        <v>433.012701892219</v>
      </c>
      <c r="E31" s="88" t="n">
        <f aca="false">2000*SIN(RADIANS(30))</f>
        <v>1000</v>
      </c>
      <c r="F31" s="88" t="n">
        <f aca="false">2000*COS(RADIANS(30))</f>
        <v>1732.05080756888</v>
      </c>
      <c r="G31" s="88" t="n">
        <f aca="false">5000*SIN(RADIANS(30))</f>
        <v>2500</v>
      </c>
      <c r="H31" s="88" t="n">
        <f aca="false">5000*COS(RADIANS(30))</f>
        <v>4330.12701892219</v>
      </c>
      <c r="I31" s="88" t="n">
        <f aca="false">IF(1_DATOS!C46&gt;=1,1_DATOS!C5*2025.4*SIN(RADIANS(30))+C7*SIN(RADIANS(D7)),"")</f>
        <v>25317.5</v>
      </c>
      <c r="J31" s="88" t="n">
        <f aca="false">IF(1_DATOS!C46&gt;=1,1_DATOS!C5*2025.4*COS(RADIANS(30))+C7*COS(RADIANS(D7)),"")</f>
        <v>40351.1963206251</v>
      </c>
      <c r="K31" s="88" t="n">
        <f aca="false">IF(1_DATOS!C46&gt;=2,1_DATOS!C5*2025.4*SIN(RADIANS(30))+C8*SIN(RADIANS(D8)),"")</f>
        <v>26753.9846019678</v>
      </c>
      <c r="L31" s="88" t="n">
        <f aca="false">IF(1_DATOS!C46&gt;=2,1_DATOS!C5*2025.4*COS(RADIANS(30))+C8*COS(RADIANS(D8)),"")</f>
        <v>39904.4873133242</v>
      </c>
      <c r="M31" s="88" t="n">
        <f aca="false">IF(1_DATOS!C47&gt;=1,1_DATOS!C7*2025.4*SIN(RADIANS(30))+C9*SIN(RADIANS(D9)),"")</f>
        <v>11268.5165235168</v>
      </c>
      <c r="N31" s="88" t="n">
        <f aca="false">IF(1_DATOS!C47&gt;=1,1_DATOS!C7*2025.4*COS(RADIANS(30))+C9*COS(RADIANS(D9)),"")</f>
        <v>20164.6907574168</v>
      </c>
      <c r="O31" s="88" t="n">
        <f aca="false">IF(1_DATOS!C47&gt;=2,1_DATOS!C7*2025.4*SIN(RADIANS(30))+C10*SIN(RADIANS(D10)),"")</f>
        <v>11268.5165235168</v>
      </c>
      <c r="P31" s="88" t="n">
        <f aca="false">IF(1_DATOS!C47&gt;=2,1_DATOS!C7*2025.4*COS(RADIANS(30))+C10*COS(RADIANS(D10)),"")</f>
        <v>21932.4577103832</v>
      </c>
      <c r="Q31" s="88" t="str">
        <f aca="false">IF(1_DATOS!C47&gt;=3,1_DATOS!C7*2025.4*SIN(RADIANS(30))+C11*SIN(RADIANS(D11)),"")</f>
        <v/>
      </c>
      <c r="R31" s="88" t="str">
        <f aca="false">IF(1_DATOS!C47&gt;=3,1_DATOS!C7*2025.4*COS(RADIANS(30))+C11*COS(RADIANS(D11)),"")</f>
        <v/>
      </c>
    </row>
    <row r="32" customFormat="false" ht="9" hidden="false" customHeight="true" outlineLevel="0" collapsed="false">
      <c r="B32" s="87" t="n">
        <v>35</v>
      </c>
      <c r="C32" s="88" t="n">
        <f aca="false">500*SIN(RADIANS(35))</f>
        <v>286.788218175523</v>
      </c>
      <c r="D32" s="88" t="n">
        <f aca="false">500*COS(RADIANS(35))</f>
        <v>409.576022144496</v>
      </c>
      <c r="E32" s="88" t="n">
        <f aca="false">2000*SIN(RADIANS(35))</f>
        <v>1147.15287270209</v>
      </c>
      <c r="F32" s="88" t="n">
        <f aca="false">2000*COS(RADIANS(35))</f>
        <v>1638.30408857798</v>
      </c>
      <c r="G32" s="88" t="n">
        <f aca="false">5000*SIN(RADIANS(35))</f>
        <v>2867.88218175523</v>
      </c>
      <c r="H32" s="88" t="n">
        <f aca="false">5000*COS(RADIANS(35))</f>
        <v>4095.76022144496</v>
      </c>
      <c r="I32" s="88" t="n">
        <f aca="false">IF(1_DATOS!C46&gt;=1,1_DATOS!C5*2025.4*SIN(RADIANS(35))+C7*SIN(RADIANS(D7)),"")</f>
        <v>29043.0428546352</v>
      </c>
      <c r="J32" s="88" t="n">
        <f aca="false">IF(1_DATOS!C46&gt;=1,1_DATOS!C5*2025.4*COS(RADIANS(35))+C7*COS(RADIANS(D7)),"")</f>
        <v>37977.7637625731</v>
      </c>
      <c r="K32" s="88" t="n">
        <f aca="false">IF(1_DATOS!C46&gt;=2,1_DATOS!C5*2025.4*SIN(RADIANS(35))+C8*SIN(RADIANS(D8)),"")</f>
        <v>30479.527456603</v>
      </c>
      <c r="L32" s="88" t="n">
        <f aca="false">IF(1_DATOS!C46&gt;=2,1_DATOS!C5*2025.4*COS(RADIANS(35))+C8*COS(RADIANS(D8)),"")</f>
        <v>37531.0547552723</v>
      </c>
      <c r="M32" s="88" t="n">
        <f aca="false">IF(1_DATOS!C47&gt;=1,1_DATOS!C7*2025.4*SIN(RADIANS(35))+C9*SIN(RADIANS(D9)),"")</f>
        <v>13056.7770937417</v>
      </c>
      <c r="N32" s="88" t="n">
        <f aca="false">IF(1_DATOS!C47&gt;=1,1_DATOS!C7*2025.4*COS(RADIANS(35))+C9*COS(RADIANS(D9)),"")</f>
        <v>19025.4431295519</v>
      </c>
      <c r="O32" s="88" t="n">
        <f aca="false">IF(1_DATOS!C47&gt;=2,1_DATOS!C7*2025.4*SIN(RADIANS(35))+C10*SIN(RADIANS(D10)),"")</f>
        <v>13056.7770937417</v>
      </c>
      <c r="P32" s="88" t="n">
        <f aca="false">IF(1_DATOS!C47&gt;=2,1_DATOS!C7*2025.4*COS(RADIANS(35))+C10*COS(RADIANS(D10)),"")</f>
        <v>20793.2100825183</v>
      </c>
      <c r="Q32" s="88" t="str">
        <f aca="false">IF(1_DATOS!C47&gt;=3,1_DATOS!C7*2025.4*SIN(RADIANS(35))+C11*SIN(RADIANS(D11)),"")</f>
        <v/>
      </c>
      <c r="R32" s="88" t="str">
        <f aca="false">IF(1_DATOS!C47&gt;=3,1_DATOS!C7*2025.4*COS(RADIANS(35))+C11*COS(RADIANS(D11)),"")</f>
        <v/>
      </c>
    </row>
    <row r="33" customFormat="false" ht="9" hidden="false" customHeight="true" outlineLevel="0" collapsed="false">
      <c r="B33" s="87" t="n">
        <v>40</v>
      </c>
      <c r="C33" s="88" t="n">
        <f aca="false">500*SIN(RADIANS(40))</f>
        <v>321.39380484327</v>
      </c>
      <c r="D33" s="88" t="n">
        <f aca="false">500*COS(RADIANS(40))</f>
        <v>383.022221559489</v>
      </c>
      <c r="E33" s="88" t="n">
        <f aca="false">2000*SIN(RADIANS(40))</f>
        <v>1285.57521937308</v>
      </c>
      <c r="F33" s="88" t="n">
        <f aca="false">2000*COS(RADIANS(40))</f>
        <v>1532.08888623796</v>
      </c>
      <c r="G33" s="88" t="n">
        <f aca="false">5000*SIN(RADIANS(40))</f>
        <v>3213.9380484327</v>
      </c>
      <c r="H33" s="88" t="n">
        <f aca="false">5000*COS(RADIANS(40))</f>
        <v>3830.22221559489</v>
      </c>
      <c r="I33" s="88" t="n">
        <f aca="false">IF(1_DATOS!C46&gt;=1,1_DATOS!C5*2025.4*SIN(RADIANS(40))+C7*SIN(RADIANS(D7)),"")</f>
        <v>32547.5506164779</v>
      </c>
      <c r="J33" s="88" t="n">
        <f aca="false">IF(1_DATOS!C46&gt;=1,1_DATOS!C5*2025.4*COS(RADIANS(40))+C7*COS(RADIANS(D7)),"")</f>
        <v>35288.6603773295</v>
      </c>
      <c r="K33" s="88" t="n">
        <f aca="false">IF(1_DATOS!C46&gt;=2,1_DATOS!C5*2025.4*SIN(RADIANS(40))+C8*SIN(RADIANS(D8)),"")</f>
        <v>33984.0352184457</v>
      </c>
      <c r="L33" s="88" t="n">
        <f aca="false">IF(1_DATOS!C46&gt;=2,1_DATOS!C5*2025.4*COS(RADIANS(40))+C8*COS(RADIANS(D8)),"")</f>
        <v>34841.9513700286</v>
      </c>
      <c r="M33" s="88" t="n">
        <f aca="false">IF(1_DATOS!C47&gt;=1,1_DATOS!C7*2025.4*SIN(RADIANS(40))+C9*SIN(RADIANS(D9)),"")</f>
        <v>14738.9408194262</v>
      </c>
      <c r="N33" s="88" t="n">
        <f aca="false">IF(1_DATOS!C47&gt;=1,1_DATOS!C7*2025.4*COS(RADIANS(40))+C9*COS(RADIANS(D9)),"")</f>
        <v>17734.673504635</v>
      </c>
      <c r="O33" s="88" t="n">
        <f aca="false">IF(1_DATOS!C47&gt;=2,1_DATOS!C7*2025.4*SIN(RADIANS(40))+C10*SIN(RADIANS(D10)),"")</f>
        <v>14738.9408194262</v>
      </c>
      <c r="P33" s="88" t="n">
        <f aca="false">IF(1_DATOS!C47&gt;=2,1_DATOS!C7*2025.4*COS(RADIANS(40))+C10*COS(RADIANS(D10)),"")</f>
        <v>19502.4404576013</v>
      </c>
      <c r="Q33" s="88" t="str">
        <f aca="false">IF(1_DATOS!C47&gt;=3,1_DATOS!C7*2025.4*SIN(RADIANS(40))+C11*SIN(RADIANS(D11)),"")</f>
        <v/>
      </c>
      <c r="R33" s="88" t="str">
        <f aca="false">IF(1_DATOS!C47&gt;=3,1_DATOS!C7*2025.4*COS(RADIANS(40))+C11*COS(RADIANS(D11)),"")</f>
        <v/>
      </c>
    </row>
    <row r="34" customFormat="false" ht="9" hidden="false" customHeight="true" outlineLevel="0" collapsed="false">
      <c r="B34" s="87" t="n">
        <v>45</v>
      </c>
      <c r="C34" s="88" t="n">
        <f aca="false">500*SIN(RADIANS(45))</f>
        <v>353.553390593274</v>
      </c>
      <c r="D34" s="88" t="n">
        <f aca="false">500*COS(RADIANS(45))</f>
        <v>353.553390593274</v>
      </c>
      <c r="E34" s="88" t="n">
        <f aca="false">2000*SIN(RADIANS(45))</f>
        <v>1414.21356237309</v>
      </c>
      <c r="F34" s="88" t="n">
        <f aca="false">2000*COS(RADIANS(45))</f>
        <v>1414.2135623731</v>
      </c>
      <c r="G34" s="88" t="n">
        <f aca="false">5000*SIN(RADIANS(45))</f>
        <v>3535.53390593274</v>
      </c>
      <c r="H34" s="88" t="n">
        <f aca="false">5000*COS(RADIANS(45))</f>
        <v>3535.53390593274</v>
      </c>
      <c r="I34" s="88" t="n">
        <f aca="false">IF(1_DATOS!C46&gt;=1,1_DATOS!C5*2025.4*SIN(RADIANS(45))+C7*SIN(RADIANS(D7)),"")</f>
        <v>35804.3518653808</v>
      </c>
      <c r="J34" s="88" t="n">
        <f aca="false">IF(1_DATOS!C46&gt;=1,1_DATOS!C5*2025.4*COS(RADIANS(45))+C7*COS(RADIANS(D7)),"")</f>
        <v>32304.3518653808</v>
      </c>
      <c r="K34" s="88" t="n">
        <f aca="false">IF(1_DATOS!C46&gt;=2,1_DATOS!C5*2025.4*SIN(RADIANS(45))+C8*SIN(RADIANS(D8)),"")</f>
        <v>37240.8364673486</v>
      </c>
      <c r="L34" s="88" t="n">
        <f aca="false">IF(1_DATOS!C46&gt;=2,1_DATOS!C5*2025.4*COS(RADIANS(45))+C8*COS(RADIANS(D8)),"")</f>
        <v>31857.64285808</v>
      </c>
      <c r="M34" s="88" t="n">
        <f aca="false">IF(1_DATOS!C47&gt;=1,1_DATOS!C7*2025.4*SIN(RADIANS(45))+C9*SIN(RADIANS(D9)),"")</f>
        <v>16302.2054188996</v>
      </c>
      <c r="N34" s="88" t="n">
        <f aca="false">IF(1_DATOS!C47&gt;=1,1_DATOS!C7*2025.4*COS(RADIANS(45))+C9*COS(RADIANS(D9)),"")</f>
        <v>16302.2054188996</v>
      </c>
      <c r="O34" s="88" t="n">
        <f aca="false">IF(1_DATOS!C47&gt;=2,1_DATOS!C7*2025.4*SIN(RADIANS(45))+C10*SIN(RADIANS(D10)),"")</f>
        <v>16302.2054188996</v>
      </c>
      <c r="P34" s="88" t="n">
        <f aca="false">IF(1_DATOS!C47&gt;=2,1_DATOS!C7*2025.4*COS(RADIANS(45))+C10*COS(RADIANS(D10)),"")</f>
        <v>18069.972371866</v>
      </c>
      <c r="Q34" s="88" t="str">
        <f aca="false">IF(1_DATOS!C47&gt;=3,1_DATOS!C7*2025.4*SIN(RADIANS(45))+C11*SIN(RADIANS(D11)),"")</f>
        <v/>
      </c>
      <c r="R34" s="88" t="str">
        <f aca="false">IF(1_DATOS!C47&gt;=3,1_DATOS!C7*2025.4*COS(RADIANS(45))+C11*COS(RADIANS(D11)),"")</f>
        <v/>
      </c>
    </row>
    <row r="35" customFormat="false" ht="9" hidden="false" customHeight="true" outlineLevel="0" collapsed="false">
      <c r="B35" s="87" t="n">
        <v>50</v>
      </c>
      <c r="C35" s="88" t="n">
        <f aca="false">500*SIN(RADIANS(50))</f>
        <v>383.022221559489</v>
      </c>
      <c r="D35" s="88" t="n">
        <f aca="false">500*COS(RADIANS(50))</f>
        <v>321.39380484327</v>
      </c>
      <c r="E35" s="88" t="n">
        <f aca="false">2000*SIN(RADIANS(50))</f>
        <v>1532.08888623796</v>
      </c>
      <c r="F35" s="88" t="n">
        <f aca="false">2000*COS(RADIANS(50))</f>
        <v>1285.57521937308</v>
      </c>
      <c r="G35" s="88" t="n">
        <f aca="false">5000*SIN(RADIANS(50))</f>
        <v>3830.22221559489</v>
      </c>
      <c r="H35" s="88" t="n">
        <f aca="false">5000*COS(RADIANS(50))</f>
        <v>3213.9380484327</v>
      </c>
      <c r="I35" s="88" t="n">
        <f aca="false">IF(1_DATOS!C46&gt;=1,1_DATOS!C5*2025.4*SIN(RADIANS(50))+C7*SIN(RADIANS(D7)),"")</f>
        <v>38788.6603773295</v>
      </c>
      <c r="J35" s="88" t="n">
        <f aca="false">IF(1_DATOS!C46&gt;=1,1_DATOS!C5*2025.4*COS(RADIANS(50))+C7*COS(RADIANS(D7)),"")</f>
        <v>29047.5506164779</v>
      </c>
      <c r="K35" s="88" t="n">
        <f aca="false">IF(1_DATOS!C46&gt;=2,1_DATOS!C5*2025.4*SIN(RADIANS(50))+C8*SIN(RADIANS(D8)),"")</f>
        <v>40225.1449792973</v>
      </c>
      <c r="L35" s="88" t="n">
        <f aca="false">IF(1_DATOS!C46&gt;=2,1_DATOS!C5*2025.4*COS(RADIANS(50))+C8*COS(RADIANS(D8)),"")</f>
        <v>28600.8416091771</v>
      </c>
      <c r="M35" s="88" t="n">
        <f aca="false">IF(1_DATOS!C47&gt;=1,1_DATOS!C7*2025.4*SIN(RADIANS(50))+C9*SIN(RADIANS(D9)),"")</f>
        <v>17734.673504635</v>
      </c>
      <c r="N35" s="88" t="n">
        <f aca="false">IF(1_DATOS!C47&gt;=1,1_DATOS!C7*2025.4*COS(RADIANS(50))+C9*COS(RADIANS(D9)),"")</f>
        <v>14738.9408194262</v>
      </c>
      <c r="O35" s="88" t="n">
        <f aca="false">IF(1_DATOS!C47&gt;=2,1_DATOS!C7*2025.4*SIN(RADIANS(50))+C10*SIN(RADIANS(D10)),"")</f>
        <v>17734.673504635</v>
      </c>
      <c r="P35" s="88" t="n">
        <f aca="false">IF(1_DATOS!C47&gt;=2,1_DATOS!C7*2025.4*COS(RADIANS(50))+C10*COS(RADIANS(D10)),"")</f>
        <v>16506.7077723926</v>
      </c>
      <c r="Q35" s="88" t="str">
        <f aca="false">IF(1_DATOS!C47&gt;=3,1_DATOS!C7*2025.4*SIN(RADIANS(50))+C11*SIN(RADIANS(D11)),"")</f>
        <v/>
      </c>
      <c r="R35" s="88" t="str">
        <f aca="false">IF(1_DATOS!C47&gt;=3,1_DATOS!C7*2025.4*COS(RADIANS(50))+C11*COS(RADIANS(D11)),"")</f>
        <v/>
      </c>
    </row>
    <row r="36" customFormat="false" ht="9" hidden="false" customHeight="true" outlineLevel="0" collapsed="false">
      <c r="B36" s="87" t="n">
        <v>55</v>
      </c>
      <c r="C36" s="88" t="n">
        <f aca="false">500*SIN(RADIANS(55))</f>
        <v>409.576022144496</v>
      </c>
      <c r="D36" s="88" t="n">
        <f aca="false">500*COS(RADIANS(55))</f>
        <v>286.788218175523</v>
      </c>
      <c r="E36" s="88" t="n">
        <f aca="false">2000*SIN(RADIANS(55))</f>
        <v>1638.30408857798</v>
      </c>
      <c r="F36" s="88" t="n">
        <f aca="false">2000*COS(RADIANS(55))</f>
        <v>1147.15287270209</v>
      </c>
      <c r="G36" s="88" t="n">
        <f aca="false">5000*SIN(RADIANS(55))</f>
        <v>4095.76022144496</v>
      </c>
      <c r="H36" s="88" t="n">
        <f aca="false">5000*COS(RADIANS(55))</f>
        <v>2867.88218175523</v>
      </c>
      <c r="I36" s="88" t="n">
        <f aca="false">IF(1_DATOS!C46&gt;=1,1_DATOS!C5*2025.4*SIN(RADIANS(55))+C7*SIN(RADIANS(D7)),"")</f>
        <v>41477.7637625731</v>
      </c>
      <c r="J36" s="88" t="n">
        <f aca="false">IF(1_DATOS!C46&gt;=1,1_DATOS!C5*2025.4*COS(RADIANS(55))+C7*COS(RADIANS(D7)),"")</f>
        <v>25543.0428546352</v>
      </c>
      <c r="K36" s="88" t="n">
        <f aca="false">IF(1_DATOS!C46&gt;=2,1_DATOS!C5*2025.4*SIN(RADIANS(55))+C8*SIN(RADIANS(D8)),"")</f>
        <v>42914.2483645409</v>
      </c>
      <c r="L36" s="88" t="n">
        <f aca="false">IF(1_DATOS!C46&gt;=2,1_DATOS!C5*2025.4*COS(RADIANS(55))+C8*COS(RADIANS(D8)),"")</f>
        <v>25096.3338473344</v>
      </c>
      <c r="M36" s="88" t="n">
        <f aca="false">IF(1_DATOS!C47&gt;=1,1_DATOS!C7*2025.4*SIN(RADIANS(55))+C9*SIN(RADIANS(D9)),"")</f>
        <v>19025.4431295519</v>
      </c>
      <c r="N36" s="88" t="n">
        <f aca="false">IF(1_DATOS!C47&gt;=1,1_DATOS!C7*2025.4*COS(RADIANS(55))+C9*COS(RADIANS(D9)),"")</f>
        <v>13056.7770937417</v>
      </c>
      <c r="O36" s="88" t="n">
        <f aca="false">IF(1_DATOS!C47&gt;=2,1_DATOS!C7*2025.4*SIN(RADIANS(55))+C10*SIN(RADIANS(D10)),"")</f>
        <v>19025.4431295519</v>
      </c>
      <c r="P36" s="88" t="n">
        <f aca="false">IF(1_DATOS!C47&gt;=2,1_DATOS!C7*2025.4*COS(RADIANS(55))+C10*COS(RADIANS(D10)),"")</f>
        <v>14824.5440467081</v>
      </c>
      <c r="Q36" s="88" t="str">
        <f aca="false">IF(1_DATOS!C47&gt;=3,1_DATOS!C7*2025.4*SIN(RADIANS(55))+C11*SIN(RADIANS(D11)),"")</f>
        <v/>
      </c>
      <c r="R36" s="88" t="str">
        <f aca="false">IF(1_DATOS!C47&gt;=3,1_DATOS!C7*2025.4*COS(RADIANS(55))+C11*COS(RADIANS(D11)),"")</f>
        <v/>
      </c>
    </row>
    <row r="37" customFormat="false" ht="9" hidden="false" customHeight="true" outlineLevel="0" collapsed="false">
      <c r="B37" s="87" t="n">
        <v>60</v>
      </c>
      <c r="C37" s="88" t="n">
        <f aca="false">500*SIN(RADIANS(60))</f>
        <v>433.012701892219</v>
      </c>
      <c r="D37" s="88" t="n">
        <f aca="false">500*COS(RADIANS(60))</f>
        <v>250</v>
      </c>
      <c r="E37" s="88" t="n">
        <f aca="false">2000*SIN(RADIANS(60))</f>
        <v>1732.05080756888</v>
      </c>
      <c r="F37" s="88" t="n">
        <f aca="false">2000*COS(RADIANS(60))</f>
        <v>1000</v>
      </c>
      <c r="G37" s="88" t="n">
        <f aca="false">5000*SIN(RADIANS(60))</f>
        <v>4330.12701892219</v>
      </c>
      <c r="H37" s="88" t="n">
        <f aca="false">5000*COS(RADIANS(60))</f>
        <v>2500</v>
      </c>
      <c r="I37" s="88" t="n">
        <f aca="false">IF(1_DATOS!C46&gt;=1,1_DATOS!C5*2025.4*SIN(RADIANS(60))+C7*SIN(RADIANS(D7)),"")</f>
        <v>43851.1963206251</v>
      </c>
      <c r="J37" s="88" t="n">
        <f aca="false">IF(1_DATOS!C46&gt;=1,1_DATOS!C5*2025.4*COS(RADIANS(60))+C7*COS(RADIANS(D7)),"")</f>
        <v>21817.5</v>
      </c>
      <c r="K37" s="88" t="n">
        <f aca="false">IF(1_DATOS!C46&gt;=2,1_DATOS!C5*2025.4*SIN(RADIANS(60))+C8*SIN(RADIANS(D8)),"")</f>
        <v>45287.6809225929</v>
      </c>
      <c r="L37" s="88" t="n">
        <f aca="false">IF(1_DATOS!C46&gt;=2,1_DATOS!C5*2025.4*COS(RADIANS(60))+C8*COS(RADIANS(D8)),"")</f>
        <v>21370.7909926992</v>
      </c>
      <c r="M37" s="88" t="n">
        <f aca="false">IF(1_DATOS!C47&gt;=1,1_DATOS!C7*2025.4*SIN(RADIANS(60))+C9*SIN(RADIANS(D9)),"")</f>
        <v>20164.6907574168</v>
      </c>
      <c r="N37" s="88" t="n">
        <f aca="false">IF(1_DATOS!C47&gt;=1,1_DATOS!C7*2025.4*COS(RADIANS(60))+C9*COS(RADIANS(D9)),"")</f>
        <v>11268.5165235168</v>
      </c>
      <c r="O37" s="88" t="n">
        <f aca="false">IF(1_DATOS!C47&gt;=2,1_DATOS!C7*2025.4*SIN(RADIANS(60))+C10*SIN(RADIANS(D10)),"")</f>
        <v>20164.6907574168</v>
      </c>
      <c r="P37" s="88" t="n">
        <f aca="false">IF(1_DATOS!C47&gt;=2,1_DATOS!C7*2025.4*COS(RADIANS(60))+C10*COS(RADIANS(D10)),"")</f>
        <v>13036.2834764832</v>
      </c>
      <c r="Q37" s="88" t="str">
        <f aca="false">IF(1_DATOS!C47&gt;=3,1_DATOS!C7*2025.4*SIN(RADIANS(60))+C11*SIN(RADIANS(D11)),"")</f>
        <v/>
      </c>
      <c r="R37" s="88" t="str">
        <f aca="false">IF(1_DATOS!C47&gt;=3,1_DATOS!C7*2025.4*COS(RADIANS(60))+C11*COS(RADIANS(D11)),"")</f>
        <v/>
      </c>
    </row>
    <row r="38" customFormat="false" ht="9" hidden="false" customHeight="true" outlineLevel="0" collapsed="false">
      <c r="B38" s="87" t="n">
        <v>65</v>
      </c>
      <c r="C38" s="88" t="n">
        <f aca="false">500*SIN(RADIANS(65))</f>
        <v>453.153893518325</v>
      </c>
      <c r="D38" s="88" t="n">
        <f aca="false">500*COS(RADIANS(65))</f>
        <v>211.30913087035</v>
      </c>
      <c r="E38" s="88" t="n">
        <f aca="false">2000*SIN(RADIANS(65))</f>
        <v>1812.6155740733</v>
      </c>
      <c r="F38" s="88" t="n">
        <f aca="false">2000*COS(RADIANS(65))</f>
        <v>845.236523481399</v>
      </c>
      <c r="G38" s="88" t="n">
        <f aca="false">5000*SIN(RADIANS(65))</f>
        <v>4531.53893518325</v>
      </c>
      <c r="H38" s="88" t="n">
        <f aca="false">5000*COS(RADIANS(65))</f>
        <v>2113.0913087035</v>
      </c>
      <c r="I38" s="88" t="n">
        <f aca="false">IF(1_DATOS!C46&gt;=1,1_DATOS!C5*2025.4*SIN(RADIANS(65))+C7*SIN(RADIANS(D7)),"")</f>
        <v>45890.8947966008</v>
      </c>
      <c r="J38" s="88" t="n">
        <f aca="false">IF(1_DATOS!C46&gt;=1,1_DATOS!C5*2025.4*COS(RADIANS(65))+C7*COS(RADIANS(D7)),"")</f>
        <v>17899.2756832403</v>
      </c>
      <c r="K38" s="88" t="n">
        <f aca="false">IF(1_DATOS!C46&gt;=2,1_DATOS!C5*2025.4*SIN(RADIANS(65))+C8*SIN(RADIANS(D8)),"")</f>
        <v>47327.3793985686</v>
      </c>
      <c r="L38" s="88" t="n">
        <f aca="false">IF(1_DATOS!C46&gt;=2,1_DATOS!C5*2025.4*COS(RADIANS(65))+C8*COS(RADIANS(D8)),"")</f>
        <v>17452.5666759395</v>
      </c>
      <c r="M38" s="88" t="n">
        <f aca="false">IF(1_DATOS!C47&gt;=1,1_DATOS!C7*2025.4*SIN(RADIANS(65))+C9*SIN(RADIANS(D9)),"")</f>
        <v>21143.7460258852</v>
      </c>
      <c r="N38" s="88" t="n">
        <f aca="false">IF(1_DATOS!C47&gt;=1,1_DATOS!C7*2025.4*COS(RADIANS(65))+C9*COS(RADIANS(D9)),"")</f>
        <v>9387.76885147217</v>
      </c>
      <c r="O38" s="88" t="n">
        <f aca="false">IF(1_DATOS!C47&gt;=2,1_DATOS!C7*2025.4*SIN(RADIANS(65))+C10*SIN(RADIANS(D10)),"")</f>
        <v>21143.7460258852</v>
      </c>
      <c r="P38" s="88" t="n">
        <f aca="false">IF(1_DATOS!C47&gt;=2,1_DATOS!C7*2025.4*COS(RADIANS(65))+C10*COS(RADIANS(D10)),"")</f>
        <v>11155.5358044385</v>
      </c>
      <c r="Q38" s="88" t="str">
        <f aca="false">IF(1_DATOS!C47&gt;=3,1_DATOS!C7*2025.4*SIN(RADIANS(65))+C11*SIN(RADIANS(D11)),"")</f>
        <v/>
      </c>
      <c r="R38" s="88" t="str">
        <f aca="false">IF(1_DATOS!C47&gt;=3,1_DATOS!C7*2025.4*COS(RADIANS(65))+C11*COS(RADIANS(D11)),"")</f>
        <v/>
      </c>
    </row>
    <row r="39" customFormat="false" ht="9" hidden="false" customHeight="true" outlineLevel="0" collapsed="false">
      <c r="B39" s="87" t="n">
        <v>70</v>
      </c>
      <c r="C39" s="88" t="n">
        <f aca="false">500*SIN(RADIANS(70))</f>
        <v>469.846310392954</v>
      </c>
      <c r="D39" s="88" t="n">
        <f aca="false">500*COS(RADIANS(70))</f>
        <v>171.010071662834</v>
      </c>
      <c r="E39" s="88" t="n">
        <f aca="false">2000*SIN(RADIANS(70))</f>
        <v>1879.38524157182</v>
      </c>
      <c r="F39" s="88" t="n">
        <f aca="false">2000*COS(RADIANS(70))</f>
        <v>684.040286651338</v>
      </c>
      <c r="G39" s="88" t="n">
        <f aca="false">5000*SIN(RADIANS(70))</f>
        <v>4698.46310392954</v>
      </c>
      <c r="H39" s="88" t="n">
        <f aca="false">5000*COS(RADIANS(70))</f>
        <v>1710.10071662834</v>
      </c>
      <c r="I39" s="88" t="n">
        <f aca="false">IF(1_DATOS!C46&gt;=1,1_DATOS!C5*2025.4*SIN(RADIANS(70))+C7*SIN(RADIANS(D7)),"")</f>
        <v>47581.3358534945</v>
      </c>
      <c r="J39" s="88" t="n">
        <f aca="false">IF(1_DATOS!C46&gt;=1,1_DATOS!C5*2025.4*COS(RADIANS(70))+C7*COS(RADIANS(D7)),"")</f>
        <v>13818.1899572952</v>
      </c>
      <c r="K39" s="88" t="n">
        <f aca="false">IF(1_DATOS!C46&gt;=2,1_DATOS!C5*2025.4*SIN(RADIANS(70))+C8*SIN(RADIANS(D8)),"")</f>
        <v>49017.8204554623</v>
      </c>
      <c r="L39" s="88" t="n">
        <f aca="false">IF(1_DATOS!C46&gt;=2,1_DATOS!C5*2025.4*COS(RADIANS(70))+C8*COS(RADIANS(D8)),"")</f>
        <v>13371.4809499944</v>
      </c>
      <c r="M39" s="88" t="n">
        <f aca="false">IF(1_DATOS!C47&gt;=1,1_DATOS!C7*2025.4*SIN(RADIANS(70))+C9*SIN(RADIANS(D9)),"")</f>
        <v>21955.1577331942</v>
      </c>
      <c r="N39" s="88" t="n">
        <f aca="false">IF(1_DATOS!C47&gt;=1,1_DATOS!C7*2025.4*COS(RADIANS(70))+C9*COS(RADIANS(D9)),"")</f>
        <v>7428.84770301853</v>
      </c>
      <c r="O39" s="88" t="n">
        <f aca="false">IF(1_DATOS!C47&gt;=2,1_DATOS!C7*2025.4*SIN(RADIANS(70))+C10*SIN(RADIANS(D10)),"")</f>
        <v>21955.1577331942</v>
      </c>
      <c r="P39" s="88" t="n">
        <f aca="false">IF(1_DATOS!C47&gt;=2,1_DATOS!C7*2025.4*COS(RADIANS(70))+C10*COS(RADIANS(D10)),"")</f>
        <v>9196.6146559849</v>
      </c>
      <c r="Q39" s="88" t="str">
        <f aca="false">IF(1_DATOS!C47&gt;=3,1_DATOS!C7*2025.4*SIN(RADIANS(70))+C11*SIN(RADIANS(D11)),"")</f>
        <v/>
      </c>
      <c r="R39" s="88" t="str">
        <f aca="false">IF(1_DATOS!C47&gt;=3,1_DATOS!C7*2025.4*COS(RADIANS(70))+C11*COS(RADIANS(D11)),"")</f>
        <v/>
      </c>
    </row>
    <row r="40" customFormat="false" ht="9" hidden="false" customHeight="true" outlineLevel="0" collapsed="false">
      <c r="B40" s="87" t="n">
        <v>75</v>
      </c>
      <c r="C40" s="88" t="n">
        <f aca="false">500*SIN(RADIANS(75))</f>
        <v>482.962913144534</v>
      </c>
      <c r="D40" s="88" t="n">
        <f aca="false">500*COS(RADIANS(75))</f>
        <v>129.40952255126</v>
      </c>
      <c r="E40" s="88" t="n">
        <f aca="false">2000*SIN(RADIANS(75))</f>
        <v>1931.85165257814</v>
      </c>
      <c r="F40" s="88" t="n">
        <f aca="false">2000*COS(RADIANS(75))</f>
        <v>517.638090205042</v>
      </c>
      <c r="G40" s="88" t="n">
        <f aca="false">5000*SIN(RADIANS(75))</f>
        <v>4829.62913144534</v>
      </c>
      <c r="H40" s="88" t="n">
        <f aca="false">5000*COS(RADIANS(75))</f>
        <v>1294.0952255126</v>
      </c>
      <c r="I40" s="88" t="n">
        <f aca="false">IF(1_DATOS!C46&gt;=1,1_DATOS!C5*2025.4*SIN(RADIANS(75))+C7*SIN(RADIANS(D7)),"")</f>
        <v>48909.654214147</v>
      </c>
      <c r="J40" s="88" t="n">
        <f aca="false">IF(1_DATOS!C46&gt;=1,1_DATOS!C5*2025.4*COS(RADIANS(75))+C7*COS(RADIANS(D7)),"")</f>
        <v>9605.30234876614</v>
      </c>
      <c r="K40" s="88" t="n">
        <f aca="false">IF(1_DATOS!C46&gt;=2,1_DATOS!C5*2025.4*SIN(RADIANS(75))+C8*SIN(RADIANS(D8)),"")</f>
        <v>50346.1388161148</v>
      </c>
      <c r="L40" s="88" t="n">
        <f aca="false">IF(1_DATOS!C46&gt;=2,1_DATOS!C5*2025.4*COS(RADIANS(75))+C8*COS(RADIANS(D8)),"")</f>
        <v>9158.59334146532</v>
      </c>
      <c r="M40" s="88" t="n">
        <f aca="false">IF(1_DATOS!C47&gt;=1,1_DATOS!C7*2025.4*SIN(RADIANS(75))+C9*SIN(RADIANS(D9)),"")</f>
        <v>22592.7505463074</v>
      </c>
      <c r="N40" s="88" t="n">
        <f aca="false">IF(1_DATOS!C47&gt;=1,1_DATOS!C7*2025.4*COS(RADIANS(75))+C9*COS(RADIANS(D9)),"")</f>
        <v>5406.66165092456</v>
      </c>
      <c r="O40" s="88" t="n">
        <f aca="false">IF(1_DATOS!C47&gt;=2,1_DATOS!C7*2025.4*SIN(RADIANS(75))+C10*SIN(RADIANS(D10)),"")</f>
        <v>22592.7505463074</v>
      </c>
      <c r="P40" s="88" t="n">
        <f aca="false">IF(1_DATOS!C47&gt;=2,1_DATOS!C7*2025.4*COS(RADIANS(75))+C10*COS(RADIANS(D10)),"")</f>
        <v>7174.42860389093</v>
      </c>
      <c r="Q40" s="88" t="str">
        <f aca="false">IF(1_DATOS!C47&gt;=3,1_DATOS!C7*2025.4*SIN(RADIANS(75))+C11*SIN(RADIANS(D11)),"")</f>
        <v/>
      </c>
      <c r="R40" s="88" t="str">
        <f aca="false">IF(1_DATOS!C47&gt;=3,1_DATOS!C7*2025.4*COS(RADIANS(75))+C11*COS(RADIANS(D11)),"")</f>
        <v/>
      </c>
    </row>
    <row r="41" customFormat="false" ht="9" hidden="false" customHeight="true" outlineLevel="0" collapsed="false">
      <c r="B41" s="87" t="n">
        <v>80</v>
      </c>
      <c r="C41" s="88" t="n">
        <f aca="false">500*SIN(RADIANS(80))</f>
        <v>492.403876506104</v>
      </c>
      <c r="D41" s="88" t="n">
        <f aca="false">500*COS(RADIANS(80))</f>
        <v>86.8240888334652</v>
      </c>
      <c r="E41" s="88" t="n">
        <f aca="false">2000*SIN(RADIANS(80))</f>
        <v>1969.61550602442</v>
      </c>
      <c r="F41" s="88" t="n">
        <f aca="false">2000*COS(RADIANS(80))</f>
        <v>347.296355333861</v>
      </c>
      <c r="G41" s="88" t="n">
        <f aca="false">5000*SIN(RADIANS(80))</f>
        <v>4924.03876506104</v>
      </c>
      <c r="H41" s="88" t="n">
        <f aca="false">5000*COS(RADIANS(80))</f>
        <v>868.240888334652</v>
      </c>
      <c r="I41" s="88" t="n">
        <f aca="false">IF(1_DATOS!C46&gt;=1,1_DATOS!C5*2025.4*SIN(RADIANS(80))+C7*SIN(RADIANS(D7)),"")</f>
        <v>49865.7405737732</v>
      </c>
      <c r="J41" s="88" t="n">
        <f aca="false">IF(1_DATOS!C46&gt;=1,1_DATOS!C5*2025.4*COS(RADIANS(80))+C7*COS(RADIANS(D7)),"")</f>
        <v>5292.67547616502</v>
      </c>
      <c r="K41" s="88" t="n">
        <f aca="false">IF(1_DATOS!C46&gt;=2,1_DATOS!C5*2025.4*SIN(RADIANS(80))+C8*SIN(RADIANS(D8)),"")</f>
        <v>51302.225175741</v>
      </c>
      <c r="L41" s="88" t="n">
        <f aca="false">IF(1_DATOS!C46&gt;=2,1_DATOS!C5*2025.4*COS(RADIANS(80))+C8*COS(RADIANS(D8)),"")</f>
        <v>4845.96646886421</v>
      </c>
      <c r="M41" s="88" t="n">
        <f aca="false">IF(1_DATOS!C47&gt;=1,1_DATOS!C7*2025.4*SIN(RADIANS(80))+C9*SIN(RADIANS(D9)),"")</f>
        <v>23051.6719989279</v>
      </c>
      <c r="N41" s="88" t="n">
        <f aca="false">IF(1_DATOS!C47&gt;=1,1_DATOS!C7*2025.4*COS(RADIANS(80))+C9*COS(RADIANS(D9)),"")</f>
        <v>3336.60075207603</v>
      </c>
      <c r="O41" s="88" t="n">
        <f aca="false">IF(1_DATOS!C47&gt;=2,1_DATOS!C7*2025.4*SIN(RADIANS(80))+C10*SIN(RADIANS(D10)),"")</f>
        <v>23051.6719989279</v>
      </c>
      <c r="P41" s="88" t="n">
        <f aca="false">IF(1_DATOS!C47&gt;=2,1_DATOS!C7*2025.4*COS(RADIANS(80))+C10*COS(RADIANS(D10)),"")</f>
        <v>5104.3677050424</v>
      </c>
      <c r="Q41" s="88" t="str">
        <f aca="false">IF(1_DATOS!C47&gt;=3,1_DATOS!C7*2025.4*SIN(RADIANS(80))+C11*SIN(RADIANS(D11)),"")</f>
        <v/>
      </c>
      <c r="R41" s="88" t="str">
        <f aca="false">IF(1_DATOS!C47&gt;=3,1_DATOS!C7*2025.4*COS(RADIANS(80))+C11*COS(RADIANS(D11)),"")</f>
        <v/>
      </c>
    </row>
    <row r="42" customFormat="false" ht="9" hidden="false" customHeight="true" outlineLevel="0" collapsed="false">
      <c r="B42" s="87" t="n">
        <v>85</v>
      </c>
      <c r="C42" s="88" t="n">
        <f aca="false">500*SIN(RADIANS(85))</f>
        <v>498.097349045873</v>
      </c>
      <c r="D42" s="88" t="n">
        <f aca="false">500*COS(RADIANS(85))</f>
        <v>43.5778713738292</v>
      </c>
      <c r="E42" s="88" t="n">
        <f aca="false">2000*SIN(RADIANS(85))</f>
        <v>1992.38939618349</v>
      </c>
      <c r="F42" s="88" t="n">
        <f aca="false">2000*COS(RADIANS(85))</f>
        <v>174.311485495317</v>
      </c>
      <c r="G42" s="88" t="n">
        <f aca="false">5000*SIN(RADIANS(85))</f>
        <v>4980.97349045873</v>
      </c>
      <c r="H42" s="88" t="n">
        <f aca="false">5000*COS(RADIANS(85))</f>
        <v>435.778713738292</v>
      </c>
      <c r="I42" s="88" t="n">
        <f aca="false">IF(1_DATOS!C46&gt;=1,1_DATOS!C5*2025.4*SIN(RADIANS(85))+C7*SIN(RADIANS(D7)),"")</f>
        <v>50442.3185378755</v>
      </c>
      <c r="J42" s="88" t="n">
        <f aca="false">IF(1_DATOS!C46&gt;=1,1_DATOS!C5*2025.4*COS(RADIANS(85))+C7*COS(RADIANS(D7)),"")</f>
        <v>913.131034027681</v>
      </c>
      <c r="K42" s="88" t="n">
        <f aca="false">IF(1_DATOS!C46&gt;=2,1_DATOS!C5*2025.4*SIN(RADIANS(85))+C8*SIN(RADIANS(D8)),"")</f>
        <v>51878.8031398433</v>
      </c>
      <c r="L42" s="88" t="n">
        <f aca="false">IF(1_DATOS!C46&gt;=2,1_DATOS!C5*2025.4*COS(RADIANS(85))+C8*COS(RADIANS(D8)),"")</f>
        <v>466.422026726867</v>
      </c>
      <c r="M42" s="88" t="n">
        <f aca="false">IF(1_DATOS!C47&gt;=1,1_DATOS!C7*2025.4*SIN(RADIANS(85))+C9*SIN(RADIANS(D9)),"")</f>
        <v>23328.4294216971</v>
      </c>
      <c r="N42" s="88" t="n">
        <f aca="false">IF(1_DATOS!C47&gt;=1,1_DATOS!C7*2025.4*COS(RADIANS(85))+C9*COS(RADIANS(D9)),"")</f>
        <v>1234.4194198501</v>
      </c>
      <c r="O42" s="88" t="n">
        <f aca="false">IF(1_DATOS!C47&gt;=2,1_DATOS!C7*2025.4*SIN(RADIANS(85))+C10*SIN(RADIANS(D10)),"")</f>
        <v>23328.4294216971</v>
      </c>
      <c r="P42" s="88" t="n">
        <f aca="false">IF(1_DATOS!C47&gt;=2,1_DATOS!C7*2025.4*COS(RADIANS(85))+C10*COS(RADIANS(D10)),"")</f>
        <v>3002.18637281647</v>
      </c>
      <c r="Q42" s="88" t="str">
        <f aca="false">IF(1_DATOS!C47&gt;=3,1_DATOS!C7*2025.4*SIN(RADIANS(85))+C11*SIN(RADIANS(D11)),"")</f>
        <v/>
      </c>
      <c r="R42" s="88" t="str">
        <f aca="false">IF(1_DATOS!C47&gt;=3,1_DATOS!C7*2025.4*COS(RADIANS(85))+C11*COS(RADIANS(D11)),"")</f>
        <v/>
      </c>
    </row>
    <row r="43" customFormat="false" ht="9" hidden="false" customHeight="true" outlineLevel="0" collapsed="false">
      <c r="B43" s="87" t="n">
        <v>90</v>
      </c>
      <c r="C43" s="88" t="n">
        <f aca="false">500*SIN(RADIANS(90))</f>
        <v>500</v>
      </c>
      <c r="D43" s="88" t="n">
        <f aca="false">500*COS(RADIANS(90))</f>
        <v>3.06161699786838E-014</v>
      </c>
      <c r="E43" s="88" t="n">
        <f aca="false">2000*SIN(RADIANS(90))</f>
        <v>2000</v>
      </c>
      <c r="F43" s="88" t="n">
        <f aca="false">2000*COS(RADIANS(90))</f>
        <v>1.22464679914735E-013</v>
      </c>
      <c r="G43" s="88" t="n">
        <f aca="false">5000*SIN(RADIANS(90))</f>
        <v>5000</v>
      </c>
      <c r="H43" s="88" t="n">
        <f aca="false">5000*COS(RADIANS(90))</f>
        <v>3.06161699786838E-013</v>
      </c>
      <c r="I43" s="88" t="n">
        <f aca="false">IF(1_DATOS!C46&gt;=1,1_DATOS!C5*2025.4*SIN(RADIANS(90))+C7*SIN(RADIANS(D7)),"")</f>
        <v>50635</v>
      </c>
      <c r="J43" s="88" t="n">
        <f aca="false">IF(1_DATOS!C46&gt;=1,1_DATOS!C5*2025.4*COS(RADIANS(90))+C7*COS(RADIANS(D7)),"")</f>
        <v>-3500</v>
      </c>
      <c r="K43" s="88" t="n">
        <f aca="false">IF(1_DATOS!C46&gt;=2,1_DATOS!C5*2025.4*SIN(RADIANS(90))+C8*SIN(RADIANS(D8)),"")</f>
        <v>52071.4846019678</v>
      </c>
      <c r="L43" s="88" t="n">
        <f aca="false">IF(1_DATOS!C46&gt;=2,1_DATOS!C5*2025.4*COS(RADIANS(90))+C8*COS(RADIANS(D8)),"")</f>
        <v>-3946.70900730081</v>
      </c>
      <c r="M43" s="88" t="n">
        <f aca="false">IF(1_DATOS!C47&gt;=1,1_DATOS!C7*2025.4*SIN(RADIANS(90))+C9*SIN(RADIANS(D9)),"")</f>
        <v>23420.9165235168</v>
      </c>
      <c r="N43" s="88" t="n">
        <f aca="false">IF(1_DATOS!C47&gt;=1,1_DATOS!C7*2025.4*COS(RADIANS(90))+C9*COS(RADIANS(D9)),"")</f>
        <v>-883.883476483183</v>
      </c>
      <c r="O43" s="88" t="n">
        <f aca="false">IF(1_DATOS!C47&gt;=2,1_DATOS!C7*2025.4*SIN(RADIANS(90))+C10*SIN(RADIANS(D10)),"")</f>
        <v>23420.9165235168</v>
      </c>
      <c r="P43" s="88" t="n">
        <f aca="false">IF(1_DATOS!C47&gt;=2,1_DATOS!C7*2025.4*COS(RADIANS(90))+C10*COS(RADIANS(D10)),"")</f>
        <v>883.883476483186</v>
      </c>
      <c r="Q43" s="88" t="str">
        <f aca="false">IF(1_DATOS!C47&gt;=3,1_DATOS!C7*2025.4*SIN(RADIANS(90))+C11*SIN(RADIANS(D11)),"")</f>
        <v/>
      </c>
      <c r="R43" s="88" t="str">
        <f aca="false">IF(1_DATOS!C47&gt;=3,1_DATOS!C7*2025.4*COS(RADIANS(90))+C11*COS(RADIANS(D11)),"")</f>
        <v/>
      </c>
    </row>
    <row r="44" customFormat="false" ht="9" hidden="false" customHeight="true" outlineLevel="0" collapsed="false">
      <c r="B44" s="87" t="n">
        <v>95</v>
      </c>
      <c r="C44" s="88" t="n">
        <f aca="false">500*SIN(RADIANS(95))</f>
        <v>498.097349045873</v>
      </c>
      <c r="D44" s="88" t="n">
        <f aca="false">500*COS(RADIANS(95))</f>
        <v>-43.5778713738291</v>
      </c>
      <c r="E44" s="88" t="n">
        <f aca="false">2000*SIN(RADIANS(95))</f>
        <v>1992.38939618349</v>
      </c>
      <c r="F44" s="88" t="n">
        <f aca="false">2000*COS(RADIANS(95))</f>
        <v>-174.311485495316</v>
      </c>
      <c r="G44" s="88" t="n">
        <f aca="false">5000*SIN(RADIANS(95))</f>
        <v>4980.97349045873</v>
      </c>
      <c r="H44" s="88" t="n">
        <f aca="false">5000*COS(RADIANS(95))</f>
        <v>-435.778713738291</v>
      </c>
      <c r="I44" s="88" t="n">
        <f aca="false">IF(1_DATOS!C46&gt;=1,1_DATOS!C5*2025.4*SIN(RADIANS(95))+C7*SIN(RADIANS(D7)),"")</f>
        <v>50442.3185378755</v>
      </c>
      <c r="J44" s="88" t="n">
        <f aca="false">IF(1_DATOS!C46&gt;=1,1_DATOS!C5*2025.4*COS(RADIANS(95))+C7*COS(RADIANS(D7)),"")</f>
        <v>-7913.13103402768</v>
      </c>
      <c r="K44" s="88" t="n">
        <f aca="false">IF(1_DATOS!C46&gt;=2,1_DATOS!C5*2025.4*SIN(RADIANS(95))+C8*SIN(RADIANS(D8)),"")</f>
        <v>51878.8031398433</v>
      </c>
      <c r="L44" s="88" t="n">
        <f aca="false">IF(1_DATOS!C46&gt;=2,1_DATOS!C5*2025.4*COS(RADIANS(95))+C8*COS(RADIANS(D8)),"")</f>
        <v>-8359.84004132849</v>
      </c>
      <c r="M44" s="88" t="n">
        <f aca="false">IF(1_DATOS!C47&gt;=1,1_DATOS!C7*2025.4*SIN(RADIANS(95))+C9*SIN(RADIANS(D9)),"")</f>
        <v>23328.4294216971</v>
      </c>
      <c r="N44" s="88" t="n">
        <f aca="false">IF(1_DATOS!C47&gt;=1,1_DATOS!C7*2025.4*COS(RADIANS(95))+C9*COS(RADIANS(D9)),"")</f>
        <v>-3002.18637281647</v>
      </c>
      <c r="O44" s="88" t="n">
        <f aca="false">IF(1_DATOS!C47&gt;=2,1_DATOS!C7*2025.4*SIN(RADIANS(95))+C10*SIN(RADIANS(D10)),"")</f>
        <v>23328.4294216971</v>
      </c>
      <c r="P44" s="88" t="n">
        <f aca="false">IF(1_DATOS!C47&gt;=2,1_DATOS!C7*2025.4*COS(RADIANS(95))+C10*COS(RADIANS(D10)),"")</f>
        <v>-1234.4194198501</v>
      </c>
      <c r="Q44" s="88" t="str">
        <f aca="false">IF(1_DATOS!C47&gt;=3,1_DATOS!C7*2025.4*SIN(RADIANS(95))+C11*SIN(RADIANS(D11)),"")</f>
        <v/>
      </c>
      <c r="R44" s="88" t="str">
        <f aca="false">IF(1_DATOS!C47&gt;=3,1_DATOS!C7*2025.4*COS(RADIANS(95))+C11*COS(RADIANS(D11)),"")</f>
        <v/>
      </c>
    </row>
    <row r="45" customFormat="false" ht="9" hidden="false" customHeight="true" outlineLevel="0" collapsed="false">
      <c r="B45" s="87" t="n">
        <v>100</v>
      </c>
      <c r="C45" s="88" t="n">
        <f aca="false">500*SIN(RADIANS(100))</f>
        <v>492.403876506104</v>
      </c>
      <c r="D45" s="88" t="n">
        <f aca="false">500*COS(RADIANS(100))</f>
        <v>-86.8240888334652</v>
      </c>
      <c r="E45" s="88" t="n">
        <f aca="false">2000*SIN(RADIANS(100))</f>
        <v>1969.61550602442</v>
      </c>
      <c r="F45" s="88" t="n">
        <f aca="false">2000*COS(RADIANS(100))</f>
        <v>-347.296355333861</v>
      </c>
      <c r="G45" s="88" t="n">
        <f aca="false">5000*SIN(RADIANS(100))</f>
        <v>4924.03876506104</v>
      </c>
      <c r="H45" s="88" t="n">
        <f aca="false">5000*COS(RADIANS(100))</f>
        <v>-868.240888334652</v>
      </c>
      <c r="I45" s="88" t="n">
        <f aca="false">IF(1_DATOS!C46&gt;=1,1_DATOS!C5*2025.4*SIN(RADIANS(100))+C7*SIN(RADIANS(D7)),"")</f>
        <v>49865.7405737732</v>
      </c>
      <c r="J45" s="88" t="n">
        <f aca="false">IF(1_DATOS!C46&gt;=1,1_DATOS!C5*2025.4*COS(RADIANS(100))+C7*COS(RADIANS(D7)),"")</f>
        <v>-12292.675476165</v>
      </c>
      <c r="K45" s="88" t="n">
        <f aca="false">IF(1_DATOS!C46&gt;=2,1_DATOS!C5*2025.4*SIN(RADIANS(100))+C8*SIN(RADIANS(D8)),"")</f>
        <v>51302.225175741</v>
      </c>
      <c r="L45" s="88" t="n">
        <f aca="false">IF(1_DATOS!C46&gt;=2,1_DATOS!C5*2025.4*COS(RADIANS(100))+C8*COS(RADIANS(D8)),"")</f>
        <v>-12739.3844834658</v>
      </c>
      <c r="M45" s="88" t="n">
        <f aca="false">IF(1_DATOS!C47&gt;=1,1_DATOS!C7*2025.4*SIN(RADIANS(100))+C9*SIN(RADIANS(D9)),"")</f>
        <v>23051.6719989279</v>
      </c>
      <c r="N45" s="88" t="n">
        <f aca="false">IF(1_DATOS!C47&gt;=1,1_DATOS!C7*2025.4*COS(RADIANS(100))+C9*COS(RADIANS(D9)),"")</f>
        <v>-5104.36770504239</v>
      </c>
      <c r="O45" s="88" t="n">
        <f aca="false">IF(1_DATOS!C47&gt;=2,1_DATOS!C7*2025.4*SIN(RADIANS(100))+C10*SIN(RADIANS(D10)),"")</f>
        <v>23051.6719989279</v>
      </c>
      <c r="P45" s="88" t="n">
        <f aca="false">IF(1_DATOS!C47&gt;=2,1_DATOS!C7*2025.4*COS(RADIANS(100))+C10*COS(RADIANS(D10)),"")</f>
        <v>-3336.60075207602</v>
      </c>
      <c r="Q45" s="88" t="str">
        <f aca="false">IF(1_DATOS!C47&gt;=3,1_DATOS!C7*2025.4*SIN(RADIANS(100))+C11*SIN(RADIANS(D11)),"")</f>
        <v/>
      </c>
      <c r="R45" s="88" t="str">
        <f aca="false">IF(1_DATOS!C47&gt;=3,1_DATOS!C7*2025.4*COS(RADIANS(100))+C11*COS(RADIANS(D11)),"")</f>
        <v/>
      </c>
    </row>
    <row r="46" customFormat="false" ht="9" hidden="false" customHeight="true" outlineLevel="0" collapsed="false">
      <c r="B46" s="87" t="n">
        <v>105</v>
      </c>
      <c r="C46" s="88" t="n">
        <f aca="false">500*SIN(RADIANS(105))</f>
        <v>482.962913144534</v>
      </c>
      <c r="D46" s="88" t="n">
        <f aca="false">500*COS(RADIANS(105))</f>
        <v>-129.40952255126</v>
      </c>
      <c r="E46" s="88" t="n">
        <f aca="false">2000*SIN(RADIANS(105))</f>
        <v>1931.85165257814</v>
      </c>
      <c r="F46" s="88" t="n">
        <f aca="false">2000*COS(RADIANS(105))</f>
        <v>-517.638090205042</v>
      </c>
      <c r="G46" s="88" t="n">
        <f aca="false">5000*SIN(RADIANS(105))</f>
        <v>4829.62913144534</v>
      </c>
      <c r="H46" s="88" t="n">
        <f aca="false">5000*COS(RADIANS(105))</f>
        <v>-1294.0952255126</v>
      </c>
      <c r="I46" s="88" t="n">
        <f aca="false">IF(1_DATOS!C46&gt;=1,1_DATOS!C5*2025.4*SIN(RADIANS(105))+C7*SIN(RADIANS(D7)),"")</f>
        <v>48909.654214147</v>
      </c>
      <c r="J46" s="88" t="n">
        <f aca="false">IF(1_DATOS!C46&gt;=1,1_DATOS!C5*2025.4*COS(RADIANS(105))+C7*COS(RADIANS(D7)),"")</f>
        <v>-16605.3023487661</v>
      </c>
      <c r="K46" s="88" t="n">
        <f aca="false">IF(1_DATOS!C46&gt;=2,1_DATOS!C5*2025.4*SIN(RADIANS(105))+C8*SIN(RADIANS(D8)),"")</f>
        <v>50346.1388161148</v>
      </c>
      <c r="L46" s="88" t="n">
        <f aca="false">IF(1_DATOS!C46&gt;=2,1_DATOS!C5*2025.4*COS(RADIANS(105))+C8*COS(RADIANS(D8)),"")</f>
        <v>-17052.011356067</v>
      </c>
      <c r="M46" s="88" t="n">
        <f aca="false">IF(1_DATOS!C47&gt;=1,1_DATOS!C7*2025.4*SIN(RADIANS(105))+C9*SIN(RADIANS(D9)),"")</f>
        <v>22592.7505463074</v>
      </c>
      <c r="N46" s="88" t="n">
        <f aca="false">IF(1_DATOS!C47&gt;=1,1_DATOS!C7*2025.4*COS(RADIANS(105))+C9*COS(RADIANS(D9)),"")</f>
        <v>-7174.42860389093</v>
      </c>
      <c r="O46" s="88" t="n">
        <f aca="false">IF(1_DATOS!C47&gt;=2,1_DATOS!C7*2025.4*SIN(RADIANS(105))+C10*SIN(RADIANS(D10)),"")</f>
        <v>22592.7505463074</v>
      </c>
      <c r="P46" s="88" t="n">
        <f aca="false">IF(1_DATOS!C47&gt;=2,1_DATOS!C7*2025.4*COS(RADIANS(105))+C10*COS(RADIANS(D10)),"")</f>
        <v>-5406.66165092457</v>
      </c>
      <c r="Q46" s="88" t="str">
        <f aca="false">IF(1_DATOS!C47&gt;=3,1_DATOS!C7*2025.4*SIN(RADIANS(105))+C11*SIN(RADIANS(D11)),"")</f>
        <v/>
      </c>
      <c r="R46" s="88" t="str">
        <f aca="false">IF(1_DATOS!C47&gt;=3,1_DATOS!C7*2025.4*COS(RADIANS(105))+C11*COS(RADIANS(D11)),"")</f>
        <v/>
      </c>
    </row>
    <row r="47" customFormat="false" ht="9" hidden="false" customHeight="true" outlineLevel="0" collapsed="false">
      <c r="B47" s="87" t="n">
        <v>110</v>
      </c>
      <c r="C47" s="88" t="n">
        <f aca="false">500*SIN(RADIANS(110))</f>
        <v>469.846310392954</v>
      </c>
      <c r="D47" s="88" t="n">
        <f aca="false">500*COS(RADIANS(110))</f>
        <v>-171.010071662834</v>
      </c>
      <c r="E47" s="88" t="n">
        <f aca="false">2000*SIN(RADIANS(110))</f>
        <v>1879.38524157182</v>
      </c>
      <c r="F47" s="88" t="n">
        <f aca="false">2000*COS(RADIANS(110))</f>
        <v>-684.040286651337</v>
      </c>
      <c r="G47" s="88" t="n">
        <f aca="false">5000*SIN(RADIANS(110))</f>
        <v>4698.46310392954</v>
      </c>
      <c r="H47" s="88" t="n">
        <f aca="false">5000*COS(RADIANS(110))</f>
        <v>-1710.10071662834</v>
      </c>
      <c r="I47" s="88" t="n">
        <f aca="false">IF(1_DATOS!C46&gt;=1,1_DATOS!C5*2025.4*SIN(RADIANS(110))+C7*SIN(RADIANS(D7)),"")</f>
        <v>47581.3358534945</v>
      </c>
      <c r="J47" s="88" t="n">
        <f aca="false">IF(1_DATOS!C46&gt;=1,1_DATOS!C5*2025.4*COS(RADIANS(110))+C7*COS(RADIANS(D7)),"")</f>
        <v>-20818.1899572952</v>
      </c>
      <c r="K47" s="88" t="n">
        <f aca="false">IF(1_DATOS!C46&gt;=2,1_DATOS!C5*2025.4*SIN(RADIANS(110))+C8*SIN(RADIANS(D8)),"")</f>
        <v>49017.8204554623</v>
      </c>
      <c r="L47" s="88" t="n">
        <f aca="false">IF(1_DATOS!C46&gt;=2,1_DATOS!C5*2025.4*COS(RADIANS(110))+C8*COS(RADIANS(D8)),"")</f>
        <v>-21264.8989645961</v>
      </c>
      <c r="M47" s="88" t="n">
        <f aca="false">IF(1_DATOS!C47&gt;=1,1_DATOS!C7*2025.4*SIN(RADIANS(110))+C9*SIN(RADIANS(D9)),"")</f>
        <v>21955.1577331942</v>
      </c>
      <c r="N47" s="88" t="n">
        <f aca="false">IF(1_DATOS!C47&gt;=1,1_DATOS!C7*2025.4*COS(RADIANS(110))+C9*COS(RADIANS(D9)),"")</f>
        <v>-9196.6146559849</v>
      </c>
      <c r="O47" s="88" t="n">
        <f aca="false">IF(1_DATOS!C47&gt;=2,1_DATOS!C7*2025.4*SIN(RADIANS(110))+C10*SIN(RADIANS(D10)),"")</f>
        <v>21955.1577331942</v>
      </c>
      <c r="P47" s="88" t="n">
        <f aca="false">IF(1_DATOS!C47&gt;=2,1_DATOS!C7*2025.4*COS(RADIANS(110))+C10*COS(RADIANS(D10)),"")</f>
        <v>-7428.84770301853</v>
      </c>
      <c r="Q47" s="88" t="str">
        <f aca="false">IF(1_DATOS!C47&gt;=3,1_DATOS!C7*2025.4*SIN(RADIANS(110))+C11*SIN(RADIANS(D11)),"")</f>
        <v/>
      </c>
      <c r="R47" s="88" t="str">
        <f aca="false">IF(1_DATOS!C47&gt;=3,1_DATOS!C7*2025.4*COS(RADIANS(110))+C11*COS(RADIANS(D11)),"")</f>
        <v/>
      </c>
    </row>
    <row r="48" customFormat="false" ht="9" hidden="false" customHeight="true" outlineLevel="0" collapsed="false">
      <c r="B48" s="87" t="n">
        <v>115</v>
      </c>
      <c r="C48" s="88" t="n">
        <f aca="false">500*SIN(RADIANS(115))</f>
        <v>453.153893518325</v>
      </c>
      <c r="D48" s="88" t="n">
        <f aca="false">500*COS(RADIANS(115))</f>
        <v>-211.30913087035</v>
      </c>
      <c r="E48" s="88" t="n">
        <f aca="false">2000*SIN(RADIANS(115))</f>
        <v>1812.6155740733</v>
      </c>
      <c r="F48" s="88" t="n">
        <f aca="false">2000*COS(RADIANS(115))</f>
        <v>-845.236523481399</v>
      </c>
      <c r="G48" s="88" t="n">
        <f aca="false">5000*SIN(RADIANS(115))</f>
        <v>4531.53893518325</v>
      </c>
      <c r="H48" s="88" t="n">
        <f aca="false">5000*COS(RADIANS(115))</f>
        <v>-2113.0913087035</v>
      </c>
      <c r="I48" s="88" t="n">
        <f aca="false">IF(1_DATOS!C46&gt;=1,1_DATOS!C5*2025.4*SIN(RADIANS(115))+C7*SIN(RADIANS(D7)),"")</f>
        <v>45890.8947966008</v>
      </c>
      <c r="J48" s="88" t="n">
        <f aca="false">IF(1_DATOS!C46&gt;=1,1_DATOS!C5*2025.4*COS(RADIANS(115))+C7*COS(RADIANS(D7)),"")</f>
        <v>-24899.2756832403</v>
      </c>
      <c r="K48" s="88" t="n">
        <f aca="false">IF(1_DATOS!C46&gt;=2,1_DATOS!C5*2025.4*SIN(RADIANS(115))+C8*SIN(RADIANS(D8)),"")</f>
        <v>47327.3793985686</v>
      </c>
      <c r="L48" s="88" t="n">
        <f aca="false">IF(1_DATOS!C46&gt;=2,1_DATOS!C5*2025.4*COS(RADIANS(115))+C8*COS(RADIANS(D8)),"")</f>
        <v>-25345.9846905411</v>
      </c>
      <c r="M48" s="88" t="n">
        <f aca="false">IF(1_DATOS!C47&gt;=1,1_DATOS!C7*2025.4*SIN(RADIANS(115))+C9*SIN(RADIANS(D9)),"")</f>
        <v>21143.7460258852</v>
      </c>
      <c r="N48" s="88" t="n">
        <f aca="false">IF(1_DATOS!C47&gt;=1,1_DATOS!C7*2025.4*COS(RADIANS(115))+C9*COS(RADIANS(D9)),"")</f>
        <v>-11155.5358044385</v>
      </c>
      <c r="O48" s="88" t="n">
        <f aca="false">IF(1_DATOS!C47&gt;=2,1_DATOS!C7*2025.4*SIN(RADIANS(115))+C10*SIN(RADIANS(D10)),"")</f>
        <v>21143.7460258852</v>
      </c>
      <c r="P48" s="88" t="n">
        <f aca="false">IF(1_DATOS!C47&gt;=2,1_DATOS!C7*2025.4*COS(RADIANS(115))+C10*COS(RADIANS(D10)),"")</f>
        <v>-9387.76885147217</v>
      </c>
      <c r="Q48" s="88" t="str">
        <f aca="false">IF(1_DATOS!C47&gt;=3,1_DATOS!C7*2025.4*SIN(RADIANS(115))+C11*SIN(RADIANS(D11)),"")</f>
        <v/>
      </c>
      <c r="R48" s="88" t="str">
        <f aca="false">IF(1_DATOS!C47&gt;=3,1_DATOS!C7*2025.4*COS(RADIANS(115))+C11*COS(RADIANS(D11)),"")</f>
        <v/>
      </c>
    </row>
    <row r="49" customFormat="false" ht="9" hidden="false" customHeight="true" outlineLevel="0" collapsed="false">
      <c r="B49" s="87" t="n">
        <v>120</v>
      </c>
      <c r="C49" s="88" t="n">
        <f aca="false">500*SIN(RADIANS(120))</f>
        <v>433.012701892219</v>
      </c>
      <c r="D49" s="88" t="n">
        <f aca="false">500*COS(RADIANS(120))</f>
        <v>-250</v>
      </c>
      <c r="E49" s="88" t="n">
        <f aca="false">2000*SIN(RADIANS(120))</f>
        <v>1732.05080756888</v>
      </c>
      <c r="F49" s="88" t="n">
        <f aca="false">2000*COS(RADIANS(120))</f>
        <v>-1000</v>
      </c>
      <c r="G49" s="88" t="n">
        <f aca="false">5000*SIN(RADIANS(120))</f>
        <v>4330.12701892219</v>
      </c>
      <c r="H49" s="88" t="n">
        <f aca="false">5000*COS(RADIANS(120))</f>
        <v>-2500</v>
      </c>
      <c r="I49" s="88" t="n">
        <f aca="false">IF(1_DATOS!C46&gt;=1,1_DATOS!C5*2025.4*SIN(RADIANS(120))+C7*SIN(RADIANS(D7)),"")</f>
        <v>43851.1963206251</v>
      </c>
      <c r="J49" s="88" t="n">
        <f aca="false">IF(1_DATOS!C46&gt;=1,1_DATOS!C5*2025.4*COS(RADIANS(120))+C7*COS(RADIANS(D7)),"")</f>
        <v>-28817.5</v>
      </c>
      <c r="K49" s="88" t="n">
        <f aca="false">IF(1_DATOS!C46&gt;=2,1_DATOS!C5*2025.4*SIN(RADIANS(120))+C8*SIN(RADIANS(D8)),"")</f>
        <v>45287.6809225929</v>
      </c>
      <c r="L49" s="88" t="n">
        <f aca="false">IF(1_DATOS!C46&gt;=2,1_DATOS!C5*2025.4*COS(RADIANS(120))+C8*COS(RADIANS(D8)),"")</f>
        <v>-29264.2090073008</v>
      </c>
      <c r="M49" s="88" t="n">
        <f aca="false">IF(1_DATOS!C47&gt;=1,1_DATOS!C7*2025.4*SIN(RADIANS(120))+C9*SIN(RADIANS(D9)),"")</f>
        <v>20164.6907574168</v>
      </c>
      <c r="N49" s="88" t="n">
        <f aca="false">IF(1_DATOS!C47&gt;=1,1_DATOS!C7*2025.4*COS(RADIANS(120))+C9*COS(RADIANS(D9)),"")</f>
        <v>-13036.2834764832</v>
      </c>
      <c r="O49" s="88" t="n">
        <f aca="false">IF(1_DATOS!C47&gt;=2,1_DATOS!C7*2025.4*SIN(RADIANS(120))+C10*SIN(RADIANS(D10)),"")</f>
        <v>20164.6907574168</v>
      </c>
      <c r="P49" s="88" t="n">
        <f aca="false">IF(1_DATOS!C47&gt;=2,1_DATOS!C7*2025.4*COS(RADIANS(120))+C10*COS(RADIANS(D10)),"")</f>
        <v>-11268.5165235168</v>
      </c>
      <c r="Q49" s="88" t="str">
        <f aca="false">IF(1_DATOS!C47&gt;=3,1_DATOS!C7*2025.4*SIN(RADIANS(120))+C11*SIN(RADIANS(D11)),"")</f>
        <v/>
      </c>
      <c r="R49" s="88" t="str">
        <f aca="false">IF(1_DATOS!C47&gt;=3,1_DATOS!C7*2025.4*COS(RADIANS(120))+C11*COS(RADIANS(D11)),"")</f>
        <v/>
      </c>
    </row>
    <row r="50" customFormat="false" ht="9" hidden="false" customHeight="true" outlineLevel="0" collapsed="false">
      <c r="B50" s="87" t="n">
        <v>125</v>
      </c>
      <c r="C50" s="88" t="n">
        <f aca="false">500*SIN(RADIANS(125))</f>
        <v>409.576022144496</v>
      </c>
      <c r="D50" s="88" t="n">
        <f aca="false">500*COS(RADIANS(125))</f>
        <v>-286.788218175523</v>
      </c>
      <c r="E50" s="88" t="n">
        <f aca="false">2000*SIN(RADIANS(125))</f>
        <v>1638.30408857798</v>
      </c>
      <c r="F50" s="88" t="n">
        <f aca="false">2000*COS(RADIANS(125))</f>
        <v>-1147.15287270209</v>
      </c>
      <c r="G50" s="88" t="n">
        <f aca="false">5000*SIN(RADIANS(125))</f>
        <v>4095.76022144496</v>
      </c>
      <c r="H50" s="88" t="n">
        <f aca="false">5000*COS(RADIANS(125))</f>
        <v>-2867.88218175523</v>
      </c>
      <c r="I50" s="88" t="n">
        <f aca="false">IF(1_DATOS!C46&gt;=1,1_DATOS!C5*2025.4*SIN(RADIANS(125))+C7*SIN(RADIANS(D7)),"")</f>
        <v>41477.7637625731</v>
      </c>
      <c r="J50" s="88" t="n">
        <f aca="false">IF(1_DATOS!C46&gt;=1,1_DATOS!C5*2025.4*COS(RADIANS(125))+C7*COS(RADIANS(D7)),"")</f>
        <v>-32543.0428546352</v>
      </c>
      <c r="K50" s="88" t="n">
        <f aca="false">IF(1_DATOS!C46&gt;=2,1_DATOS!C5*2025.4*SIN(RADIANS(125))+C8*SIN(RADIANS(D8)),"")</f>
        <v>42914.2483645409</v>
      </c>
      <c r="L50" s="88" t="n">
        <f aca="false">IF(1_DATOS!C46&gt;=2,1_DATOS!C5*2025.4*COS(RADIANS(125))+C8*COS(RADIANS(D8)),"")</f>
        <v>-32989.751861936</v>
      </c>
      <c r="M50" s="88" t="n">
        <f aca="false">IF(1_DATOS!C47&gt;=1,1_DATOS!C7*2025.4*SIN(RADIANS(125))+C9*SIN(RADIANS(D9)),"")</f>
        <v>19025.4431295519</v>
      </c>
      <c r="N50" s="88" t="n">
        <f aca="false">IF(1_DATOS!C47&gt;=1,1_DATOS!C7*2025.4*COS(RADIANS(125))+C9*COS(RADIANS(D9)),"")</f>
        <v>-14824.5440467081</v>
      </c>
      <c r="O50" s="88" t="n">
        <f aca="false">IF(1_DATOS!C47&gt;=2,1_DATOS!C7*2025.4*SIN(RADIANS(125))+C10*SIN(RADIANS(D10)),"")</f>
        <v>19025.4431295519</v>
      </c>
      <c r="P50" s="88" t="n">
        <f aca="false">IF(1_DATOS!C47&gt;=2,1_DATOS!C7*2025.4*COS(RADIANS(125))+C10*COS(RADIANS(D10)),"")</f>
        <v>-13056.7770937417</v>
      </c>
      <c r="Q50" s="88" t="str">
        <f aca="false">IF(1_DATOS!C47&gt;=3,1_DATOS!C7*2025.4*SIN(RADIANS(125))+C11*SIN(RADIANS(D11)),"")</f>
        <v/>
      </c>
      <c r="R50" s="88" t="str">
        <f aca="false">IF(1_DATOS!C47&gt;=3,1_DATOS!C7*2025.4*COS(RADIANS(125))+C11*COS(RADIANS(D11)),"")</f>
        <v/>
      </c>
    </row>
    <row r="51" customFormat="false" ht="9" hidden="false" customHeight="true" outlineLevel="0" collapsed="false">
      <c r="B51" s="87" t="n">
        <v>130</v>
      </c>
      <c r="C51" s="88" t="n">
        <f aca="false">500*SIN(RADIANS(130))</f>
        <v>383.022221559489</v>
      </c>
      <c r="D51" s="88" t="n">
        <f aca="false">500*COS(RADIANS(130))</f>
        <v>-321.39380484327</v>
      </c>
      <c r="E51" s="88" t="n">
        <f aca="false">2000*SIN(RADIANS(130))</f>
        <v>1532.08888623796</v>
      </c>
      <c r="F51" s="88" t="n">
        <f aca="false">2000*COS(RADIANS(130))</f>
        <v>-1285.57521937308</v>
      </c>
      <c r="G51" s="88" t="n">
        <f aca="false">5000*SIN(RADIANS(130))</f>
        <v>3830.22221559489</v>
      </c>
      <c r="H51" s="88" t="n">
        <f aca="false">5000*COS(RADIANS(130))</f>
        <v>-3213.9380484327</v>
      </c>
      <c r="I51" s="88" t="n">
        <f aca="false">IF(1_DATOS!C46&gt;=1,1_DATOS!C5*2025.4*SIN(RADIANS(130))+C7*SIN(RADIANS(D7)),"")</f>
        <v>38788.6603773295</v>
      </c>
      <c r="J51" s="88" t="n">
        <f aca="false">IF(1_DATOS!C46&gt;=1,1_DATOS!C5*2025.4*COS(RADIANS(130))+C7*COS(RADIANS(D7)),"")</f>
        <v>-36047.5506164779</v>
      </c>
      <c r="K51" s="88" t="n">
        <f aca="false">IF(1_DATOS!C46&gt;=2,1_DATOS!C5*2025.4*SIN(RADIANS(130))+C8*SIN(RADIANS(D8)),"")</f>
        <v>40225.1449792973</v>
      </c>
      <c r="L51" s="88" t="n">
        <f aca="false">IF(1_DATOS!C46&gt;=2,1_DATOS!C5*2025.4*COS(RADIANS(130))+C8*COS(RADIANS(D8)),"")</f>
        <v>-36494.2596237787</v>
      </c>
      <c r="M51" s="88" t="n">
        <f aca="false">IF(1_DATOS!C47&gt;=1,1_DATOS!C7*2025.4*SIN(RADIANS(130))+C9*SIN(RADIANS(D9)),"")</f>
        <v>17734.673504635</v>
      </c>
      <c r="N51" s="88" t="n">
        <f aca="false">IF(1_DATOS!C47&gt;=1,1_DATOS!C7*2025.4*COS(RADIANS(130))+C9*COS(RADIANS(D9)),"")</f>
        <v>-16506.7077723926</v>
      </c>
      <c r="O51" s="88" t="n">
        <f aca="false">IF(1_DATOS!C47&gt;=2,1_DATOS!C7*2025.4*SIN(RADIANS(130))+C10*SIN(RADIANS(D10)),"")</f>
        <v>17734.673504635</v>
      </c>
      <c r="P51" s="88" t="n">
        <f aca="false">IF(1_DATOS!C47&gt;=2,1_DATOS!C7*2025.4*COS(RADIANS(130))+C10*COS(RADIANS(D10)),"")</f>
        <v>-14738.9408194262</v>
      </c>
      <c r="Q51" s="88" t="str">
        <f aca="false">IF(1_DATOS!C47&gt;=3,1_DATOS!C7*2025.4*SIN(RADIANS(130))+C11*SIN(RADIANS(D11)),"")</f>
        <v/>
      </c>
      <c r="R51" s="88" t="str">
        <f aca="false">IF(1_DATOS!C47&gt;=3,1_DATOS!C7*2025.4*COS(RADIANS(130))+C11*COS(RADIANS(D11)),"")</f>
        <v/>
      </c>
    </row>
    <row r="52" customFormat="false" ht="9" hidden="false" customHeight="true" outlineLevel="0" collapsed="false">
      <c r="B52" s="87" t="n">
        <v>135</v>
      </c>
      <c r="C52" s="88" t="n">
        <f aca="false">500*SIN(RADIANS(135))</f>
        <v>353.553390593274</v>
      </c>
      <c r="D52" s="88" t="n">
        <f aca="false">500*COS(RADIANS(135))</f>
        <v>-353.553390593274</v>
      </c>
      <c r="E52" s="88" t="n">
        <f aca="false">2000*SIN(RADIANS(135))</f>
        <v>1414.2135623731</v>
      </c>
      <c r="F52" s="88" t="n">
        <f aca="false">2000*COS(RADIANS(135))</f>
        <v>-1414.21356237309</v>
      </c>
      <c r="G52" s="88" t="n">
        <f aca="false">5000*SIN(RADIANS(135))</f>
        <v>3535.53390593274</v>
      </c>
      <c r="H52" s="88" t="n">
        <f aca="false">5000*COS(RADIANS(135))</f>
        <v>-3535.53390593274</v>
      </c>
      <c r="I52" s="88" t="n">
        <f aca="false">IF(1_DATOS!C46&gt;=1,1_DATOS!C5*2025.4*SIN(RADIANS(135))+C7*SIN(RADIANS(D7)),"")</f>
        <v>35804.3518653808</v>
      </c>
      <c r="J52" s="88" t="n">
        <f aca="false">IF(1_DATOS!C46&gt;=1,1_DATOS!C5*2025.4*COS(RADIANS(135))+C7*COS(RADIANS(D7)),"")</f>
        <v>-39304.3518653808</v>
      </c>
      <c r="K52" s="88" t="n">
        <f aca="false">IF(1_DATOS!C46&gt;=2,1_DATOS!C5*2025.4*SIN(RADIANS(135))+C8*SIN(RADIANS(D8)),"")</f>
        <v>37240.8364673486</v>
      </c>
      <c r="L52" s="88" t="n">
        <f aca="false">IF(1_DATOS!C46&gt;=2,1_DATOS!C5*2025.4*COS(RADIANS(135))+C8*COS(RADIANS(D8)),"")</f>
        <v>-39751.0608726816</v>
      </c>
      <c r="M52" s="88" t="n">
        <f aca="false">IF(1_DATOS!C47&gt;=1,1_DATOS!C7*2025.4*SIN(RADIANS(135))+C9*SIN(RADIANS(D9)),"")</f>
        <v>16302.2054188996</v>
      </c>
      <c r="N52" s="88" t="n">
        <f aca="false">IF(1_DATOS!C47&gt;=1,1_DATOS!C7*2025.4*COS(RADIANS(135))+C9*COS(RADIANS(D9)),"")</f>
        <v>-18069.972371866</v>
      </c>
      <c r="O52" s="88" t="n">
        <f aca="false">IF(1_DATOS!C47&gt;=2,1_DATOS!C7*2025.4*SIN(RADIANS(135))+C10*SIN(RADIANS(D10)),"")</f>
        <v>16302.2054188996</v>
      </c>
      <c r="P52" s="88" t="n">
        <f aca="false">IF(1_DATOS!C47&gt;=2,1_DATOS!C7*2025.4*COS(RADIANS(135))+C10*COS(RADIANS(D10)),"")</f>
        <v>-16302.2054188996</v>
      </c>
      <c r="Q52" s="88" t="str">
        <f aca="false">IF(1_DATOS!C47&gt;=3,1_DATOS!C7*2025.4*SIN(RADIANS(135))+C11*SIN(RADIANS(D11)),"")</f>
        <v/>
      </c>
      <c r="R52" s="88" t="str">
        <f aca="false">IF(1_DATOS!C47&gt;=3,1_DATOS!C7*2025.4*COS(RADIANS(135))+C11*COS(RADIANS(D11)),"")</f>
        <v/>
      </c>
    </row>
    <row r="53" customFormat="false" ht="9" hidden="false" customHeight="true" outlineLevel="0" collapsed="false">
      <c r="B53" s="87" t="n">
        <v>140</v>
      </c>
      <c r="C53" s="88" t="n">
        <f aca="false">500*SIN(RADIANS(140))</f>
        <v>321.39380484327</v>
      </c>
      <c r="D53" s="88" t="n">
        <f aca="false">500*COS(RADIANS(140))</f>
        <v>-383.022221559489</v>
      </c>
      <c r="E53" s="88" t="n">
        <f aca="false">2000*SIN(RADIANS(140))</f>
        <v>1285.57521937308</v>
      </c>
      <c r="F53" s="88" t="n">
        <f aca="false">2000*COS(RADIANS(140))</f>
        <v>-1532.08888623796</v>
      </c>
      <c r="G53" s="88" t="n">
        <f aca="false">5000*SIN(RADIANS(140))</f>
        <v>3213.9380484327</v>
      </c>
      <c r="H53" s="88" t="n">
        <f aca="false">5000*COS(RADIANS(140))</f>
        <v>-3830.22221559489</v>
      </c>
      <c r="I53" s="88" t="n">
        <f aca="false">IF(1_DATOS!C46&gt;=1,1_DATOS!C5*2025.4*SIN(RADIANS(140))+C7*SIN(RADIANS(D7)),"")</f>
        <v>32547.5506164779</v>
      </c>
      <c r="J53" s="88" t="n">
        <f aca="false">IF(1_DATOS!C46&gt;=1,1_DATOS!C5*2025.4*COS(RADIANS(140))+C7*COS(RADIANS(D7)),"")</f>
        <v>-42288.6603773295</v>
      </c>
      <c r="K53" s="88" t="n">
        <f aca="false">IF(1_DATOS!C46&gt;=2,1_DATOS!C5*2025.4*SIN(RADIANS(140))+C8*SIN(RADIANS(D8)),"")</f>
        <v>33984.0352184457</v>
      </c>
      <c r="L53" s="88" t="n">
        <f aca="false">IF(1_DATOS!C46&gt;=2,1_DATOS!C5*2025.4*COS(RADIANS(140))+C8*COS(RADIANS(D8)),"")</f>
        <v>-42735.3693846303</v>
      </c>
      <c r="M53" s="88" t="n">
        <f aca="false">IF(1_DATOS!C47&gt;=1,1_DATOS!C7*2025.4*SIN(RADIANS(140))+C9*SIN(RADIANS(D9)),"")</f>
        <v>14738.9408194262</v>
      </c>
      <c r="N53" s="88" t="n">
        <f aca="false">IF(1_DATOS!C47&gt;=1,1_DATOS!C7*2025.4*COS(RADIANS(140))+C9*COS(RADIANS(D9)),"")</f>
        <v>-19502.4404576013</v>
      </c>
      <c r="O53" s="88" t="n">
        <f aca="false">IF(1_DATOS!C47&gt;=2,1_DATOS!C7*2025.4*SIN(RADIANS(140))+C10*SIN(RADIANS(D10)),"")</f>
        <v>14738.9408194262</v>
      </c>
      <c r="P53" s="88" t="n">
        <f aca="false">IF(1_DATOS!C47&gt;=2,1_DATOS!C7*2025.4*COS(RADIANS(140))+C10*COS(RADIANS(D10)),"")</f>
        <v>-17734.673504635</v>
      </c>
      <c r="Q53" s="88" t="str">
        <f aca="false">IF(1_DATOS!C47&gt;=3,1_DATOS!C7*2025.4*SIN(RADIANS(140))+C11*SIN(RADIANS(D11)),"")</f>
        <v/>
      </c>
      <c r="R53" s="88" t="str">
        <f aca="false">IF(1_DATOS!C47&gt;=3,1_DATOS!C7*2025.4*COS(RADIANS(140))+C11*COS(RADIANS(D11)),"")</f>
        <v/>
      </c>
    </row>
    <row r="54" customFormat="false" ht="9" hidden="false" customHeight="true" outlineLevel="0" collapsed="false">
      <c r="B54" s="87" t="n">
        <v>145</v>
      </c>
      <c r="C54" s="88" t="n">
        <f aca="false">500*SIN(RADIANS(145))</f>
        <v>286.788218175523</v>
      </c>
      <c r="D54" s="88" t="n">
        <f aca="false">500*COS(RADIANS(145))</f>
        <v>-409.576022144496</v>
      </c>
      <c r="E54" s="88" t="n">
        <f aca="false">2000*SIN(RADIANS(145))</f>
        <v>1147.15287270209</v>
      </c>
      <c r="F54" s="88" t="n">
        <f aca="false">2000*COS(RADIANS(145))</f>
        <v>-1638.30408857798</v>
      </c>
      <c r="G54" s="88" t="n">
        <f aca="false">5000*SIN(RADIANS(145))</f>
        <v>2867.88218175523</v>
      </c>
      <c r="H54" s="88" t="n">
        <f aca="false">5000*COS(RADIANS(145))</f>
        <v>-4095.76022144496</v>
      </c>
      <c r="I54" s="88" t="n">
        <f aca="false">IF(1_DATOS!C46&gt;=1,1_DATOS!C5*2025.4*SIN(RADIANS(145))+C7*SIN(RADIANS(D7)),"")</f>
        <v>29043.0428546352</v>
      </c>
      <c r="J54" s="88" t="n">
        <f aca="false">IF(1_DATOS!C46&gt;=1,1_DATOS!C5*2025.4*COS(RADIANS(145))+C7*COS(RADIANS(D7)),"")</f>
        <v>-44977.7637625731</v>
      </c>
      <c r="K54" s="88" t="n">
        <f aca="false">IF(1_DATOS!C46&gt;=2,1_DATOS!C5*2025.4*SIN(RADIANS(145))+C8*SIN(RADIANS(D8)),"")</f>
        <v>30479.527456603</v>
      </c>
      <c r="L54" s="88" t="n">
        <f aca="false">IF(1_DATOS!C46&gt;=2,1_DATOS!C5*2025.4*COS(RADIANS(145))+C8*COS(RADIANS(D8)),"")</f>
        <v>-45424.4727698739</v>
      </c>
      <c r="M54" s="88" t="n">
        <f aca="false">IF(1_DATOS!C47&gt;=1,1_DATOS!C7*2025.4*SIN(RADIANS(145))+C9*SIN(RADIANS(D9)),"")</f>
        <v>13056.7770937417</v>
      </c>
      <c r="N54" s="88" t="n">
        <f aca="false">IF(1_DATOS!C47&gt;=1,1_DATOS!C7*2025.4*COS(RADIANS(145))+C9*COS(RADIANS(D9)),"")</f>
        <v>-20793.2100825183</v>
      </c>
      <c r="O54" s="88" t="n">
        <f aca="false">IF(1_DATOS!C47&gt;=2,1_DATOS!C7*2025.4*SIN(RADIANS(145))+C10*SIN(RADIANS(D10)),"")</f>
        <v>13056.7770937417</v>
      </c>
      <c r="P54" s="88" t="n">
        <f aca="false">IF(1_DATOS!C47&gt;=2,1_DATOS!C7*2025.4*COS(RADIANS(145))+C10*COS(RADIANS(D10)),"")</f>
        <v>-19025.4431295519</v>
      </c>
      <c r="Q54" s="88" t="str">
        <f aca="false">IF(1_DATOS!C47&gt;=3,1_DATOS!C7*2025.4*SIN(RADIANS(145))+C11*SIN(RADIANS(D11)),"")</f>
        <v/>
      </c>
      <c r="R54" s="88" t="str">
        <f aca="false">IF(1_DATOS!C47&gt;=3,1_DATOS!C7*2025.4*COS(RADIANS(145))+C11*COS(RADIANS(D11)),"")</f>
        <v/>
      </c>
    </row>
    <row r="55" customFormat="false" ht="9" hidden="false" customHeight="true" outlineLevel="0" collapsed="false">
      <c r="B55" s="87" t="n">
        <v>150</v>
      </c>
      <c r="C55" s="88" t="n">
        <f aca="false">500*SIN(RADIANS(150))</f>
        <v>250</v>
      </c>
      <c r="D55" s="88" t="n">
        <f aca="false">500*COS(RADIANS(150))</f>
        <v>-433.012701892219</v>
      </c>
      <c r="E55" s="88" t="n">
        <f aca="false">2000*SIN(RADIANS(150))</f>
        <v>1000</v>
      </c>
      <c r="F55" s="88" t="n">
        <f aca="false">2000*COS(RADIANS(150))</f>
        <v>-1732.05080756888</v>
      </c>
      <c r="G55" s="88" t="n">
        <f aca="false">5000*SIN(RADIANS(150))</f>
        <v>2500</v>
      </c>
      <c r="H55" s="88" t="n">
        <f aca="false">5000*COS(RADIANS(150))</f>
        <v>-4330.12701892219</v>
      </c>
      <c r="I55" s="88" t="n">
        <f aca="false">IF(1_DATOS!C46&gt;=1,1_DATOS!C5*2025.4*SIN(RADIANS(150))+C7*SIN(RADIANS(D7)),"")</f>
        <v>25317.5</v>
      </c>
      <c r="J55" s="88" t="n">
        <f aca="false">IF(1_DATOS!C46&gt;=1,1_DATOS!C5*2025.4*COS(RADIANS(150))+C7*COS(RADIANS(D7)),"")</f>
        <v>-47351.1963206251</v>
      </c>
      <c r="K55" s="88" t="n">
        <f aca="false">IF(1_DATOS!C46&gt;=2,1_DATOS!C5*2025.4*SIN(RADIANS(150))+C8*SIN(RADIANS(D8)),"")</f>
        <v>26753.9846019678</v>
      </c>
      <c r="L55" s="88" t="n">
        <f aca="false">IF(1_DATOS!C46&gt;=2,1_DATOS!C5*2025.4*COS(RADIANS(150))+C8*COS(RADIANS(D8)),"")</f>
        <v>-47797.9053279259</v>
      </c>
      <c r="M55" s="88" t="n">
        <f aca="false">IF(1_DATOS!C47&gt;=1,1_DATOS!C7*2025.4*SIN(RADIANS(150))+C9*SIN(RADIANS(D9)),"")</f>
        <v>11268.5165235168</v>
      </c>
      <c r="N55" s="88" t="n">
        <f aca="false">IF(1_DATOS!C47&gt;=1,1_DATOS!C7*2025.4*COS(RADIANS(150))+C9*COS(RADIANS(D9)),"")</f>
        <v>-21932.4577103832</v>
      </c>
      <c r="O55" s="88" t="n">
        <f aca="false">IF(1_DATOS!C47&gt;=2,1_DATOS!C7*2025.4*SIN(RADIANS(150))+C10*SIN(RADIANS(D10)),"")</f>
        <v>11268.5165235168</v>
      </c>
      <c r="P55" s="88" t="n">
        <f aca="false">IF(1_DATOS!C47&gt;=2,1_DATOS!C7*2025.4*COS(RADIANS(150))+C10*COS(RADIANS(D10)),"")</f>
        <v>-20164.6907574168</v>
      </c>
      <c r="Q55" s="88" t="str">
        <f aca="false">IF(1_DATOS!C47&gt;=3,1_DATOS!C7*2025.4*SIN(RADIANS(150))+C11*SIN(RADIANS(D11)),"")</f>
        <v/>
      </c>
      <c r="R55" s="88" t="str">
        <f aca="false">IF(1_DATOS!C47&gt;=3,1_DATOS!C7*2025.4*COS(RADIANS(150))+C11*COS(RADIANS(D11)),"")</f>
        <v/>
      </c>
    </row>
    <row r="56" customFormat="false" ht="9" hidden="false" customHeight="true" outlineLevel="0" collapsed="false">
      <c r="B56" s="87" t="n">
        <v>155</v>
      </c>
      <c r="C56" s="88" t="n">
        <f aca="false">500*SIN(RADIANS(155))</f>
        <v>211.30913087035</v>
      </c>
      <c r="D56" s="88" t="n">
        <f aca="false">500*COS(RADIANS(155))</f>
        <v>-453.153893518325</v>
      </c>
      <c r="E56" s="88" t="n">
        <f aca="false">2000*SIN(RADIANS(155))</f>
        <v>845.236523481399</v>
      </c>
      <c r="F56" s="88" t="n">
        <f aca="false">2000*COS(RADIANS(155))</f>
        <v>-1812.6155740733</v>
      </c>
      <c r="G56" s="88" t="n">
        <f aca="false">5000*SIN(RADIANS(155))</f>
        <v>2113.0913087035</v>
      </c>
      <c r="H56" s="88" t="n">
        <f aca="false">5000*COS(RADIANS(155))</f>
        <v>-4531.53893518325</v>
      </c>
      <c r="I56" s="88" t="n">
        <f aca="false">IF(1_DATOS!C46&gt;=1,1_DATOS!C5*2025.4*SIN(RADIANS(155))+C7*SIN(RADIANS(D7)),"")</f>
        <v>21399.2756832403</v>
      </c>
      <c r="J56" s="88" t="n">
        <f aca="false">IF(1_DATOS!C46&gt;=1,1_DATOS!C5*2025.4*COS(RADIANS(155))+C7*COS(RADIANS(D7)),"")</f>
        <v>-49390.8947966008</v>
      </c>
      <c r="K56" s="88" t="n">
        <f aca="false">IF(1_DATOS!C46&gt;=2,1_DATOS!C5*2025.4*SIN(RADIANS(155))+C8*SIN(RADIANS(D8)),"")</f>
        <v>22835.7602852081</v>
      </c>
      <c r="L56" s="88" t="n">
        <f aca="false">IF(1_DATOS!C46&gt;=2,1_DATOS!C5*2025.4*COS(RADIANS(155))+C8*COS(RADIANS(D8)),"")</f>
        <v>-49837.6038039016</v>
      </c>
      <c r="M56" s="88" t="n">
        <f aca="false">IF(1_DATOS!C47&gt;=1,1_DATOS!C7*2025.4*SIN(RADIANS(155))+C9*SIN(RADIANS(D9)),"")</f>
        <v>9387.76885147217</v>
      </c>
      <c r="N56" s="88" t="n">
        <f aca="false">IF(1_DATOS!C47&gt;=1,1_DATOS!C7*2025.4*COS(RADIANS(155))+C9*COS(RADIANS(D9)),"")</f>
        <v>-22911.5129788516</v>
      </c>
      <c r="O56" s="88" t="n">
        <f aca="false">IF(1_DATOS!C47&gt;=2,1_DATOS!C7*2025.4*SIN(RADIANS(155))+C10*SIN(RADIANS(D10)),"")</f>
        <v>9387.76885147217</v>
      </c>
      <c r="P56" s="88" t="n">
        <f aca="false">IF(1_DATOS!C47&gt;=2,1_DATOS!C7*2025.4*COS(RADIANS(155))+C10*COS(RADIANS(D10)),"")</f>
        <v>-21143.7460258852</v>
      </c>
      <c r="Q56" s="88" t="str">
        <f aca="false">IF(1_DATOS!C47&gt;=3,1_DATOS!C7*2025.4*SIN(RADIANS(155))+C11*SIN(RADIANS(D11)),"")</f>
        <v/>
      </c>
      <c r="R56" s="88" t="str">
        <f aca="false">IF(1_DATOS!C47&gt;=3,1_DATOS!C7*2025.4*COS(RADIANS(155))+C11*COS(RADIANS(D11)),"")</f>
        <v/>
      </c>
    </row>
    <row r="57" customFormat="false" ht="9" hidden="false" customHeight="true" outlineLevel="0" collapsed="false">
      <c r="B57" s="87" t="n">
        <v>160</v>
      </c>
      <c r="C57" s="88" t="n">
        <f aca="false">500*SIN(RADIANS(160))</f>
        <v>171.010071662834</v>
      </c>
      <c r="D57" s="88" t="n">
        <f aca="false">500*COS(RADIANS(160))</f>
        <v>-469.846310392954</v>
      </c>
      <c r="E57" s="88" t="n">
        <f aca="false">2000*SIN(RADIANS(160))</f>
        <v>684.040286651338</v>
      </c>
      <c r="F57" s="88" t="n">
        <f aca="false">2000*COS(RADIANS(160))</f>
        <v>-1879.38524157182</v>
      </c>
      <c r="G57" s="88" t="n">
        <f aca="false">5000*SIN(RADIANS(160))</f>
        <v>1710.10071662834</v>
      </c>
      <c r="H57" s="88" t="n">
        <f aca="false">5000*COS(RADIANS(160))</f>
        <v>-4698.46310392954</v>
      </c>
      <c r="I57" s="88" t="n">
        <f aca="false">IF(1_DATOS!C46&gt;=1,1_DATOS!C5*2025.4*SIN(RADIANS(160))+C7*SIN(RADIANS(D7)),"")</f>
        <v>17318.1899572952</v>
      </c>
      <c r="J57" s="88" t="n">
        <f aca="false">IF(1_DATOS!C46&gt;=1,1_DATOS!C5*2025.4*COS(RADIANS(160))+C7*COS(RADIANS(D7)),"")</f>
        <v>-51081.3358534945</v>
      </c>
      <c r="K57" s="88" t="n">
        <f aca="false">IF(1_DATOS!C46&gt;=2,1_DATOS!C5*2025.4*SIN(RADIANS(160))+C8*SIN(RADIANS(D8)),"")</f>
        <v>18754.6745592631</v>
      </c>
      <c r="L57" s="88" t="n">
        <f aca="false">IF(1_DATOS!C46&gt;=2,1_DATOS!C5*2025.4*COS(RADIANS(160))+C8*COS(RADIANS(D8)),"")</f>
        <v>-51528.0448607953</v>
      </c>
      <c r="M57" s="88" t="n">
        <f aca="false">IF(1_DATOS!C47&gt;=1,1_DATOS!C7*2025.4*SIN(RADIANS(160))+C9*SIN(RADIANS(D9)),"")</f>
        <v>7428.84770301853</v>
      </c>
      <c r="N57" s="88" t="n">
        <f aca="false">IF(1_DATOS!C47&gt;=1,1_DATOS!C7*2025.4*COS(RADIANS(160))+C9*COS(RADIANS(D9)),"")</f>
        <v>-23722.9246861605</v>
      </c>
      <c r="O57" s="88" t="n">
        <f aca="false">IF(1_DATOS!C47&gt;=2,1_DATOS!C7*2025.4*SIN(RADIANS(160))+C10*SIN(RADIANS(D10)),"")</f>
        <v>7428.84770301853</v>
      </c>
      <c r="P57" s="88" t="n">
        <f aca="false">IF(1_DATOS!C47&gt;=2,1_DATOS!C7*2025.4*COS(RADIANS(160))+C10*COS(RADIANS(D10)),"")</f>
        <v>-21955.1577331942</v>
      </c>
      <c r="Q57" s="88" t="str">
        <f aca="false">IF(1_DATOS!C47&gt;=3,1_DATOS!C7*2025.4*SIN(RADIANS(160))+C11*SIN(RADIANS(D11)),"")</f>
        <v/>
      </c>
      <c r="R57" s="88" t="str">
        <f aca="false">IF(1_DATOS!C47&gt;=3,1_DATOS!C7*2025.4*COS(RADIANS(160))+C11*COS(RADIANS(D11)),"")</f>
        <v/>
      </c>
    </row>
    <row r="58" customFormat="false" ht="9" hidden="false" customHeight="true" outlineLevel="0" collapsed="false">
      <c r="B58" s="87" t="n">
        <v>165</v>
      </c>
      <c r="C58" s="88" t="n">
        <f aca="false">500*SIN(RADIANS(165))</f>
        <v>129.409522551261</v>
      </c>
      <c r="D58" s="88" t="n">
        <f aca="false">500*COS(RADIANS(165))</f>
        <v>-482.962913144534</v>
      </c>
      <c r="E58" s="88" t="n">
        <f aca="false">2000*SIN(RADIANS(165))</f>
        <v>517.638090205042</v>
      </c>
      <c r="F58" s="88" t="n">
        <f aca="false">2000*COS(RADIANS(165))</f>
        <v>-1931.85165257814</v>
      </c>
      <c r="G58" s="88" t="n">
        <f aca="false">5000*SIN(RADIANS(165))</f>
        <v>1294.09522551261</v>
      </c>
      <c r="H58" s="88" t="n">
        <f aca="false">5000*COS(RADIANS(165))</f>
        <v>-4829.62913144534</v>
      </c>
      <c r="I58" s="88" t="n">
        <f aca="false">IF(1_DATOS!C46&gt;=1,1_DATOS!C5*2025.4*SIN(RADIANS(165))+C7*SIN(RADIANS(D7)),"")</f>
        <v>13105.3023487662</v>
      </c>
      <c r="J58" s="88" t="n">
        <f aca="false">IF(1_DATOS!C46&gt;=1,1_DATOS!C5*2025.4*COS(RADIANS(165))+C7*COS(RADIANS(D7)),"")</f>
        <v>-52409.654214147</v>
      </c>
      <c r="K58" s="88" t="n">
        <f aca="false">IF(1_DATOS!C46&gt;=2,1_DATOS!C5*2025.4*SIN(RADIANS(165))+C8*SIN(RADIANS(D8)),"")</f>
        <v>14541.786950734</v>
      </c>
      <c r="L58" s="88" t="n">
        <f aca="false">IF(1_DATOS!C46&gt;=2,1_DATOS!C5*2025.4*COS(RADIANS(165))+C8*COS(RADIANS(D8)),"")</f>
        <v>-52856.3632214478</v>
      </c>
      <c r="M58" s="88" t="n">
        <f aca="false">IF(1_DATOS!C47&gt;=1,1_DATOS!C7*2025.4*SIN(RADIANS(165))+C9*SIN(RADIANS(D9)),"")</f>
        <v>5406.66165092457</v>
      </c>
      <c r="N58" s="88" t="n">
        <f aca="false">IF(1_DATOS!C47&gt;=1,1_DATOS!C7*2025.4*COS(RADIANS(165))+C9*COS(RADIANS(D9)),"")</f>
        <v>-24360.5174992737</v>
      </c>
      <c r="O58" s="88" t="n">
        <f aca="false">IF(1_DATOS!C47&gt;=2,1_DATOS!C7*2025.4*SIN(RADIANS(165))+C10*SIN(RADIANS(D10)),"")</f>
        <v>5406.66165092457</v>
      </c>
      <c r="P58" s="88" t="n">
        <f aca="false">IF(1_DATOS!C47&gt;=2,1_DATOS!C7*2025.4*COS(RADIANS(165))+C10*COS(RADIANS(D10)),"")</f>
        <v>-22592.7505463074</v>
      </c>
      <c r="Q58" s="88" t="str">
        <f aca="false">IF(1_DATOS!C47&gt;=3,1_DATOS!C7*2025.4*SIN(RADIANS(165))+C11*SIN(RADIANS(D11)),"")</f>
        <v/>
      </c>
      <c r="R58" s="88" t="str">
        <f aca="false">IF(1_DATOS!C47&gt;=3,1_DATOS!C7*2025.4*COS(RADIANS(165))+C11*COS(RADIANS(D11)),"")</f>
        <v/>
      </c>
    </row>
    <row r="59" customFormat="false" ht="9" hidden="false" customHeight="true" outlineLevel="0" collapsed="false">
      <c r="B59" s="87" t="n">
        <v>170</v>
      </c>
      <c r="C59" s="88" t="n">
        <f aca="false">500*SIN(RADIANS(170))</f>
        <v>86.8240888334653</v>
      </c>
      <c r="D59" s="88" t="n">
        <f aca="false">500*COS(RADIANS(170))</f>
        <v>-492.403876506104</v>
      </c>
      <c r="E59" s="88" t="n">
        <f aca="false">2000*SIN(RADIANS(170))</f>
        <v>347.296355333861</v>
      </c>
      <c r="F59" s="88" t="n">
        <f aca="false">2000*COS(RADIANS(170))</f>
        <v>-1969.61550602442</v>
      </c>
      <c r="G59" s="88" t="n">
        <f aca="false">5000*SIN(RADIANS(170))</f>
        <v>868.240888334654</v>
      </c>
      <c r="H59" s="88" t="n">
        <f aca="false">5000*COS(RADIANS(170))</f>
        <v>-4924.03876506104</v>
      </c>
      <c r="I59" s="88" t="n">
        <f aca="false">IF(1_DATOS!C46&gt;=1,1_DATOS!C5*2025.4*SIN(RADIANS(170))+C7*SIN(RADIANS(D7)),"")</f>
        <v>8792.67547616504</v>
      </c>
      <c r="J59" s="88" t="n">
        <f aca="false">IF(1_DATOS!C46&gt;=1,1_DATOS!C5*2025.4*COS(RADIANS(170))+C7*COS(RADIANS(D7)),"")</f>
        <v>-53365.7405737732</v>
      </c>
      <c r="K59" s="88" t="n">
        <f aca="false">IF(1_DATOS!C46&gt;=2,1_DATOS!C5*2025.4*SIN(RADIANS(170))+C8*SIN(RADIANS(D8)),"")</f>
        <v>10229.1600781328</v>
      </c>
      <c r="L59" s="88" t="n">
        <f aca="false">IF(1_DATOS!C46&gt;=2,1_DATOS!C5*2025.4*COS(RADIANS(170))+C8*COS(RADIANS(D8)),"")</f>
        <v>-53812.449581074</v>
      </c>
      <c r="M59" s="88" t="n">
        <f aca="false">IF(1_DATOS!C47&gt;=1,1_DATOS!C7*2025.4*SIN(RADIANS(170))+C9*SIN(RADIANS(D9)),"")</f>
        <v>3336.60075207603</v>
      </c>
      <c r="N59" s="88" t="n">
        <f aca="false">IF(1_DATOS!C47&gt;=1,1_DATOS!C7*2025.4*COS(RADIANS(170))+C9*COS(RADIANS(D9)),"")</f>
        <v>-24819.4389518943</v>
      </c>
      <c r="O59" s="88" t="n">
        <f aca="false">IF(1_DATOS!C47&gt;=2,1_DATOS!C7*2025.4*SIN(RADIANS(170))+C10*SIN(RADIANS(D10)),"")</f>
        <v>3336.60075207603</v>
      </c>
      <c r="P59" s="88" t="n">
        <f aca="false">IF(1_DATOS!C47&gt;=2,1_DATOS!C7*2025.4*COS(RADIANS(170))+C10*COS(RADIANS(D10)),"")</f>
        <v>-23051.6719989279</v>
      </c>
      <c r="Q59" s="88" t="str">
        <f aca="false">IF(1_DATOS!C47&gt;=3,1_DATOS!C7*2025.4*SIN(RADIANS(170))+C11*SIN(RADIANS(D11)),"")</f>
        <v/>
      </c>
      <c r="R59" s="88" t="str">
        <f aca="false">IF(1_DATOS!C47&gt;=3,1_DATOS!C7*2025.4*COS(RADIANS(170))+C11*COS(RADIANS(D11)),"")</f>
        <v/>
      </c>
    </row>
    <row r="60" customFormat="false" ht="9" hidden="false" customHeight="true" outlineLevel="0" collapsed="false">
      <c r="B60" s="87" t="n">
        <v>175</v>
      </c>
      <c r="C60" s="88" t="n">
        <f aca="false">500*SIN(RADIANS(175))</f>
        <v>43.5778713738291</v>
      </c>
      <c r="D60" s="88" t="n">
        <f aca="false">500*COS(RADIANS(175))</f>
        <v>-498.097349045873</v>
      </c>
      <c r="E60" s="88" t="n">
        <f aca="false">2000*SIN(RADIANS(175))</f>
        <v>174.311485495316</v>
      </c>
      <c r="F60" s="88" t="n">
        <f aca="false">2000*COS(RADIANS(175))</f>
        <v>-1992.38939618349</v>
      </c>
      <c r="G60" s="88" t="n">
        <f aca="false">5000*SIN(RADIANS(175))</f>
        <v>435.778713738291</v>
      </c>
      <c r="H60" s="88" t="n">
        <f aca="false">5000*COS(RADIANS(175))</f>
        <v>-4980.97349045873</v>
      </c>
      <c r="I60" s="88" t="n">
        <f aca="false">IF(1_DATOS!C46&gt;=1,1_DATOS!C5*2025.4*SIN(RADIANS(175))+C7*SIN(RADIANS(D7)),"")</f>
        <v>4413.13103402767</v>
      </c>
      <c r="J60" s="88" t="n">
        <f aca="false">IF(1_DATOS!C46&gt;=1,1_DATOS!C5*2025.4*COS(RADIANS(175))+C7*COS(RADIANS(D7)),"")</f>
        <v>-53942.3185378755</v>
      </c>
      <c r="K60" s="88" t="n">
        <f aca="false">IF(1_DATOS!C46&gt;=2,1_DATOS!C5*2025.4*SIN(RADIANS(175))+C8*SIN(RADIANS(D8)),"")</f>
        <v>5849.61563599548</v>
      </c>
      <c r="L60" s="88" t="n">
        <f aca="false">IF(1_DATOS!C46&gt;=2,1_DATOS!C5*2025.4*COS(RADIANS(175))+C8*COS(RADIANS(D8)),"")</f>
        <v>-54389.0275451764</v>
      </c>
      <c r="M60" s="88" t="n">
        <f aca="false">IF(1_DATOS!C47&gt;=1,1_DATOS!C7*2025.4*SIN(RADIANS(175))+C9*SIN(RADIANS(D9)),"")</f>
        <v>1234.4194198501</v>
      </c>
      <c r="N60" s="88" t="n">
        <f aca="false">IF(1_DATOS!C47&gt;=1,1_DATOS!C7*2025.4*COS(RADIANS(175))+C9*COS(RADIANS(D9)),"")</f>
        <v>-25096.1963746634</v>
      </c>
      <c r="O60" s="88" t="n">
        <f aca="false">IF(1_DATOS!C47&gt;=2,1_DATOS!C7*2025.4*SIN(RADIANS(175))+C10*SIN(RADIANS(D10)),"")</f>
        <v>1234.4194198501</v>
      </c>
      <c r="P60" s="88" t="n">
        <f aca="false">IF(1_DATOS!C47&gt;=2,1_DATOS!C7*2025.4*COS(RADIANS(175))+C10*COS(RADIANS(D10)),"")</f>
        <v>-23328.4294216971</v>
      </c>
      <c r="Q60" s="88" t="str">
        <f aca="false">IF(1_DATOS!C47&gt;=3,1_DATOS!C7*2025.4*SIN(RADIANS(175))+C11*SIN(RADIANS(D11)),"")</f>
        <v/>
      </c>
      <c r="R60" s="88" t="str">
        <f aca="false">IF(1_DATOS!C47&gt;=3,1_DATOS!C7*2025.4*COS(RADIANS(175))+C11*COS(RADIANS(D11)),"")</f>
        <v/>
      </c>
    </row>
    <row r="61" customFormat="false" ht="9" hidden="false" customHeight="true" outlineLevel="0" collapsed="false">
      <c r="B61" s="87" t="n">
        <v>180</v>
      </c>
      <c r="C61" s="88" t="n">
        <f aca="false">500*SIN(RADIANS(180))</f>
        <v>6.12323399573677E-014</v>
      </c>
      <c r="D61" s="88" t="n">
        <f aca="false">500*COS(RADIANS(180))</f>
        <v>-500</v>
      </c>
      <c r="E61" s="88" t="n">
        <f aca="false">2000*SIN(RADIANS(180))</f>
        <v>2.44929359829471E-013</v>
      </c>
      <c r="F61" s="88" t="n">
        <f aca="false">2000*COS(RADIANS(180))</f>
        <v>-2000</v>
      </c>
      <c r="G61" s="88" t="n">
        <f aca="false">5000*SIN(RADIANS(180))</f>
        <v>6.12323399573677E-013</v>
      </c>
      <c r="H61" s="88" t="n">
        <f aca="false">5000*COS(RADIANS(180))</f>
        <v>-5000</v>
      </c>
      <c r="I61" s="88" t="n">
        <f aca="false">IF(1_DATOS!C46&gt;=1,1_DATOS!C5*2025.4*SIN(RADIANS(180))+C7*SIN(RADIANS(D7)),"")</f>
        <v>6.6296254471842E-012</v>
      </c>
      <c r="J61" s="88" t="n">
        <f aca="false">IF(1_DATOS!C46&gt;=1,1_DATOS!C5*2025.4*COS(RADIANS(180))+C7*COS(RADIANS(D7)),"")</f>
        <v>-54135</v>
      </c>
      <c r="K61" s="88" t="n">
        <f aca="false">IF(1_DATOS!C46&gt;=2,1_DATOS!C5*2025.4*SIN(RADIANS(180))+C8*SIN(RADIANS(D8)),"")</f>
        <v>1436.48460196782</v>
      </c>
      <c r="L61" s="88" t="n">
        <f aca="false">IF(1_DATOS!C46&gt;=2,1_DATOS!C5*2025.4*COS(RADIANS(180))+C8*COS(RADIANS(D8)),"")</f>
        <v>-54581.7090073008</v>
      </c>
      <c r="M61" s="88" t="n">
        <f aca="false">IF(1_DATOS!C47&gt;=1,1_DATOS!C7*2025.4*SIN(RADIANS(180))+C9*SIN(RADIANS(D9)),"")</f>
        <v>-883.883476483181</v>
      </c>
      <c r="N61" s="88" t="n">
        <f aca="false">IF(1_DATOS!C47&gt;=1,1_DATOS!C7*2025.4*COS(RADIANS(180))+C9*COS(RADIANS(D9)),"")</f>
        <v>-25188.6834764832</v>
      </c>
      <c r="O61" s="88" t="n">
        <f aca="false">IF(1_DATOS!C47&gt;=2,1_DATOS!C7*2025.4*SIN(RADIANS(180))+C10*SIN(RADIANS(D10)),"")</f>
        <v>-883.883476483182</v>
      </c>
      <c r="P61" s="88" t="n">
        <f aca="false">IF(1_DATOS!C47&gt;=2,1_DATOS!C7*2025.4*COS(RADIANS(180))+C10*COS(RADIANS(D10)),"")</f>
        <v>-23420.9165235168</v>
      </c>
      <c r="Q61" s="88" t="str">
        <f aca="false">IF(1_DATOS!C47&gt;=3,1_DATOS!C7*2025.4*SIN(RADIANS(180))+C11*SIN(RADIANS(D11)),"")</f>
        <v/>
      </c>
      <c r="R61" s="88" t="str">
        <f aca="false">IF(1_DATOS!C47&gt;=3,1_DATOS!C7*2025.4*COS(RADIANS(180))+C11*COS(RADIANS(D11)),"")</f>
        <v/>
      </c>
    </row>
    <row r="62" customFormat="false" ht="9" hidden="false" customHeight="true" outlineLevel="0" collapsed="false">
      <c r="B62" s="87" t="n">
        <v>185</v>
      </c>
      <c r="C62" s="88" t="n">
        <f aca="false">500*SIN(RADIANS(185))</f>
        <v>-43.577871373829</v>
      </c>
      <c r="D62" s="88" t="n">
        <f aca="false">500*COS(RADIANS(185))</f>
        <v>-498.097349045873</v>
      </c>
      <c r="E62" s="88" t="n">
        <f aca="false">2000*SIN(RADIANS(185))</f>
        <v>-174.311485495316</v>
      </c>
      <c r="F62" s="88" t="n">
        <f aca="false">2000*COS(RADIANS(185))</f>
        <v>-1992.38939618349</v>
      </c>
      <c r="G62" s="88" t="n">
        <f aca="false">5000*SIN(RADIANS(185))</f>
        <v>-435.77871373829</v>
      </c>
      <c r="H62" s="88" t="n">
        <f aca="false">5000*COS(RADIANS(185))</f>
        <v>-4980.97349045873</v>
      </c>
      <c r="I62" s="88" t="n">
        <f aca="false">IF(1_DATOS!C46&gt;=1,1_DATOS!C5*2025.4*SIN(RADIANS(185))+C7*SIN(RADIANS(D7)),"")</f>
        <v>-4413.13103402766</v>
      </c>
      <c r="J62" s="88" t="n">
        <f aca="false">IF(1_DATOS!C46&gt;=1,1_DATOS!C5*2025.4*COS(RADIANS(185))+C7*COS(RADIANS(D7)),"")</f>
        <v>-53942.3185378755</v>
      </c>
      <c r="K62" s="88" t="n">
        <f aca="false">IF(1_DATOS!C46&gt;=2,1_DATOS!C5*2025.4*SIN(RADIANS(185))+C8*SIN(RADIANS(D8)),"")</f>
        <v>-2976.64643205985</v>
      </c>
      <c r="L62" s="88" t="n">
        <f aca="false">IF(1_DATOS!C46&gt;=2,1_DATOS!C5*2025.4*COS(RADIANS(185))+C8*COS(RADIANS(D8)),"")</f>
        <v>-54389.0275451764</v>
      </c>
      <c r="M62" s="88" t="n">
        <f aca="false">IF(1_DATOS!C47&gt;=1,1_DATOS!C7*2025.4*SIN(RADIANS(185))+C9*SIN(RADIANS(D9)),"")</f>
        <v>-3002.18637281646</v>
      </c>
      <c r="N62" s="88" t="n">
        <f aca="false">IF(1_DATOS!C47&gt;=1,1_DATOS!C7*2025.4*COS(RADIANS(185))+C9*COS(RADIANS(D9)),"")</f>
        <v>-25096.1963746634</v>
      </c>
      <c r="O62" s="88" t="n">
        <f aca="false">IF(1_DATOS!C47&gt;=2,1_DATOS!C7*2025.4*SIN(RADIANS(185))+C10*SIN(RADIANS(D10)),"")</f>
        <v>-3002.18637281646</v>
      </c>
      <c r="P62" s="88" t="n">
        <f aca="false">IF(1_DATOS!C47&gt;=2,1_DATOS!C7*2025.4*COS(RADIANS(185))+C10*COS(RADIANS(D10)),"")</f>
        <v>-23328.4294216971</v>
      </c>
      <c r="Q62" s="88" t="str">
        <f aca="false">IF(1_DATOS!C47&gt;=3,1_DATOS!C7*2025.4*SIN(RADIANS(185))+C11*SIN(RADIANS(D11)),"")</f>
        <v/>
      </c>
      <c r="R62" s="88" t="str">
        <f aca="false">IF(1_DATOS!C47&gt;=3,1_DATOS!C7*2025.4*COS(RADIANS(185))+C11*COS(RADIANS(D11)),"")</f>
        <v/>
      </c>
    </row>
    <row r="63" customFormat="false" ht="9" hidden="false" customHeight="true" outlineLevel="0" collapsed="false">
      <c r="B63" s="87" t="n">
        <v>190</v>
      </c>
      <c r="C63" s="88" t="n">
        <f aca="false">500*SIN(RADIANS(190))</f>
        <v>-86.8240888334652</v>
      </c>
      <c r="D63" s="88" t="n">
        <f aca="false">500*COS(RADIANS(190))</f>
        <v>-492.403876506104</v>
      </c>
      <c r="E63" s="88" t="n">
        <f aca="false">2000*SIN(RADIANS(190))</f>
        <v>-347.296355333861</v>
      </c>
      <c r="F63" s="88" t="n">
        <f aca="false">2000*COS(RADIANS(190))</f>
        <v>-1969.61550602442</v>
      </c>
      <c r="G63" s="88" t="n">
        <f aca="false">5000*SIN(RADIANS(190))</f>
        <v>-868.240888334652</v>
      </c>
      <c r="H63" s="88" t="n">
        <f aca="false">5000*COS(RADIANS(190))</f>
        <v>-4924.03876506104</v>
      </c>
      <c r="I63" s="88" t="n">
        <f aca="false">IF(1_DATOS!C46&gt;=1,1_DATOS!C5*2025.4*SIN(RADIANS(190))+C7*SIN(RADIANS(D7)),"")</f>
        <v>-8792.67547616503</v>
      </c>
      <c r="J63" s="88" t="n">
        <f aca="false">IF(1_DATOS!C46&gt;=1,1_DATOS!C5*2025.4*COS(RADIANS(190))+C7*COS(RADIANS(D7)),"")</f>
        <v>-53365.7405737732</v>
      </c>
      <c r="K63" s="88" t="n">
        <f aca="false">IF(1_DATOS!C46&gt;=2,1_DATOS!C5*2025.4*SIN(RADIANS(190))+C8*SIN(RADIANS(D8)),"")</f>
        <v>-7356.19087419722</v>
      </c>
      <c r="L63" s="88" t="n">
        <f aca="false">IF(1_DATOS!C46&gt;=2,1_DATOS!C5*2025.4*COS(RADIANS(190))+C8*COS(RADIANS(D8)),"")</f>
        <v>-53812.449581074</v>
      </c>
      <c r="M63" s="88" t="n">
        <f aca="false">IF(1_DATOS!C47&gt;=1,1_DATOS!C7*2025.4*SIN(RADIANS(190))+C9*SIN(RADIANS(D9)),"")</f>
        <v>-5104.3677050424</v>
      </c>
      <c r="N63" s="88" t="n">
        <f aca="false">IF(1_DATOS!C47&gt;=1,1_DATOS!C7*2025.4*COS(RADIANS(190))+C9*COS(RADIANS(D9)),"")</f>
        <v>-24819.4389518943</v>
      </c>
      <c r="O63" s="88" t="n">
        <f aca="false">IF(1_DATOS!C47&gt;=2,1_DATOS!C7*2025.4*SIN(RADIANS(190))+C10*SIN(RADIANS(D10)),"")</f>
        <v>-5104.3677050424</v>
      </c>
      <c r="P63" s="88" t="n">
        <f aca="false">IF(1_DATOS!C47&gt;=2,1_DATOS!C7*2025.4*COS(RADIANS(190))+C10*COS(RADIANS(D10)),"")</f>
        <v>-23051.6719989279</v>
      </c>
      <c r="Q63" s="88" t="str">
        <f aca="false">IF(1_DATOS!C47&gt;=3,1_DATOS!C7*2025.4*SIN(RADIANS(190))+C11*SIN(RADIANS(D11)),"")</f>
        <v/>
      </c>
      <c r="R63" s="88" t="str">
        <f aca="false">IF(1_DATOS!C47&gt;=3,1_DATOS!C7*2025.4*COS(RADIANS(190))+C11*COS(RADIANS(D11)),"")</f>
        <v/>
      </c>
    </row>
    <row r="64" customFormat="false" ht="9" hidden="false" customHeight="true" outlineLevel="0" collapsed="false">
      <c r="B64" s="87" t="n">
        <v>195</v>
      </c>
      <c r="C64" s="88" t="n">
        <f aca="false">500*SIN(RADIANS(195))</f>
        <v>-129.40952255126</v>
      </c>
      <c r="D64" s="88" t="n">
        <f aca="false">500*COS(RADIANS(195))</f>
        <v>-482.962913144534</v>
      </c>
      <c r="E64" s="88" t="n">
        <f aca="false">2000*SIN(RADIANS(195))</f>
        <v>-517.638090205041</v>
      </c>
      <c r="F64" s="88" t="n">
        <f aca="false">2000*COS(RADIANS(195))</f>
        <v>-1931.85165257814</v>
      </c>
      <c r="G64" s="88" t="n">
        <f aca="false">5000*SIN(RADIANS(195))</f>
        <v>-1294.0952255126</v>
      </c>
      <c r="H64" s="88" t="n">
        <f aca="false">5000*COS(RADIANS(195))</f>
        <v>-4829.62913144534</v>
      </c>
      <c r="I64" s="88" t="n">
        <f aca="false">IF(1_DATOS!C46&gt;=1,1_DATOS!C5*2025.4*SIN(RADIANS(195))+C7*SIN(RADIANS(D7)),"")</f>
        <v>-13105.3023487661</v>
      </c>
      <c r="J64" s="88" t="n">
        <f aca="false">IF(1_DATOS!C46&gt;=1,1_DATOS!C5*2025.4*COS(RADIANS(195))+C7*COS(RADIANS(D7)),"")</f>
        <v>-52409.654214147</v>
      </c>
      <c r="K64" s="88" t="n">
        <f aca="false">IF(1_DATOS!C46&gt;=2,1_DATOS!C5*2025.4*SIN(RADIANS(195))+C8*SIN(RADIANS(D8)),"")</f>
        <v>-11668.8177467983</v>
      </c>
      <c r="L64" s="88" t="n">
        <f aca="false">IF(1_DATOS!C46&gt;=2,1_DATOS!C5*2025.4*COS(RADIANS(195))+C8*COS(RADIANS(D8)),"")</f>
        <v>-52856.3632214478</v>
      </c>
      <c r="M64" s="88" t="n">
        <f aca="false">IF(1_DATOS!C47&gt;=1,1_DATOS!C7*2025.4*SIN(RADIANS(195))+C9*SIN(RADIANS(D9)),"")</f>
        <v>-7174.42860389092</v>
      </c>
      <c r="N64" s="88" t="n">
        <f aca="false">IF(1_DATOS!C47&gt;=1,1_DATOS!C7*2025.4*COS(RADIANS(195))+C9*COS(RADIANS(D9)),"")</f>
        <v>-24360.5174992737</v>
      </c>
      <c r="O64" s="88" t="n">
        <f aca="false">IF(1_DATOS!C47&gt;=2,1_DATOS!C7*2025.4*SIN(RADIANS(195))+C10*SIN(RADIANS(D10)),"")</f>
        <v>-7174.42860389092</v>
      </c>
      <c r="P64" s="88" t="n">
        <f aca="false">IF(1_DATOS!C47&gt;=2,1_DATOS!C7*2025.4*COS(RADIANS(195))+C10*COS(RADIANS(D10)),"")</f>
        <v>-22592.7505463074</v>
      </c>
      <c r="Q64" s="88" t="str">
        <f aca="false">IF(1_DATOS!C47&gt;=3,1_DATOS!C7*2025.4*SIN(RADIANS(195))+C11*SIN(RADIANS(D11)),"")</f>
        <v/>
      </c>
      <c r="R64" s="88" t="str">
        <f aca="false">IF(1_DATOS!C47&gt;=3,1_DATOS!C7*2025.4*COS(RADIANS(195))+C11*COS(RADIANS(D11)),"")</f>
        <v/>
      </c>
    </row>
    <row r="65" customFormat="false" ht="9" hidden="false" customHeight="true" outlineLevel="0" collapsed="false">
      <c r="B65" s="87" t="n">
        <v>200</v>
      </c>
      <c r="C65" s="88" t="n">
        <f aca="false">500*SIN(RADIANS(200))</f>
        <v>-171.010071662834</v>
      </c>
      <c r="D65" s="88" t="n">
        <f aca="false">500*COS(RADIANS(200))</f>
        <v>-469.846310392954</v>
      </c>
      <c r="E65" s="88" t="n">
        <f aca="false">2000*SIN(RADIANS(200))</f>
        <v>-684.040286651337</v>
      </c>
      <c r="F65" s="88" t="n">
        <f aca="false">2000*COS(RADIANS(200))</f>
        <v>-1879.38524157182</v>
      </c>
      <c r="G65" s="88" t="n">
        <f aca="false">5000*SIN(RADIANS(200))</f>
        <v>-1710.10071662834</v>
      </c>
      <c r="H65" s="88" t="n">
        <f aca="false">5000*COS(RADIANS(200))</f>
        <v>-4698.46310392954</v>
      </c>
      <c r="I65" s="88" t="n">
        <f aca="false">IF(1_DATOS!C46&gt;=1,1_DATOS!C5*2025.4*SIN(RADIANS(200))+C7*SIN(RADIANS(D7)),"")</f>
        <v>-17318.1899572952</v>
      </c>
      <c r="J65" s="88" t="n">
        <f aca="false">IF(1_DATOS!C46&gt;=1,1_DATOS!C5*2025.4*COS(RADIANS(200))+C7*COS(RADIANS(D7)),"")</f>
        <v>-51081.3358534945</v>
      </c>
      <c r="K65" s="88" t="n">
        <f aca="false">IF(1_DATOS!C46&gt;=2,1_DATOS!C5*2025.4*SIN(RADIANS(200))+C8*SIN(RADIANS(D8)),"")</f>
        <v>-15881.7053553274</v>
      </c>
      <c r="L65" s="88" t="n">
        <f aca="false">IF(1_DATOS!C46&gt;=2,1_DATOS!C5*2025.4*COS(RADIANS(200))+C8*COS(RADIANS(D8)),"")</f>
        <v>-51528.0448607953</v>
      </c>
      <c r="M65" s="88" t="n">
        <f aca="false">IF(1_DATOS!C47&gt;=1,1_DATOS!C7*2025.4*SIN(RADIANS(200))+C9*SIN(RADIANS(D9)),"")</f>
        <v>-9196.6146559849</v>
      </c>
      <c r="N65" s="88" t="n">
        <f aca="false">IF(1_DATOS!C47&gt;=1,1_DATOS!C7*2025.4*COS(RADIANS(200))+C9*COS(RADIANS(D9)),"")</f>
        <v>-23722.9246861605</v>
      </c>
      <c r="O65" s="88" t="n">
        <f aca="false">IF(1_DATOS!C47&gt;=2,1_DATOS!C7*2025.4*SIN(RADIANS(200))+C10*SIN(RADIANS(D10)),"")</f>
        <v>-9196.6146559849</v>
      </c>
      <c r="P65" s="88" t="n">
        <f aca="false">IF(1_DATOS!C47&gt;=2,1_DATOS!C7*2025.4*COS(RADIANS(200))+C10*COS(RADIANS(D10)),"")</f>
        <v>-21955.1577331942</v>
      </c>
      <c r="Q65" s="88" t="str">
        <f aca="false">IF(1_DATOS!C47&gt;=3,1_DATOS!C7*2025.4*SIN(RADIANS(200))+C11*SIN(RADIANS(D11)),"")</f>
        <v/>
      </c>
      <c r="R65" s="88" t="str">
        <f aca="false">IF(1_DATOS!C47&gt;=3,1_DATOS!C7*2025.4*COS(RADIANS(200))+C11*COS(RADIANS(D11)),"")</f>
        <v/>
      </c>
    </row>
    <row r="66" customFormat="false" ht="9" hidden="false" customHeight="true" outlineLevel="0" collapsed="false">
      <c r="B66" s="87" t="n">
        <v>205</v>
      </c>
      <c r="C66" s="88" t="n">
        <f aca="false">500*SIN(RADIANS(205))</f>
        <v>-211.30913087035</v>
      </c>
      <c r="D66" s="88" t="n">
        <f aca="false">500*COS(RADIANS(205))</f>
        <v>-453.153893518325</v>
      </c>
      <c r="E66" s="88" t="n">
        <f aca="false">2000*SIN(RADIANS(205))</f>
        <v>-845.236523481399</v>
      </c>
      <c r="F66" s="88" t="n">
        <f aca="false">2000*COS(RADIANS(205))</f>
        <v>-1812.6155740733</v>
      </c>
      <c r="G66" s="88" t="n">
        <f aca="false">5000*SIN(RADIANS(205))</f>
        <v>-2113.0913087035</v>
      </c>
      <c r="H66" s="88" t="n">
        <f aca="false">5000*COS(RADIANS(205))</f>
        <v>-4531.53893518325</v>
      </c>
      <c r="I66" s="88" t="n">
        <f aca="false">IF(1_DATOS!C46&gt;=1,1_DATOS!C5*2025.4*SIN(RADIANS(205))+C7*SIN(RADIANS(D7)),"")</f>
        <v>-21399.2756832403</v>
      </c>
      <c r="J66" s="88" t="n">
        <f aca="false">IF(1_DATOS!C46&gt;=1,1_DATOS!C5*2025.4*COS(RADIANS(205))+C7*COS(RADIANS(D7)),"")</f>
        <v>-49390.8947966008</v>
      </c>
      <c r="K66" s="88" t="n">
        <f aca="false">IF(1_DATOS!C46&gt;=2,1_DATOS!C5*2025.4*SIN(RADIANS(205))+C8*SIN(RADIANS(D8)),"")</f>
        <v>-19962.7910812725</v>
      </c>
      <c r="L66" s="88" t="n">
        <f aca="false">IF(1_DATOS!C46&gt;=2,1_DATOS!C5*2025.4*COS(RADIANS(205))+C8*COS(RADIANS(D8)),"")</f>
        <v>-49837.6038039016</v>
      </c>
      <c r="M66" s="88" t="n">
        <f aca="false">IF(1_DATOS!C47&gt;=1,1_DATOS!C7*2025.4*SIN(RADIANS(205))+C9*SIN(RADIANS(D9)),"")</f>
        <v>-11155.5358044385</v>
      </c>
      <c r="N66" s="88" t="n">
        <f aca="false">IF(1_DATOS!C47&gt;=1,1_DATOS!C7*2025.4*COS(RADIANS(205))+C9*COS(RADIANS(D9)),"")</f>
        <v>-22911.5129788516</v>
      </c>
      <c r="O66" s="88" t="n">
        <f aca="false">IF(1_DATOS!C47&gt;=2,1_DATOS!C7*2025.4*SIN(RADIANS(205))+C10*SIN(RADIANS(D10)),"")</f>
        <v>-11155.5358044385</v>
      </c>
      <c r="P66" s="88" t="n">
        <f aca="false">IF(1_DATOS!C47&gt;=2,1_DATOS!C7*2025.4*COS(RADIANS(205))+C10*COS(RADIANS(D10)),"")</f>
        <v>-21143.7460258852</v>
      </c>
      <c r="Q66" s="88" t="str">
        <f aca="false">IF(1_DATOS!C47&gt;=3,1_DATOS!C7*2025.4*SIN(RADIANS(205))+C11*SIN(RADIANS(D11)),"")</f>
        <v/>
      </c>
      <c r="R66" s="88" t="str">
        <f aca="false">IF(1_DATOS!C47&gt;=3,1_DATOS!C7*2025.4*COS(RADIANS(205))+C11*COS(RADIANS(D11)),"")</f>
        <v/>
      </c>
    </row>
    <row r="67" customFormat="false" ht="9" hidden="false" customHeight="true" outlineLevel="0" collapsed="false">
      <c r="B67" s="87" t="n">
        <v>210</v>
      </c>
      <c r="C67" s="88" t="n">
        <f aca="false">500*SIN(RADIANS(210))</f>
        <v>-250</v>
      </c>
      <c r="D67" s="88" t="n">
        <f aca="false">500*COS(RADIANS(210))</f>
        <v>-433.012701892219</v>
      </c>
      <c r="E67" s="88" t="n">
        <f aca="false">2000*SIN(RADIANS(210))</f>
        <v>-1000</v>
      </c>
      <c r="F67" s="88" t="n">
        <f aca="false">2000*COS(RADIANS(210))</f>
        <v>-1732.05080756888</v>
      </c>
      <c r="G67" s="88" t="n">
        <f aca="false">5000*SIN(RADIANS(210))</f>
        <v>-2500</v>
      </c>
      <c r="H67" s="88" t="n">
        <f aca="false">5000*COS(RADIANS(210))</f>
        <v>-4330.12701892219</v>
      </c>
      <c r="I67" s="88" t="n">
        <f aca="false">IF(1_DATOS!C46&gt;=1,1_DATOS!C5*2025.4*SIN(RADIANS(210))+C7*SIN(RADIANS(D7)),"")</f>
        <v>-25317.5</v>
      </c>
      <c r="J67" s="88" t="n">
        <f aca="false">IF(1_DATOS!C46&gt;=1,1_DATOS!C5*2025.4*COS(RADIANS(210))+C7*COS(RADIANS(D7)),"")</f>
        <v>-47351.1963206251</v>
      </c>
      <c r="K67" s="88" t="n">
        <f aca="false">IF(1_DATOS!C46&gt;=2,1_DATOS!C5*2025.4*SIN(RADIANS(210))+C8*SIN(RADIANS(D8)),"")</f>
        <v>-23881.0153980322</v>
      </c>
      <c r="L67" s="88" t="n">
        <f aca="false">IF(1_DATOS!C46&gt;=2,1_DATOS!C5*2025.4*COS(RADIANS(210))+C8*COS(RADIANS(D8)),"")</f>
        <v>-47797.9053279259</v>
      </c>
      <c r="M67" s="88" t="n">
        <f aca="false">IF(1_DATOS!C47&gt;=1,1_DATOS!C7*2025.4*SIN(RADIANS(210))+C9*SIN(RADIANS(D9)),"")</f>
        <v>-13036.2834764832</v>
      </c>
      <c r="N67" s="88" t="n">
        <f aca="false">IF(1_DATOS!C47&gt;=1,1_DATOS!C7*2025.4*COS(RADIANS(210))+C9*COS(RADIANS(D9)),"")</f>
        <v>-21932.4577103832</v>
      </c>
      <c r="O67" s="88" t="n">
        <f aca="false">IF(1_DATOS!C47&gt;=2,1_DATOS!C7*2025.4*SIN(RADIANS(210))+C10*SIN(RADIANS(D10)),"")</f>
        <v>-13036.2834764832</v>
      </c>
      <c r="P67" s="88" t="n">
        <f aca="false">IF(1_DATOS!C47&gt;=2,1_DATOS!C7*2025.4*COS(RADIANS(210))+C10*COS(RADIANS(D10)),"")</f>
        <v>-20164.6907574168</v>
      </c>
      <c r="Q67" s="88" t="str">
        <f aca="false">IF(1_DATOS!C47&gt;=3,1_DATOS!C7*2025.4*SIN(RADIANS(210))+C11*SIN(RADIANS(D11)),"")</f>
        <v/>
      </c>
      <c r="R67" s="88" t="str">
        <f aca="false">IF(1_DATOS!C47&gt;=3,1_DATOS!C7*2025.4*COS(RADIANS(210))+C11*COS(RADIANS(D11)),"")</f>
        <v/>
      </c>
    </row>
    <row r="68" customFormat="false" ht="9" hidden="false" customHeight="true" outlineLevel="0" collapsed="false">
      <c r="B68" s="87" t="n">
        <v>215</v>
      </c>
      <c r="C68" s="88" t="n">
        <f aca="false">500*SIN(RADIANS(215))</f>
        <v>-286.788218175523</v>
      </c>
      <c r="D68" s="88" t="n">
        <f aca="false">500*COS(RADIANS(215))</f>
        <v>-409.576022144496</v>
      </c>
      <c r="E68" s="88" t="n">
        <f aca="false">2000*SIN(RADIANS(215))</f>
        <v>-1147.15287270209</v>
      </c>
      <c r="F68" s="88" t="n">
        <f aca="false">2000*COS(RADIANS(215))</f>
        <v>-1638.30408857798</v>
      </c>
      <c r="G68" s="88" t="n">
        <f aca="false">5000*SIN(RADIANS(215))</f>
        <v>-2867.88218175523</v>
      </c>
      <c r="H68" s="88" t="n">
        <f aca="false">5000*COS(RADIANS(215))</f>
        <v>-4095.76022144496</v>
      </c>
      <c r="I68" s="88" t="n">
        <f aca="false">IF(1_DATOS!C46&gt;=1,1_DATOS!C5*2025.4*SIN(RADIANS(215))+C7*SIN(RADIANS(D7)),"")</f>
        <v>-29043.0428546352</v>
      </c>
      <c r="J68" s="88" t="n">
        <f aca="false">IF(1_DATOS!C46&gt;=1,1_DATOS!C5*2025.4*COS(RADIANS(215))+C7*COS(RADIANS(D7)),"")</f>
        <v>-44977.7637625731</v>
      </c>
      <c r="K68" s="88" t="n">
        <f aca="false">IF(1_DATOS!C46&gt;=2,1_DATOS!C5*2025.4*SIN(RADIANS(215))+C8*SIN(RADIANS(D8)),"")</f>
        <v>-27606.5582526674</v>
      </c>
      <c r="L68" s="88" t="n">
        <f aca="false">IF(1_DATOS!C46&gt;=2,1_DATOS!C5*2025.4*COS(RADIANS(215))+C8*COS(RADIANS(D8)),"")</f>
        <v>-45424.4727698739</v>
      </c>
      <c r="M68" s="88" t="n">
        <f aca="false">IF(1_DATOS!C47&gt;=1,1_DATOS!C7*2025.4*SIN(RADIANS(215))+C9*SIN(RADIANS(D9)),"")</f>
        <v>-14824.5440467081</v>
      </c>
      <c r="N68" s="88" t="n">
        <f aca="false">IF(1_DATOS!C47&gt;=1,1_DATOS!C7*2025.4*COS(RADIANS(215))+C9*COS(RADIANS(D9)),"")</f>
        <v>-20793.2100825183</v>
      </c>
      <c r="O68" s="88" t="n">
        <f aca="false">IF(1_DATOS!C47&gt;=2,1_DATOS!C7*2025.4*SIN(RADIANS(215))+C10*SIN(RADIANS(D10)),"")</f>
        <v>-14824.5440467081</v>
      </c>
      <c r="P68" s="88" t="n">
        <f aca="false">IF(1_DATOS!C47&gt;=2,1_DATOS!C7*2025.4*COS(RADIANS(215))+C10*COS(RADIANS(D10)),"")</f>
        <v>-19025.4431295519</v>
      </c>
      <c r="Q68" s="88" t="str">
        <f aca="false">IF(1_DATOS!C47&gt;=3,1_DATOS!C7*2025.4*SIN(RADIANS(215))+C11*SIN(RADIANS(D11)),"")</f>
        <v/>
      </c>
      <c r="R68" s="88" t="str">
        <f aca="false">IF(1_DATOS!C47&gt;=3,1_DATOS!C7*2025.4*COS(RADIANS(215))+C11*COS(RADIANS(D11)),"")</f>
        <v/>
      </c>
    </row>
    <row r="69" customFormat="false" ht="9" hidden="false" customHeight="true" outlineLevel="0" collapsed="false">
      <c r="B69" s="87" t="n">
        <v>220</v>
      </c>
      <c r="C69" s="88" t="n">
        <f aca="false">500*SIN(RADIANS(220))</f>
        <v>-321.39380484327</v>
      </c>
      <c r="D69" s="88" t="n">
        <f aca="false">500*COS(RADIANS(220))</f>
        <v>-383.022221559489</v>
      </c>
      <c r="E69" s="88" t="n">
        <f aca="false">2000*SIN(RADIANS(220))</f>
        <v>-1285.57521937308</v>
      </c>
      <c r="F69" s="88" t="n">
        <f aca="false">2000*COS(RADIANS(220))</f>
        <v>-1532.08888623796</v>
      </c>
      <c r="G69" s="88" t="n">
        <f aca="false">5000*SIN(RADIANS(220))</f>
        <v>-3213.9380484327</v>
      </c>
      <c r="H69" s="88" t="n">
        <f aca="false">5000*COS(RADIANS(220))</f>
        <v>-3830.22221559489</v>
      </c>
      <c r="I69" s="88" t="n">
        <f aca="false">IF(1_DATOS!C46&gt;=1,1_DATOS!C5*2025.4*SIN(RADIANS(220))+C7*SIN(RADIANS(D7)),"")</f>
        <v>-32547.5506164779</v>
      </c>
      <c r="J69" s="88" t="n">
        <f aca="false">IF(1_DATOS!C46&gt;=1,1_DATOS!C5*2025.4*COS(RADIANS(220))+C7*COS(RADIANS(D7)),"")</f>
        <v>-42288.6603773295</v>
      </c>
      <c r="K69" s="88" t="n">
        <f aca="false">IF(1_DATOS!C46&gt;=2,1_DATOS!C5*2025.4*SIN(RADIANS(220))+C8*SIN(RADIANS(D8)),"")</f>
        <v>-31111.0660145101</v>
      </c>
      <c r="L69" s="88" t="n">
        <f aca="false">IF(1_DATOS!C46&gt;=2,1_DATOS!C5*2025.4*COS(RADIANS(220))+C8*COS(RADIANS(D8)),"")</f>
        <v>-42735.3693846303</v>
      </c>
      <c r="M69" s="88" t="n">
        <f aca="false">IF(1_DATOS!C47&gt;=1,1_DATOS!C7*2025.4*SIN(RADIANS(220))+C9*SIN(RADIANS(D9)),"")</f>
        <v>-16506.7077723926</v>
      </c>
      <c r="N69" s="88" t="n">
        <f aca="false">IF(1_DATOS!C47&gt;=1,1_DATOS!C7*2025.4*COS(RADIANS(220))+C9*COS(RADIANS(D9)),"")</f>
        <v>-19502.4404576013</v>
      </c>
      <c r="O69" s="88" t="n">
        <f aca="false">IF(1_DATOS!C47&gt;=2,1_DATOS!C7*2025.4*SIN(RADIANS(220))+C10*SIN(RADIANS(D10)),"")</f>
        <v>-16506.7077723926</v>
      </c>
      <c r="P69" s="88" t="n">
        <f aca="false">IF(1_DATOS!C47&gt;=2,1_DATOS!C7*2025.4*COS(RADIANS(220))+C10*COS(RADIANS(D10)),"")</f>
        <v>-17734.673504635</v>
      </c>
      <c r="Q69" s="88" t="str">
        <f aca="false">IF(1_DATOS!C47&gt;=3,1_DATOS!C7*2025.4*SIN(RADIANS(220))+C11*SIN(RADIANS(D11)),"")</f>
        <v/>
      </c>
      <c r="R69" s="88" t="str">
        <f aca="false">IF(1_DATOS!C47&gt;=3,1_DATOS!C7*2025.4*COS(RADIANS(220))+C11*COS(RADIANS(D11)),"")</f>
        <v/>
      </c>
    </row>
    <row r="70" customFormat="false" ht="9" hidden="false" customHeight="true" outlineLevel="0" collapsed="false">
      <c r="B70" s="87" t="n">
        <v>225</v>
      </c>
      <c r="C70" s="88" t="n">
        <f aca="false">500*SIN(RADIANS(225))</f>
        <v>-353.553390593274</v>
      </c>
      <c r="D70" s="88" t="n">
        <f aca="false">500*COS(RADIANS(225))</f>
        <v>-353.553390593274</v>
      </c>
      <c r="E70" s="88" t="n">
        <f aca="false">2000*SIN(RADIANS(225))</f>
        <v>-1414.21356237309</v>
      </c>
      <c r="F70" s="88" t="n">
        <f aca="false">2000*COS(RADIANS(225))</f>
        <v>-1414.2135623731</v>
      </c>
      <c r="G70" s="88" t="n">
        <f aca="false">5000*SIN(RADIANS(225))</f>
        <v>-3535.53390593274</v>
      </c>
      <c r="H70" s="88" t="n">
        <f aca="false">5000*COS(RADIANS(225))</f>
        <v>-3535.53390593274</v>
      </c>
      <c r="I70" s="88" t="n">
        <f aca="false">IF(1_DATOS!C46&gt;=1,1_DATOS!C5*2025.4*SIN(RADIANS(225))+C7*SIN(RADIANS(D7)),"")</f>
        <v>-35804.3518653808</v>
      </c>
      <c r="J70" s="88" t="n">
        <f aca="false">IF(1_DATOS!C46&gt;=1,1_DATOS!C5*2025.4*COS(RADIANS(225))+C7*COS(RADIANS(D7)),"")</f>
        <v>-39304.3518653808</v>
      </c>
      <c r="K70" s="88" t="n">
        <f aca="false">IF(1_DATOS!C46&gt;=2,1_DATOS!C5*2025.4*SIN(RADIANS(225))+C8*SIN(RADIANS(D8)),"")</f>
        <v>-34367.867263413</v>
      </c>
      <c r="L70" s="88" t="n">
        <f aca="false">IF(1_DATOS!C46&gt;=2,1_DATOS!C5*2025.4*COS(RADIANS(225))+C8*COS(RADIANS(D8)),"")</f>
        <v>-39751.0608726817</v>
      </c>
      <c r="M70" s="88" t="n">
        <f aca="false">IF(1_DATOS!C47&gt;=1,1_DATOS!C7*2025.4*SIN(RADIANS(225))+C9*SIN(RADIANS(D9)),"")</f>
        <v>-18069.972371866</v>
      </c>
      <c r="N70" s="88" t="n">
        <f aca="false">IF(1_DATOS!C47&gt;=1,1_DATOS!C7*2025.4*COS(RADIANS(225))+C9*COS(RADIANS(D9)),"")</f>
        <v>-18069.972371866</v>
      </c>
      <c r="O70" s="88" t="n">
        <f aca="false">IF(1_DATOS!C47&gt;=2,1_DATOS!C7*2025.4*SIN(RADIANS(225))+C10*SIN(RADIANS(D10)),"")</f>
        <v>-18069.972371866</v>
      </c>
      <c r="P70" s="88" t="n">
        <f aca="false">IF(1_DATOS!C47&gt;=2,1_DATOS!C7*2025.4*COS(RADIANS(225))+C10*COS(RADIANS(D10)),"")</f>
        <v>-16302.2054188996</v>
      </c>
      <c r="Q70" s="88" t="str">
        <f aca="false">IF(1_DATOS!C47&gt;=3,1_DATOS!C7*2025.4*SIN(RADIANS(225))+C11*SIN(RADIANS(D11)),"")</f>
        <v/>
      </c>
      <c r="R70" s="88" t="str">
        <f aca="false">IF(1_DATOS!C47&gt;=3,1_DATOS!C7*2025.4*COS(RADIANS(225))+C11*COS(RADIANS(D11)),"")</f>
        <v/>
      </c>
    </row>
    <row r="71" customFormat="false" ht="9" hidden="false" customHeight="true" outlineLevel="0" collapsed="false">
      <c r="B71" s="87" t="n">
        <v>230</v>
      </c>
      <c r="C71" s="88" t="n">
        <f aca="false">500*SIN(RADIANS(230))</f>
        <v>-383.022221559489</v>
      </c>
      <c r="D71" s="88" t="n">
        <f aca="false">500*COS(RADIANS(230))</f>
        <v>-321.39380484327</v>
      </c>
      <c r="E71" s="88" t="n">
        <f aca="false">2000*SIN(RADIANS(230))</f>
        <v>-1532.08888623796</v>
      </c>
      <c r="F71" s="88" t="n">
        <f aca="false">2000*COS(RADIANS(230))</f>
        <v>-1285.57521937308</v>
      </c>
      <c r="G71" s="88" t="n">
        <f aca="false">5000*SIN(RADIANS(230))</f>
        <v>-3830.22221559489</v>
      </c>
      <c r="H71" s="88" t="n">
        <f aca="false">5000*COS(RADIANS(230))</f>
        <v>-3213.9380484327</v>
      </c>
      <c r="I71" s="88" t="n">
        <f aca="false">IF(1_DATOS!C46&gt;=1,1_DATOS!C5*2025.4*SIN(RADIANS(230))+C7*SIN(RADIANS(D7)),"")</f>
        <v>-38788.6603773295</v>
      </c>
      <c r="J71" s="88" t="n">
        <f aca="false">IF(1_DATOS!C46&gt;=1,1_DATOS!C5*2025.4*COS(RADIANS(230))+C7*COS(RADIANS(D7)),"")</f>
        <v>-36047.5506164779</v>
      </c>
      <c r="K71" s="88" t="n">
        <f aca="false">IF(1_DATOS!C46&gt;=2,1_DATOS!C5*2025.4*SIN(RADIANS(230))+C8*SIN(RADIANS(D8)),"")</f>
        <v>-37352.1757753616</v>
      </c>
      <c r="L71" s="88" t="n">
        <f aca="false">IF(1_DATOS!C46&gt;=2,1_DATOS!C5*2025.4*COS(RADIANS(230))+C8*COS(RADIANS(D8)),"")</f>
        <v>-36494.2596237787</v>
      </c>
      <c r="M71" s="88" t="n">
        <f aca="false">IF(1_DATOS!C47&gt;=1,1_DATOS!C7*2025.4*SIN(RADIANS(230))+C9*SIN(RADIANS(D9)),"")</f>
        <v>-19502.4404576013</v>
      </c>
      <c r="N71" s="88" t="n">
        <f aca="false">IF(1_DATOS!C47&gt;=1,1_DATOS!C7*2025.4*COS(RADIANS(230))+C9*COS(RADIANS(D9)),"")</f>
        <v>-16506.7077723926</v>
      </c>
      <c r="O71" s="88" t="n">
        <f aca="false">IF(1_DATOS!C47&gt;=2,1_DATOS!C7*2025.4*SIN(RADIANS(230))+C10*SIN(RADIANS(D10)),"")</f>
        <v>-19502.4404576013</v>
      </c>
      <c r="P71" s="88" t="n">
        <f aca="false">IF(1_DATOS!C47&gt;=2,1_DATOS!C7*2025.4*COS(RADIANS(230))+C10*COS(RADIANS(D10)),"")</f>
        <v>-14738.9408194262</v>
      </c>
      <c r="Q71" s="88" t="str">
        <f aca="false">IF(1_DATOS!C47&gt;=3,1_DATOS!C7*2025.4*SIN(RADIANS(230))+C11*SIN(RADIANS(D11)),"")</f>
        <v/>
      </c>
      <c r="R71" s="88" t="str">
        <f aca="false">IF(1_DATOS!C47&gt;=3,1_DATOS!C7*2025.4*COS(RADIANS(230))+C11*COS(RADIANS(D11)),"")</f>
        <v/>
      </c>
    </row>
    <row r="72" customFormat="false" ht="9" hidden="false" customHeight="true" outlineLevel="0" collapsed="false">
      <c r="B72" s="87" t="n">
        <v>235</v>
      </c>
      <c r="C72" s="88" t="n">
        <f aca="false">500*SIN(RADIANS(235))</f>
        <v>-409.576022144496</v>
      </c>
      <c r="D72" s="88" t="n">
        <f aca="false">500*COS(RADIANS(235))</f>
        <v>-286.788218175523</v>
      </c>
      <c r="E72" s="88" t="n">
        <f aca="false">2000*SIN(RADIANS(235))</f>
        <v>-1638.30408857798</v>
      </c>
      <c r="F72" s="88" t="n">
        <f aca="false">2000*COS(RADIANS(235))</f>
        <v>-1147.15287270209</v>
      </c>
      <c r="G72" s="88" t="n">
        <f aca="false">5000*SIN(RADIANS(235))</f>
        <v>-4095.76022144496</v>
      </c>
      <c r="H72" s="88" t="n">
        <f aca="false">5000*COS(RADIANS(235))</f>
        <v>-2867.88218175523</v>
      </c>
      <c r="I72" s="88" t="n">
        <f aca="false">IF(1_DATOS!C46&gt;=1,1_DATOS!C5*2025.4*SIN(RADIANS(235))+C7*SIN(RADIANS(D7)),"")</f>
        <v>-41477.7637625731</v>
      </c>
      <c r="J72" s="88" t="n">
        <f aca="false">IF(1_DATOS!C46&gt;=1,1_DATOS!C5*2025.4*COS(RADIANS(235))+C7*COS(RADIANS(D7)),"")</f>
        <v>-32543.0428546352</v>
      </c>
      <c r="K72" s="88" t="n">
        <f aca="false">IF(1_DATOS!C46&gt;=2,1_DATOS!C5*2025.4*SIN(RADIANS(235))+C8*SIN(RADIANS(D8)),"")</f>
        <v>-40041.2791606053</v>
      </c>
      <c r="L72" s="88" t="n">
        <f aca="false">IF(1_DATOS!C46&gt;=2,1_DATOS!C5*2025.4*COS(RADIANS(235))+C8*COS(RADIANS(D8)),"")</f>
        <v>-32989.7518619361</v>
      </c>
      <c r="M72" s="88" t="n">
        <f aca="false">IF(1_DATOS!C47&gt;=1,1_DATOS!C7*2025.4*SIN(RADIANS(235))+C9*SIN(RADIANS(D9)),"")</f>
        <v>-20793.2100825183</v>
      </c>
      <c r="N72" s="88" t="n">
        <f aca="false">IF(1_DATOS!C47&gt;=1,1_DATOS!C7*2025.4*COS(RADIANS(235))+C9*COS(RADIANS(D9)),"")</f>
        <v>-14824.5440467081</v>
      </c>
      <c r="O72" s="88" t="n">
        <f aca="false">IF(1_DATOS!C47&gt;=2,1_DATOS!C7*2025.4*SIN(RADIANS(235))+C10*SIN(RADIANS(D10)),"")</f>
        <v>-20793.2100825183</v>
      </c>
      <c r="P72" s="88" t="n">
        <f aca="false">IF(1_DATOS!C47&gt;=2,1_DATOS!C7*2025.4*COS(RADIANS(235))+C10*COS(RADIANS(D10)),"")</f>
        <v>-13056.7770937417</v>
      </c>
      <c r="Q72" s="88" t="str">
        <f aca="false">IF(1_DATOS!C47&gt;=3,1_DATOS!C7*2025.4*SIN(RADIANS(235))+C11*SIN(RADIANS(D11)),"")</f>
        <v/>
      </c>
      <c r="R72" s="88" t="str">
        <f aca="false">IF(1_DATOS!C47&gt;=3,1_DATOS!C7*2025.4*COS(RADIANS(235))+C11*COS(RADIANS(D11)),"")</f>
        <v/>
      </c>
    </row>
    <row r="73" customFormat="false" ht="9" hidden="false" customHeight="true" outlineLevel="0" collapsed="false">
      <c r="B73" s="87" t="n">
        <v>240</v>
      </c>
      <c r="C73" s="88" t="n">
        <f aca="false">500*SIN(RADIANS(240))</f>
        <v>-433.012701892219</v>
      </c>
      <c r="D73" s="88" t="n">
        <f aca="false">500*COS(RADIANS(240))</f>
        <v>-250</v>
      </c>
      <c r="E73" s="88" t="n">
        <f aca="false">2000*SIN(RADIANS(240))</f>
        <v>-1732.05080756888</v>
      </c>
      <c r="F73" s="88" t="n">
        <f aca="false">2000*COS(RADIANS(240))</f>
        <v>-1000</v>
      </c>
      <c r="G73" s="88" t="n">
        <f aca="false">5000*SIN(RADIANS(240))</f>
        <v>-4330.12701892219</v>
      </c>
      <c r="H73" s="88" t="n">
        <f aca="false">5000*COS(RADIANS(240))</f>
        <v>-2500</v>
      </c>
      <c r="I73" s="88" t="n">
        <f aca="false">IF(1_DATOS!C46&gt;=1,1_DATOS!C5*2025.4*SIN(RADIANS(240))+C7*SIN(RADIANS(D7)),"")</f>
        <v>-43851.196320625</v>
      </c>
      <c r="J73" s="88" t="n">
        <f aca="false">IF(1_DATOS!C46&gt;=1,1_DATOS!C5*2025.4*COS(RADIANS(240))+C7*COS(RADIANS(D7)),"")</f>
        <v>-28817.5</v>
      </c>
      <c r="K73" s="88" t="n">
        <f aca="false">IF(1_DATOS!C46&gt;=2,1_DATOS!C5*2025.4*SIN(RADIANS(240))+C8*SIN(RADIANS(D8)),"")</f>
        <v>-42414.7117186572</v>
      </c>
      <c r="L73" s="88" t="n">
        <f aca="false">IF(1_DATOS!C46&gt;=2,1_DATOS!C5*2025.4*COS(RADIANS(240))+C8*COS(RADIANS(D8)),"")</f>
        <v>-29264.2090073008</v>
      </c>
      <c r="M73" s="88" t="n">
        <f aca="false">IF(1_DATOS!C47&gt;=1,1_DATOS!C7*2025.4*SIN(RADIANS(240))+C9*SIN(RADIANS(D9)),"")</f>
        <v>-21932.4577103832</v>
      </c>
      <c r="N73" s="88" t="n">
        <f aca="false">IF(1_DATOS!C47&gt;=1,1_DATOS!C7*2025.4*COS(RADIANS(240))+C9*COS(RADIANS(D9)),"")</f>
        <v>-13036.2834764832</v>
      </c>
      <c r="O73" s="88" t="n">
        <f aca="false">IF(1_DATOS!C47&gt;=2,1_DATOS!C7*2025.4*SIN(RADIANS(240))+C10*SIN(RADIANS(D10)),"")</f>
        <v>-21932.4577103832</v>
      </c>
      <c r="P73" s="88" t="n">
        <f aca="false">IF(1_DATOS!C47&gt;=2,1_DATOS!C7*2025.4*COS(RADIANS(240))+C10*COS(RADIANS(D10)),"")</f>
        <v>-11268.5165235168</v>
      </c>
      <c r="Q73" s="88" t="str">
        <f aca="false">IF(1_DATOS!C47&gt;=3,1_DATOS!C7*2025.4*SIN(RADIANS(240))+C11*SIN(RADIANS(D11)),"")</f>
        <v/>
      </c>
      <c r="R73" s="88" t="str">
        <f aca="false">IF(1_DATOS!C47&gt;=3,1_DATOS!C7*2025.4*COS(RADIANS(240))+C11*COS(RADIANS(D11)),"")</f>
        <v/>
      </c>
    </row>
    <row r="74" customFormat="false" ht="9" hidden="false" customHeight="true" outlineLevel="0" collapsed="false">
      <c r="B74" s="87" t="n">
        <v>245</v>
      </c>
      <c r="C74" s="88" t="n">
        <f aca="false">500*SIN(RADIANS(245))</f>
        <v>-453.153893518325</v>
      </c>
      <c r="D74" s="88" t="n">
        <f aca="false">500*COS(RADIANS(245))</f>
        <v>-211.30913087035</v>
      </c>
      <c r="E74" s="88" t="n">
        <f aca="false">2000*SIN(RADIANS(245))</f>
        <v>-1812.6155740733</v>
      </c>
      <c r="F74" s="88" t="n">
        <f aca="false">2000*COS(RADIANS(245))</f>
        <v>-845.236523481398</v>
      </c>
      <c r="G74" s="88" t="n">
        <f aca="false">5000*SIN(RADIANS(245))</f>
        <v>-4531.53893518325</v>
      </c>
      <c r="H74" s="88" t="n">
        <f aca="false">5000*COS(RADIANS(245))</f>
        <v>-2113.0913087035</v>
      </c>
      <c r="I74" s="88" t="n">
        <f aca="false">IF(1_DATOS!C46&gt;=1,1_DATOS!C5*2025.4*SIN(RADIANS(245))+C7*SIN(RADIANS(D7)),"")</f>
        <v>-45890.8947966008</v>
      </c>
      <c r="J74" s="88" t="n">
        <f aca="false">IF(1_DATOS!C46&gt;=1,1_DATOS!C5*2025.4*COS(RADIANS(245))+C7*COS(RADIANS(D7)),"")</f>
        <v>-24899.2756832403</v>
      </c>
      <c r="K74" s="88" t="n">
        <f aca="false">IF(1_DATOS!C46&gt;=2,1_DATOS!C5*2025.4*SIN(RADIANS(245))+C8*SIN(RADIANS(D8)),"")</f>
        <v>-44454.410194633</v>
      </c>
      <c r="L74" s="88" t="n">
        <f aca="false">IF(1_DATOS!C46&gt;=2,1_DATOS!C5*2025.4*COS(RADIANS(245))+C8*COS(RADIANS(D8)),"")</f>
        <v>-25345.9846905411</v>
      </c>
      <c r="M74" s="88" t="n">
        <f aca="false">IF(1_DATOS!C47&gt;=1,1_DATOS!C7*2025.4*SIN(RADIANS(245))+C9*SIN(RADIANS(D9)),"")</f>
        <v>-22911.5129788516</v>
      </c>
      <c r="N74" s="88" t="n">
        <f aca="false">IF(1_DATOS!C47&gt;=1,1_DATOS!C7*2025.4*COS(RADIANS(245))+C9*COS(RADIANS(D9)),"")</f>
        <v>-11155.5358044385</v>
      </c>
      <c r="O74" s="88" t="n">
        <f aca="false">IF(1_DATOS!C47&gt;=2,1_DATOS!C7*2025.4*SIN(RADIANS(245))+C10*SIN(RADIANS(D10)),"")</f>
        <v>-22911.5129788516</v>
      </c>
      <c r="P74" s="88" t="n">
        <f aca="false">IF(1_DATOS!C47&gt;=2,1_DATOS!C7*2025.4*COS(RADIANS(245))+C10*COS(RADIANS(D10)),"")</f>
        <v>-9387.76885147216</v>
      </c>
      <c r="Q74" s="88" t="str">
        <f aca="false">IF(1_DATOS!C47&gt;=3,1_DATOS!C7*2025.4*SIN(RADIANS(245))+C11*SIN(RADIANS(D11)),"")</f>
        <v/>
      </c>
      <c r="R74" s="88" t="str">
        <f aca="false">IF(1_DATOS!C47&gt;=3,1_DATOS!C7*2025.4*COS(RADIANS(245))+C11*COS(RADIANS(D11)),"")</f>
        <v/>
      </c>
    </row>
    <row r="75" customFormat="false" ht="9" hidden="false" customHeight="true" outlineLevel="0" collapsed="false">
      <c r="B75" s="87" t="n">
        <v>250</v>
      </c>
      <c r="C75" s="88" t="n">
        <f aca="false">500*SIN(RADIANS(250))</f>
        <v>-469.846310392954</v>
      </c>
      <c r="D75" s="88" t="n">
        <f aca="false">500*COS(RADIANS(250))</f>
        <v>-171.010071662835</v>
      </c>
      <c r="E75" s="88" t="n">
        <f aca="false">2000*SIN(RADIANS(250))</f>
        <v>-1879.38524157182</v>
      </c>
      <c r="F75" s="88" t="n">
        <f aca="false">2000*COS(RADIANS(250))</f>
        <v>-684.040286651339</v>
      </c>
      <c r="G75" s="88" t="n">
        <f aca="false">5000*SIN(RADIANS(250))</f>
        <v>-4698.46310392954</v>
      </c>
      <c r="H75" s="88" t="n">
        <f aca="false">5000*COS(RADIANS(250))</f>
        <v>-1710.10071662835</v>
      </c>
      <c r="I75" s="88" t="n">
        <f aca="false">IF(1_DATOS!C46&gt;=1,1_DATOS!C5*2025.4*SIN(RADIANS(250))+C7*SIN(RADIANS(D7)),"")</f>
        <v>-47581.3358534945</v>
      </c>
      <c r="J75" s="88" t="n">
        <f aca="false">IF(1_DATOS!C46&gt;=1,1_DATOS!C5*2025.4*COS(RADIANS(250))+C7*COS(RADIANS(D7)),"")</f>
        <v>-20818.1899572953</v>
      </c>
      <c r="K75" s="88" t="n">
        <f aca="false">IF(1_DATOS!C46&gt;=2,1_DATOS!C5*2025.4*SIN(RADIANS(250))+C8*SIN(RADIANS(D8)),"")</f>
        <v>-46144.8512515267</v>
      </c>
      <c r="L75" s="88" t="n">
        <f aca="false">IF(1_DATOS!C46&gt;=2,1_DATOS!C5*2025.4*COS(RADIANS(250))+C8*COS(RADIANS(D8)),"")</f>
        <v>-21264.8989645961</v>
      </c>
      <c r="M75" s="88" t="n">
        <f aca="false">IF(1_DATOS!C47&gt;=1,1_DATOS!C7*2025.4*SIN(RADIANS(250))+C9*SIN(RADIANS(D9)),"")</f>
        <v>-23722.9246861605</v>
      </c>
      <c r="N75" s="88" t="n">
        <f aca="false">IF(1_DATOS!C47&gt;=1,1_DATOS!C7*2025.4*COS(RADIANS(250))+C9*COS(RADIANS(D9)),"")</f>
        <v>-9196.61465598492</v>
      </c>
      <c r="O75" s="88" t="n">
        <f aca="false">IF(1_DATOS!C47&gt;=2,1_DATOS!C7*2025.4*SIN(RADIANS(250))+C10*SIN(RADIANS(D10)),"")</f>
        <v>-23722.9246861605</v>
      </c>
      <c r="P75" s="88" t="n">
        <f aca="false">IF(1_DATOS!C47&gt;=2,1_DATOS!C7*2025.4*COS(RADIANS(250))+C10*COS(RADIANS(D10)),"")</f>
        <v>-7428.84770301855</v>
      </c>
      <c r="Q75" s="88" t="str">
        <f aca="false">IF(1_DATOS!C47&gt;=3,1_DATOS!C7*2025.4*SIN(RADIANS(250))+C11*SIN(RADIANS(D11)),"")</f>
        <v/>
      </c>
      <c r="R75" s="88" t="str">
        <f aca="false">IF(1_DATOS!C47&gt;=3,1_DATOS!C7*2025.4*COS(RADIANS(250))+C11*COS(RADIANS(D11)),"")</f>
        <v/>
      </c>
    </row>
    <row r="76" customFormat="false" ht="9" hidden="false" customHeight="true" outlineLevel="0" collapsed="false">
      <c r="B76" s="87" t="n">
        <v>255</v>
      </c>
      <c r="C76" s="88" t="n">
        <f aca="false">500*SIN(RADIANS(255))</f>
        <v>-482.962913144534</v>
      </c>
      <c r="D76" s="88" t="n">
        <f aca="false">500*COS(RADIANS(255))</f>
        <v>-129.40952255126</v>
      </c>
      <c r="E76" s="88" t="n">
        <f aca="false">2000*SIN(RADIANS(255))</f>
        <v>-1931.85165257814</v>
      </c>
      <c r="F76" s="88" t="n">
        <f aca="false">2000*COS(RADIANS(255))</f>
        <v>-517.638090205041</v>
      </c>
      <c r="G76" s="88" t="n">
        <f aca="false">5000*SIN(RADIANS(255))</f>
        <v>-4829.62913144534</v>
      </c>
      <c r="H76" s="88" t="n">
        <f aca="false">5000*COS(RADIANS(255))</f>
        <v>-1294.0952255126</v>
      </c>
      <c r="I76" s="88" t="n">
        <f aca="false">IF(1_DATOS!C46&gt;=1,1_DATOS!C5*2025.4*SIN(RADIANS(255))+C7*SIN(RADIANS(D7)),"")</f>
        <v>-48909.654214147</v>
      </c>
      <c r="J76" s="88" t="n">
        <f aca="false">IF(1_DATOS!C46&gt;=1,1_DATOS!C5*2025.4*COS(RADIANS(255))+C7*COS(RADIANS(D7)),"")</f>
        <v>-16605.3023487661</v>
      </c>
      <c r="K76" s="88" t="n">
        <f aca="false">IF(1_DATOS!C46&gt;=2,1_DATOS!C5*2025.4*SIN(RADIANS(255))+C8*SIN(RADIANS(D8)),"")</f>
        <v>-47473.1696121792</v>
      </c>
      <c r="L76" s="88" t="n">
        <f aca="false">IF(1_DATOS!C46&gt;=2,1_DATOS!C5*2025.4*COS(RADIANS(255))+C8*COS(RADIANS(D8)),"")</f>
        <v>-17052.011356067</v>
      </c>
      <c r="M76" s="88" t="n">
        <f aca="false">IF(1_DATOS!C47&gt;=1,1_DATOS!C7*2025.4*SIN(RADIANS(255))+C9*SIN(RADIANS(D9)),"")</f>
        <v>-24360.5174992737</v>
      </c>
      <c r="N76" s="88" t="n">
        <f aca="false">IF(1_DATOS!C47&gt;=1,1_DATOS!C7*2025.4*COS(RADIANS(255))+C9*COS(RADIANS(D9)),"")</f>
        <v>-7174.42860389093</v>
      </c>
      <c r="O76" s="88" t="n">
        <f aca="false">IF(1_DATOS!C47&gt;=2,1_DATOS!C7*2025.4*SIN(RADIANS(255))+C10*SIN(RADIANS(D10)),"")</f>
        <v>-24360.5174992737</v>
      </c>
      <c r="P76" s="88" t="n">
        <f aca="false">IF(1_DATOS!C47&gt;=2,1_DATOS!C7*2025.4*COS(RADIANS(255))+C10*COS(RADIANS(D10)),"")</f>
        <v>-5406.66165092456</v>
      </c>
      <c r="Q76" s="88" t="str">
        <f aca="false">IF(1_DATOS!C47&gt;=3,1_DATOS!C7*2025.4*SIN(RADIANS(255))+C11*SIN(RADIANS(D11)),"")</f>
        <v/>
      </c>
      <c r="R76" s="88" t="str">
        <f aca="false">IF(1_DATOS!C47&gt;=3,1_DATOS!C7*2025.4*COS(RADIANS(255))+C11*COS(RADIANS(D11)),"")</f>
        <v/>
      </c>
    </row>
    <row r="77" customFormat="false" ht="9" hidden="false" customHeight="true" outlineLevel="0" collapsed="false">
      <c r="B77" s="87" t="n">
        <v>260</v>
      </c>
      <c r="C77" s="88" t="n">
        <f aca="false">500*SIN(RADIANS(260))</f>
        <v>-492.403876506104</v>
      </c>
      <c r="D77" s="88" t="n">
        <f aca="false">500*COS(RADIANS(260))</f>
        <v>-86.8240888334652</v>
      </c>
      <c r="E77" s="88" t="n">
        <f aca="false">2000*SIN(RADIANS(260))</f>
        <v>-1969.61550602442</v>
      </c>
      <c r="F77" s="88" t="n">
        <f aca="false">2000*COS(RADIANS(260))</f>
        <v>-347.296355333861</v>
      </c>
      <c r="G77" s="88" t="n">
        <f aca="false">5000*SIN(RADIANS(260))</f>
        <v>-4924.03876506104</v>
      </c>
      <c r="H77" s="88" t="n">
        <f aca="false">5000*COS(RADIANS(260))</f>
        <v>-868.240888334652</v>
      </c>
      <c r="I77" s="88" t="n">
        <f aca="false">IF(1_DATOS!C46&gt;=1,1_DATOS!C5*2025.4*SIN(RADIANS(260))+C7*SIN(RADIANS(D7)),"")</f>
        <v>-49865.7405737732</v>
      </c>
      <c r="J77" s="88" t="n">
        <f aca="false">IF(1_DATOS!C46&gt;=1,1_DATOS!C5*2025.4*COS(RADIANS(260))+C7*COS(RADIANS(D7)),"")</f>
        <v>-12292.675476165</v>
      </c>
      <c r="K77" s="88" t="n">
        <f aca="false">IF(1_DATOS!C46&gt;=2,1_DATOS!C5*2025.4*SIN(RADIANS(260))+C8*SIN(RADIANS(D8)),"")</f>
        <v>-48429.2559718053</v>
      </c>
      <c r="L77" s="88" t="n">
        <f aca="false">IF(1_DATOS!C46&gt;=2,1_DATOS!C5*2025.4*COS(RADIANS(260))+C8*COS(RADIANS(D8)),"")</f>
        <v>-12739.3844834658</v>
      </c>
      <c r="M77" s="88" t="n">
        <f aca="false">IF(1_DATOS!C47&gt;=1,1_DATOS!C7*2025.4*SIN(RADIANS(260))+C9*SIN(RADIANS(D9)),"")</f>
        <v>-24819.4389518943</v>
      </c>
      <c r="N77" s="88" t="n">
        <f aca="false">IF(1_DATOS!C47&gt;=1,1_DATOS!C7*2025.4*COS(RADIANS(260))+C9*COS(RADIANS(D9)),"")</f>
        <v>-5104.36770504239</v>
      </c>
      <c r="O77" s="88" t="n">
        <f aca="false">IF(1_DATOS!C47&gt;=2,1_DATOS!C7*2025.4*SIN(RADIANS(260))+C10*SIN(RADIANS(D10)),"")</f>
        <v>-24819.4389518943</v>
      </c>
      <c r="P77" s="88" t="n">
        <f aca="false">IF(1_DATOS!C47&gt;=2,1_DATOS!C7*2025.4*COS(RADIANS(260))+C10*COS(RADIANS(D10)),"")</f>
        <v>-3336.60075207602</v>
      </c>
      <c r="Q77" s="88" t="str">
        <f aca="false">IF(1_DATOS!C47&gt;=3,1_DATOS!C7*2025.4*SIN(RADIANS(260))+C11*SIN(RADIANS(D11)),"")</f>
        <v/>
      </c>
      <c r="R77" s="88" t="str">
        <f aca="false">IF(1_DATOS!C47&gt;=3,1_DATOS!C7*2025.4*COS(RADIANS(260))+C11*COS(RADIANS(D11)),"")</f>
        <v/>
      </c>
    </row>
    <row r="78" customFormat="false" ht="9" hidden="false" customHeight="true" outlineLevel="0" collapsed="false">
      <c r="B78" s="87" t="n">
        <v>265</v>
      </c>
      <c r="C78" s="88" t="n">
        <f aca="false">500*SIN(RADIANS(265))</f>
        <v>-498.097349045873</v>
      </c>
      <c r="D78" s="88" t="n">
        <f aca="false">500*COS(RADIANS(265))</f>
        <v>-43.5778713738291</v>
      </c>
      <c r="E78" s="88" t="n">
        <f aca="false">2000*SIN(RADIANS(265))</f>
        <v>-1992.38939618349</v>
      </c>
      <c r="F78" s="88" t="n">
        <f aca="false">2000*COS(RADIANS(265))</f>
        <v>-174.311485495317</v>
      </c>
      <c r="G78" s="88" t="n">
        <f aca="false">5000*SIN(RADIANS(265))</f>
        <v>-4980.97349045873</v>
      </c>
      <c r="H78" s="88" t="n">
        <f aca="false">5000*COS(RADIANS(265))</f>
        <v>-435.778713738291</v>
      </c>
      <c r="I78" s="88" t="n">
        <f aca="false">IF(1_DATOS!C46&gt;=1,1_DATOS!C5*2025.4*SIN(RADIANS(265))+C7*SIN(RADIANS(D7)),"")</f>
        <v>-50442.3185378755</v>
      </c>
      <c r="J78" s="88" t="n">
        <f aca="false">IF(1_DATOS!C46&gt;=1,1_DATOS!C5*2025.4*COS(RADIANS(265))+C7*COS(RADIANS(D7)),"")</f>
        <v>-7913.13103402768</v>
      </c>
      <c r="K78" s="88" t="n">
        <f aca="false">IF(1_DATOS!C46&gt;=2,1_DATOS!C5*2025.4*SIN(RADIANS(265))+C8*SIN(RADIANS(D8)),"")</f>
        <v>-49005.8339359077</v>
      </c>
      <c r="L78" s="88" t="n">
        <f aca="false">IF(1_DATOS!C46&gt;=2,1_DATOS!C5*2025.4*COS(RADIANS(265))+C8*COS(RADIANS(D8)),"")</f>
        <v>-8359.84004132849</v>
      </c>
      <c r="M78" s="88" t="n">
        <f aca="false">IF(1_DATOS!C47&gt;=1,1_DATOS!C7*2025.4*SIN(RADIANS(265))+C9*SIN(RADIANS(D9)),"")</f>
        <v>-25096.1963746634</v>
      </c>
      <c r="N78" s="88" t="n">
        <f aca="false">IF(1_DATOS!C47&gt;=1,1_DATOS!C7*2025.4*COS(RADIANS(265))+C9*COS(RADIANS(D9)),"")</f>
        <v>-3002.18637281647</v>
      </c>
      <c r="O78" s="88" t="n">
        <f aca="false">IF(1_DATOS!C47&gt;=2,1_DATOS!C7*2025.4*SIN(RADIANS(265))+C10*SIN(RADIANS(D10)),"")</f>
        <v>-25096.1963746634</v>
      </c>
      <c r="P78" s="88" t="n">
        <f aca="false">IF(1_DATOS!C47&gt;=2,1_DATOS!C7*2025.4*COS(RADIANS(265))+C10*COS(RADIANS(D10)),"")</f>
        <v>-1234.4194198501</v>
      </c>
      <c r="Q78" s="88" t="str">
        <f aca="false">IF(1_DATOS!C47&gt;=3,1_DATOS!C7*2025.4*SIN(RADIANS(265))+C11*SIN(RADIANS(D11)),"")</f>
        <v/>
      </c>
      <c r="R78" s="88" t="str">
        <f aca="false">IF(1_DATOS!C47&gt;=3,1_DATOS!C7*2025.4*COS(RADIANS(265))+C11*COS(RADIANS(D11)),"")</f>
        <v/>
      </c>
    </row>
    <row r="79" customFormat="false" ht="9" hidden="false" customHeight="true" outlineLevel="0" collapsed="false">
      <c r="B79" s="87" t="n">
        <v>270</v>
      </c>
      <c r="C79" s="88" t="n">
        <f aca="false">500*SIN(RADIANS(270))</f>
        <v>-500</v>
      </c>
      <c r="D79" s="88" t="n">
        <f aca="false">500*COS(RADIANS(270))</f>
        <v>-9.18485099360515E-014</v>
      </c>
      <c r="E79" s="88" t="n">
        <f aca="false">2000*SIN(RADIANS(270))</f>
        <v>-2000</v>
      </c>
      <c r="F79" s="88" t="n">
        <f aca="false">2000*COS(RADIANS(270))</f>
        <v>-3.67394039744206E-013</v>
      </c>
      <c r="G79" s="88" t="n">
        <f aca="false">5000*SIN(RADIANS(270))</f>
        <v>-5000</v>
      </c>
      <c r="H79" s="88" t="n">
        <f aca="false">5000*COS(RADIANS(270))</f>
        <v>-9.18485099360515E-013</v>
      </c>
      <c r="I79" s="88" t="n">
        <f aca="false">IF(1_DATOS!C46&gt;=1,1_DATOS!C5*2025.4*SIN(RADIANS(270))+C7*SIN(RADIANS(D7)),"")</f>
        <v>-50635</v>
      </c>
      <c r="J79" s="88" t="n">
        <f aca="false">IF(1_DATOS!C46&gt;=1,1_DATOS!C5*2025.4*COS(RADIANS(270))+C7*COS(RADIANS(D7)),"")</f>
        <v>-3500.00000000001</v>
      </c>
      <c r="K79" s="88" t="n">
        <f aca="false">IF(1_DATOS!C46&gt;=2,1_DATOS!C5*2025.4*SIN(RADIANS(270))+C8*SIN(RADIANS(D8)),"")</f>
        <v>-49198.5153980322</v>
      </c>
      <c r="L79" s="88" t="n">
        <f aca="false">IF(1_DATOS!C46&gt;=2,1_DATOS!C5*2025.4*COS(RADIANS(270))+C8*COS(RADIANS(D8)),"")</f>
        <v>-3946.70900730082</v>
      </c>
      <c r="M79" s="88" t="n">
        <f aca="false">IF(1_DATOS!C47&gt;=1,1_DATOS!C7*2025.4*SIN(RADIANS(270))+C9*SIN(RADIANS(D9)),"")</f>
        <v>-25188.6834764832</v>
      </c>
      <c r="N79" s="88" t="n">
        <f aca="false">IF(1_DATOS!C47&gt;=1,1_DATOS!C7*2025.4*COS(RADIANS(270))+C9*COS(RADIANS(D9)),"")</f>
        <v>-883.883476483189</v>
      </c>
      <c r="O79" s="88" t="n">
        <f aca="false">IF(1_DATOS!C47&gt;=2,1_DATOS!C7*2025.4*SIN(RADIANS(270))+C10*SIN(RADIANS(D10)),"")</f>
        <v>-25188.6834764832</v>
      </c>
      <c r="P79" s="88" t="n">
        <f aca="false">IF(1_DATOS!C47&gt;=2,1_DATOS!C7*2025.4*COS(RADIANS(270))+C10*COS(RADIANS(D10)),"")</f>
        <v>883.88347648318</v>
      </c>
      <c r="Q79" s="88" t="str">
        <f aca="false">IF(1_DATOS!C47&gt;=3,1_DATOS!C7*2025.4*SIN(RADIANS(270))+C11*SIN(RADIANS(D11)),"")</f>
        <v/>
      </c>
      <c r="R79" s="88" t="str">
        <f aca="false">IF(1_DATOS!C47&gt;=3,1_DATOS!C7*2025.4*COS(RADIANS(270))+C11*COS(RADIANS(D11)),"")</f>
        <v/>
      </c>
    </row>
    <row r="80" customFormat="false" ht="9" hidden="false" customHeight="true" outlineLevel="0" collapsed="false">
      <c r="B80" s="87" t="n">
        <v>275</v>
      </c>
      <c r="C80" s="88" t="n">
        <f aca="false">500*SIN(RADIANS(275))</f>
        <v>-498.097349045873</v>
      </c>
      <c r="D80" s="88" t="n">
        <f aca="false">500*COS(RADIANS(275))</f>
        <v>43.5778713738289</v>
      </c>
      <c r="E80" s="88" t="n">
        <f aca="false">2000*SIN(RADIANS(275))</f>
        <v>-1992.38939618349</v>
      </c>
      <c r="F80" s="88" t="n">
        <f aca="false">2000*COS(RADIANS(275))</f>
        <v>174.311485495316</v>
      </c>
      <c r="G80" s="88" t="n">
        <f aca="false">5000*SIN(RADIANS(275))</f>
        <v>-4980.97349045873</v>
      </c>
      <c r="H80" s="88" t="n">
        <f aca="false">5000*COS(RADIANS(275))</f>
        <v>435.778713738289</v>
      </c>
      <c r="I80" s="88" t="n">
        <f aca="false">IF(1_DATOS!C46&gt;=1,1_DATOS!C5*2025.4*SIN(RADIANS(275))+C7*SIN(RADIANS(D7)),"")</f>
        <v>-50442.3185378755</v>
      </c>
      <c r="J80" s="88" t="n">
        <f aca="false">IF(1_DATOS!C46&gt;=1,1_DATOS!C5*2025.4*COS(RADIANS(275))+C7*COS(RADIANS(D7)),"")</f>
        <v>913.131034027657</v>
      </c>
      <c r="K80" s="88" t="n">
        <f aca="false">IF(1_DATOS!C46&gt;=2,1_DATOS!C5*2025.4*SIN(RADIANS(275))+C8*SIN(RADIANS(D8)),"")</f>
        <v>-49005.8339359077</v>
      </c>
      <c r="L80" s="88" t="n">
        <f aca="false">IF(1_DATOS!C46&gt;=2,1_DATOS!C5*2025.4*COS(RADIANS(275))+C8*COS(RADIANS(D8)),"")</f>
        <v>466.422026726842</v>
      </c>
      <c r="M80" s="88" t="n">
        <f aca="false">IF(1_DATOS!C47&gt;=1,1_DATOS!C7*2025.4*SIN(RADIANS(275))+C9*SIN(RADIANS(D9)),"")</f>
        <v>-25096.1963746634</v>
      </c>
      <c r="N80" s="88" t="n">
        <f aca="false">IF(1_DATOS!C47&gt;=1,1_DATOS!C7*2025.4*COS(RADIANS(275))+C9*COS(RADIANS(D9)),"")</f>
        <v>1234.41941985009</v>
      </c>
      <c r="O80" s="88" t="n">
        <f aca="false">IF(1_DATOS!C47&gt;=2,1_DATOS!C7*2025.4*SIN(RADIANS(275))+C10*SIN(RADIANS(D10)),"")</f>
        <v>-25096.1963746634</v>
      </c>
      <c r="P80" s="88" t="n">
        <f aca="false">IF(1_DATOS!C47&gt;=2,1_DATOS!C7*2025.4*COS(RADIANS(275))+C10*COS(RADIANS(D10)),"")</f>
        <v>3002.18637281646</v>
      </c>
      <c r="Q80" s="88" t="str">
        <f aca="false">IF(1_DATOS!C47&gt;=3,1_DATOS!C7*2025.4*SIN(RADIANS(275))+C11*SIN(RADIANS(D11)),"")</f>
        <v/>
      </c>
      <c r="R80" s="88" t="str">
        <f aca="false">IF(1_DATOS!C47&gt;=3,1_DATOS!C7*2025.4*COS(RADIANS(275))+C11*COS(RADIANS(D11)),"")</f>
        <v/>
      </c>
    </row>
    <row r="81" customFormat="false" ht="9" hidden="false" customHeight="true" outlineLevel="0" collapsed="false">
      <c r="B81" s="87" t="n">
        <v>280</v>
      </c>
      <c r="C81" s="88" t="n">
        <f aca="false">500*SIN(RADIANS(280))</f>
        <v>-492.403876506104</v>
      </c>
      <c r="D81" s="88" t="n">
        <f aca="false">500*COS(RADIANS(280))</f>
        <v>86.824088833465</v>
      </c>
      <c r="E81" s="88" t="n">
        <f aca="false">2000*SIN(RADIANS(280))</f>
        <v>-1969.61550602442</v>
      </c>
      <c r="F81" s="88" t="n">
        <f aca="false">2000*COS(RADIANS(280))</f>
        <v>347.29635533386</v>
      </c>
      <c r="G81" s="88" t="n">
        <f aca="false">5000*SIN(RADIANS(280))</f>
        <v>-4924.03876506104</v>
      </c>
      <c r="H81" s="88" t="n">
        <f aca="false">5000*COS(RADIANS(280))</f>
        <v>868.24088833465</v>
      </c>
      <c r="I81" s="88" t="n">
        <f aca="false">IF(1_DATOS!C46&gt;=1,1_DATOS!C5*2025.4*SIN(RADIANS(280))+C7*SIN(RADIANS(D7)),"")</f>
        <v>-49865.7405737732</v>
      </c>
      <c r="J81" s="88" t="n">
        <f aca="false">IF(1_DATOS!C46&gt;=1,1_DATOS!C5*2025.4*COS(RADIANS(280))+C7*COS(RADIANS(D7)),"")</f>
        <v>5292.675476165</v>
      </c>
      <c r="K81" s="88" t="n">
        <f aca="false">IF(1_DATOS!C46&gt;=2,1_DATOS!C5*2025.4*SIN(RADIANS(280))+C8*SIN(RADIANS(D8)),"")</f>
        <v>-48429.2559718054</v>
      </c>
      <c r="L81" s="88" t="n">
        <f aca="false">IF(1_DATOS!C46&gt;=2,1_DATOS!C5*2025.4*COS(RADIANS(280))+C8*COS(RADIANS(D8)),"")</f>
        <v>4845.96646886418</v>
      </c>
      <c r="M81" s="88" t="n">
        <f aca="false">IF(1_DATOS!C47&gt;=1,1_DATOS!C7*2025.4*SIN(RADIANS(280))+C9*SIN(RADIANS(D9)),"")</f>
        <v>-24819.4389518943</v>
      </c>
      <c r="N81" s="88" t="n">
        <f aca="false">IF(1_DATOS!C47&gt;=1,1_DATOS!C7*2025.4*COS(RADIANS(280))+C9*COS(RADIANS(D9)),"")</f>
        <v>3336.60075207602</v>
      </c>
      <c r="O81" s="88" t="n">
        <f aca="false">IF(1_DATOS!C47&gt;=2,1_DATOS!C7*2025.4*SIN(RADIANS(280))+C10*SIN(RADIANS(D10)),"")</f>
        <v>-24819.4389518943</v>
      </c>
      <c r="P81" s="88" t="n">
        <f aca="false">IF(1_DATOS!C47&gt;=2,1_DATOS!C7*2025.4*COS(RADIANS(280))+C10*COS(RADIANS(D10)),"")</f>
        <v>5104.36770504239</v>
      </c>
      <c r="Q81" s="88" t="str">
        <f aca="false">IF(1_DATOS!C47&gt;=3,1_DATOS!C7*2025.4*SIN(RADIANS(280))+C11*SIN(RADIANS(D11)),"")</f>
        <v/>
      </c>
      <c r="R81" s="88" t="str">
        <f aca="false">IF(1_DATOS!C47&gt;=3,1_DATOS!C7*2025.4*COS(RADIANS(280))+C11*COS(RADIANS(D11)),"")</f>
        <v/>
      </c>
    </row>
    <row r="82" customFormat="false" ht="9" hidden="false" customHeight="true" outlineLevel="0" collapsed="false">
      <c r="B82" s="87" t="n">
        <v>285</v>
      </c>
      <c r="C82" s="88" t="n">
        <f aca="false">500*SIN(RADIANS(285))</f>
        <v>-482.962913144534</v>
      </c>
      <c r="D82" s="88" t="n">
        <f aca="false">500*COS(RADIANS(285))</f>
        <v>129.40952255126</v>
      </c>
      <c r="E82" s="88" t="n">
        <f aca="false">2000*SIN(RADIANS(285))</f>
        <v>-1931.85165257814</v>
      </c>
      <c r="F82" s="88" t="n">
        <f aca="false">2000*COS(RADIANS(285))</f>
        <v>517.638090205041</v>
      </c>
      <c r="G82" s="88" t="n">
        <f aca="false">5000*SIN(RADIANS(285))</f>
        <v>-4829.62913144534</v>
      </c>
      <c r="H82" s="88" t="n">
        <f aca="false">5000*COS(RADIANS(285))</f>
        <v>1294.0952255126</v>
      </c>
      <c r="I82" s="88" t="n">
        <f aca="false">IF(1_DATOS!C46&gt;=1,1_DATOS!C5*2025.4*SIN(RADIANS(285))+C7*SIN(RADIANS(D7)),"")</f>
        <v>-48909.654214147</v>
      </c>
      <c r="J82" s="88" t="n">
        <f aca="false">IF(1_DATOS!C46&gt;=1,1_DATOS!C5*2025.4*COS(RADIANS(285))+C7*COS(RADIANS(D7)),"")</f>
        <v>9605.30234876612</v>
      </c>
      <c r="K82" s="88" t="n">
        <f aca="false">IF(1_DATOS!C46&gt;=2,1_DATOS!C5*2025.4*SIN(RADIANS(285))+C8*SIN(RADIANS(D8)),"")</f>
        <v>-47473.1696121792</v>
      </c>
      <c r="L82" s="88" t="n">
        <f aca="false">IF(1_DATOS!C46&gt;=2,1_DATOS!C5*2025.4*COS(RADIANS(285))+C8*COS(RADIANS(D8)),"")</f>
        <v>9158.5933414653</v>
      </c>
      <c r="M82" s="88" t="n">
        <f aca="false">IF(1_DATOS!C47&gt;=1,1_DATOS!C7*2025.4*SIN(RADIANS(285))+C9*SIN(RADIANS(D9)),"")</f>
        <v>-24360.5174992737</v>
      </c>
      <c r="N82" s="88" t="n">
        <f aca="false">IF(1_DATOS!C47&gt;=1,1_DATOS!C7*2025.4*COS(RADIANS(285))+C9*COS(RADIANS(D9)),"")</f>
        <v>5406.66165092455</v>
      </c>
      <c r="O82" s="88" t="n">
        <f aca="false">IF(1_DATOS!C47&gt;=2,1_DATOS!C7*2025.4*SIN(RADIANS(285))+C10*SIN(RADIANS(D10)),"")</f>
        <v>-24360.5174992737</v>
      </c>
      <c r="P82" s="88" t="n">
        <f aca="false">IF(1_DATOS!C47&gt;=2,1_DATOS!C7*2025.4*COS(RADIANS(285))+C10*COS(RADIANS(D10)),"")</f>
        <v>7174.42860389092</v>
      </c>
      <c r="Q82" s="88" t="str">
        <f aca="false">IF(1_DATOS!C47&gt;=3,1_DATOS!C7*2025.4*SIN(RADIANS(285))+C11*SIN(RADIANS(D11)),"")</f>
        <v/>
      </c>
      <c r="R82" s="88" t="str">
        <f aca="false">IF(1_DATOS!C47&gt;=3,1_DATOS!C7*2025.4*COS(RADIANS(285))+C11*COS(RADIANS(D11)),"")</f>
        <v/>
      </c>
    </row>
    <row r="83" customFormat="false" ht="9" hidden="false" customHeight="true" outlineLevel="0" collapsed="false">
      <c r="B83" s="87" t="n">
        <v>290</v>
      </c>
      <c r="C83" s="88" t="n">
        <f aca="false">500*SIN(RADIANS(290))</f>
        <v>-469.846310392954</v>
      </c>
      <c r="D83" s="88" t="n">
        <f aca="false">500*COS(RADIANS(290))</f>
        <v>171.010071662835</v>
      </c>
      <c r="E83" s="88" t="n">
        <f aca="false">2000*SIN(RADIANS(290))</f>
        <v>-1879.38524157182</v>
      </c>
      <c r="F83" s="88" t="n">
        <f aca="false">2000*COS(RADIANS(290))</f>
        <v>684.040286651338</v>
      </c>
      <c r="G83" s="88" t="n">
        <f aca="false">5000*SIN(RADIANS(290))</f>
        <v>-4698.46310392954</v>
      </c>
      <c r="H83" s="88" t="n">
        <f aca="false">5000*COS(RADIANS(290))</f>
        <v>1710.10071662835</v>
      </c>
      <c r="I83" s="88" t="n">
        <f aca="false">IF(1_DATOS!C46&gt;=1,1_DATOS!C5*2025.4*SIN(RADIANS(290))+C7*SIN(RADIANS(D7)),"")</f>
        <v>-47581.3358534945</v>
      </c>
      <c r="J83" s="88" t="n">
        <f aca="false">IF(1_DATOS!C46&gt;=1,1_DATOS!C5*2025.4*COS(RADIANS(290))+C7*COS(RADIANS(D7)),"")</f>
        <v>13818.1899572953</v>
      </c>
      <c r="K83" s="88" t="n">
        <f aca="false">IF(1_DATOS!C46&gt;=2,1_DATOS!C5*2025.4*SIN(RADIANS(290))+C8*SIN(RADIANS(D8)),"")</f>
        <v>-46144.8512515267</v>
      </c>
      <c r="L83" s="88" t="n">
        <f aca="false">IF(1_DATOS!C46&gt;=2,1_DATOS!C5*2025.4*COS(RADIANS(290))+C8*COS(RADIANS(D8)),"")</f>
        <v>13371.4809499944</v>
      </c>
      <c r="M83" s="88" t="n">
        <f aca="false">IF(1_DATOS!C47&gt;=1,1_DATOS!C7*2025.4*SIN(RADIANS(290))+C9*SIN(RADIANS(D9)),"")</f>
        <v>-23722.9246861605</v>
      </c>
      <c r="N83" s="88" t="n">
        <f aca="false">IF(1_DATOS!C47&gt;=1,1_DATOS!C7*2025.4*COS(RADIANS(290))+C9*COS(RADIANS(D9)),"")</f>
        <v>7428.84770301854</v>
      </c>
      <c r="O83" s="88" t="n">
        <f aca="false">IF(1_DATOS!C47&gt;=2,1_DATOS!C7*2025.4*SIN(RADIANS(290))+C10*SIN(RADIANS(D10)),"")</f>
        <v>-23722.9246861605</v>
      </c>
      <c r="P83" s="88" t="n">
        <f aca="false">IF(1_DATOS!C47&gt;=2,1_DATOS!C7*2025.4*COS(RADIANS(290))+C10*COS(RADIANS(D10)),"")</f>
        <v>9196.61465598491</v>
      </c>
      <c r="Q83" s="88" t="str">
        <f aca="false">IF(1_DATOS!C47&gt;=3,1_DATOS!C7*2025.4*SIN(RADIANS(290))+C11*SIN(RADIANS(D11)),"")</f>
        <v/>
      </c>
      <c r="R83" s="88" t="str">
        <f aca="false">IF(1_DATOS!C47&gt;=3,1_DATOS!C7*2025.4*COS(RADIANS(290))+C11*COS(RADIANS(D11)),"")</f>
        <v/>
      </c>
    </row>
    <row r="84" customFormat="false" ht="9" hidden="false" customHeight="true" outlineLevel="0" collapsed="false">
      <c r="B84" s="87" t="n">
        <v>295</v>
      </c>
      <c r="C84" s="88" t="n">
        <f aca="false">500*SIN(RADIANS(295))</f>
        <v>-453.153893518325</v>
      </c>
      <c r="D84" s="88" t="n">
        <f aca="false">500*COS(RADIANS(295))</f>
        <v>211.309130870349</v>
      </c>
      <c r="E84" s="88" t="n">
        <f aca="false">2000*SIN(RADIANS(295))</f>
        <v>-1812.6155740733</v>
      </c>
      <c r="F84" s="88" t="n">
        <f aca="false">2000*COS(RADIANS(295))</f>
        <v>845.236523481398</v>
      </c>
      <c r="G84" s="88" t="n">
        <f aca="false">5000*SIN(RADIANS(295))</f>
        <v>-4531.53893518325</v>
      </c>
      <c r="H84" s="88" t="n">
        <f aca="false">5000*COS(RADIANS(295))</f>
        <v>2113.09130870349</v>
      </c>
      <c r="I84" s="88" t="n">
        <f aca="false">IF(1_DATOS!C46&gt;=1,1_DATOS!C5*2025.4*SIN(RADIANS(295))+C7*SIN(RADIANS(D7)),"")</f>
        <v>-45890.8947966008</v>
      </c>
      <c r="J84" s="88" t="n">
        <f aca="false">IF(1_DATOS!C46&gt;=1,1_DATOS!C5*2025.4*COS(RADIANS(295))+C7*COS(RADIANS(D7)),"")</f>
        <v>17899.2756832403</v>
      </c>
      <c r="K84" s="88" t="n">
        <f aca="false">IF(1_DATOS!C46&gt;=2,1_DATOS!C5*2025.4*SIN(RADIANS(295))+C8*SIN(RADIANS(D8)),"")</f>
        <v>-44454.410194633</v>
      </c>
      <c r="L84" s="88" t="n">
        <f aca="false">IF(1_DATOS!C46&gt;=2,1_DATOS!C5*2025.4*COS(RADIANS(295))+C8*COS(RADIANS(D8)),"")</f>
        <v>17452.5666759395</v>
      </c>
      <c r="M84" s="88" t="n">
        <f aca="false">IF(1_DATOS!C47&gt;=1,1_DATOS!C7*2025.4*SIN(RADIANS(295))+C9*SIN(RADIANS(D9)),"")</f>
        <v>-22911.5129788516</v>
      </c>
      <c r="N84" s="88" t="n">
        <f aca="false">IF(1_DATOS!C47&gt;=1,1_DATOS!C7*2025.4*COS(RADIANS(295))+C9*COS(RADIANS(D9)),"")</f>
        <v>9387.76885147215</v>
      </c>
      <c r="O84" s="88" t="n">
        <f aca="false">IF(1_DATOS!C47&gt;=2,1_DATOS!C7*2025.4*SIN(RADIANS(295))+C10*SIN(RADIANS(D10)),"")</f>
        <v>-22911.5129788516</v>
      </c>
      <c r="P84" s="88" t="n">
        <f aca="false">IF(1_DATOS!C47&gt;=2,1_DATOS!C7*2025.4*COS(RADIANS(295))+C10*COS(RADIANS(D10)),"")</f>
        <v>11155.5358044385</v>
      </c>
      <c r="Q84" s="88" t="str">
        <f aca="false">IF(1_DATOS!C47&gt;=3,1_DATOS!C7*2025.4*SIN(RADIANS(295))+C11*SIN(RADIANS(D11)),"")</f>
        <v/>
      </c>
      <c r="R84" s="88" t="str">
        <f aca="false">IF(1_DATOS!C47&gt;=3,1_DATOS!C7*2025.4*COS(RADIANS(295))+C11*COS(RADIANS(D11)),"")</f>
        <v/>
      </c>
    </row>
    <row r="85" customFormat="false" ht="9" hidden="false" customHeight="true" outlineLevel="0" collapsed="false">
      <c r="B85" s="87" t="n">
        <v>300</v>
      </c>
      <c r="C85" s="88" t="n">
        <f aca="false">500*SIN(RADIANS(300))</f>
        <v>-433.012701892219</v>
      </c>
      <c r="D85" s="88" t="n">
        <f aca="false">500*COS(RADIANS(300))</f>
        <v>250</v>
      </c>
      <c r="E85" s="88" t="n">
        <f aca="false">2000*SIN(RADIANS(300))</f>
        <v>-1732.05080756888</v>
      </c>
      <c r="F85" s="88" t="n">
        <f aca="false">2000*COS(RADIANS(300))</f>
        <v>1000</v>
      </c>
      <c r="G85" s="88" t="n">
        <f aca="false">5000*SIN(RADIANS(300))</f>
        <v>-4330.12701892219</v>
      </c>
      <c r="H85" s="88" t="n">
        <f aca="false">5000*COS(RADIANS(300))</f>
        <v>2500</v>
      </c>
      <c r="I85" s="88" t="n">
        <f aca="false">IF(1_DATOS!C46&gt;=1,1_DATOS!C5*2025.4*SIN(RADIANS(300))+C7*SIN(RADIANS(D7)),"")</f>
        <v>-43851.1963206251</v>
      </c>
      <c r="J85" s="88" t="n">
        <f aca="false">IF(1_DATOS!C46&gt;=1,1_DATOS!C5*2025.4*COS(RADIANS(300))+C7*COS(RADIANS(D7)),"")</f>
        <v>21817.5</v>
      </c>
      <c r="K85" s="88" t="n">
        <f aca="false">IF(1_DATOS!C46&gt;=2,1_DATOS!C5*2025.4*SIN(RADIANS(300))+C8*SIN(RADIANS(D8)),"")</f>
        <v>-42414.7117186572</v>
      </c>
      <c r="L85" s="88" t="n">
        <f aca="false">IF(1_DATOS!C46&gt;=2,1_DATOS!C5*2025.4*COS(RADIANS(300))+C8*COS(RADIANS(D8)),"")</f>
        <v>21370.7909926992</v>
      </c>
      <c r="M85" s="88" t="n">
        <f aca="false">IF(1_DATOS!C47&gt;=1,1_DATOS!C7*2025.4*SIN(RADIANS(300))+C9*SIN(RADIANS(D9)),"")</f>
        <v>-21932.4577103832</v>
      </c>
      <c r="N85" s="88" t="n">
        <f aca="false">IF(1_DATOS!C47&gt;=1,1_DATOS!C7*2025.4*COS(RADIANS(300))+C9*COS(RADIANS(D9)),"")</f>
        <v>11268.5165235168</v>
      </c>
      <c r="O85" s="88" t="n">
        <f aca="false">IF(1_DATOS!C47&gt;=2,1_DATOS!C7*2025.4*SIN(RADIANS(300))+C10*SIN(RADIANS(D10)),"")</f>
        <v>-21932.4577103832</v>
      </c>
      <c r="P85" s="88" t="n">
        <f aca="false">IF(1_DATOS!C47&gt;=2,1_DATOS!C7*2025.4*COS(RADIANS(300))+C10*COS(RADIANS(D10)),"")</f>
        <v>13036.2834764832</v>
      </c>
      <c r="Q85" s="88" t="str">
        <f aca="false">IF(1_DATOS!C47&gt;=3,1_DATOS!C7*2025.4*SIN(RADIANS(300))+C11*SIN(RADIANS(D11)),"")</f>
        <v/>
      </c>
      <c r="R85" s="88" t="str">
        <f aca="false">IF(1_DATOS!C47&gt;=3,1_DATOS!C7*2025.4*COS(RADIANS(300))+C11*COS(RADIANS(D11)),"")</f>
        <v/>
      </c>
    </row>
    <row r="86" customFormat="false" ht="9" hidden="false" customHeight="true" outlineLevel="0" collapsed="false">
      <c r="B86" s="87" t="n">
        <v>305</v>
      </c>
      <c r="C86" s="88" t="n">
        <f aca="false">500*SIN(RADIANS(305))</f>
        <v>-409.576022144496</v>
      </c>
      <c r="D86" s="88" t="n">
        <f aca="false">500*COS(RADIANS(305))</f>
        <v>286.788218175523</v>
      </c>
      <c r="E86" s="88" t="n">
        <f aca="false">2000*SIN(RADIANS(305))</f>
        <v>-1638.30408857798</v>
      </c>
      <c r="F86" s="88" t="n">
        <f aca="false">2000*COS(RADIANS(305))</f>
        <v>1147.15287270209</v>
      </c>
      <c r="G86" s="88" t="n">
        <f aca="false">5000*SIN(RADIANS(305))</f>
        <v>-4095.76022144496</v>
      </c>
      <c r="H86" s="88" t="n">
        <f aca="false">5000*COS(RADIANS(305))</f>
        <v>2867.88218175523</v>
      </c>
      <c r="I86" s="88" t="n">
        <f aca="false">IF(1_DATOS!C46&gt;=1,1_DATOS!C5*2025.4*SIN(RADIANS(305))+C7*SIN(RADIANS(D7)),"")</f>
        <v>-41477.7637625731</v>
      </c>
      <c r="J86" s="88" t="n">
        <f aca="false">IF(1_DATOS!C46&gt;=1,1_DATOS!C5*2025.4*COS(RADIANS(305))+C7*COS(RADIANS(D7)),"")</f>
        <v>25543.0428546352</v>
      </c>
      <c r="K86" s="88" t="n">
        <f aca="false">IF(1_DATOS!C46&gt;=2,1_DATOS!C5*2025.4*SIN(RADIANS(305))+C8*SIN(RADIANS(D8)),"")</f>
        <v>-40041.2791606053</v>
      </c>
      <c r="L86" s="88" t="n">
        <f aca="false">IF(1_DATOS!C46&gt;=2,1_DATOS!C5*2025.4*COS(RADIANS(305))+C8*COS(RADIANS(D8)),"")</f>
        <v>25096.3338473344</v>
      </c>
      <c r="M86" s="88" t="n">
        <f aca="false">IF(1_DATOS!C47&gt;=1,1_DATOS!C7*2025.4*SIN(RADIANS(305))+C9*SIN(RADIANS(D9)),"")</f>
        <v>-20793.2100825183</v>
      </c>
      <c r="N86" s="88" t="n">
        <f aca="false">IF(1_DATOS!C47&gt;=1,1_DATOS!C7*2025.4*COS(RADIANS(305))+C9*COS(RADIANS(D9)),"")</f>
        <v>13056.7770937417</v>
      </c>
      <c r="O86" s="88" t="n">
        <f aca="false">IF(1_DATOS!C47&gt;=2,1_DATOS!C7*2025.4*SIN(RADIANS(305))+C10*SIN(RADIANS(D10)),"")</f>
        <v>-20793.2100825183</v>
      </c>
      <c r="P86" s="88" t="n">
        <f aca="false">IF(1_DATOS!C47&gt;=2,1_DATOS!C7*2025.4*COS(RADIANS(305))+C10*COS(RADIANS(D10)),"")</f>
        <v>14824.5440467081</v>
      </c>
      <c r="Q86" s="88" t="str">
        <f aca="false">IF(1_DATOS!C47&gt;=3,1_DATOS!C7*2025.4*SIN(RADIANS(305))+C11*SIN(RADIANS(D11)),"")</f>
        <v/>
      </c>
      <c r="R86" s="88" t="str">
        <f aca="false">IF(1_DATOS!C47&gt;=3,1_DATOS!C7*2025.4*COS(RADIANS(305))+C11*COS(RADIANS(D11)),"")</f>
        <v/>
      </c>
    </row>
    <row r="87" customFormat="false" ht="9" hidden="false" customHeight="true" outlineLevel="0" collapsed="false">
      <c r="B87" s="87" t="n">
        <v>310</v>
      </c>
      <c r="C87" s="88" t="n">
        <f aca="false">500*SIN(RADIANS(310))</f>
        <v>-383.022221559489</v>
      </c>
      <c r="D87" s="88" t="n">
        <f aca="false">500*COS(RADIANS(310))</f>
        <v>321.39380484327</v>
      </c>
      <c r="E87" s="88" t="n">
        <f aca="false">2000*SIN(RADIANS(310))</f>
        <v>-1532.08888623796</v>
      </c>
      <c r="F87" s="88" t="n">
        <f aca="false">2000*COS(RADIANS(310))</f>
        <v>1285.57521937308</v>
      </c>
      <c r="G87" s="88" t="n">
        <f aca="false">5000*SIN(RADIANS(310))</f>
        <v>-3830.22221559489</v>
      </c>
      <c r="H87" s="88" t="n">
        <f aca="false">5000*COS(RADIANS(310))</f>
        <v>3213.9380484327</v>
      </c>
      <c r="I87" s="88" t="n">
        <f aca="false">IF(1_DATOS!C46&gt;=1,1_DATOS!C5*2025.4*SIN(RADIANS(310))+C7*SIN(RADIANS(D7)),"")</f>
        <v>-38788.6603773295</v>
      </c>
      <c r="J87" s="88" t="n">
        <f aca="false">IF(1_DATOS!C46&gt;=1,1_DATOS!C5*2025.4*COS(RADIANS(310))+C7*COS(RADIANS(D7)),"")</f>
        <v>29047.5506164779</v>
      </c>
      <c r="K87" s="88" t="n">
        <f aca="false">IF(1_DATOS!C46&gt;=2,1_DATOS!C5*2025.4*SIN(RADIANS(310))+C8*SIN(RADIANS(D8)),"")</f>
        <v>-37352.1757753617</v>
      </c>
      <c r="L87" s="88" t="n">
        <f aca="false">IF(1_DATOS!C46&gt;=2,1_DATOS!C5*2025.4*COS(RADIANS(310))+C8*COS(RADIANS(D8)),"")</f>
        <v>28600.8416091771</v>
      </c>
      <c r="M87" s="88" t="n">
        <f aca="false">IF(1_DATOS!C47&gt;=1,1_DATOS!C7*2025.4*SIN(RADIANS(310))+C9*SIN(RADIANS(D9)),"")</f>
        <v>-19502.4404576013</v>
      </c>
      <c r="N87" s="88" t="n">
        <f aca="false">IF(1_DATOS!C47&gt;=1,1_DATOS!C7*2025.4*COS(RADIANS(310))+C9*COS(RADIANS(D9)),"")</f>
        <v>14738.9408194262</v>
      </c>
      <c r="O87" s="88" t="n">
        <f aca="false">IF(1_DATOS!C47&gt;=2,1_DATOS!C7*2025.4*SIN(RADIANS(310))+C10*SIN(RADIANS(D10)),"")</f>
        <v>-19502.4404576013</v>
      </c>
      <c r="P87" s="88" t="n">
        <f aca="false">IF(1_DATOS!C47&gt;=2,1_DATOS!C7*2025.4*COS(RADIANS(310))+C10*COS(RADIANS(D10)),"")</f>
        <v>16506.7077723926</v>
      </c>
      <c r="Q87" s="88" t="str">
        <f aca="false">IF(1_DATOS!C47&gt;=3,1_DATOS!C7*2025.4*SIN(RADIANS(310))+C11*SIN(RADIANS(D11)),"")</f>
        <v/>
      </c>
      <c r="R87" s="88" t="str">
        <f aca="false">IF(1_DATOS!C47&gt;=3,1_DATOS!C7*2025.4*COS(RADIANS(310))+C11*COS(RADIANS(D11)),"")</f>
        <v/>
      </c>
    </row>
    <row r="88" customFormat="false" ht="9" hidden="false" customHeight="true" outlineLevel="0" collapsed="false">
      <c r="B88" s="87" t="n">
        <v>315</v>
      </c>
      <c r="C88" s="88" t="n">
        <f aca="false">500*SIN(RADIANS(315))</f>
        <v>-353.553390593274</v>
      </c>
      <c r="D88" s="88" t="n">
        <f aca="false">500*COS(RADIANS(315))</f>
        <v>353.553390593274</v>
      </c>
      <c r="E88" s="88" t="n">
        <f aca="false">2000*SIN(RADIANS(315))</f>
        <v>-1414.2135623731</v>
      </c>
      <c r="F88" s="88" t="n">
        <f aca="false">2000*COS(RADIANS(315))</f>
        <v>1414.21356237309</v>
      </c>
      <c r="G88" s="88" t="n">
        <f aca="false">5000*SIN(RADIANS(315))</f>
        <v>-3535.53390593274</v>
      </c>
      <c r="H88" s="88" t="n">
        <f aca="false">5000*COS(RADIANS(315))</f>
        <v>3535.53390593274</v>
      </c>
      <c r="I88" s="88" t="n">
        <f aca="false">IF(1_DATOS!C46&gt;=1,1_DATOS!C5*2025.4*SIN(RADIANS(315))+C7*SIN(RADIANS(D7)),"")</f>
        <v>-35804.3518653808</v>
      </c>
      <c r="J88" s="88" t="n">
        <f aca="false">IF(1_DATOS!C46&gt;=1,1_DATOS!C5*2025.4*COS(RADIANS(315))+C7*COS(RADIANS(D7)),"")</f>
        <v>32304.3518653808</v>
      </c>
      <c r="K88" s="88" t="n">
        <f aca="false">IF(1_DATOS!C46&gt;=2,1_DATOS!C5*2025.4*SIN(RADIANS(315))+C8*SIN(RADIANS(D8)),"")</f>
        <v>-34367.867263413</v>
      </c>
      <c r="L88" s="88" t="n">
        <f aca="false">IF(1_DATOS!C46&gt;=2,1_DATOS!C5*2025.4*COS(RADIANS(315))+C8*COS(RADIANS(D8)),"")</f>
        <v>31857.64285808</v>
      </c>
      <c r="M88" s="88" t="n">
        <f aca="false">IF(1_DATOS!C47&gt;=1,1_DATOS!C7*2025.4*SIN(RADIANS(315))+C9*SIN(RADIANS(D9)),"")</f>
        <v>-18069.972371866</v>
      </c>
      <c r="N88" s="88" t="n">
        <f aca="false">IF(1_DATOS!C47&gt;=1,1_DATOS!C7*2025.4*COS(RADIANS(315))+C9*COS(RADIANS(D9)),"")</f>
        <v>16302.2054188996</v>
      </c>
      <c r="O88" s="88" t="n">
        <f aca="false">IF(1_DATOS!C47&gt;=2,1_DATOS!C7*2025.4*SIN(RADIANS(315))+C10*SIN(RADIANS(D10)),"")</f>
        <v>-18069.972371866</v>
      </c>
      <c r="P88" s="88" t="n">
        <f aca="false">IF(1_DATOS!C47&gt;=2,1_DATOS!C7*2025.4*COS(RADIANS(315))+C10*COS(RADIANS(D10)),"")</f>
        <v>18069.972371866</v>
      </c>
      <c r="Q88" s="88" t="str">
        <f aca="false">IF(1_DATOS!C47&gt;=3,1_DATOS!C7*2025.4*SIN(RADIANS(315))+C11*SIN(RADIANS(D11)),"")</f>
        <v/>
      </c>
      <c r="R88" s="88" t="str">
        <f aca="false">IF(1_DATOS!C47&gt;=3,1_DATOS!C7*2025.4*COS(RADIANS(315))+C11*COS(RADIANS(D11)),"")</f>
        <v/>
      </c>
    </row>
    <row r="89" customFormat="false" ht="9" hidden="false" customHeight="true" outlineLevel="0" collapsed="false">
      <c r="B89" s="87" t="n">
        <v>320</v>
      </c>
      <c r="C89" s="88" t="n">
        <f aca="false">500*SIN(RADIANS(320))</f>
        <v>-321.39380484327</v>
      </c>
      <c r="D89" s="88" t="n">
        <f aca="false">500*COS(RADIANS(320))</f>
        <v>383.022221559489</v>
      </c>
      <c r="E89" s="88" t="n">
        <f aca="false">2000*SIN(RADIANS(320))</f>
        <v>-1285.57521937308</v>
      </c>
      <c r="F89" s="88" t="n">
        <f aca="false">2000*COS(RADIANS(320))</f>
        <v>1532.08888623796</v>
      </c>
      <c r="G89" s="88" t="n">
        <f aca="false">5000*SIN(RADIANS(320))</f>
        <v>-3213.9380484327</v>
      </c>
      <c r="H89" s="88" t="n">
        <f aca="false">5000*COS(RADIANS(320))</f>
        <v>3830.22221559489</v>
      </c>
      <c r="I89" s="88" t="n">
        <f aca="false">IF(1_DATOS!C46&gt;=1,1_DATOS!C5*2025.4*SIN(RADIANS(320))+C7*SIN(RADIANS(D7)),"")</f>
        <v>-32547.5506164779</v>
      </c>
      <c r="J89" s="88" t="n">
        <f aca="false">IF(1_DATOS!C46&gt;=1,1_DATOS!C5*2025.4*COS(RADIANS(320))+C7*COS(RADIANS(D7)),"")</f>
        <v>35288.6603773294</v>
      </c>
      <c r="K89" s="88" t="n">
        <f aca="false">IF(1_DATOS!C46&gt;=2,1_DATOS!C5*2025.4*SIN(RADIANS(320))+C8*SIN(RADIANS(D8)),"")</f>
        <v>-31111.0660145101</v>
      </c>
      <c r="L89" s="88" t="n">
        <f aca="false">IF(1_DATOS!C46&gt;=2,1_DATOS!C5*2025.4*COS(RADIANS(320))+C8*COS(RADIANS(D8)),"")</f>
        <v>34841.9513700286</v>
      </c>
      <c r="M89" s="88" t="n">
        <f aca="false">IF(1_DATOS!C47&gt;=1,1_DATOS!C7*2025.4*SIN(RADIANS(320))+C9*SIN(RADIANS(D9)),"")</f>
        <v>-16506.7077723926</v>
      </c>
      <c r="N89" s="88" t="n">
        <f aca="false">IF(1_DATOS!C47&gt;=1,1_DATOS!C7*2025.4*COS(RADIANS(320))+C9*COS(RADIANS(D9)),"")</f>
        <v>17734.673504635</v>
      </c>
      <c r="O89" s="88" t="n">
        <f aca="false">IF(1_DATOS!C47&gt;=2,1_DATOS!C7*2025.4*SIN(RADIANS(320))+C10*SIN(RADIANS(D10)),"")</f>
        <v>-16506.7077723926</v>
      </c>
      <c r="P89" s="88" t="n">
        <f aca="false">IF(1_DATOS!C47&gt;=2,1_DATOS!C7*2025.4*COS(RADIANS(320))+C10*COS(RADIANS(D10)),"")</f>
        <v>19502.4404576013</v>
      </c>
      <c r="Q89" s="88" t="str">
        <f aca="false">IF(1_DATOS!C47&gt;=3,1_DATOS!C7*2025.4*SIN(RADIANS(320))+C11*SIN(RADIANS(D11)),"")</f>
        <v/>
      </c>
      <c r="R89" s="88" t="str">
        <f aca="false">IF(1_DATOS!C47&gt;=3,1_DATOS!C7*2025.4*COS(RADIANS(320))+C11*COS(RADIANS(D11)),"")</f>
        <v/>
      </c>
    </row>
    <row r="90" customFormat="false" ht="9" hidden="false" customHeight="true" outlineLevel="0" collapsed="false">
      <c r="B90" s="87" t="n">
        <v>325</v>
      </c>
      <c r="C90" s="88" t="n">
        <f aca="false">500*SIN(RADIANS(325))</f>
        <v>-286.788218175523</v>
      </c>
      <c r="D90" s="88" t="n">
        <f aca="false">500*COS(RADIANS(325))</f>
        <v>409.576022144496</v>
      </c>
      <c r="E90" s="88" t="n">
        <f aca="false">2000*SIN(RADIANS(325))</f>
        <v>-1147.15287270209</v>
      </c>
      <c r="F90" s="88" t="n">
        <f aca="false">2000*COS(RADIANS(325))</f>
        <v>1638.30408857798</v>
      </c>
      <c r="G90" s="88" t="n">
        <f aca="false">5000*SIN(RADIANS(325))</f>
        <v>-2867.88218175523</v>
      </c>
      <c r="H90" s="88" t="n">
        <f aca="false">5000*COS(RADIANS(325))</f>
        <v>4095.76022144496</v>
      </c>
      <c r="I90" s="88" t="n">
        <f aca="false">IF(1_DATOS!C46&gt;=1,1_DATOS!C5*2025.4*SIN(RADIANS(325))+C7*SIN(RADIANS(D7)),"")</f>
        <v>-29043.0428546352</v>
      </c>
      <c r="J90" s="88" t="n">
        <f aca="false">IF(1_DATOS!C46&gt;=1,1_DATOS!C5*2025.4*COS(RADIANS(325))+C7*COS(RADIANS(D7)),"")</f>
        <v>37977.7637625731</v>
      </c>
      <c r="K90" s="88" t="n">
        <f aca="false">IF(1_DATOS!C46&gt;=2,1_DATOS!C5*2025.4*SIN(RADIANS(325))+C8*SIN(RADIANS(D8)),"")</f>
        <v>-27606.5582526674</v>
      </c>
      <c r="L90" s="88" t="n">
        <f aca="false">IF(1_DATOS!C46&gt;=2,1_DATOS!C5*2025.4*COS(RADIANS(325))+C8*COS(RADIANS(D8)),"")</f>
        <v>37531.0547552723</v>
      </c>
      <c r="M90" s="88" t="n">
        <f aca="false">IF(1_DATOS!C47&gt;=1,1_DATOS!C7*2025.4*SIN(RADIANS(325))+C9*SIN(RADIANS(D9)),"")</f>
        <v>-14824.5440467081</v>
      </c>
      <c r="N90" s="88" t="n">
        <f aca="false">IF(1_DATOS!C47&gt;=1,1_DATOS!C7*2025.4*COS(RADIANS(325))+C9*COS(RADIANS(D9)),"")</f>
        <v>19025.4431295519</v>
      </c>
      <c r="O90" s="88" t="n">
        <f aca="false">IF(1_DATOS!C47&gt;=2,1_DATOS!C7*2025.4*SIN(RADIANS(325))+C10*SIN(RADIANS(D10)),"")</f>
        <v>-14824.5440467081</v>
      </c>
      <c r="P90" s="88" t="n">
        <f aca="false">IF(1_DATOS!C47&gt;=2,1_DATOS!C7*2025.4*COS(RADIANS(325))+C10*COS(RADIANS(D10)),"")</f>
        <v>20793.2100825183</v>
      </c>
      <c r="Q90" s="88" t="str">
        <f aca="false">IF(1_DATOS!C47&gt;=3,1_DATOS!C7*2025.4*SIN(RADIANS(325))+C11*SIN(RADIANS(D11)),"")</f>
        <v/>
      </c>
      <c r="R90" s="88" t="str">
        <f aca="false">IF(1_DATOS!C47&gt;=3,1_DATOS!C7*2025.4*COS(RADIANS(325))+C11*COS(RADIANS(D11)),"")</f>
        <v/>
      </c>
    </row>
    <row r="91" customFormat="false" ht="9" hidden="false" customHeight="true" outlineLevel="0" collapsed="false">
      <c r="B91" s="87" t="n">
        <v>330</v>
      </c>
      <c r="C91" s="88" t="n">
        <f aca="false">500*SIN(RADIANS(330))</f>
        <v>-250</v>
      </c>
      <c r="D91" s="88" t="n">
        <f aca="false">500*COS(RADIANS(330))</f>
        <v>433.012701892219</v>
      </c>
      <c r="E91" s="88" t="n">
        <f aca="false">2000*SIN(RADIANS(330))</f>
        <v>-1000</v>
      </c>
      <c r="F91" s="88" t="n">
        <f aca="false">2000*COS(RADIANS(330))</f>
        <v>1732.05080756888</v>
      </c>
      <c r="G91" s="88" t="n">
        <f aca="false">5000*SIN(RADIANS(330))</f>
        <v>-2500</v>
      </c>
      <c r="H91" s="88" t="n">
        <f aca="false">5000*COS(RADIANS(330))</f>
        <v>4330.12701892219</v>
      </c>
      <c r="I91" s="88" t="n">
        <f aca="false">IF(1_DATOS!C46&gt;=1,1_DATOS!C5*2025.4*SIN(RADIANS(330))+C7*SIN(RADIANS(D7)),"")</f>
        <v>-25317.5</v>
      </c>
      <c r="J91" s="88" t="n">
        <f aca="false">IF(1_DATOS!C46&gt;=1,1_DATOS!C5*2025.4*COS(RADIANS(330))+C7*COS(RADIANS(D7)),"")</f>
        <v>40351.196320625</v>
      </c>
      <c r="K91" s="88" t="n">
        <f aca="false">IF(1_DATOS!C46&gt;=2,1_DATOS!C5*2025.4*SIN(RADIANS(330))+C8*SIN(RADIANS(D8)),"")</f>
        <v>-23881.0153980322</v>
      </c>
      <c r="L91" s="88" t="n">
        <f aca="false">IF(1_DATOS!C46&gt;=2,1_DATOS!C5*2025.4*COS(RADIANS(330))+C8*COS(RADIANS(D8)),"")</f>
        <v>39904.4873133242</v>
      </c>
      <c r="M91" s="88" t="n">
        <f aca="false">IF(1_DATOS!C47&gt;=1,1_DATOS!C7*2025.4*SIN(RADIANS(330))+C9*SIN(RADIANS(D9)),"")</f>
        <v>-13036.2834764832</v>
      </c>
      <c r="N91" s="88" t="n">
        <f aca="false">IF(1_DATOS!C47&gt;=1,1_DATOS!C7*2025.4*COS(RADIANS(330))+C9*COS(RADIANS(D9)),"")</f>
        <v>20164.6907574168</v>
      </c>
      <c r="O91" s="88" t="n">
        <f aca="false">IF(1_DATOS!C47&gt;=2,1_DATOS!C7*2025.4*SIN(RADIANS(330))+C10*SIN(RADIANS(D10)),"")</f>
        <v>-13036.2834764832</v>
      </c>
      <c r="P91" s="88" t="n">
        <f aca="false">IF(1_DATOS!C47&gt;=2,1_DATOS!C7*2025.4*COS(RADIANS(330))+C10*COS(RADIANS(D10)),"")</f>
        <v>21932.4577103832</v>
      </c>
      <c r="Q91" s="88" t="str">
        <f aca="false">IF(1_DATOS!C47&gt;=3,1_DATOS!C7*2025.4*SIN(RADIANS(330))+C11*SIN(RADIANS(D11)),"")</f>
        <v/>
      </c>
      <c r="R91" s="88" t="str">
        <f aca="false">IF(1_DATOS!C47&gt;=3,1_DATOS!C7*2025.4*COS(RADIANS(330))+C11*COS(RADIANS(D11)),"")</f>
        <v/>
      </c>
    </row>
    <row r="92" customFormat="false" ht="9" hidden="false" customHeight="true" outlineLevel="0" collapsed="false">
      <c r="B92" s="87" t="n">
        <v>335</v>
      </c>
      <c r="C92" s="88" t="n">
        <f aca="false">500*SIN(RADIANS(335))</f>
        <v>-211.30913087035</v>
      </c>
      <c r="D92" s="88" t="n">
        <f aca="false">500*COS(RADIANS(335))</f>
        <v>453.153893518325</v>
      </c>
      <c r="E92" s="88" t="n">
        <f aca="false">2000*SIN(RADIANS(335))</f>
        <v>-845.236523481398</v>
      </c>
      <c r="F92" s="88" t="n">
        <f aca="false">2000*COS(RADIANS(335))</f>
        <v>1812.6155740733</v>
      </c>
      <c r="G92" s="88" t="n">
        <f aca="false">5000*SIN(RADIANS(335))</f>
        <v>-2113.0913087035</v>
      </c>
      <c r="H92" s="88" t="n">
        <f aca="false">5000*COS(RADIANS(335))</f>
        <v>4531.53893518325</v>
      </c>
      <c r="I92" s="88" t="n">
        <f aca="false">IF(1_DATOS!C46&gt;=1,1_DATOS!C5*2025.4*SIN(RADIANS(335))+C7*SIN(RADIANS(D7)),"")</f>
        <v>-21399.2756832403</v>
      </c>
      <c r="J92" s="88" t="n">
        <f aca="false">IF(1_DATOS!C46&gt;=1,1_DATOS!C5*2025.4*COS(RADIANS(335))+C7*COS(RADIANS(D7)),"")</f>
        <v>42390.8947966008</v>
      </c>
      <c r="K92" s="88" t="n">
        <f aca="false">IF(1_DATOS!C46&gt;=2,1_DATOS!C5*2025.4*SIN(RADIANS(335))+C8*SIN(RADIANS(D8)),"")</f>
        <v>-19962.7910812725</v>
      </c>
      <c r="L92" s="88" t="n">
        <f aca="false">IF(1_DATOS!C46&gt;=2,1_DATOS!C5*2025.4*COS(RADIANS(335))+C8*COS(RADIANS(D8)),"")</f>
        <v>41944.1857893</v>
      </c>
      <c r="M92" s="88" t="n">
        <f aca="false">IF(1_DATOS!C47&gt;=1,1_DATOS!C7*2025.4*SIN(RADIANS(335))+C9*SIN(RADIANS(D9)),"")</f>
        <v>-11155.5358044385</v>
      </c>
      <c r="N92" s="88" t="n">
        <f aca="false">IF(1_DATOS!C47&gt;=1,1_DATOS!C7*2025.4*COS(RADIANS(335))+C9*COS(RADIANS(D9)),"")</f>
        <v>21143.7460258852</v>
      </c>
      <c r="O92" s="88" t="n">
        <f aca="false">IF(1_DATOS!C47&gt;=2,1_DATOS!C7*2025.4*SIN(RADIANS(335))+C10*SIN(RADIANS(D10)),"")</f>
        <v>-11155.5358044385</v>
      </c>
      <c r="P92" s="88" t="n">
        <f aca="false">IF(1_DATOS!C47&gt;=2,1_DATOS!C7*2025.4*COS(RADIANS(335))+C10*COS(RADIANS(D10)),"")</f>
        <v>22911.5129788516</v>
      </c>
      <c r="Q92" s="88" t="str">
        <f aca="false">IF(1_DATOS!C47&gt;=3,1_DATOS!C7*2025.4*SIN(RADIANS(335))+C11*SIN(RADIANS(D11)),"")</f>
        <v/>
      </c>
      <c r="R92" s="88" t="str">
        <f aca="false">IF(1_DATOS!C47&gt;=3,1_DATOS!C7*2025.4*COS(RADIANS(335))+C11*COS(RADIANS(D11)),"")</f>
        <v/>
      </c>
    </row>
    <row r="93" customFormat="false" ht="9" hidden="false" customHeight="true" outlineLevel="0" collapsed="false">
      <c r="B93" s="87" t="n">
        <v>340</v>
      </c>
      <c r="C93" s="88" t="n">
        <f aca="false">500*SIN(RADIANS(340))</f>
        <v>-171.010071662835</v>
      </c>
      <c r="D93" s="88" t="n">
        <f aca="false">500*COS(RADIANS(340))</f>
        <v>469.846310392954</v>
      </c>
      <c r="E93" s="88" t="n">
        <f aca="false">2000*SIN(RADIANS(340))</f>
        <v>-684.040286651339</v>
      </c>
      <c r="F93" s="88" t="n">
        <f aca="false">2000*COS(RADIANS(340))</f>
        <v>1879.38524157182</v>
      </c>
      <c r="G93" s="88" t="n">
        <f aca="false">5000*SIN(RADIANS(340))</f>
        <v>-1710.10071662835</v>
      </c>
      <c r="H93" s="88" t="n">
        <f aca="false">5000*COS(RADIANS(340))</f>
        <v>4698.46310392954</v>
      </c>
      <c r="I93" s="88" t="n">
        <f aca="false">IF(1_DATOS!C46&gt;=1,1_DATOS!C5*2025.4*SIN(RADIANS(340))+C7*SIN(RADIANS(D7)),"")</f>
        <v>-17318.1899572953</v>
      </c>
      <c r="J93" s="88" t="n">
        <f aca="false">IF(1_DATOS!C46&gt;=1,1_DATOS!C5*2025.4*COS(RADIANS(340))+C7*COS(RADIANS(D7)),"")</f>
        <v>44081.3358534945</v>
      </c>
      <c r="K93" s="88" t="n">
        <f aca="false">IF(1_DATOS!C46&gt;=2,1_DATOS!C5*2025.4*SIN(RADIANS(340))+C8*SIN(RADIANS(D8)),"")</f>
        <v>-15881.7053553275</v>
      </c>
      <c r="L93" s="88" t="n">
        <f aca="false">IF(1_DATOS!C46&gt;=2,1_DATOS!C5*2025.4*COS(RADIANS(340))+C8*COS(RADIANS(D8)),"")</f>
        <v>43634.6268461936</v>
      </c>
      <c r="M93" s="88" t="n">
        <f aca="false">IF(1_DATOS!C47&gt;=1,1_DATOS!C7*2025.4*SIN(RADIANS(340))+C9*SIN(RADIANS(D9)),"")</f>
        <v>-9196.61465598492</v>
      </c>
      <c r="N93" s="88" t="n">
        <f aca="false">IF(1_DATOS!C47&gt;=1,1_DATOS!C7*2025.4*COS(RADIANS(340))+C9*COS(RADIANS(D9)),"")</f>
        <v>21955.1577331942</v>
      </c>
      <c r="O93" s="88" t="n">
        <f aca="false">IF(1_DATOS!C47&gt;=2,1_DATOS!C7*2025.4*SIN(RADIANS(340))+C10*SIN(RADIANS(D10)),"")</f>
        <v>-9196.61465598492</v>
      </c>
      <c r="P93" s="88" t="n">
        <f aca="false">IF(1_DATOS!C47&gt;=2,1_DATOS!C7*2025.4*COS(RADIANS(340))+C10*COS(RADIANS(D10)),"")</f>
        <v>23722.9246861605</v>
      </c>
      <c r="Q93" s="88" t="str">
        <f aca="false">IF(1_DATOS!C47&gt;=3,1_DATOS!C7*2025.4*SIN(RADIANS(340))+C11*SIN(RADIANS(D11)),"")</f>
        <v/>
      </c>
      <c r="R93" s="88" t="str">
        <f aca="false">IF(1_DATOS!C47&gt;=3,1_DATOS!C7*2025.4*COS(RADIANS(340))+C11*COS(RADIANS(D11)),"")</f>
        <v/>
      </c>
    </row>
    <row r="94" customFormat="false" ht="9" hidden="false" customHeight="true" outlineLevel="0" collapsed="false">
      <c r="B94" s="87" t="n">
        <v>345</v>
      </c>
      <c r="C94" s="88" t="n">
        <f aca="false">500*SIN(RADIANS(345))</f>
        <v>-129.40952255126</v>
      </c>
      <c r="D94" s="88" t="n">
        <f aca="false">500*COS(RADIANS(345))</f>
        <v>482.962913144534</v>
      </c>
      <c r="E94" s="88" t="n">
        <f aca="false">2000*SIN(RADIANS(345))</f>
        <v>-517.638090205041</v>
      </c>
      <c r="F94" s="88" t="n">
        <f aca="false">2000*COS(RADIANS(345))</f>
        <v>1931.85165257814</v>
      </c>
      <c r="G94" s="88" t="n">
        <f aca="false">5000*SIN(RADIANS(345))</f>
        <v>-1294.0952255126</v>
      </c>
      <c r="H94" s="88" t="n">
        <f aca="false">5000*COS(RADIANS(345))</f>
        <v>4829.62913144534</v>
      </c>
      <c r="I94" s="88" t="n">
        <f aca="false">IF(1_DATOS!C46&gt;=1,1_DATOS!C5*2025.4*SIN(RADIANS(345))+C7*SIN(RADIANS(D7)),"")</f>
        <v>-13105.3023487661</v>
      </c>
      <c r="J94" s="88" t="n">
        <f aca="false">IF(1_DATOS!C46&gt;=1,1_DATOS!C5*2025.4*COS(RADIANS(345))+C7*COS(RADIANS(D7)),"")</f>
        <v>45409.654214147</v>
      </c>
      <c r="K94" s="88" t="n">
        <f aca="false">IF(1_DATOS!C46&gt;=2,1_DATOS!C5*2025.4*SIN(RADIANS(345))+C8*SIN(RADIANS(D8)),"")</f>
        <v>-11668.8177467983</v>
      </c>
      <c r="L94" s="88" t="n">
        <f aca="false">IF(1_DATOS!C46&gt;=2,1_DATOS!C5*2025.4*COS(RADIANS(345))+C8*COS(RADIANS(D8)),"")</f>
        <v>44962.9452068462</v>
      </c>
      <c r="M94" s="88" t="n">
        <f aca="false">IF(1_DATOS!C47&gt;=1,1_DATOS!C7*2025.4*SIN(RADIANS(345))+C9*SIN(RADIANS(D9)),"")</f>
        <v>-7174.42860389093</v>
      </c>
      <c r="N94" s="88" t="n">
        <f aca="false">IF(1_DATOS!C47&gt;=1,1_DATOS!C7*2025.4*COS(RADIANS(345))+C9*COS(RADIANS(D9)),"")</f>
        <v>22592.7505463074</v>
      </c>
      <c r="O94" s="88" t="n">
        <f aca="false">IF(1_DATOS!C47&gt;=2,1_DATOS!C7*2025.4*SIN(RADIANS(345))+C10*SIN(RADIANS(D10)),"")</f>
        <v>-7174.42860389093</v>
      </c>
      <c r="P94" s="88" t="n">
        <f aca="false">IF(1_DATOS!C47&gt;=2,1_DATOS!C7*2025.4*COS(RADIANS(345))+C10*COS(RADIANS(D10)),"")</f>
        <v>24360.5174992737</v>
      </c>
      <c r="Q94" s="88" t="str">
        <f aca="false">IF(1_DATOS!C47&gt;=3,1_DATOS!C7*2025.4*SIN(RADIANS(345))+C11*SIN(RADIANS(D11)),"")</f>
        <v/>
      </c>
      <c r="R94" s="88" t="str">
        <f aca="false">IF(1_DATOS!C47&gt;=3,1_DATOS!C7*2025.4*COS(RADIANS(345))+C11*COS(RADIANS(D11)),"")</f>
        <v/>
      </c>
    </row>
    <row r="95" customFormat="false" ht="9" hidden="false" customHeight="true" outlineLevel="0" collapsed="false">
      <c r="B95" s="87" t="n">
        <v>350</v>
      </c>
      <c r="C95" s="88" t="n">
        <f aca="false">500*SIN(RADIANS(350))</f>
        <v>-86.8240888334652</v>
      </c>
      <c r="D95" s="88" t="n">
        <f aca="false">500*COS(RADIANS(350))</f>
        <v>492.403876506104</v>
      </c>
      <c r="E95" s="88" t="n">
        <f aca="false">2000*SIN(RADIANS(350))</f>
        <v>-347.296355333861</v>
      </c>
      <c r="F95" s="88" t="n">
        <f aca="false">2000*COS(RADIANS(350))</f>
        <v>1969.61550602442</v>
      </c>
      <c r="G95" s="88" t="n">
        <f aca="false">5000*SIN(RADIANS(350))</f>
        <v>-868.240888334652</v>
      </c>
      <c r="H95" s="88" t="n">
        <f aca="false">5000*COS(RADIANS(350))</f>
        <v>4924.03876506104</v>
      </c>
      <c r="I95" s="88" t="n">
        <f aca="false">IF(1_DATOS!C46&gt;=1,1_DATOS!C5*2025.4*SIN(RADIANS(350))+C7*SIN(RADIANS(D7)),"")</f>
        <v>-8792.67547616502</v>
      </c>
      <c r="J95" s="88" t="n">
        <f aca="false">IF(1_DATOS!C46&gt;=1,1_DATOS!C5*2025.4*COS(RADIANS(350))+C7*COS(RADIANS(D7)),"")</f>
        <v>46365.7405737732</v>
      </c>
      <c r="K95" s="88" t="n">
        <f aca="false">IF(1_DATOS!C46&gt;=2,1_DATOS!C5*2025.4*SIN(RADIANS(350))+C8*SIN(RADIANS(D8)),"")</f>
        <v>-7356.19087419721</v>
      </c>
      <c r="L95" s="88" t="n">
        <f aca="false">IF(1_DATOS!C46&gt;=2,1_DATOS!C5*2025.4*COS(RADIANS(350))+C8*COS(RADIANS(D8)),"")</f>
        <v>45919.0315664723</v>
      </c>
      <c r="M95" s="88" t="n">
        <f aca="false">IF(1_DATOS!C47&gt;=1,1_DATOS!C7*2025.4*SIN(RADIANS(350))+C9*SIN(RADIANS(D9)),"")</f>
        <v>-5104.3677050424</v>
      </c>
      <c r="N95" s="88" t="n">
        <f aca="false">IF(1_DATOS!C47&gt;=1,1_DATOS!C7*2025.4*COS(RADIANS(350))+C9*COS(RADIANS(D9)),"")</f>
        <v>23051.6719989279</v>
      </c>
      <c r="O95" s="88" t="n">
        <f aca="false">IF(1_DATOS!C47&gt;=2,1_DATOS!C7*2025.4*SIN(RADIANS(350))+C10*SIN(RADIANS(D10)),"")</f>
        <v>-5104.3677050424</v>
      </c>
      <c r="P95" s="88" t="n">
        <f aca="false">IF(1_DATOS!C47&gt;=2,1_DATOS!C7*2025.4*COS(RADIANS(350))+C10*COS(RADIANS(D10)),"")</f>
        <v>24819.4389518943</v>
      </c>
      <c r="Q95" s="88" t="str">
        <f aca="false">IF(1_DATOS!C47&gt;=3,1_DATOS!C7*2025.4*SIN(RADIANS(350))+C11*SIN(RADIANS(D11)),"")</f>
        <v/>
      </c>
      <c r="R95" s="88" t="str">
        <f aca="false">IF(1_DATOS!C47&gt;=3,1_DATOS!C7*2025.4*COS(RADIANS(350))+C11*COS(RADIANS(D11)),"")</f>
        <v/>
      </c>
    </row>
    <row r="96" customFormat="false" ht="9" hidden="false" customHeight="true" outlineLevel="0" collapsed="false">
      <c r="B96" s="87" t="n">
        <v>355</v>
      </c>
      <c r="C96" s="88" t="n">
        <f aca="false">500*SIN(RADIANS(355))</f>
        <v>-43.5778713738292</v>
      </c>
      <c r="D96" s="88" t="n">
        <f aca="false">500*COS(RADIANS(355))</f>
        <v>498.097349045873</v>
      </c>
      <c r="E96" s="88" t="n">
        <f aca="false">2000*SIN(RADIANS(355))</f>
        <v>-174.311485495317</v>
      </c>
      <c r="F96" s="88" t="n">
        <f aca="false">2000*COS(RADIANS(355))</f>
        <v>1992.38939618349</v>
      </c>
      <c r="G96" s="88" t="n">
        <f aca="false">5000*SIN(RADIANS(355))</f>
        <v>-435.778713738292</v>
      </c>
      <c r="H96" s="88" t="n">
        <f aca="false">5000*COS(RADIANS(355))</f>
        <v>4980.97349045873</v>
      </c>
      <c r="I96" s="88" t="n">
        <f aca="false">IF(1_DATOS!C46&gt;=1,1_DATOS!C5*2025.4*SIN(RADIANS(355))+C7*SIN(RADIANS(D7)),"")</f>
        <v>-4413.13103402768</v>
      </c>
      <c r="J96" s="88" t="n">
        <f aca="false">IF(1_DATOS!C46&gt;=1,1_DATOS!C5*2025.4*COS(RADIANS(355))+C7*COS(RADIANS(D7)),"")</f>
        <v>46942.3185378755</v>
      </c>
      <c r="K96" s="88" t="n">
        <f aca="false">IF(1_DATOS!C46&gt;=2,1_DATOS!C5*2025.4*SIN(RADIANS(355))+C8*SIN(RADIANS(D8)),"")</f>
        <v>-2976.64643205987</v>
      </c>
      <c r="L96" s="88" t="n">
        <f aca="false">IF(1_DATOS!C46&gt;=2,1_DATOS!C5*2025.4*COS(RADIANS(355))+C8*COS(RADIANS(D8)),"")</f>
        <v>46495.6095305747</v>
      </c>
      <c r="M96" s="88" t="n">
        <f aca="false">IF(1_DATOS!C47&gt;=1,1_DATOS!C7*2025.4*SIN(RADIANS(355))+C9*SIN(RADIANS(D9)),"")</f>
        <v>-3002.18637281647</v>
      </c>
      <c r="N96" s="88" t="n">
        <f aca="false">IF(1_DATOS!C47&gt;=1,1_DATOS!C7*2025.4*COS(RADIANS(355))+C9*COS(RADIANS(D9)),"")</f>
        <v>23328.4294216971</v>
      </c>
      <c r="O96" s="88" t="n">
        <f aca="false">IF(1_DATOS!C47&gt;=2,1_DATOS!C7*2025.4*SIN(RADIANS(355))+C10*SIN(RADIANS(D10)),"")</f>
        <v>-3002.18637281647</v>
      </c>
      <c r="P96" s="88" t="n">
        <f aca="false">IF(1_DATOS!C47&gt;=2,1_DATOS!C7*2025.4*COS(RADIANS(355))+C10*COS(RADIANS(D10)),"")</f>
        <v>25096.1963746634</v>
      </c>
      <c r="Q96" s="88" t="str">
        <f aca="false">IF(1_DATOS!C47&gt;=3,1_DATOS!C7*2025.4*SIN(RADIANS(355))+C11*SIN(RADIANS(D11)),"")</f>
        <v/>
      </c>
      <c r="R96" s="88" t="str">
        <f aca="false">IF(1_DATOS!C47&gt;=3,1_DATOS!C7*2025.4*COS(RADIANS(355))+C11*COS(RADIANS(D11)),"")</f>
        <v/>
      </c>
    </row>
    <row r="97" customFormat="false" ht="9" hidden="false" customHeight="true" outlineLevel="0" collapsed="false">
      <c r="B97" s="87" t="n">
        <v>360</v>
      </c>
      <c r="C97" s="88" t="n">
        <f aca="false">500*SIN(RADIANS(360))</f>
        <v>-1.22464679914735E-013</v>
      </c>
      <c r="D97" s="88" t="n">
        <f aca="false">500*COS(RADIANS(360))</f>
        <v>500</v>
      </c>
      <c r="E97" s="88" t="n">
        <f aca="false">2000*SIN(RADIANS(360))</f>
        <v>-4.89858719658941E-013</v>
      </c>
      <c r="F97" s="88" t="n">
        <f aca="false">2000*COS(RADIANS(360))</f>
        <v>2000</v>
      </c>
      <c r="G97" s="88" t="n">
        <f aca="false">5000*SIN(RADIANS(360))</f>
        <v>-1.22464679914735E-012</v>
      </c>
      <c r="H97" s="88" t="n">
        <f aca="false">5000*COS(RADIANS(360))</f>
        <v>5000</v>
      </c>
      <c r="I97" s="88" t="n">
        <f aca="false">IF(1_DATOS!C46&gt;=1,1_DATOS!C5*2025.4*SIN(RADIANS(360))+C7*SIN(RADIANS(D7)),"")</f>
        <v>-1.19733717552637E-011</v>
      </c>
      <c r="J97" s="88" t="n">
        <f aca="false">IF(1_DATOS!C46&gt;=1,1_DATOS!C5*2025.4*COS(RADIANS(360))+C7*COS(RADIANS(D7)),"")</f>
        <v>47135</v>
      </c>
      <c r="K97" s="88" t="n">
        <f aca="false">IF(1_DATOS!C46&gt;=2,1_DATOS!C5*2025.4*SIN(RADIANS(360))+C8*SIN(RADIANS(D8)),"")</f>
        <v>1436.4846019678</v>
      </c>
      <c r="L97" s="88" t="n">
        <f aca="false">IF(1_DATOS!C46&gt;=2,1_DATOS!C5*2025.4*COS(RADIANS(360))+C8*COS(RADIANS(D8)),"")</f>
        <v>46688.2909926992</v>
      </c>
      <c r="M97" s="88" t="n">
        <f aca="false">IF(1_DATOS!C47&gt;=1,1_DATOS!C7*2025.4*SIN(RADIANS(360))+C9*SIN(RADIANS(D9)),"")</f>
        <v>-883.88347648319</v>
      </c>
      <c r="N97" s="88" t="n">
        <f aca="false">IF(1_DATOS!C47&gt;=1,1_DATOS!C7*2025.4*COS(RADIANS(360))+C9*COS(RADIANS(D9)),"")</f>
        <v>23420.9165235168</v>
      </c>
      <c r="O97" s="88" t="n">
        <f aca="false">IF(1_DATOS!C47&gt;=2,1_DATOS!C7*2025.4*SIN(RADIANS(360))+C10*SIN(RADIANS(D10)),"")</f>
        <v>-883.883476483191</v>
      </c>
      <c r="P97" s="88" t="n">
        <f aca="false">IF(1_DATOS!C47&gt;=2,1_DATOS!C7*2025.4*COS(RADIANS(360))+C10*COS(RADIANS(D10)),"")</f>
        <v>25188.6834764832</v>
      </c>
      <c r="Q97" s="88" t="str">
        <f aca="false">IF(1_DATOS!C47&gt;=3,1_DATOS!C7*2025.4*SIN(RADIANS(360))+C11*SIN(RADIANS(D11)),"")</f>
        <v/>
      </c>
      <c r="R97" s="88" t="str">
        <f aca="false">IF(1_DATOS!C47&gt;=3,1_DATOS!C7*2025.4*COS(RADIANS(360))+C11*COS(RADIANS(D11)),"")</f>
        <v/>
      </c>
    </row>
    <row r="98" customFormat="false" ht="10.5" hidden="false" customHeight="true" outlineLevel="0" collapsed="false">
      <c r="B98" s="89" t="s">
        <v>321</v>
      </c>
      <c r="C98" s="90" t="n">
        <f aca="false">0</f>
        <v>0</v>
      </c>
      <c r="D98" s="90" t="n">
        <f aca="false">0</f>
        <v>0</v>
      </c>
    </row>
    <row r="99" customFormat="false" ht="10.5" hidden="false" customHeight="true" outlineLevel="0" collapsed="false">
      <c r="B99" s="89" t="s">
        <v>322</v>
      </c>
      <c r="C99" s="90" t="n">
        <f aca="false">C7*SIN(RADIANS(D7))</f>
        <v>4.28626379701574E-013</v>
      </c>
      <c r="D99" s="90" t="n">
        <f aca="false">C7*COS(RADIANS(D7))</f>
        <v>-3500</v>
      </c>
    </row>
    <row r="100" customFormat="false" ht="10.5" hidden="false" customHeight="true" outlineLevel="0" collapsed="false">
      <c r="B100" s="89" t="s">
        <v>323</v>
      </c>
      <c r="C100" s="90" t="n">
        <f aca="false">IF(1_DATOS!C46&gt;=2,C8*SIN(RADIANS(D8)),"")</f>
        <v>1436.48460196781</v>
      </c>
      <c r="D100" s="90" t="n">
        <f aca="false">IF(1_DATOS!C46&gt;=2,C8*COS(RADIANS(D8)),"")</f>
        <v>-3946.70900730082</v>
      </c>
    </row>
    <row r="101" customFormat="false" ht="10.5" hidden="false" customHeight="true" outlineLevel="0" collapsed="false">
      <c r="B101" s="89" t="s">
        <v>324</v>
      </c>
      <c r="C101" s="90" t="n">
        <f aca="false">IF(1_DATOS!C47&gt;=1,C9*SIN(RADIANS(D9)),"")</f>
        <v>-883.883476483184</v>
      </c>
      <c r="D101" s="90" t="n">
        <f aca="false">IF(1_DATOS!C47&gt;=1,C9*COS(RADIANS(D9)),"")</f>
        <v>-883.883476483185</v>
      </c>
    </row>
    <row r="102" customFormat="false" ht="10.5" hidden="false" customHeight="true" outlineLevel="0" collapsed="false">
      <c r="B102" s="89" t="s">
        <v>325</v>
      </c>
      <c r="C102" s="90" t="n">
        <f aca="false">IF(1_DATOS!C47&gt;=2,C10*SIN(RADIANS(D10)),"")</f>
        <v>-883.883476483185</v>
      </c>
      <c r="D102" s="90" t="n">
        <f aca="false">IF(1_DATOS!C47&gt;=2,C10*COS(RADIANS(D10)),"")</f>
        <v>883.883476483184</v>
      </c>
    </row>
    <row r="103" customFormat="false" ht="10.5" hidden="false" customHeight="true" outlineLevel="0" collapsed="false">
      <c r="B103" s="89" t="s">
        <v>326</v>
      </c>
      <c r="C103" s="90" t="str">
        <f aca="false">IF(1_DATOS!C47&gt;=3,C11*SIN(RADIANS(D11)),"")</f>
        <v/>
      </c>
      <c r="D103" s="90" t="str">
        <f aca="false">IF(1_DATOS!C47&gt;=3,C11*COS(RADIANS(D11)),"")</f>
        <v/>
      </c>
    </row>
  </sheetData>
  <mergeCells count="7">
    <mergeCell ref="B1:N1"/>
    <mergeCell ref="B2:N2"/>
    <mergeCell ref="B4:N4"/>
    <mergeCell ref="C5:D5"/>
    <mergeCell ref="B12:N12"/>
    <mergeCell ref="B14:N14"/>
    <mergeCell ref="B23:N2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E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36"/>
    <col collapsed="false" customWidth="true" hidden="false" outlineLevel="0" max="5" min="3" style="0" width="20"/>
    <col collapsed="false" customWidth="true" hidden="false" outlineLevel="0" max="6" min="6" style="0" width="2"/>
  </cols>
  <sheetData>
    <row r="1" customFormat="false" ht="36" hidden="false" customHeight="true" outlineLevel="0" collapsed="false">
      <c r="B1" s="68" t="s">
        <v>375</v>
      </c>
      <c r="C1" s="68"/>
      <c r="D1" s="68"/>
      <c r="E1" s="68"/>
    </row>
    <row r="3" customFormat="false" ht="21.75" hidden="false" customHeight="true" outlineLevel="0" collapsed="false">
      <c r="B3" s="29" t="s">
        <v>376</v>
      </c>
      <c r="C3" s="29"/>
      <c r="D3" s="29"/>
      <c r="E3" s="29"/>
    </row>
    <row r="4" customFormat="false" ht="19.5" hidden="false" customHeight="true" outlineLevel="0" collapsed="false">
      <c r="B4" s="108" t="s">
        <v>78</v>
      </c>
      <c r="C4" s="108" t="s">
        <v>377</v>
      </c>
      <c r="D4" s="108" t="s">
        <v>341</v>
      </c>
    </row>
    <row r="5" customFormat="false" ht="16.5" hidden="false" customHeight="true" outlineLevel="0" collapsed="false">
      <c r="B5" s="23" t="s">
        <v>378</v>
      </c>
      <c r="C5" s="109" t="s">
        <v>379</v>
      </c>
      <c r="D5" s="99" t="s">
        <v>380</v>
      </c>
    </row>
    <row r="6" customFormat="false" ht="16.5" hidden="false" customHeight="true" outlineLevel="0" collapsed="false">
      <c r="B6" s="23" t="s">
        <v>381</v>
      </c>
      <c r="C6" s="109" t="s">
        <v>382</v>
      </c>
      <c r="D6" s="99" t="s">
        <v>291</v>
      </c>
    </row>
    <row r="7" customFormat="false" ht="16.5" hidden="false" customHeight="true" outlineLevel="0" collapsed="false">
      <c r="B7" s="23" t="s">
        <v>383</v>
      </c>
      <c r="C7" s="109" t="n">
        <f aca="false">1_DATOS!C5</f>
        <v>25</v>
      </c>
      <c r="D7" s="99" t="n">
        <f aca="false">1_DATOS!C7</f>
        <v>12</v>
      </c>
    </row>
    <row r="8" customFormat="false" ht="16.5" hidden="false" customHeight="true" outlineLevel="0" collapsed="false">
      <c r="B8" s="23" t="s">
        <v>384</v>
      </c>
      <c r="C8" s="109" t="n">
        <f aca="false">1_DATOS!C8</f>
        <v>600</v>
      </c>
      <c r="D8" s="99" t="n">
        <f aca="false">1_DATOS!C10</f>
        <v>600</v>
      </c>
    </row>
    <row r="9" customFormat="false" ht="16.5" hidden="false" customHeight="true" outlineLevel="0" collapsed="false">
      <c r="B9" s="23" t="s">
        <v>385</v>
      </c>
      <c r="C9" s="109" t="str">
        <f aca="false">1_DATOS!C25&amp;"–"&amp;1_DATOS!C24</f>
        <v>7–10</v>
      </c>
      <c r="D9" s="99" t="str">
        <f aca="false">1_DATOS!C27&amp;"–"&amp;1_DATOS!C26</f>
        <v>2–8</v>
      </c>
    </row>
    <row r="10" customFormat="false" ht="16.5" hidden="false" customHeight="true" outlineLevel="0" collapsed="false">
      <c r="B10" s="23" t="s">
        <v>386</v>
      </c>
      <c r="C10" s="110" t="n">
        <f aca="false">1_DATOS!C28/100</f>
        <v>0.8</v>
      </c>
      <c r="D10" s="37" t="n">
        <f aca="false">1_DATOS!C29/100</f>
        <v>0.8</v>
      </c>
    </row>
    <row r="11" customFormat="false" ht="16.5" hidden="false" customHeight="true" outlineLevel="0" collapsed="false">
      <c r="B11" s="23" t="s">
        <v>387</v>
      </c>
      <c r="C11" s="110" t="n">
        <f aca="false">2_CALCULOS!C40</f>
        <v>0.56</v>
      </c>
      <c r="D11" s="37" t="n">
        <f aca="false">2_CALCULOS!E40</f>
        <v>0.56</v>
      </c>
    </row>
    <row r="12" customFormat="false" ht="16.5" hidden="false" customHeight="true" outlineLevel="0" collapsed="false">
      <c r="B12" s="23" t="s">
        <v>388</v>
      </c>
      <c r="C12" s="110" t="n">
        <f aca="false">2_CALCULOS!C41</f>
        <v>0.8064</v>
      </c>
      <c r="D12" s="37" t="n">
        <f aca="false">2_CALCULOS!E41</f>
        <v>0.8064</v>
      </c>
    </row>
    <row r="13" customFormat="false" ht="16.5" hidden="false" customHeight="true" outlineLevel="0" collapsed="false">
      <c r="B13" s="23" t="s">
        <v>389</v>
      </c>
      <c r="C13" s="110" t="n">
        <f aca="false">2_CALCULOS!C42</f>
        <v>0.8064</v>
      </c>
      <c r="D13" s="37" t="n">
        <f aca="false">2_CALCULOS!E42</f>
        <v>0.8064</v>
      </c>
    </row>
    <row r="15" customFormat="false" ht="27.75" hidden="false" customHeight="true" outlineLevel="0" collapsed="false">
      <c r="B15" s="43" t="str">
        <f aca="false">2_CALCULOS!B45</f>
        <v>Pk TOTAL GRUPO DE TAREA (ambas capas):  96.3%</v>
      </c>
      <c r="C15" s="43"/>
      <c r="D15" s="43"/>
      <c r="E15" s="43"/>
    </row>
    <row r="17" customFormat="false" ht="21.75" hidden="false" customHeight="true" outlineLevel="0" collapsed="false">
      <c r="B17" s="111" t="s">
        <v>390</v>
      </c>
      <c r="C17" s="111"/>
      <c r="D17" s="111"/>
      <c r="E17" s="111"/>
    </row>
    <row r="18" customFormat="false" ht="18" hidden="false" customHeight="true" outlineLevel="0" collapsed="false">
      <c r="B18" s="23" t="s">
        <v>391</v>
      </c>
      <c r="C18" s="55" t="n">
        <f aca="false">3_MONTECARLO!G113</f>
        <v>59</v>
      </c>
      <c r="D18" s="25"/>
    </row>
    <row r="19" customFormat="false" ht="18" hidden="false" customHeight="true" outlineLevel="0" collapsed="false">
      <c r="B19" s="23" t="s">
        <v>260</v>
      </c>
      <c r="C19" s="55" t="n">
        <f aca="false">3_MONTECARLO!G111</f>
        <v>41</v>
      </c>
      <c r="D19" s="25"/>
    </row>
    <row r="20" customFormat="false" ht="18" hidden="false" customHeight="true" outlineLevel="0" collapsed="false">
      <c r="B20" s="23" t="s">
        <v>392</v>
      </c>
      <c r="C20" s="112" t="n">
        <f aca="false">1_DATOS!C32</f>
        <v>0</v>
      </c>
      <c r="D20" s="25"/>
    </row>
    <row r="21" customFormat="false" ht="18" hidden="false" customHeight="true" outlineLevel="0" collapsed="false">
      <c r="B21" s="23" t="s">
        <v>70</v>
      </c>
      <c r="C21" s="112" t="str">
        <f aca="false">1_DATOS!C45</f>
        <v>2-FFG+2-FF23</v>
      </c>
      <c r="D21" s="25"/>
    </row>
    <row r="22" customFormat="false" ht="18" hidden="false" customHeight="true" outlineLevel="0" collapsed="false">
      <c r="B22" s="23" t="s">
        <v>393</v>
      </c>
      <c r="C22" s="55" t="n">
        <f aca="false">4_COBERTURA!I23</f>
        <v>0</v>
      </c>
      <c r="D22" s="25"/>
    </row>
    <row r="24" customFormat="false" ht="21.75" hidden="false" customHeight="true" outlineLevel="0" collapsed="false">
      <c r="B24" s="39" t="s">
        <v>394</v>
      </c>
      <c r="C24" s="39"/>
      <c r="D24" s="39"/>
      <c r="E24" s="39"/>
    </row>
    <row r="25" customFormat="false" ht="18" hidden="false" customHeight="true" outlineLevel="0" collapsed="false">
      <c r="B25" s="113" t="s">
        <v>395</v>
      </c>
      <c r="C25" s="113" t="s">
        <v>396</v>
      </c>
      <c r="D25" s="113" t="s">
        <v>397</v>
      </c>
      <c r="E25" s="113" t="s">
        <v>398</v>
      </c>
    </row>
    <row r="26" customFormat="false" ht="15.75" hidden="false" customHeight="true" outlineLevel="0" collapsed="false">
      <c r="B26" s="31" t="s">
        <v>399</v>
      </c>
      <c r="C26" s="114" t="n">
        <f aca="false">1_DATOS!C6</f>
        <v>60</v>
      </c>
      <c r="D26" s="114" t="n">
        <f aca="false">1_DATOS!C6*1852/(1_DATOS!C17*0.5144)</f>
        <v>392.7612045808</v>
      </c>
      <c r="E26" s="115" t="s">
        <v>400</v>
      </c>
    </row>
    <row r="27" customFormat="false" ht="15.75" hidden="false" customHeight="true" outlineLevel="0" collapsed="false">
      <c r="B27" s="31" t="s">
        <v>401</v>
      </c>
      <c r="C27" s="114" t="n">
        <f aca="false">1_DATOS!C21</f>
        <v>10</v>
      </c>
      <c r="D27" s="114" t="n">
        <f aca="false">1_DATOS!C21*1852/(1_DATOS!C17*0.5144)</f>
        <v>65.4602007634667</v>
      </c>
      <c r="E27" s="115" t="s">
        <v>402</v>
      </c>
    </row>
    <row r="28" customFormat="false" ht="15.75" hidden="false" customHeight="true" outlineLevel="0" collapsed="false">
      <c r="B28" s="31" t="s">
        <v>403</v>
      </c>
      <c r="C28" s="114" t="n">
        <f aca="false">1_DATOS!C6</f>
        <v>60</v>
      </c>
      <c r="D28" s="114" t="n">
        <f aca="false">1_DATOS!C6*1852/(1_DATOS!C17*0.5144)</f>
        <v>392.7612045808</v>
      </c>
      <c r="E28" s="115" t="s">
        <v>404</v>
      </c>
    </row>
    <row r="29" customFormat="false" ht="15.75" hidden="false" customHeight="true" outlineLevel="0" collapsed="false">
      <c r="B29" s="31" t="s">
        <v>405</v>
      </c>
      <c r="C29" s="114" t="n">
        <f aca="false">1_DATOS!C5</f>
        <v>25</v>
      </c>
      <c r="D29" s="114" t="n">
        <f aca="false">1_DATOS!C5*1852/(1_DATOS!C17*0.5144)</f>
        <v>163.650501908667</v>
      </c>
      <c r="E29" s="115" t="s">
        <v>406</v>
      </c>
    </row>
    <row r="30" customFormat="false" ht="15.75" hidden="false" customHeight="true" outlineLevel="0" collapsed="false">
      <c r="B30" s="31" t="s">
        <v>407</v>
      </c>
      <c r="C30" s="114" t="n">
        <f aca="false">5</f>
        <v>5</v>
      </c>
      <c r="D30" s="114" t="n">
        <f aca="false">5*1852/(1_DATOS!C17*0.5144)</f>
        <v>32.7301003817334</v>
      </c>
      <c r="E30" s="115" t="s">
        <v>408</v>
      </c>
    </row>
    <row r="31" customFormat="false" ht="15.75" hidden="false" customHeight="true" outlineLevel="0" collapsed="false">
      <c r="B31" s="31" t="s">
        <v>409</v>
      </c>
      <c r="C31" s="114" t="n">
        <f aca="false">1_DATOS!C7</f>
        <v>12</v>
      </c>
      <c r="D31" s="114" t="n">
        <f aca="false">1_DATOS!C7*1852/(1_DATOS!C17*0.5144)</f>
        <v>78.5522409161601</v>
      </c>
      <c r="E31" s="115" t="s">
        <v>410</v>
      </c>
    </row>
    <row r="32" customFormat="false" ht="15.75" hidden="false" customHeight="true" outlineLevel="0" collapsed="false">
      <c r="B32" s="31" t="s">
        <v>411</v>
      </c>
      <c r="C32" s="114" t="n">
        <f aca="false">5000/2025.4</f>
        <v>2.46864816826306</v>
      </c>
      <c r="D32" s="114" t="n">
        <f aca="false">(5000/2025.4)*1852/(1_DATOS!C17*0.5144)</f>
        <v>16.1598204708864</v>
      </c>
      <c r="E32" s="115" t="s">
        <v>377</v>
      </c>
    </row>
    <row r="33" customFormat="false" ht="15.75" hidden="false" customHeight="true" outlineLevel="0" collapsed="false">
      <c r="B33" s="31" t="s">
        <v>412</v>
      </c>
      <c r="C33" s="114" t="n">
        <f aca="false">2000/2025.4</f>
        <v>0.987459267305224</v>
      </c>
      <c r="D33" s="114" t="n">
        <f aca="false">(2000/2025.4)*1852/(1_DATOS!C17*0.5144)</f>
        <v>6.46392818835457</v>
      </c>
      <c r="E33" s="115" t="s">
        <v>341</v>
      </c>
    </row>
    <row r="34" customFormat="false" ht="15.75" hidden="false" customHeight="true" outlineLevel="0" collapsed="false">
      <c r="B34" s="31" t="s">
        <v>413</v>
      </c>
      <c r="C34" s="114" t="n">
        <f aca="false">500/2025.4</f>
        <v>0.246864816826306</v>
      </c>
      <c r="D34" s="114" t="n">
        <f aca="false">(500/2025.4)*1852/(1_DATOS!C17*0.5144)</f>
        <v>1.61598204708864</v>
      </c>
      <c r="E34" s="115" t="s">
        <v>414</v>
      </c>
    </row>
    <row r="35" customFormat="false" ht="15.75" hidden="false" customHeight="true" outlineLevel="0" collapsed="false">
      <c r="B35" s="31" t="s">
        <v>321</v>
      </c>
      <c r="C35" s="114" t="n">
        <f aca="false">0</f>
        <v>0</v>
      </c>
      <c r="D35" s="114" t="n">
        <f aca="false">0</f>
        <v>0</v>
      </c>
      <c r="E35" s="115" t="s">
        <v>415</v>
      </c>
    </row>
    <row r="37" customFormat="false" ht="21.75" hidden="false" customHeight="true" outlineLevel="0" collapsed="false">
      <c r="B37" s="57" t="s">
        <v>416</v>
      </c>
      <c r="C37" s="57"/>
      <c r="D37" s="57"/>
      <c r="E37" s="57"/>
    </row>
    <row r="38" customFormat="false" ht="18" hidden="false" customHeight="true" outlineLevel="0" collapsed="false">
      <c r="B38" s="116" t="s">
        <v>264</v>
      </c>
      <c r="C38" s="116" t="s">
        <v>265</v>
      </c>
      <c r="D38" s="116" t="s">
        <v>417</v>
      </c>
      <c r="E38" s="116" t="s">
        <v>418</v>
      </c>
    </row>
    <row r="39" customFormat="false" ht="16.5" hidden="false" customHeight="true" outlineLevel="0" collapsed="false">
      <c r="B39" s="60" t="s">
        <v>272</v>
      </c>
      <c r="C39" s="117" t="n">
        <f aca="false">3_MONTECARLO!C119</f>
        <v>3500</v>
      </c>
      <c r="D39" s="117" t="n">
        <f aca="false">3_MONTECARLO!D119</f>
        <v>180</v>
      </c>
      <c r="E39" s="118" t="n">
        <f aca="false">4_COBERTURA!I17</f>
        <v>1</v>
      </c>
    </row>
    <row r="40" customFormat="false" ht="16.5" hidden="false" customHeight="true" outlineLevel="0" collapsed="false">
      <c r="B40" s="60" t="s">
        <v>273</v>
      </c>
      <c r="C40" s="117" t="n">
        <f aca="false">3_MONTECARLO!C120</f>
        <v>4200</v>
      </c>
      <c r="D40" s="117" t="n">
        <f aca="false">3_MONTECARLO!D120</f>
        <v>160</v>
      </c>
      <c r="E40" s="118" t="n">
        <f aca="false">4_COBERTURA!I18</f>
        <v>1</v>
      </c>
    </row>
    <row r="41" customFormat="false" ht="16.5" hidden="false" customHeight="true" outlineLevel="0" collapsed="false">
      <c r="B41" s="66" t="s">
        <v>274</v>
      </c>
      <c r="C41" s="117" t="n">
        <f aca="false">3_MONTECARLO!C121</f>
        <v>1250</v>
      </c>
      <c r="D41" s="117" t="n">
        <f aca="false">3_MONTECARLO!D121</f>
        <v>225</v>
      </c>
      <c r="E41" s="118" t="n">
        <f aca="false">4_COBERTURA!I19</f>
        <v>1</v>
      </c>
    </row>
    <row r="42" customFormat="false" ht="16.5" hidden="false" customHeight="true" outlineLevel="0" collapsed="false">
      <c r="B42" s="66" t="s">
        <v>275</v>
      </c>
      <c r="C42" s="117" t="n">
        <f aca="false">3_MONTECARLO!C122</f>
        <v>1250</v>
      </c>
      <c r="D42" s="117" t="n">
        <f aca="false">3_MONTECARLO!D122</f>
        <v>315</v>
      </c>
      <c r="E42" s="118" t="n">
        <f aca="false">4_COBERTURA!I20</f>
        <v>1</v>
      </c>
    </row>
    <row r="43" customFormat="false" ht="16.5" hidden="false" customHeight="true" outlineLevel="0" collapsed="false">
      <c r="B43" s="66" t="s">
        <v>276</v>
      </c>
      <c r="C43" s="117" t="n">
        <f aca="false">3_MONTECARLO!C123</f>
        <v>900</v>
      </c>
      <c r="D43" s="117" t="n">
        <f aca="false">3_MONTECARLO!D123</f>
        <v>270</v>
      </c>
      <c r="E43" s="118" t="n">
        <f aca="false">4_COBERTURA!I21</f>
        <v>0.3</v>
      </c>
    </row>
  </sheetData>
  <mergeCells count="6">
    <mergeCell ref="B1:E1"/>
    <mergeCell ref="B3:E3"/>
    <mergeCell ref="B15:E15"/>
    <mergeCell ref="B17:E17"/>
    <mergeCell ref="B24:E24"/>
    <mergeCell ref="B37:E3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2026-04-08T12:17:25Z</dcterms:created>
  <dc:creator>openpyxl</dc:creator>
  <dc:description/>
  <dc:language>en-US</dc:language>
  <cp:lastModifiedBy/>
  <dcterms:modified xsi:type="dcterms:W3CDTF">2026-04-08T12:22:24Z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