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04\compartir\OBRAS CIVILES\SOSTENIMIENTO Y RECUPERACIÓN 07-01-2026\PRESENTACIÓN DGSA ENERO 19\"/>
    </mc:Choice>
  </mc:AlternateContent>
  <bookViews>
    <workbookView xWindow="0" yWindow="0" windowWidth="15360" windowHeight="8205" activeTab="1"/>
  </bookViews>
  <sheets>
    <sheet name="PLAN SOSTENIMIENTO" sheetId="2" r:id="rId1"/>
    <sheet name="PLAN RECUPERACIÓN " sheetId="3" r:id="rId2"/>
    <sheet name="RESUMEN RECUP. POR EDIFICIO" sheetId="5" r:id="rId3"/>
    <sheet name="TABLA DE COMPARACIÓN CD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52" i="2" l="1"/>
  <c r="J32" i="5" l="1"/>
  <c r="I32" i="5"/>
  <c r="H32" i="5"/>
  <c r="C43" i="5" l="1"/>
  <c r="C42" i="5"/>
  <c r="J27" i="5" l="1"/>
  <c r="I27" i="5"/>
  <c r="H27" i="5"/>
  <c r="J26" i="5"/>
  <c r="I26" i="5"/>
  <c r="H26" i="5"/>
  <c r="J25" i="5"/>
  <c r="I25" i="5"/>
  <c r="H25" i="5"/>
  <c r="J24" i="5"/>
  <c r="I24" i="5"/>
  <c r="H24" i="5"/>
  <c r="J21" i="5"/>
  <c r="I21" i="5"/>
  <c r="H21" i="5"/>
  <c r="J20" i="5"/>
  <c r="I20" i="5"/>
  <c r="H20" i="5"/>
  <c r="H19" i="5"/>
  <c r="I223" i="3"/>
  <c r="J19" i="5"/>
  <c r="I19" i="5"/>
  <c r="J18" i="5"/>
  <c r="I18" i="5"/>
  <c r="H18" i="5"/>
  <c r="J17" i="5"/>
  <c r="I17" i="5"/>
  <c r="H17" i="5"/>
  <c r="J16" i="5"/>
  <c r="I16" i="5"/>
  <c r="H16" i="5"/>
  <c r="J15" i="5"/>
  <c r="I15" i="5"/>
  <c r="H15" i="5"/>
  <c r="J14" i="5"/>
  <c r="I14" i="5"/>
  <c r="H14" i="5"/>
  <c r="J13" i="5"/>
  <c r="I13" i="5"/>
  <c r="H13" i="5"/>
  <c r="J12" i="5"/>
  <c r="I12" i="5"/>
  <c r="H12" i="5"/>
  <c r="J11" i="5"/>
  <c r="I11" i="5"/>
  <c r="H11" i="5"/>
  <c r="J10" i="5"/>
  <c r="I10" i="5"/>
  <c r="H10" i="5"/>
  <c r="J9" i="5"/>
  <c r="I9" i="5"/>
  <c r="H9" i="5"/>
  <c r="J8" i="5"/>
  <c r="I8" i="5"/>
  <c r="H8" i="5"/>
  <c r="J60" i="3"/>
  <c r="J74" i="3"/>
  <c r="J75" i="3"/>
  <c r="J309" i="3"/>
  <c r="D31" i="5"/>
  <c r="D28" i="5"/>
  <c r="D27" i="5"/>
  <c r="D26" i="5"/>
  <c r="D25" i="5"/>
  <c r="D24" i="5"/>
  <c r="D23" i="5"/>
  <c r="D22" i="5"/>
  <c r="D21" i="5"/>
  <c r="D19" i="5"/>
  <c r="D18" i="5"/>
  <c r="D17" i="5"/>
  <c r="D16" i="5"/>
  <c r="D15" i="5"/>
  <c r="D14" i="5"/>
  <c r="D13" i="5"/>
  <c r="D12" i="5"/>
  <c r="D11" i="5"/>
  <c r="K17" i="5" l="1"/>
  <c r="K24" i="5"/>
  <c r="K8" i="5"/>
  <c r="L8" i="5" s="1"/>
  <c r="K15" i="5"/>
  <c r="E31" i="5"/>
  <c r="K16" i="5"/>
  <c r="K12" i="5"/>
  <c r="K9" i="5"/>
  <c r="K25" i="5"/>
  <c r="K27" i="5"/>
  <c r="K26" i="5"/>
  <c r="K21" i="5"/>
  <c r="K20" i="5"/>
  <c r="K19" i="5"/>
  <c r="K18" i="5"/>
  <c r="K14" i="5"/>
  <c r="K13" i="5"/>
  <c r="K11" i="5"/>
  <c r="K10" i="5"/>
  <c r="D10" i="5"/>
  <c r="E10" i="5" s="1"/>
  <c r="D9" i="5"/>
  <c r="D8" i="5"/>
  <c r="E28" i="5"/>
  <c r="E27" i="5"/>
  <c r="E26" i="5"/>
  <c r="E25" i="5"/>
  <c r="E24" i="5"/>
  <c r="E23" i="5"/>
  <c r="E22" i="5"/>
  <c r="E21" i="5"/>
  <c r="E19" i="5"/>
  <c r="E18" i="5"/>
  <c r="E17" i="5"/>
  <c r="E16" i="5"/>
  <c r="E15" i="5"/>
  <c r="E14" i="5"/>
  <c r="E13" i="5"/>
  <c r="E12" i="5"/>
  <c r="E11" i="5"/>
  <c r="L9" i="5" l="1"/>
  <c r="E9" i="5"/>
  <c r="E8" i="5"/>
  <c r="L10" i="5"/>
  <c r="L11" i="5" s="1"/>
  <c r="L12" i="5" s="1"/>
  <c r="L13" i="5" s="1"/>
  <c r="L14" i="5" s="1"/>
  <c r="L15" i="5" s="1"/>
  <c r="L16" i="5" s="1"/>
  <c r="L17" i="5" s="1"/>
  <c r="L18" i="5" s="1"/>
  <c r="L19" i="5" s="1"/>
  <c r="L20" i="5" s="1"/>
  <c r="L21" i="5" s="1"/>
  <c r="G43" i="3"/>
  <c r="I7" i="3"/>
  <c r="H29" i="4"/>
  <c r="H28" i="4"/>
  <c r="H24" i="4"/>
  <c r="H22" i="4"/>
  <c r="G20" i="4"/>
  <c r="H20" i="4" s="1"/>
  <c r="H17" i="4"/>
  <c r="F16" i="4"/>
  <c r="H16" i="4" s="1"/>
  <c r="F12" i="4"/>
  <c r="F13" i="4" s="1"/>
  <c r="F11" i="4"/>
  <c r="H11" i="4" s="1"/>
  <c r="F9" i="4"/>
  <c r="F10" i="4" s="1"/>
  <c r="J33" i="4" l="1"/>
  <c r="I33" i="4" s="1"/>
  <c r="L24" i="5"/>
  <c r="L25" i="5" s="1"/>
  <c r="L26" i="5" s="1"/>
  <c r="L27" i="5" s="1"/>
  <c r="G250" i="2"/>
  <c r="H249" i="2"/>
  <c r="U323" i="3"/>
  <c r="U316" i="3"/>
  <c r="I326" i="3"/>
  <c r="J326" i="3" s="1"/>
  <c r="I327" i="3"/>
  <c r="J327" i="3" s="1"/>
  <c r="I328" i="3"/>
  <c r="J328" i="3" s="1"/>
  <c r="I329" i="3"/>
  <c r="J329" i="3" s="1"/>
  <c r="I324" i="3"/>
  <c r="I325" i="3"/>
  <c r="J325" i="3" s="1"/>
  <c r="J299" i="3"/>
  <c r="J300" i="3"/>
  <c r="I267" i="3"/>
  <c r="J267" i="3" s="1"/>
  <c r="I266" i="3"/>
  <c r="J266" i="3" s="1"/>
  <c r="I265" i="3"/>
  <c r="J265" i="3" s="1"/>
  <c r="I264" i="3"/>
  <c r="J264" i="3" s="1"/>
  <c r="I263" i="3"/>
  <c r="J263" i="3" s="1"/>
  <c r="I262" i="3"/>
  <c r="J262" i="3" s="1"/>
  <c r="I203" i="3"/>
  <c r="J203" i="3" s="1"/>
  <c r="I202" i="3"/>
  <c r="J202" i="3" s="1"/>
  <c r="I201" i="3"/>
  <c r="J201" i="3" s="1"/>
  <c r="I200" i="3"/>
  <c r="J200" i="3" s="1"/>
  <c r="I171" i="3"/>
  <c r="J171" i="3" s="1"/>
  <c r="I170" i="3"/>
  <c r="J170" i="3" s="1"/>
  <c r="I169" i="3"/>
  <c r="J169" i="3" s="1"/>
  <c r="I168" i="3"/>
  <c r="J168" i="3" s="1"/>
  <c r="I167" i="3"/>
  <c r="J167" i="3" s="1"/>
  <c r="I62" i="3"/>
  <c r="J62" i="3" s="1"/>
  <c r="I61" i="3"/>
  <c r="J61" i="3" s="1"/>
  <c r="I60" i="3"/>
  <c r="I59" i="3"/>
  <c r="J59" i="3" s="1"/>
  <c r="I58" i="3"/>
  <c r="J58" i="3" s="1"/>
  <c r="J34" i="4" l="1"/>
  <c r="J324" i="3"/>
  <c r="J332" i="3" s="1"/>
  <c r="L332" i="3" s="1"/>
  <c r="U332" i="3" s="1"/>
  <c r="I332" i="3"/>
  <c r="I289" i="3"/>
  <c r="J289" i="3" s="1"/>
  <c r="I288" i="3"/>
  <c r="J288" i="3" s="1"/>
  <c r="I287" i="3"/>
  <c r="J287" i="3" s="1"/>
  <c r="I286" i="3"/>
  <c r="J286" i="3" s="1"/>
  <c r="I285" i="3"/>
  <c r="J285" i="3" s="1"/>
  <c r="I237" i="3"/>
  <c r="J237" i="3" s="1"/>
  <c r="I236" i="3"/>
  <c r="J236" i="3" s="1"/>
  <c r="I235" i="3"/>
  <c r="J235" i="3" s="1"/>
  <c r="I234" i="3"/>
  <c r="J234" i="3" s="1"/>
  <c r="I233" i="3"/>
  <c r="J233" i="3" s="1"/>
  <c r="L336" i="3"/>
  <c r="M336" i="3" s="1"/>
  <c r="N336" i="3" s="1"/>
  <c r="O336" i="3" s="1"/>
  <c r="P336" i="3" s="1"/>
  <c r="Q336" i="3" s="1"/>
  <c r="R336" i="3" s="1"/>
  <c r="S336" i="3" s="1"/>
  <c r="T336" i="3" s="1"/>
  <c r="G223" i="3"/>
  <c r="G221" i="3"/>
  <c r="I245" i="3"/>
  <c r="J245" i="3" s="1"/>
  <c r="I144" i="3" l="1"/>
  <c r="J144" i="3" s="1"/>
  <c r="I143" i="3"/>
  <c r="J143" i="3" s="1"/>
  <c r="I142" i="3"/>
  <c r="J142" i="3" s="1"/>
  <c r="I141" i="3"/>
  <c r="J141" i="3" s="1"/>
  <c r="I140" i="3"/>
  <c r="J140" i="3" s="1"/>
  <c r="G132" i="3"/>
  <c r="I188" i="3"/>
  <c r="J188" i="3" s="1"/>
  <c r="I187" i="3"/>
  <c r="J187" i="3" s="1"/>
  <c r="I186" i="3"/>
  <c r="J186" i="3" s="1"/>
  <c r="I185" i="3"/>
  <c r="J185" i="3" s="1"/>
  <c r="I184" i="3"/>
  <c r="J184" i="3" s="1"/>
  <c r="I90" i="3"/>
  <c r="J90" i="3" s="1"/>
  <c r="I93" i="3"/>
  <c r="J93" i="3" s="1"/>
  <c r="I92" i="3"/>
  <c r="J92" i="3" s="1"/>
  <c r="I91" i="3"/>
  <c r="J91" i="3" s="1"/>
  <c r="I89" i="3"/>
  <c r="J89" i="3" s="1"/>
  <c r="G99" i="3"/>
  <c r="I193" i="3" l="1"/>
  <c r="J193" i="3" s="1"/>
  <c r="I284" i="3" l="1"/>
  <c r="J284" i="3" s="1"/>
  <c r="J254" i="3"/>
  <c r="H96" i="3"/>
  <c r="I96" i="3" s="1"/>
  <c r="J96" i="3" s="1"/>
  <c r="G101" i="3"/>
  <c r="I101" i="3" s="1"/>
  <c r="J101" i="3" s="1"/>
  <c r="G85" i="3"/>
  <c r="I85" i="3" s="1"/>
  <c r="J85" i="3" s="1"/>
  <c r="G180" i="3"/>
  <c r="I180" i="3" s="1"/>
  <c r="J180" i="3" s="1"/>
  <c r="G136" i="3"/>
  <c r="I136" i="3" s="1"/>
  <c r="J136" i="3" s="1"/>
  <c r="G196" i="3"/>
  <c r="I196" i="3" s="1"/>
  <c r="J196" i="3" s="1"/>
  <c r="G226" i="3"/>
  <c r="G163" i="3"/>
  <c r="I255" i="3"/>
  <c r="J255" i="3" s="1"/>
  <c r="I256" i="3"/>
  <c r="J256" i="3" s="1"/>
  <c r="I257" i="3"/>
  <c r="J257" i="3" s="1"/>
  <c r="I258" i="3"/>
  <c r="J258" i="3" s="1"/>
  <c r="I260" i="3"/>
  <c r="J260" i="3" s="1"/>
  <c r="I261" i="3"/>
  <c r="J261" i="3" s="1"/>
  <c r="G259" i="3"/>
  <c r="I259" i="3" s="1"/>
  <c r="J259" i="3" s="1"/>
  <c r="J147" i="3"/>
  <c r="I148" i="3"/>
  <c r="J148" i="3" s="1"/>
  <c r="I149" i="3"/>
  <c r="J149" i="3" s="1"/>
  <c r="I150" i="3"/>
  <c r="J150" i="3" s="1"/>
  <c r="I151" i="3"/>
  <c r="J151" i="3" s="1"/>
  <c r="I153" i="3"/>
  <c r="J153" i="3" s="1"/>
  <c r="I154" i="3"/>
  <c r="J154" i="3" s="1"/>
  <c r="G152" i="3"/>
  <c r="I152" i="3" s="1"/>
  <c r="J152" i="3" s="1"/>
  <c r="I270" i="3"/>
  <c r="J270" i="3" s="1"/>
  <c r="J46" i="3"/>
  <c r="I47" i="3"/>
  <c r="I48" i="3"/>
  <c r="J48" i="3" s="1"/>
  <c r="I49" i="3"/>
  <c r="J49" i="3" s="1"/>
  <c r="I50" i="3"/>
  <c r="J50" i="3" s="1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G51" i="3"/>
  <c r="I51" i="3" s="1"/>
  <c r="J51" i="3" s="1"/>
  <c r="I274" i="3"/>
  <c r="J275" i="3"/>
  <c r="I276" i="3"/>
  <c r="J276" i="3" s="1"/>
  <c r="I277" i="3"/>
  <c r="J277" i="3" s="1"/>
  <c r="I278" i="3"/>
  <c r="J278" i="3" s="1"/>
  <c r="I279" i="3"/>
  <c r="J279" i="3" s="1"/>
  <c r="I280" i="3"/>
  <c r="J280" i="3" s="1"/>
  <c r="I281" i="3"/>
  <c r="J281" i="3" s="1"/>
  <c r="I282" i="3"/>
  <c r="J282" i="3" s="1"/>
  <c r="I283" i="3"/>
  <c r="J283" i="3" s="1"/>
  <c r="I292" i="3"/>
  <c r="J292" i="3" s="1"/>
  <c r="I293" i="3"/>
  <c r="J293" i="3" s="1"/>
  <c r="I294" i="3"/>
  <c r="I295" i="3"/>
  <c r="J295" i="3" s="1"/>
  <c r="I297" i="3"/>
  <c r="J297" i="3" s="1"/>
  <c r="I298" i="3"/>
  <c r="J298" i="3" s="1"/>
  <c r="I301" i="3"/>
  <c r="J301" i="3" s="1"/>
  <c r="I291" i="3"/>
  <c r="J291" i="3" s="1"/>
  <c r="I303" i="3"/>
  <c r="I304" i="3"/>
  <c r="I305" i="3"/>
  <c r="I306" i="3"/>
  <c r="I307" i="3"/>
  <c r="I308" i="3"/>
  <c r="I310" i="3"/>
  <c r="I311" i="3"/>
  <c r="I312" i="3"/>
  <c r="I313" i="3"/>
  <c r="G296" i="3"/>
  <c r="I296" i="3" s="1"/>
  <c r="J296" i="3" s="1"/>
  <c r="I45" i="3"/>
  <c r="I146" i="3"/>
  <c r="I199" i="3"/>
  <c r="J199" i="3" s="1"/>
  <c r="I198" i="3"/>
  <c r="J198" i="3" s="1"/>
  <c r="I197" i="3"/>
  <c r="J197" i="3" s="1"/>
  <c r="I194" i="3"/>
  <c r="I192" i="3"/>
  <c r="J192" i="3" s="1"/>
  <c r="J191" i="3"/>
  <c r="I190" i="3"/>
  <c r="I253" i="3"/>
  <c r="I129" i="3"/>
  <c r="J130" i="3"/>
  <c r="I131" i="3"/>
  <c r="J131" i="3" s="1"/>
  <c r="I132" i="3"/>
  <c r="J132" i="3" s="1"/>
  <c r="I133" i="3"/>
  <c r="J133" i="3" s="1"/>
  <c r="I134" i="3"/>
  <c r="J134" i="3" s="1"/>
  <c r="I135" i="3"/>
  <c r="J135" i="3" s="1"/>
  <c r="I137" i="3"/>
  <c r="J137" i="3" s="1"/>
  <c r="I138" i="3"/>
  <c r="J138" i="3" s="1"/>
  <c r="I139" i="3"/>
  <c r="J139" i="3" s="1"/>
  <c r="I174" i="3"/>
  <c r="J175" i="3"/>
  <c r="I176" i="3"/>
  <c r="J176" i="3" s="1"/>
  <c r="I177" i="3"/>
  <c r="J177" i="3" s="1"/>
  <c r="I178" i="3"/>
  <c r="J178" i="3" s="1"/>
  <c r="I179" i="3"/>
  <c r="J179" i="3" s="1"/>
  <c r="I181" i="3"/>
  <c r="J181" i="3" s="1"/>
  <c r="I182" i="3"/>
  <c r="J182" i="3" s="1"/>
  <c r="I183" i="3"/>
  <c r="J183" i="3" s="1"/>
  <c r="I79" i="3"/>
  <c r="J80" i="3"/>
  <c r="I81" i="3"/>
  <c r="J81" i="3" s="1"/>
  <c r="I82" i="3"/>
  <c r="J82" i="3" s="1"/>
  <c r="I83" i="3"/>
  <c r="J83" i="3" s="1"/>
  <c r="I84" i="3"/>
  <c r="J84" i="3" s="1"/>
  <c r="I86" i="3"/>
  <c r="J86" i="3" s="1"/>
  <c r="I87" i="3"/>
  <c r="J87" i="3" s="1"/>
  <c r="I88" i="3"/>
  <c r="J88" i="3" s="1"/>
  <c r="I95" i="3"/>
  <c r="I97" i="3"/>
  <c r="J97" i="3" s="1"/>
  <c r="I98" i="3"/>
  <c r="J98" i="3" s="1"/>
  <c r="I99" i="3"/>
  <c r="J99" i="3" s="1"/>
  <c r="I100" i="3"/>
  <c r="J100" i="3" s="1"/>
  <c r="I102" i="3"/>
  <c r="J102" i="3" s="1"/>
  <c r="I103" i="3"/>
  <c r="J103" i="3" s="1"/>
  <c r="I64" i="3"/>
  <c r="J65" i="3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I75" i="3"/>
  <c r="I76" i="3"/>
  <c r="J76" i="3" s="1"/>
  <c r="I77" i="3"/>
  <c r="J77" i="3" s="1"/>
  <c r="J45" i="3" l="1"/>
  <c r="I63" i="3"/>
  <c r="J63" i="3" s="1"/>
  <c r="M63" i="3" s="1"/>
  <c r="U63" i="3" s="1"/>
  <c r="J95" i="3"/>
  <c r="I104" i="3"/>
  <c r="J104" i="3" s="1"/>
  <c r="N104" i="3" s="1"/>
  <c r="J79" i="3"/>
  <c r="I94" i="3"/>
  <c r="J94" i="3" s="1"/>
  <c r="M94" i="3" s="1"/>
  <c r="U94" i="3" s="1"/>
  <c r="J146" i="3"/>
  <c r="J174" i="3"/>
  <c r="I189" i="3"/>
  <c r="J189" i="3" s="1"/>
  <c r="R189" i="3" s="1"/>
  <c r="U189" i="3" s="1"/>
  <c r="J190" i="3"/>
  <c r="I204" i="3"/>
  <c r="J204" i="3" s="1"/>
  <c r="R204" i="3" s="1"/>
  <c r="U204" i="3" s="1"/>
  <c r="J274" i="3"/>
  <c r="I290" i="3"/>
  <c r="J290" i="3" s="1"/>
  <c r="R290" i="3" s="1"/>
  <c r="U290" i="3" s="1"/>
  <c r="J129" i="3"/>
  <c r="I145" i="3"/>
  <c r="J145" i="3" s="1"/>
  <c r="P145" i="3" s="1"/>
  <c r="U145" i="3" s="1"/>
  <c r="J253" i="3"/>
  <c r="I268" i="3"/>
  <c r="J268" i="3" s="1"/>
  <c r="Q268" i="3" s="1"/>
  <c r="U268" i="3" s="1"/>
  <c r="I309" i="3"/>
  <c r="R309" i="3" s="1"/>
  <c r="U309" i="3" s="1"/>
  <c r="J294" i="3"/>
  <c r="I302" i="3"/>
  <c r="J302" i="3" s="1"/>
  <c r="R302" i="3" s="1"/>
  <c r="U302" i="3" s="1"/>
  <c r="J64" i="3"/>
  <c r="I78" i="3"/>
  <c r="J78" i="3" s="1"/>
  <c r="M78" i="3" s="1"/>
  <c r="U78" i="3" s="1"/>
  <c r="J47" i="3"/>
  <c r="J194" i="3"/>
  <c r="I241" i="3"/>
  <c r="J241" i="3" s="1"/>
  <c r="I217" i="3"/>
  <c r="J217" i="3" s="1"/>
  <c r="I216" i="3"/>
  <c r="J216" i="3" s="1"/>
  <c r="G208" i="3"/>
  <c r="I205" i="3"/>
  <c r="J206" i="3"/>
  <c r="U104" i="3" l="1"/>
  <c r="M334" i="3"/>
  <c r="J205" i="3"/>
  <c r="I247" i="3"/>
  <c r="I246" i="3"/>
  <c r="I39" i="3"/>
  <c r="J39" i="3" s="1"/>
  <c r="I43" i="3"/>
  <c r="I42" i="3"/>
  <c r="J42" i="3" s="1"/>
  <c r="I41" i="3"/>
  <c r="J41" i="3" s="1"/>
  <c r="I40" i="3"/>
  <c r="J40" i="3" s="1"/>
  <c r="I38" i="3"/>
  <c r="J38" i="3" s="1"/>
  <c r="J43" i="3" l="1"/>
  <c r="G127" i="3"/>
  <c r="I126" i="3"/>
  <c r="J126" i="3" s="1"/>
  <c r="I125" i="3"/>
  <c r="J125" i="3" s="1"/>
  <c r="I105" i="3" l="1"/>
  <c r="I120" i="3" l="1"/>
  <c r="I215" i="3"/>
  <c r="K335" i="3"/>
  <c r="L335" i="3"/>
  <c r="M335" i="3"/>
  <c r="J106" i="3"/>
  <c r="J105" i="3"/>
  <c r="I108" i="3" l="1"/>
  <c r="J108" i="3" s="1"/>
  <c r="I109" i="3"/>
  <c r="J109" i="3" s="1"/>
  <c r="I110" i="3"/>
  <c r="J110" i="3" s="1"/>
  <c r="J111" i="3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J120" i="3"/>
  <c r="I121" i="3"/>
  <c r="J121" i="3" s="1"/>
  <c r="I122" i="3"/>
  <c r="J122" i="3" s="1"/>
  <c r="I123" i="3"/>
  <c r="J123" i="3" s="1"/>
  <c r="I124" i="3"/>
  <c r="J124" i="3" s="1"/>
  <c r="I127" i="3"/>
  <c r="J127" i="3" s="1"/>
  <c r="I207" i="3"/>
  <c r="I208" i="3"/>
  <c r="J208" i="3" s="1"/>
  <c r="I209" i="3"/>
  <c r="J209" i="3" s="1"/>
  <c r="I210" i="3"/>
  <c r="J210" i="3" s="1"/>
  <c r="I211" i="3"/>
  <c r="J211" i="3" s="1"/>
  <c r="I212" i="3"/>
  <c r="J212" i="3" s="1"/>
  <c r="I214" i="3"/>
  <c r="J214" i="3" s="1"/>
  <c r="J215" i="3"/>
  <c r="I239" i="3"/>
  <c r="I240" i="3"/>
  <c r="J240" i="3" s="1"/>
  <c r="I27" i="3"/>
  <c r="J28" i="3"/>
  <c r="I29" i="3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219" i="3"/>
  <c r="J220" i="3"/>
  <c r="I221" i="3"/>
  <c r="J221" i="3" s="1"/>
  <c r="I222" i="3"/>
  <c r="J222" i="3" s="1"/>
  <c r="J223" i="3"/>
  <c r="I224" i="3"/>
  <c r="J224" i="3" s="1"/>
  <c r="I225" i="3"/>
  <c r="J225" i="3" s="1"/>
  <c r="I226" i="3"/>
  <c r="J226" i="3" s="1"/>
  <c r="I227" i="3"/>
  <c r="J227" i="3" s="1"/>
  <c r="I228" i="3"/>
  <c r="J228" i="3" s="1"/>
  <c r="I229" i="3"/>
  <c r="J229" i="3" s="1"/>
  <c r="I230" i="3"/>
  <c r="J230" i="3" s="1"/>
  <c r="I231" i="3"/>
  <c r="J231" i="3" s="1"/>
  <c r="I232" i="3"/>
  <c r="J232" i="3" s="1"/>
  <c r="I243" i="3"/>
  <c r="I244" i="3"/>
  <c r="J244" i="3" s="1"/>
  <c r="J246" i="3"/>
  <c r="J247" i="3"/>
  <c r="I248" i="3"/>
  <c r="J248" i="3" s="1"/>
  <c r="I157" i="3"/>
  <c r="J158" i="3"/>
  <c r="I159" i="3"/>
  <c r="J159" i="3" s="1"/>
  <c r="I160" i="3"/>
  <c r="J160" i="3" s="1"/>
  <c r="I161" i="3"/>
  <c r="J161" i="3" s="1"/>
  <c r="I162" i="3"/>
  <c r="J162" i="3" s="1"/>
  <c r="I163" i="3"/>
  <c r="J163" i="3" s="1"/>
  <c r="I164" i="3"/>
  <c r="J164" i="3" s="1"/>
  <c r="I165" i="3"/>
  <c r="J165" i="3" s="1"/>
  <c r="I166" i="3"/>
  <c r="J166" i="3" s="1"/>
  <c r="I172" i="3"/>
  <c r="J172" i="3" s="1"/>
  <c r="I250" i="3"/>
  <c r="I251" i="3"/>
  <c r="J251" i="3" s="1"/>
  <c r="I155" i="3"/>
  <c r="I269" i="3"/>
  <c r="I271" i="3"/>
  <c r="J271" i="3" s="1"/>
  <c r="I272" i="3"/>
  <c r="J272" i="3" s="1"/>
  <c r="J303" i="3"/>
  <c r="J304" i="3"/>
  <c r="J305" i="3"/>
  <c r="J306" i="3"/>
  <c r="J307" i="3"/>
  <c r="J308" i="3"/>
  <c r="J310" i="3"/>
  <c r="J311" i="3"/>
  <c r="J312" i="3"/>
  <c r="J313" i="3"/>
  <c r="I315" i="3"/>
  <c r="I317" i="3"/>
  <c r="I318" i="3"/>
  <c r="J318" i="3" s="1"/>
  <c r="I319" i="3"/>
  <c r="J319" i="3" s="1"/>
  <c r="I320" i="3"/>
  <c r="J320" i="3" s="1"/>
  <c r="I321" i="3"/>
  <c r="J321" i="3" s="1"/>
  <c r="I322" i="3"/>
  <c r="J322" i="3" s="1"/>
  <c r="I249" i="3" l="1"/>
  <c r="J249" i="3" s="1"/>
  <c r="T249" i="3" s="1"/>
  <c r="U249" i="3" s="1"/>
  <c r="J269" i="3"/>
  <c r="I273" i="3"/>
  <c r="J273" i="3" s="1"/>
  <c r="R273" i="3" s="1"/>
  <c r="J239" i="3"/>
  <c r="I242" i="3"/>
  <c r="J242" i="3" s="1"/>
  <c r="N242" i="3" s="1"/>
  <c r="U242" i="3" s="1"/>
  <c r="J207" i="3"/>
  <c r="I218" i="3"/>
  <c r="J218" i="3" s="1"/>
  <c r="S218" i="3" s="1"/>
  <c r="J315" i="3"/>
  <c r="I316" i="3"/>
  <c r="J316" i="3" s="1"/>
  <c r="J155" i="3"/>
  <c r="I156" i="3"/>
  <c r="J156" i="3" s="1"/>
  <c r="J317" i="3"/>
  <c r="I323" i="3"/>
  <c r="J323" i="3" s="1"/>
  <c r="J157" i="3"/>
  <c r="I173" i="3"/>
  <c r="J173" i="3" s="1"/>
  <c r="Q173" i="3" s="1"/>
  <c r="J219" i="3"/>
  <c r="I238" i="3"/>
  <c r="J250" i="3"/>
  <c r="I252" i="3"/>
  <c r="J252" i="3" s="1"/>
  <c r="N252" i="3" s="1"/>
  <c r="U252" i="3" s="1"/>
  <c r="J29" i="3"/>
  <c r="I44" i="3"/>
  <c r="J27" i="3"/>
  <c r="I26" i="3"/>
  <c r="D7" i="5" s="1"/>
  <c r="J7" i="3"/>
  <c r="J243" i="3"/>
  <c r="I107" i="3"/>
  <c r="E7" i="5" l="1"/>
  <c r="F7" i="5"/>
  <c r="F8" i="5" s="1"/>
  <c r="F9" i="5" s="1"/>
  <c r="F10" i="5" s="1"/>
  <c r="F11" i="5" s="1"/>
  <c r="F12" i="5" s="1"/>
  <c r="F13" i="5" s="1"/>
  <c r="F14" i="5" s="1"/>
  <c r="F15" i="5" s="1"/>
  <c r="F16" i="5" s="1"/>
  <c r="F17" i="5" s="1"/>
  <c r="F18" i="5" s="1"/>
  <c r="F19" i="5" s="1"/>
  <c r="J238" i="3"/>
  <c r="J334" i="3" s="1"/>
  <c r="D20" i="5"/>
  <c r="F20" i="5" s="1"/>
  <c r="F21" i="5" s="1"/>
  <c r="F22" i="5" s="1"/>
  <c r="F23" i="5" s="1"/>
  <c r="F24" i="5" s="1"/>
  <c r="F25" i="5" s="1"/>
  <c r="F26" i="5" s="1"/>
  <c r="F27" i="5" s="1"/>
  <c r="F28" i="5" s="1"/>
  <c r="F31" i="5" s="1"/>
  <c r="J44" i="3"/>
  <c r="L44" i="3" s="1"/>
  <c r="L334" i="3" s="1"/>
  <c r="J26" i="3"/>
  <c r="K26" i="3" s="1"/>
  <c r="Q334" i="3"/>
  <c r="U173" i="3"/>
  <c r="P334" i="3"/>
  <c r="N156" i="3"/>
  <c r="U273" i="3"/>
  <c r="R334" i="3"/>
  <c r="S334" i="3"/>
  <c r="U218" i="3"/>
  <c r="U44" i="3"/>
  <c r="T334" i="3"/>
  <c r="J107" i="3"/>
  <c r="I128" i="3"/>
  <c r="J128" i="3" s="1"/>
  <c r="O128" i="3" s="1"/>
  <c r="U335" i="3"/>
  <c r="T335" i="3"/>
  <c r="S335" i="3"/>
  <c r="R335" i="3"/>
  <c r="Q335" i="3"/>
  <c r="P335" i="3"/>
  <c r="O335" i="3"/>
  <c r="N335" i="3"/>
  <c r="N238" i="3" l="1"/>
  <c r="U238" i="3" s="1"/>
  <c r="E20" i="5"/>
  <c r="E32" i="5" s="1"/>
  <c r="E39" i="5" s="1"/>
  <c r="D32" i="5"/>
  <c r="D39" i="5" s="1"/>
  <c r="I334" i="3"/>
  <c r="K334" i="3"/>
  <c r="U26" i="3"/>
  <c r="U156" i="3"/>
  <c r="N334" i="3"/>
  <c r="O334" i="3"/>
  <c r="U128" i="3"/>
  <c r="R251" i="2"/>
  <c r="S251" i="2"/>
  <c r="T251" i="2"/>
  <c r="U251" i="2"/>
  <c r="V251" i="2"/>
  <c r="W251" i="2"/>
  <c r="X251" i="2"/>
  <c r="Q251" i="2"/>
  <c r="P251" i="2"/>
  <c r="L251" i="2"/>
  <c r="H251" i="2"/>
  <c r="P8" i="2"/>
  <c r="P213" i="2"/>
  <c r="P205" i="2"/>
  <c r="P200" i="2"/>
  <c r="P195" i="2"/>
  <c r="P187" i="2"/>
  <c r="P177" i="2"/>
  <c r="P167" i="2"/>
  <c r="P138" i="2"/>
  <c r="P128" i="2"/>
  <c r="P119" i="2"/>
  <c r="P111" i="2"/>
  <c r="P103" i="2"/>
  <c r="P95" i="2"/>
  <c r="P89" i="2"/>
  <c r="P75" i="2"/>
  <c r="P71" i="2"/>
  <c r="P63" i="2"/>
  <c r="P57" i="2"/>
  <c r="P39" i="2"/>
  <c r="P21" i="2"/>
  <c r="L243" i="2"/>
  <c r="L229" i="2"/>
  <c r="L219" i="2"/>
  <c r="L214" i="2"/>
  <c r="L213" i="2"/>
  <c r="L206" i="2"/>
  <c r="L205" i="2"/>
  <c r="L202" i="2"/>
  <c r="L200" i="2"/>
  <c r="L198" i="2"/>
  <c r="L196" i="2"/>
  <c r="L195" i="2"/>
  <c r="L188" i="2"/>
  <c r="L187" i="2"/>
  <c r="L185" i="2"/>
  <c r="L184" i="2"/>
  <c r="L178" i="2"/>
  <c r="L177" i="2"/>
  <c r="L174" i="2"/>
  <c r="L168" i="2"/>
  <c r="L167" i="2"/>
  <c r="L160" i="2"/>
  <c r="L153" i="2"/>
  <c r="L147" i="2"/>
  <c r="L139" i="2"/>
  <c r="L138" i="2"/>
  <c r="L135" i="2"/>
  <c r="L129" i="2"/>
  <c r="L128" i="2"/>
  <c r="L120" i="2"/>
  <c r="L119" i="2"/>
  <c r="L112" i="2"/>
  <c r="L111" i="2"/>
  <c r="L104" i="2"/>
  <c r="L103" i="2"/>
  <c r="L96" i="2"/>
  <c r="L95" i="2"/>
  <c r="L92" i="2"/>
  <c r="L89" i="2"/>
  <c r="L87" i="2"/>
  <c r="L84" i="2"/>
  <c r="L82" i="2"/>
  <c r="L80" i="2"/>
  <c r="L75" i="2"/>
  <c r="L71" i="2"/>
  <c r="L65" i="2"/>
  <c r="L63" i="2"/>
  <c r="L59" i="2"/>
  <c r="L57" i="2"/>
  <c r="L55" i="2"/>
  <c r="L54" i="2"/>
  <c r="L52" i="2"/>
  <c r="L50" i="2"/>
  <c r="L49" i="2"/>
  <c r="L46" i="2"/>
  <c r="L44" i="2"/>
  <c r="L39" i="2"/>
  <c r="L37" i="2"/>
  <c r="L33" i="2"/>
  <c r="L29" i="2"/>
  <c r="L28" i="2"/>
  <c r="L24" i="2"/>
  <c r="L21" i="2"/>
  <c r="L17" i="2"/>
  <c r="L16" i="2"/>
  <c r="L15" i="2"/>
  <c r="L14" i="2"/>
  <c r="L10" i="2"/>
  <c r="L8" i="2"/>
  <c r="N249" i="2"/>
  <c r="G7" i="2"/>
  <c r="H7" i="2" s="1"/>
  <c r="G8" i="2"/>
  <c r="H8" i="2" s="1"/>
  <c r="X8" i="2" s="1"/>
  <c r="G9" i="2"/>
  <c r="H9" i="2" s="1"/>
  <c r="G10" i="2"/>
  <c r="H10" i="2" s="1"/>
  <c r="G11" i="2"/>
  <c r="H11" i="2" s="1"/>
  <c r="G12" i="2"/>
  <c r="H12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X21" i="2" s="1"/>
  <c r="G22" i="2"/>
  <c r="H22" i="2" s="1"/>
  <c r="G23" i="2"/>
  <c r="H23" i="2" s="1"/>
  <c r="G24" i="2"/>
  <c r="H24" i="2" s="1"/>
  <c r="G25" i="2"/>
  <c r="H25" i="2" s="1"/>
  <c r="G26" i="2"/>
  <c r="H26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X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X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X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X128" i="2" s="1"/>
  <c r="G129" i="2"/>
  <c r="H129" i="2" s="1"/>
  <c r="G130" i="2"/>
  <c r="H130" i="2" s="1"/>
  <c r="X111" i="2" l="1"/>
  <c r="X95" i="2"/>
  <c r="X39" i="2"/>
  <c r="X75" i="2"/>
  <c r="X57" i="2"/>
  <c r="U336" i="3"/>
  <c r="X89" i="2"/>
  <c r="K77" i="2"/>
  <c r="L77" i="2" s="1"/>
  <c r="I77" i="2"/>
  <c r="J77" i="2"/>
  <c r="M77" i="2"/>
  <c r="N77" i="2"/>
  <c r="N42" i="2"/>
  <c r="M42" i="2"/>
  <c r="J42" i="2"/>
  <c r="I42" i="2"/>
  <c r="O42" i="2"/>
  <c r="P42" i="2" s="1"/>
  <c r="N26" i="2"/>
  <c r="M26" i="2"/>
  <c r="J26" i="2"/>
  <c r="I26" i="2"/>
  <c r="K26" i="2"/>
  <c r="L26" i="2" s="1"/>
  <c r="N12" i="2"/>
  <c r="M12" i="2"/>
  <c r="J12" i="2"/>
  <c r="I12" i="2"/>
  <c r="O12" i="2"/>
  <c r="P12" i="2" s="1"/>
  <c r="K42" i="2" l="1"/>
  <c r="L42" i="2" s="1"/>
  <c r="X42" i="2" s="1"/>
  <c r="O26" i="2"/>
  <c r="P26" i="2" s="1"/>
  <c r="X26" i="2" s="1"/>
  <c r="O77" i="2"/>
  <c r="P77" i="2" s="1"/>
  <c r="X77" i="2" s="1"/>
  <c r="K12" i="2"/>
  <c r="L12" i="2" s="1"/>
  <c r="X12" i="2" s="1"/>
  <c r="I76" i="2"/>
  <c r="J76" i="2"/>
  <c r="M76" i="2"/>
  <c r="N76" i="2"/>
  <c r="I23" i="2"/>
  <c r="J23" i="2"/>
  <c r="M23" i="2"/>
  <c r="N23" i="2"/>
  <c r="M157" i="2"/>
  <c r="N157" i="2"/>
  <c r="M158" i="2"/>
  <c r="N158" i="2"/>
  <c r="J157" i="2"/>
  <c r="J158" i="2"/>
  <c r="J156" i="2"/>
  <c r="N156" i="2"/>
  <c r="G156" i="2"/>
  <c r="G157" i="2"/>
  <c r="G158" i="2"/>
  <c r="I158" i="2"/>
  <c r="I157" i="2"/>
  <c r="I156" i="2"/>
  <c r="M156" i="2"/>
  <c r="O23" i="2"/>
  <c r="P23" i="2" s="1"/>
  <c r="N40" i="2"/>
  <c r="M40" i="2"/>
  <c r="J40" i="2"/>
  <c r="I40" i="2"/>
  <c r="K40" i="2"/>
  <c r="L40" i="2" s="1"/>
  <c r="N9" i="2"/>
  <c r="M9" i="2"/>
  <c r="J9" i="2"/>
  <c r="I9" i="2"/>
  <c r="O9" i="2"/>
  <c r="P9" i="2" s="1"/>
  <c r="M22" i="2"/>
  <c r="N22" i="2"/>
  <c r="I22" i="2"/>
  <c r="J22" i="2"/>
  <c r="K22" i="2"/>
  <c r="L22" i="2" s="1"/>
  <c r="O76" i="2"/>
  <c r="P76" i="2" s="1"/>
  <c r="O158" i="2" l="1"/>
  <c r="P158" i="2" s="1"/>
  <c r="H158" i="2"/>
  <c r="K157" i="2"/>
  <c r="L157" i="2" s="1"/>
  <c r="H157" i="2"/>
  <c r="O156" i="2"/>
  <c r="P156" i="2" s="1"/>
  <c r="H156" i="2"/>
  <c r="O157" i="2"/>
  <c r="P157" i="2" s="1"/>
  <c r="K9" i="2"/>
  <c r="L9" i="2" s="1"/>
  <c r="X9" i="2" s="1"/>
  <c r="O40" i="2"/>
  <c r="P40" i="2" s="1"/>
  <c r="X40" i="2" s="1"/>
  <c r="K76" i="2"/>
  <c r="L76" i="2" s="1"/>
  <c r="X76" i="2" s="1"/>
  <c r="K156" i="2"/>
  <c r="L156" i="2" s="1"/>
  <c r="K23" i="2"/>
  <c r="L23" i="2" s="1"/>
  <c r="X23" i="2" s="1"/>
  <c r="O22" i="2"/>
  <c r="P22" i="2" s="1"/>
  <c r="X22" i="2" s="1"/>
  <c r="K158" i="2"/>
  <c r="L158" i="2" s="1"/>
  <c r="I51" i="2"/>
  <c r="J51" i="2"/>
  <c r="M10" i="2"/>
  <c r="N10" i="2"/>
  <c r="M11" i="2"/>
  <c r="N11" i="2"/>
  <c r="N13" i="2"/>
  <c r="N14" i="2"/>
  <c r="M15" i="2"/>
  <c r="N15" i="2"/>
  <c r="M16" i="2"/>
  <c r="N16" i="2"/>
  <c r="M17" i="2"/>
  <c r="N17" i="2"/>
  <c r="M18" i="2"/>
  <c r="N18" i="2"/>
  <c r="M19" i="2"/>
  <c r="N19" i="2"/>
  <c r="M20" i="2"/>
  <c r="N20" i="2"/>
  <c r="M24" i="2"/>
  <c r="N24" i="2"/>
  <c r="M25" i="2"/>
  <c r="N25" i="2"/>
  <c r="N27" i="2"/>
  <c r="N28" i="2"/>
  <c r="M29" i="2"/>
  <c r="N29" i="2"/>
  <c r="M30" i="2"/>
  <c r="N30" i="2"/>
  <c r="M31" i="2"/>
  <c r="N31" i="2"/>
  <c r="M32" i="2"/>
  <c r="N32" i="2"/>
  <c r="M33" i="2"/>
  <c r="N33" i="2"/>
  <c r="M34" i="2"/>
  <c r="N34" i="2"/>
  <c r="M35" i="2"/>
  <c r="N35" i="2"/>
  <c r="M36" i="2"/>
  <c r="N36" i="2"/>
  <c r="M37" i="2"/>
  <c r="N37" i="2"/>
  <c r="M38" i="2"/>
  <c r="N38" i="2"/>
  <c r="M41" i="2"/>
  <c r="N41" i="2"/>
  <c r="M43" i="2"/>
  <c r="N43" i="2"/>
  <c r="M44" i="2"/>
  <c r="N44" i="2"/>
  <c r="M45" i="2"/>
  <c r="N45" i="2"/>
  <c r="M46" i="2"/>
  <c r="N46" i="2"/>
  <c r="M47" i="2"/>
  <c r="N47" i="2"/>
  <c r="M48" i="2"/>
  <c r="N48" i="2"/>
  <c r="M49" i="2"/>
  <c r="N49" i="2"/>
  <c r="M50" i="2"/>
  <c r="N50" i="2"/>
  <c r="M51" i="2"/>
  <c r="N51" i="2"/>
  <c r="M52" i="2"/>
  <c r="N52" i="2"/>
  <c r="M53" i="2"/>
  <c r="N53" i="2"/>
  <c r="M54" i="2"/>
  <c r="N54" i="2"/>
  <c r="M55" i="2"/>
  <c r="N55" i="2"/>
  <c r="M56" i="2"/>
  <c r="N56" i="2"/>
  <c r="M58" i="2"/>
  <c r="N58" i="2"/>
  <c r="M59" i="2"/>
  <c r="N59" i="2"/>
  <c r="M60" i="2"/>
  <c r="N60" i="2"/>
  <c r="M61" i="2"/>
  <c r="N61" i="2"/>
  <c r="M62" i="2"/>
  <c r="N62" i="2"/>
  <c r="M64" i="2"/>
  <c r="N64" i="2"/>
  <c r="M65" i="2"/>
  <c r="N65" i="2"/>
  <c r="M66" i="2"/>
  <c r="N66" i="2"/>
  <c r="M67" i="2"/>
  <c r="N67" i="2"/>
  <c r="M68" i="2"/>
  <c r="N68" i="2"/>
  <c r="M69" i="2"/>
  <c r="N69" i="2"/>
  <c r="M70" i="2"/>
  <c r="N70" i="2"/>
  <c r="M72" i="2"/>
  <c r="N72" i="2"/>
  <c r="M73" i="2"/>
  <c r="N73" i="2"/>
  <c r="M74" i="2"/>
  <c r="N74" i="2"/>
  <c r="M78" i="2"/>
  <c r="N78" i="2"/>
  <c r="M79" i="2"/>
  <c r="N79" i="2"/>
  <c r="M80" i="2"/>
  <c r="N80" i="2"/>
  <c r="M81" i="2"/>
  <c r="N81" i="2"/>
  <c r="M82" i="2"/>
  <c r="N82" i="2"/>
  <c r="M83" i="2"/>
  <c r="N83" i="2"/>
  <c r="M84" i="2"/>
  <c r="N84" i="2"/>
  <c r="M85" i="2"/>
  <c r="N85" i="2"/>
  <c r="M86" i="2"/>
  <c r="N86" i="2"/>
  <c r="M87" i="2"/>
  <c r="N87" i="2"/>
  <c r="M88" i="2"/>
  <c r="N88" i="2"/>
  <c r="M90" i="2"/>
  <c r="N90" i="2"/>
  <c r="M91" i="2"/>
  <c r="N91" i="2"/>
  <c r="M92" i="2"/>
  <c r="N92" i="2"/>
  <c r="M93" i="2"/>
  <c r="N93" i="2"/>
  <c r="M94" i="2"/>
  <c r="N94" i="2"/>
  <c r="M96" i="2"/>
  <c r="N96" i="2"/>
  <c r="M97" i="2"/>
  <c r="N97" i="2"/>
  <c r="M98" i="2"/>
  <c r="N98" i="2"/>
  <c r="M99" i="2"/>
  <c r="N99" i="2"/>
  <c r="M100" i="2"/>
  <c r="N100" i="2"/>
  <c r="M101" i="2"/>
  <c r="N101" i="2"/>
  <c r="M102" i="2"/>
  <c r="N102" i="2"/>
  <c r="M104" i="2"/>
  <c r="N104" i="2"/>
  <c r="M105" i="2"/>
  <c r="N105" i="2"/>
  <c r="M106" i="2"/>
  <c r="N106" i="2"/>
  <c r="M107" i="2"/>
  <c r="N107" i="2"/>
  <c r="M108" i="2"/>
  <c r="N108" i="2"/>
  <c r="M109" i="2"/>
  <c r="N109" i="2"/>
  <c r="M110" i="2"/>
  <c r="N110" i="2"/>
  <c r="M112" i="2"/>
  <c r="N112" i="2"/>
  <c r="M113" i="2"/>
  <c r="N113" i="2"/>
  <c r="M114" i="2"/>
  <c r="N114" i="2"/>
  <c r="M115" i="2"/>
  <c r="N115" i="2"/>
  <c r="M116" i="2"/>
  <c r="N116" i="2"/>
  <c r="M117" i="2"/>
  <c r="N117" i="2"/>
  <c r="N118" i="2"/>
  <c r="M120" i="2"/>
  <c r="N120" i="2"/>
  <c r="M121" i="2"/>
  <c r="N121" i="2"/>
  <c r="M122" i="2"/>
  <c r="N122" i="2"/>
  <c r="M123" i="2"/>
  <c r="N123" i="2"/>
  <c r="M124" i="2"/>
  <c r="N124" i="2"/>
  <c r="M125" i="2"/>
  <c r="N125" i="2"/>
  <c r="M126" i="2"/>
  <c r="N126" i="2"/>
  <c r="M127" i="2"/>
  <c r="N127" i="2"/>
  <c r="M129" i="2"/>
  <c r="N129" i="2"/>
  <c r="M130" i="2"/>
  <c r="N130" i="2"/>
  <c r="M131" i="2"/>
  <c r="N131" i="2"/>
  <c r="M132" i="2"/>
  <c r="N132" i="2"/>
  <c r="M133" i="2"/>
  <c r="N133" i="2"/>
  <c r="M134" i="2"/>
  <c r="N134" i="2"/>
  <c r="M135" i="2"/>
  <c r="N135" i="2"/>
  <c r="M136" i="2"/>
  <c r="N136" i="2"/>
  <c r="M137" i="2"/>
  <c r="N137" i="2"/>
  <c r="M139" i="2"/>
  <c r="N139" i="2"/>
  <c r="M140" i="2"/>
  <c r="N140" i="2"/>
  <c r="M141" i="2"/>
  <c r="N141" i="2"/>
  <c r="M142" i="2"/>
  <c r="N142" i="2"/>
  <c r="M143" i="2"/>
  <c r="N143" i="2"/>
  <c r="M144" i="2"/>
  <c r="N144" i="2"/>
  <c r="M145" i="2"/>
  <c r="N145" i="2"/>
  <c r="M146" i="2"/>
  <c r="N146" i="2"/>
  <c r="M147" i="2"/>
  <c r="N147" i="2"/>
  <c r="M148" i="2"/>
  <c r="N148" i="2"/>
  <c r="M149" i="2"/>
  <c r="N149" i="2"/>
  <c r="M150" i="2"/>
  <c r="N150" i="2"/>
  <c r="M151" i="2"/>
  <c r="N151" i="2"/>
  <c r="M152" i="2"/>
  <c r="N152" i="2"/>
  <c r="N153" i="2"/>
  <c r="M154" i="2"/>
  <c r="N154" i="2"/>
  <c r="M155" i="2"/>
  <c r="N155" i="2"/>
  <c r="M159" i="2"/>
  <c r="N159" i="2"/>
  <c r="M160" i="2"/>
  <c r="N160" i="2"/>
  <c r="M161" i="2"/>
  <c r="N161" i="2"/>
  <c r="M162" i="2"/>
  <c r="N162" i="2"/>
  <c r="M163" i="2"/>
  <c r="N163" i="2"/>
  <c r="M164" i="2"/>
  <c r="N164" i="2"/>
  <c r="M165" i="2"/>
  <c r="N165" i="2"/>
  <c r="M166" i="2"/>
  <c r="N166" i="2"/>
  <c r="M168" i="2"/>
  <c r="N168" i="2"/>
  <c r="M169" i="2"/>
  <c r="N169" i="2"/>
  <c r="M170" i="2"/>
  <c r="N170" i="2"/>
  <c r="M171" i="2"/>
  <c r="N171" i="2"/>
  <c r="M172" i="2"/>
  <c r="N172" i="2"/>
  <c r="M173" i="2"/>
  <c r="N173" i="2"/>
  <c r="M174" i="2"/>
  <c r="N174" i="2"/>
  <c r="M175" i="2"/>
  <c r="N175" i="2"/>
  <c r="M176" i="2"/>
  <c r="N176" i="2"/>
  <c r="M178" i="2"/>
  <c r="N178" i="2"/>
  <c r="M179" i="2"/>
  <c r="N179" i="2"/>
  <c r="M180" i="2"/>
  <c r="N180" i="2"/>
  <c r="M181" i="2"/>
  <c r="N181" i="2"/>
  <c r="M182" i="2"/>
  <c r="N182" i="2"/>
  <c r="M183" i="2"/>
  <c r="N183" i="2"/>
  <c r="M184" i="2"/>
  <c r="N184" i="2"/>
  <c r="M185" i="2"/>
  <c r="N185" i="2"/>
  <c r="M186" i="2"/>
  <c r="N186" i="2"/>
  <c r="M188" i="2"/>
  <c r="N188" i="2"/>
  <c r="M189" i="2"/>
  <c r="N189" i="2"/>
  <c r="M190" i="2"/>
  <c r="N190" i="2"/>
  <c r="M191" i="2"/>
  <c r="N191" i="2"/>
  <c r="M192" i="2"/>
  <c r="N192" i="2"/>
  <c r="M193" i="2"/>
  <c r="N193" i="2"/>
  <c r="M194" i="2"/>
  <c r="N194" i="2"/>
  <c r="M196" i="2"/>
  <c r="N196" i="2"/>
  <c r="M197" i="2"/>
  <c r="N197" i="2"/>
  <c r="M198" i="2"/>
  <c r="N198" i="2"/>
  <c r="M199" i="2"/>
  <c r="N199" i="2"/>
  <c r="M201" i="2"/>
  <c r="N201" i="2"/>
  <c r="M202" i="2"/>
  <c r="N202" i="2"/>
  <c r="M203" i="2"/>
  <c r="N203" i="2"/>
  <c r="M204" i="2"/>
  <c r="N204" i="2"/>
  <c r="M206" i="2"/>
  <c r="N206" i="2"/>
  <c r="M207" i="2"/>
  <c r="N207" i="2"/>
  <c r="N208" i="2"/>
  <c r="M209" i="2"/>
  <c r="N209" i="2"/>
  <c r="M210" i="2"/>
  <c r="N210" i="2"/>
  <c r="M211" i="2"/>
  <c r="N211" i="2"/>
  <c r="M212" i="2"/>
  <c r="N212" i="2"/>
  <c r="M214" i="2"/>
  <c r="N214" i="2"/>
  <c r="M215" i="2"/>
  <c r="N215" i="2"/>
  <c r="M216" i="2"/>
  <c r="N216" i="2"/>
  <c r="M217" i="2"/>
  <c r="N217" i="2"/>
  <c r="M218" i="2"/>
  <c r="N218" i="2"/>
  <c r="M219" i="2"/>
  <c r="N219" i="2"/>
  <c r="M220" i="2"/>
  <c r="N220" i="2"/>
  <c r="M221" i="2"/>
  <c r="N221" i="2"/>
  <c r="M222" i="2"/>
  <c r="N222" i="2"/>
  <c r="M223" i="2"/>
  <c r="N223" i="2"/>
  <c r="M224" i="2"/>
  <c r="N224" i="2"/>
  <c r="M225" i="2"/>
  <c r="N225" i="2"/>
  <c r="M226" i="2"/>
  <c r="N226" i="2"/>
  <c r="M227" i="2"/>
  <c r="N227" i="2"/>
  <c r="M228" i="2"/>
  <c r="N228" i="2"/>
  <c r="M229" i="2"/>
  <c r="N229" i="2"/>
  <c r="M230" i="2"/>
  <c r="N230" i="2"/>
  <c r="M231" i="2"/>
  <c r="N231" i="2"/>
  <c r="M232" i="2"/>
  <c r="N232" i="2"/>
  <c r="M233" i="2"/>
  <c r="N233" i="2"/>
  <c r="M234" i="2"/>
  <c r="N234" i="2"/>
  <c r="M235" i="2"/>
  <c r="N235" i="2"/>
  <c r="M236" i="2"/>
  <c r="N236" i="2"/>
  <c r="M237" i="2"/>
  <c r="N237" i="2"/>
  <c r="M238" i="2"/>
  <c r="N238" i="2"/>
  <c r="M239" i="2"/>
  <c r="N239" i="2"/>
  <c r="M240" i="2"/>
  <c r="N240" i="2"/>
  <c r="M241" i="2"/>
  <c r="N241" i="2"/>
  <c r="M242" i="2"/>
  <c r="N242" i="2"/>
  <c r="M243" i="2"/>
  <c r="N243" i="2"/>
  <c r="M244" i="2"/>
  <c r="N244" i="2"/>
  <c r="M245" i="2"/>
  <c r="N245" i="2"/>
  <c r="M246" i="2"/>
  <c r="N246" i="2"/>
  <c r="M247" i="2"/>
  <c r="N247" i="2"/>
  <c r="M248" i="2"/>
  <c r="N248" i="2"/>
  <c r="M249" i="2"/>
  <c r="N7" i="2"/>
  <c r="M7" i="2"/>
  <c r="I11" i="2"/>
  <c r="J11" i="2"/>
  <c r="J13" i="2"/>
  <c r="I18" i="2"/>
  <c r="J18" i="2"/>
  <c r="I19" i="2"/>
  <c r="J19" i="2"/>
  <c r="I20" i="2"/>
  <c r="J20" i="2"/>
  <c r="I25" i="2"/>
  <c r="J25" i="2"/>
  <c r="J27" i="2"/>
  <c r="I30" i="2"/>
  <c r="J30" i="2"/>
  <c r="I31" i="2"/>
  <c r="J31" i="2"/>
  <c r="I32" i="2"/>
  <c r="J32" i="2"/>
  <c r="I34" i="2"/>
  <c r="J34" i="2"/>
  <c r="I35" i="2"/>
  <c r="J35" i="2"/>
  <c r="I36" i="2"/>
  <c r="J36" i="2"/>
  <c r="I38" i="2"/>
  <c r="J38" i="2"/>
  <c r="I41" i="2"/>
  <c r="J41" i="2"/>
  <c r="I43" i="2"/>
  <c r="J43" i="2"/>
  <c r="I45" i="2"/>
  <c r="J45" i="2"/>
  <c r="I47" i="2"/>
  <c r="J47" i="2"/>
  <c r="I48" i="2"/>
  <c r="J48" i="2"/>
  <c r="I53" i="2"/>
  <c r="J53" i="2"/>
  <c r="I56" i="2"/>
  <c r="J56" i="2"/>
  <c r="I58" i="2"/>
  <c r="J58" i="2"/>
  <c r="I60" i="2"/>
  <c r="J60" i="2"/>
  <c r="I61" i="2"/>
  <c r="J61" i="2"/>
  <c r="I62" i="2"/>
  <c r="J62" i="2"/>
  <c r="I64" i="2"/>
  <c r="J64" i="2"/>
  <c r="I66" i="2"/>
  <c r="J66" i="2"/>
  <c r="I67" i="2"/>
  <c r="J67" i="2"/>
  <c r="I68" i="2"/>
  <c r="J68" i="2"/>
  <c r="I69" i="2"/>
  <c r="J69" i="2"/>
  <c r="I70" i="2"/>
  <c r="J70" i="2"/>
  <c r="I72" i="2"/>
  <c r="J72" i="2"/>
  <c r="I73" i="2"/>
  <c r="J73" i="2"/>
  <c r="I74" i="2"/>
  <c r="J74" i="2"/>
  <c r="I78" i="2"/>
  <c r="J78" i="2"/>
  <c r="I79" i="2"/>
  <c r="J79" i="2"/>
  <c r="I81" i="2"/>
  <c r="J81" i="2"/>
  <c r="I83" i="2"/>
  <c r="J83" i="2"/>
  <c r="I85" i="2"/>
  <c r="J85" i="2"/>
  <c r="I86" i="2"/>
  <c r="J86" i="2"/>
  <c r="I88" i="2"/>
  <c r="J88" i="2"/>
  <c r="I90" i="2"/>
  <c r="J90" i="2"/>
  <c r="I91" i="2"/>
  <c r="J91" i="2"/>
  <c r="I93" i="2"/>
  <c r="J93" i="2"/>
  <c r="I94" i="2"/>
  <c r="J94" i="2"/>
  <c r="I97" i="2"/>
  <c r="J97" i="2"/>
  <c r="I98" i="2"/>
  <c r="J98" i="2"/>
  <c r="I99" i="2"/>
  <c r="J99" i="2"/>
  <c r="I100" i="2"/>
  <c r="J100" i="2"/>
  <c r="I101" i="2"/>
  <c r="J101" i="2"/>
  <c r="I102" i="2"/>
  <c r="J102" i="2"/>
  <c r="I105" i="2"/>
  <c r="J105" i="2"/>
  <c r="I106" i="2"/>
  <c r="J106" i="2"/>
  <c r="I107" i="2"/>
  <c r="J107" i="2"/>
  <c r="I108" i="2"/>
  <c r="J108" i="2"/>
  <c r="I109" i="2"/>
  <c r="J109" i="2"/>
  <c r="I110" i="2"/>
  <c r="J110" i="2"/>
  <c r="I113" i="2"/>
  <c r="J113" i="2"/>
  <c r="I114" i="2"/>
  <c r="J114" i="2"/>
  <c r="I115" i="2"/>
  <c r="J115" i="2"/>
  <c r="I116" i="2"/>
  <c r="J116" i="2"/>
  <c r="I117" i="2"/>
  <c r="J117" i="2"/>
  <c r="J118" i="2"/>
  <c r="I121" i="2"/>
  <c r="J121" i="2"/>
  <c r="I122" i="2"/>
  <c r="J122" i="2"/>
  <c r="I123" i="2"/>
  <c r="J123" i="2"/>
  <c r="I124" i="2"/>
  <c r="J124" i="2"/>
  <c r="I125" i="2"/>
  <c r="J125" i="2"/>
  <c r="I126" i="2"/>
  <c r="J126" i="2"/>
  <c r="I127" i="2"/>
  <c r="J127" i="2"/>
  <c r="I130" i="2"/>
  <c r="J130" i="2"/>
  <c r="I131" i="2"/>
  <c r="J131" i="2"/>
  <c r="I132" i="2"/>
  <c r="J132" i="2"/>
  <c r="I133" i="2"/>
  <c r="J133" i="2"/>
  <c r="I134" i="2"/>
  <c r="J134" i="2"/>
  <c r="I136" i="2"/>
  <c r="J136" i="2"/>
  <c r="I137" i="2"/>
  <c r="J137" i="2"/>
  <c r="I140" i="2"/>
  <c r="J140" i="2"/>
  <c r="I141" i="2"/>
  <c r="J141" i="2"/>
  <c r="I142" i="2"/>
  <c r="J142" i="2"/>
  <c r="I143" i="2"/>
  <c r="J143" i="2"/>
  <c r="I144" i="2"/>
  <c r="J144" i="2"/>
  <c r="I145" i="2"/>
  <c r="J145" i="2"/>
  <c r="I146" i="2"/>
  <c r="J146" i="2"/>
  <c r="I148" i="2"/>
  <c r="J148" i="2"/>
  <c r="I149" i="2"/>
  <c r="J149" i="2"/>
  <c r="I150" i="2"/>
  <c r="J150" i="2"/>
  <c r="I151" i="2"/>
  <c r="J151" i="2"/>
  <c r="I152" i="2"/>
  <c r="J152" i="2"/>
  <c r="I154" i="2"/>
  <c r="J154" i="2"/>
  <c r="I155" i="2"/>
  <c r="J155" i="2"/>
  <c r="I159" i="2"/>
  <c r="J159" i="2"/>
  <c r="I161" i="2"/>
  <c r="J161" i="2"/>
  <c r="I162" i="2"/>
  <c r="J162" i="2"/>
  <c r="I163" i="2"/>
  <c r="J163" i="2"/>
  <c r="I164" i="2"/>
  <c r="J164" i="2"/>
  <c r="I165" i="2"/>
  <c r="J165" i="2"/>
  <c r="I166" i="2"/>
  <c r="J166" i="2"/>
  <c r="I169" i="2"/>
  <c r="J169" i="2"/>
  <c r="I170" i="2"/>
  <c r="J170" i="2"/>
  <c r="I171" i="2"/>
  <c r="J171" i="2"/>
  <c r="I172" i="2"/>
  <c r="J172" i="2"/>
  <c r="I173" i="2"/>
  <c r="J173" i="2"/>
  <c r="I175" i="2"/>
  <c r="J175" i="2"/>
  <c r="I176" i="2"/>
  <c r="J176" i="2"/>
  <c r="I179" i="2"/>
  <c r="J179" i="2"/>
  <c r="I180" i="2"/>
  <c r="J180" i="2"/>
  <c r="I181" i="2"/>
  <c r="J181" i="2"/>
  <c r="I182" i="2"/>
  <c r="J182" i="2"/>
  <c r="I183" i="2"/>
  <c r="J183" i="2"/>
  <c r="I186" i="2"/>
  <c r="J186" i="2"/>
  <c r="I189" i="2"/>
  <c r="J189" i="2"/>
  <c r="I190" i="2"/>
  <c r="J190" i="2"/>
  <c r="I191" i="2"/>
  <c r="J191" i="2"/>
  <c r="I192" i="2"/>
  <c r="J192" i="2"/>
  <c r="I193" i="2"/>
  <c r="J193" i="2"/>
  <c r="I194" i="2"/>
  <c r="J194" i="2"/>
  <c r="I197" i="2"/>
  <c r="J197" i="2"/>
  <c r="I199" i="2"/>
  <c r="J199" i="2"/>
  <c r="I201" i="2"/>
  <c r="J201" i="2"/>
  <c r="I203" i="2"/>
  <c r="J203" i="2"/>
  <c r="I204" i="2"/>
  <c r="J204" i="2"/>
  <c r="I207" i="2"/>
  <c r="J207" i="2"/>
  <c r="J208" i="2"/>
  <c r="I209" i="2"/>
  <c r="J209" i="2"/>
  <c r="I210" i="2"/>
  <c r="J210" i="2"/>
  <c r="I211" i="2"/>
  <c r="J211" i="2"/>
  <c r="I212" i="2"/>
  <c r="J212" i="2"/>
  <c r="I215" i="2"/>
  <c r="J215" i="2"/>
  <c r="I216" i="2"/>
  <c r="J216" i="2"/>
  <c r="I217" i="2"/>
  <c r="J217" i="2"/>
  <c r="I218" i="2"/>
  <c r="J218" i="2"/>
  <c r="I220" i="2"/>
  <c r="J220" i="2"/>
  <c r="I221" i="2"/>
  <c r="J221" i="2"/>
  <c r="I222" i="2"/>
  <c r="J222" i="2"/>
  <c r="I223" i="2"/>
  <c r="J223" i="2"/>
  <c r="I224" i="2"/>
  <c r="J224" i="2"/>
  <c r="I225" i="2"/>
  <c r="J225" i="2"/>
  <c r="I226" i="2"/>
  <c r="J226" i="2"/>
  <c r="I227" i="2"/>
  <c r="J227" i="2"/>
  <c r="I228" i="2"/>
  <c r="J228" i="2"/>
  <c r="I230" i="2"/>
  <c r="J230" i="2"/>
  <c r="I231" i="2"/>
  <c r="J231" i="2"/>
  <c r="I232" i="2"/>
  <c r="J232" i="2"/>
  <c r="I233" i="2"/>
  <c r="J233" i="2"/>
  <c r="I234" i="2"/>
  <c r="J234" i="2"/>
  <c r="I235" i="2"/>
  <c r="J235" i="2"/>
  <c r="I236" i="2"/>
  <c r="J236" i="2"/>
  <c r="I237" i="2"/>
  <c r="J237" i="2"/>
  <c r="I238" i="2"/>
  <c r="J238" i="2"/>
  <c r="I239" i="2"/>
  <c r="J239" i="2"/>
  <c r="I240" i="2"/>
  <c r="J240" i="2"/>
  <c r="I241" i="2"/>
  <c r="J241" i="2"/>
  <c r="I242" i="2"/>
  <c r="J242" i="2"/>
  <c r="I244" i="2"/>
  <c r="J244" i="2"/>
  <c r="I245" i="2"/>
  <c r="J245" i="2"/>
  <c r="I246" i="2"/>
  <c r="J246" i="2"/>
  <c r="I247" i="2"/>
  <c r="J247" i="2"/>
  <c r="I248" i="2"/>
  <c r="J248" i="2"/>
  <c r="I249" i="2"/>
  <c r="J249" i="2"/>
  <c r="J7" i="2"/>
  <c r="I7" i="2"/>
  <c r="X157" i="2" l="1"/>
  <c r="X156" i="2"/>
  <c r="X158" i="2"/>
  <c r="E208" i="2"/>
  <c r="G201" i="2"/>
  <c r="H201" i="2" s="1"/>
  <c r="G197" i="2"/>
  <c r="H197" i="2" s="1"/>
  <c r="G189" i="2"/>
  <c r="H189" i="2" s="1"/>
  <c r="G221" i="2"/>
  <c r="H221" i="2" s="1"/>
  <c r="G179" i="2"/>
  <c r="H179" i="2" s="1"/>
  <c r="G169" i="2"/>
  <c r="H169" i="2" s="1"/>
  <c r="G148" i="2"/>
  <c r="H148" i="2" s="1"/>
  <c r="G140" i="2"/>
  <c r="H140" i="2" s="1"/>
  <c r="O179" i="2" l="1"/>
  <c r="P179" i="2" s="1"/>
  <c r="K179" i="2"/>
  <c r="L179" i="2" s="1"/>
  <c r="O140" i="2"/>
  <c r="P140" i="2" s="1"/>
  <c r="K140" i="2"/>
  <c r="L140" i="2" s="1"/>
  <c r="O148" i="2"/>
  <c r="P148" i="2" s="1"/>
  <c r="K148" i="2"/>
  <c r="L148" i="2" s="1"/>
  <c r="X148" i="2" s="1"/>
  <c r="O34" i="2"/>
  <c r="P34" i="2" s="1"/>
  <c r="K34" i="2"/>
  <c r="L34" i="2" s="1"/>
  <c r="K201" i="2"/>
  <c r="L201" i="2" s="1"/>
  <c r="O201" i="2"/>
  <c r="P201" i="2" s="1"/>
  <c r="O130" i="2"/>
  <c r="P130" i="2" s="1"/>
  <c r="K130" i="2"/>
  <c r="L130" i="2" s="1"/>
  <c r="K189" i="2"/>
  <c r="L189" i="2" s="1"/>
  <c r="O189" i="2"/>
  <c r="P189" i="2" s="1"/>
  <c r="X189" i="2" s="1"/>
  <c r="O18" i="2"/>
  <c r="P18" i="2" s="1"/>
  <c r="K18" i="2"/>
  <c r="L18" i="2" s="1"/>
  <c r="K197" i="2"/>
  <c r="L197" i="2" s="1"/>
  <c r="O197" i="2"/>
  <c r="P197" i="2" s="1"/>
  <c r="K169" i="2"/>
  <c r="L169" i="2" s="1"/>
  <c r="O169" i="2"/>
  <c r="P169" i="2" s="1"/>
  <c r="K221" i="2"/>
  <c r="L221" i="2" s="1"/>
  <c r="O221" i="2"/>
  <c r="P221" i="2" s="1"/>
  <c r="M208" i="2"/>
  <c r="I208" i="2"/>
  <c r="X221" i="2" l="1"/>
  <c r="X140" i="2"/>
  <c r="X201" i="2"/>
  <c r="X179" i="2"/>
  <c r="X169" i="2"/>
  <c r="X197" i="2"/>
  <c r="X18" i="2"/>
  <c r="X130" i="2"/>
  <c r="X34" i="2"/>
  <c r="E153" i="2"/>
  <c r="E119" i="2"/>
  <c r="G119" i="2" s="1"/>
  <c r="H119" i="2" s="1"/>
  <c r="X119" i="2" s="1"/>
  <c r="E118" i="2"/>
  <c r="G118" i="2" s="1"/>
  <c r="H118" i="2" s="1"/>
  <c r="O109" i="2" l="1"/>
  <c r="P109" i="2" s="1"/>
  <c r="K109" i="2"/>
  <c r="L109" i="2" s="1"/>
  <c r="I118" i="2"/>
  <c r="M118" i="2"/>
  <c r="O110" i="2"/>
  <c r="P110" i="2" s="1"/>
  <c r="K110" i="2"/>
  <c r="L110" i="2" s="1"/>
  <c r="O102" i="2"/>
  <c r="P102" i="2" s="1"/>
  <c r="K102" i="2"/>
  <c r="L102" i="2" s="1"/>
  <c r="O107" i="2"/>
  <c r="P107" i="2" s="1"/>
  <c r="K107" i="2"/>
  <c r="L107" i="2" s="1"/>
  <c r="K116" i="2"/>
  <c r="L116" i="2" s="1"/>
  <c r="O116" i="2"/>
  <c r="P116" i="2" s="1"/>
  <c r="O91" i="2"/>
  <c r="P91" i="2" s="1"/>
  <c r="K91" i="2"/>
  <c r="L91" i="2" s="1"/>
  <c r="O113" i="2"/>
  <c r="P113" i="2" s="1"/>
  <c r="K113" i="2"/>
  <c r="L113" i="2" s="1"/>
  <c r="M153" i="2"/>
  <c r="O104" i="2"/>
  <c r="P104" i="2" s="1"/>
  <c r="X104" i="2" s="1"/>
  <c r="O114" i="2"/>
  <c r="P114" i="2" s="1"/>
  <c r="K114" i="2"/>
  <c r="L114" i="2" s="1"/>
  <c r="O97" i="2"/>
  <c r="P97" i="2" s="1"/>
  <c r="K97" i="2"/>
  <c r="L97" i="2" s="1"/>
  <c r="O106" i="2"/>
  <c r="P106" i="2" s="1"/>
  <c r="K106" i="2"/>
  <c r="L106" i="2" s="1"/>
  <c r="O115" i="2"/>
  <c r="P115" i="2" s="1"/>
  <c r="K115" i="2"/>
  <c r="L115" i="2" s="1"/>
  <c r="O105" i="2"/>
  <c r="P105" i="2" s="1"/>
  <c r="K105" i="2"/>
  <c r="L105" i="2" s="1"/>
  <c r="K108" i="2"/>
  <c r="L108" i="2" s="1"/>
  <c r="O108" i="2"/>
  <c r="P108" i="2" s="1"/>
  <c r="O112" i="2"/>
  <c r="P112" i="2" s="1"/>
  <c r="X112" i="2" s="1"/>
  <c r="O117" i="2"/>
  <c r="P117" i="2" s="1"/>
  <c r="K117" i="2"/>
  <c r="L117" i="2" s="1"/>
  <c r="O90" i="2"/>
  <c r="P90" i="2" s="1"/>
  <c r="K90" i="2"/>
  <c r="L90" i="2" s="1"/>
  <c r="X90" i="2" s="1"/>
  <c r="O121" i="2"/>
  <c r="P121" i="2" s="1"/>
  <c r="K121" i="2"/>
  <c r="L121" i="2" s="1"/>
  <c r="X121" i="2" s="1"/>
  <c r="G133" i="2"/>
  <c r="H133" i="2" s="1"/>
  <c r="G134" i="2"/>
  <c r="H134" i="2" s="1"/>
  <c r="X106" i="2" l="1"/>
  <c r="X113" i="2"/>
  <c r="X102" i="2"/>
  <c r="X108" i="2"/>
  <c r="X105" i="2"/>
  <c r="X114" i="2"/>
  <c r="X117" i="2"/>
  <c r="X116" i="2"/>
  <c r="X115" i="2"/>
  <c r="X97" i="2"/>
  <c r="X91" i="2"/>
  <c r="X107" i="2"/>
  <c r="X110" i="2"/>
  <c r="X109" i="2"/>
  <c r="O81" i="2"/>
  <c r="P81" i="2" s="1"/>
  <c r="K81" i="2"/>
  <c r="L81" i="2" s="1"/>
  <c r="K134" i="2"/>
  <c r="L134" i="2" s="1"/>
  <c r="O134" i="2"/>
  <c r="P134" i="2" s="1"/>
  <c r="O133" i="2"/>
  <c r="P133" i="2" s="1"/>
  <c r="K133" i="2"/>
  <c r="L133" i="2" s="1"/>
  <c r="O52" i="2"/>
  <c r="P52" i="2" s="1"/>
  <c r="X52" i="2" s="1"/>
  <c r="O50" i="2"/>
  <c r="P50" i="2" s="1"/>
  <c r="X50" i="2" s="1"/>
  <c r="O37" i="2"/>
  <c r="P37" i="2" s="1"/>
  <c r="X37" i="2" s="1"/>
  <c r="O44" i="2"/>
  <c r="P44" i="2" s="1"/>
  <c r="X44" i="2" s="1"/>
  <c r="O46" i="2"/>
  <c r="P46" i="2" s="1"/>
  <c r="X46" i="2" s="1"/>
  <c r="O49" i="2"/>
  <c r="P49" i="2" s="1"/>
  <c r="X49" i="2" s="1"/>
  <c r="G131" i="2"/>
  <c r="H131" i="2" s="1"/>
  <c r="G132" i="2"/>
  <c r="H132" i="2" s="1"/>
  <c r="G135" i="2"/>
  <c r="H135" i="2" s="1"/>
  <c r="G136" i="2"/>
  <c r="H136" i="2" s="1"/>
  <c r="G137" i="2"/>
  <c r="H137" i="2" s="1"/>
  <c r="G138" i="2"/>
  <c r="H138" i="2" s="1"/>
  <c r="X138" i="2" s="1"/>
  <c r="G139" i="2"/>
  <c r="H139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X167" i="2" s="1"/>
  <c r="G168" i="2"/>
  <c r="H168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X177" i="2" s="1"/>
  <c r="G178" i="2"/>
  <c r="H178" i="2" s="1"/>
  <c r="G180" i="2"/>
  <c r="H180" i="2" s="1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X187" i="2" s="1"/>
  <c r="G188" i="2"/>
  <c r="H188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X195" i="2" s="1"/>
  <c r="G196" i="2"/>
  <c r="H196" i="2" s="1"/>
  <c r="G198" i="2"/>
  <c r="H198" i="2" s="1"/>
  <c r="G199" i="2"/>
  <c r="H199" i="2" s="1"/>
  <c r="G200" i="2"/>
  <c r="H200" i="2" s="1"/>
  <c r="X200" i="2" s="1"/>
  <c r="G202" i="2"/>
  <c r="H202" i="2" s="1"/>
  <c r="G203" i="2"/>
  <c r="H203" i="2" s="1"/>
  <c r="G204" i="2"/>
  <c r="H204" i="2" s="1"/>
  <c r="G205" i="2"/>
  <c r="H205" i="2" s="1"/>
  <c r="X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X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O33" i="2"/>
  <c r="P33" i="2" s="1"/>
  <c r="X33" i="2" s="1"/>
  <c r="O29" i="2"/>
  <c r="P29" i="2" s="1"/>
  <c r="X29" i="2" s="1"/>
  <c r="E28" i="2"/>
  <c r="G28" i="2" s="1"/>
  <c r="H28" i="2" s="1"/>
  <c r="E27" i="2"/>
  <c r="G27" i="2" s="1"/>
  <c r="H27" i="2" s="1"/>
  <c r="O24" i="2"/>
  <c r="P24" i="2" s="1"/>
  <c r="X24" i="2" s="1"/>
  <c r="O17" i="2"/>
  <c r="P17" i="2" s="1"/>
  <c r="X17" i="2" s="1"/>
  <c r="O16" i="2"/>
  <c r="P16" i="2" s="1"/>
  <c r="X16" i="2" s="1"/>
  <c r="O15" i="2"/>
  <c r="P15" i="2" s="1"/>
  <c r="X15" i="2" s="1"/>
  <c r="E14" i="2"/>
  <c r="G14" i="2" s="1"/>
  <c r="H14" i="2" s="1"/>
  <c r="E13" i="2"/>
  <c r="G13" i="2" s="1"/>
  <c r="H13" i="2" s="1"/>
  <c r="O10" i="2"/>
  <c r="P10" i="2" s="1"/>
  <c r="X10" i="2" s="1"/>
  <c r="X134" i="2" l="1"/>
  <c r="X133" i="2"/>
  <c r="X81" i="2"/>
  <c r="H252" i="2"/>
  <c r="O51" i="2"/>
  <c r="P51" i="2" s="1"/>
  <c r="K51" i="2"/>
  <c r="L51" i="2" s="1"/>
  <c r="X51" i="2" s="1"/>
  <c r="O19" i="2"/>
  <c r="P19" i="2" s="1"/>
  <c r="K19" i="2"/>
  <c r="L19" i="2" s="1"/>
  <c r="O30" i="2"/>
  <c r="P30" i="2" s="1"/>
  <c r="K30" i="2"/>
  <c r="L30" i="2" s="1"/>
  <c r="O241" i="2"/>
  <c r="P241" i="2" s="1"/>
  <c r="K241" i="2"/>
  <c r="L241" i="2" s="1"/>
  <c r="O229" i="2"/>
  <c r="P229" i="2" s="1"/>
  <c r="X229" i="2" s="1"/>
  <c r="K220" i="2"/>
  <c r="L220" i="2" s="1"/>
  <c r="O220" i="2"/>
  <c r="P220" i="2" s="1"/>
  <c r="X220" i="2" s="1"/>
  <c r="K212" i="2"/>
  <c r="L212" i="2" s="1"/>
  <c r="O212" i="2"/>
  <c r="P212" i="2" s="1"/>
  <c r="O204" i="2"/>
  <c r="P204" i="2" s="1"/>
  <c r="K204" i="2"/>
  <c r="L204" i="2" s="1"/>
  <c r="X204" i="2" s="1"/>
  <c r="O199" i="2"/>
  <c r="P199" i="2" s="1"/>
  <c r="K199" i="2"/>
  <c r="L199" i="2" s="1"/>
  <c r="O168" i="2"/>
  <c r="P168" i="2" s="1"/>
  <c r="X168" i="2" s="1"/>
  <c r="O160" i="2"/>
  <c r="P160" i="2" s="1"/>
  <c r="X160" i="2" s="1"/>
  <c r="O149" i="2"/>
  <c r="P149" i="2" s="1"/>
  <c r="K149" i="2"/>
  <c r="L149" i="2" s="1"/>
  <c r="O139" i="2"/>
  <c r="P139" i="2" s="1"/>
  <c r="X139" i="2" s="1"/>
  <c r="O135" i="2"/>
  <c r="P135" i="2" s="1"/>
  <c r="X135" i="2" s="1"/>
  <c r="O125" i="2"/>
  <c r="P125" i="2" s="1"/>
  <c r="K125" i="2"/>
  <c r="L125" i="2" s="1"/>
  <c r="O120" i="2"/>
  <c r="P120" i="2" s="1"/>
  <c r="X120" i="2" s="1"/>
  <c r="O80" i="2"/>
  <c r="P80" i="2" s="1"/>
  <c r="X80" i="2" s="1"/>
  <c r="O64" i="2"/>
  <c r="P64" i="2" s="1"/>
  <c r="K64" i="2"/>
  <c r="L64" i="2" s="1"/>
  <c r="O62" i="2"/>
  <c r="P62" i="2" s="1"/>
  <c r="K62" i="2"/>
  <c r="L62" i="2" s="1"/>
  <c r="X62" i="2" s="1"/>
  <c r="O31" i="2"/>
  <c r="P31" i="2" s="1"/>
  <c r="K31" i="2"/>
  <c r="L31" i="2" s="1"/>
  <c r="O240" i="2"/>
  <c r="P240" i="2" s="1"/>
  <c r="K240" i="2"/>
  <c r="L240" i="2" s="1"/>
  <c r="X240" i="2" s="1"/>
  <c r="O228" i="2"/>
  <c r="P228" i="2" s="1"/>
  <c r="K228" i="2"/>
  <c r="L228" i="2" s="1"/>
  <c r="O219" i="2"/>
  <c r="P219" i="2" s="1"/>
  <c r="X219" i="2" s="1"/>
  <c r="O211" i="2"/>
  <c r="P211" i="2" s="1"/>
  <c r="K211" i="2"/>
  <c r="L211" i="2" s="1"/>
  <c r="O207" i="2"/>
  <c r="P207" i="2" s="1"/>
  <c r="K207" i="2"/>
  <c r="L207" i="2" s="1"/>
  <c r="X207" i="2" s="1"/>
  <c r="K193" i="2"/>
  <c r="L193" i="2" s="1"/>
  <c r="X193" i="2" s="1"/>
  <c r="O193" i="2"/>
  <c r="P193" i="2" s="1"/>
  <c r="O181" i="2"/>
  <c r="P181" i="2" s="1"/>
  <c r="K181" i="2"/>
  <c r="L181" i="2" s="1"/>
  <c r="O172" i="2"/>
  <c r="P172" i="2" s="1"/>
  <c r="K172" i="2"/>
  <c r="L172" i="2" s="1"/>
  <c r="O159" i="2"/>
  <c r="P159" i="2" s="1"/>
  <c r="K159" i="2"/>
  <c r="L159" i="2" s="1"/>
  <c r="X159" i="2" s="1"/>
  <c r="O147" i="2"/>
  <c r="P147" i="2" s="1"/>
  <c r="X147" i="2" s="1"/>
  <c r="K143" i="2"/>
  <c r="L143" i="2" s="1"/>
  <c r="O143" i="2"/>
  <c r="P143" i="2" s="1"/>
  <c r="K124" i="2"/>
  <c r="L124" i="2" s="1"/>
  <c r="O124" i="2"/>
  <c r="P124" i="2" s="1"/>
  <c r="O99" i="2"/>
  <c r="P99" i="2" s="1"/>
  <c r="K99" i="2"/>
  <c r="L99" i="2" s="1"/>
  <c r="O94" i="2"/>
  <c r="P94" i="2" s="1"/>
  <c r="K94" i="2"/>
  <c r="L94" i="2" s="1"/>
  <c r="X94" i="2" s="1"/>
  <c r="K88" i="2"/>
  <c r="L88" i="2" s="1"/>
  <c r="O88" i="2"/>
  <c r="P88" i="2" s="1"/>
  <c r="O79" i="2"/>
  <c r="P79" i="2" s="1"/>
  <c r="K79" i="2"/>
  <c r="L79" i="2" s="1"/>
  <c r="X79" i="2" s="1"/>
  <c r="K67" i="2"/>
  <c r="L67" i="2" s="1"/>
  <c r="O67" i="2"/>
  <c r="P67" i="2" s="1"/>
  <c r="O55" i="2"/>
  <c r="P55" i="2" s="1"/>
  <c r="X55" i="2" s="1"/>
  <c r="O41" i="2"/>
  <c r="P41" i="2" s="1"/>
  <c r="K41" i="2"/>
  <c r="L41" i="2" s="1"/>
  <c r="K7" i="2"/>
  <c r="L7" i="2" s="1"/>
  <c r="O7" i="2"/>
  <c r="P7" i="2" s="1"/>
  <c r="M13" i="2"/>
  <c r="I13" i="2"/>
  <c r="O28" i="2"/>
  <c r="P28" i="2" s="1"/>
  <c r="X28" i="2" s="1"/>
  <c r="M28" i="2"/>
  <c r="O32" i="2"/>
  <c r="P32" i="2" s="1"/>
  <c r="K32" i="2"/>
  <c r="L32" i="2" s="1"/>
  <c r="O247" i="2"/>
  <c r="P247" i="2" s="1"/>
  <c r="K247" i="2"/>
  <c r="L247" i="2" s="1"/>
  <c r="O243" i="2"/>
  <c r="P243" i="2" s="1"/>
  <c r="X243" i="2" s="1"/>
  <c r="O239" i="2"/>
  <c r="P239" i="2" s="1"/>
  <c r="K239" i="2"/>
  <c r="L239" i="2" s="1"/>
  <c r="K235" i="2"/>
  <c r="L235" i="2" s="1"/>
  <c r="O235" i="2"/>
  <c r="P235" i="2" s="1"/>
  <c r="X235" i="2" s="1"/>
  <c r="O231" i="2"/>
  <c r="P231" i="2" s="1"/>
  <c r="K231" i="2"/>
  <c r="L231" i="2" s="1"/>
  <c r="O227" i="2"/>
  <c r="P227" i="2" s="1"/>
  <c r="K227" i="2"/>
  <c r="L227" i="2" s="1"/>
  <c r="X227" i="2" s="1"/>
  <c r="O223" i="2"/>
  <c r="P223" i="2" s="1"/>
  <c r="K223" i="2"/>
  <c r="L223" i="2" s="1"/>
  <c r="O218" i="2"/>
  <c r="P218" i="2" s="1"/>
  <c r="K218" i="2"/>
  <c r="L218" i="2" s="1"/>
  <c r="X218" i="2" s="1"/>
  <c r="O214" i="2"/>
  <c r="P214" i="2" s="1"/>
  <c r="X214" i="2" s="1"/>
  <c r="O210" i="2"/>
  <c r="P210" i="2" s="1"/>
  <c r="K210" i="2"/>
  <c r="L210" i="2" s="1"/>
  <c r="O206" i="2"/>
  <c r="P206" i="2" s="1"/>
  <c r="X206" i="2" s="1"/>
  <c r="O202" i="2"/>
  <c r="P202" i="2" s="1"/>
  <c r="X202" i="2" s="1"/>
  <c r="O196" i="2"/>
  <c r="P196" i="2" s="1"/>
  <c r="X196" i="2" s="1"/>
  <c r="K192" i="2"/>
  <c r="L192" i="2" s="1"/>
  <c r="O192" i="2"/>
  <c r="P192" i="2" s="1"/>
  <c r="O184" i="2"/>
  <c r="P184" i="2" s="1"/>
  <c r="X184" i="2" s="1"/>
  <c r="O180" i="2"/>
  <c r="P180" i="2" s="1"/>
  <c r="K180" i="2"/>
  <c r="L180" i="2" s="1"/>
  <c r="O175" i="2"/>
  <c r="P175" i="2" s="1"/>
  <c r="K175" i="2"/>
  <c r="L175" i="2" s="1"/>
  <c r="O171" i="2"/>
  <c r="P171" i="2" s="1"/>
  <c r="K171" i="2"/>
  <c r="L171" i="2" s="1"/>
  <c r="X171" i="2" s="1"/>
  <c r="K166" i="2"/>
  <c r="L166" i="2" s="1"/>
  <c r="X166" i="2" s="1"/>
  <c r="O166" i="2"/>
  <c r="P166" i="2" s="1"/>
  <c r="K162" i="2"/>
  <c r="L162" i="2" s="1"/>
  <c r="O162" i="2"/>
  <c r="P162" i="2" s="1"/>
  <c r="K155" i="2"/>
  <c r="L155" i="2" s="1"/>
  <c r="O155" i="2"/>
  <c r="P155" i="2" s="1"/>
  <c r="K151" i="2"/>
  <c r="L151" i="2" s="1"/>
  <c r="O151" i="2"/>
  <c r="P151" i="2" s="1"/>
  <c r="O146" i="2"/>
  <c r="P146" i="2" s="1"/>
  <c r="K146" i="2"/>
  <c r="L146" i="2" s="1"/>
  <c r="K142" i="2"/>
  <c r="L142" i="2" s="1"/>
  <c r="O142" i="2"/>
  <c r="P142" i="2" s="1"/>
  <c r="O137" i="2"/>
  <c r="P137" i="2" s="1"/>
  <c r="K137" i="2"/>
  <c r="L137" i="2" s="1"/>
  <c r="K132" i="2"/>
  <c r="L132" i="2" s="1"/>
  <c r="O132" i="2"/>
  <c r="P132" i="2" s="1"/>
  <c r="K127" i="2"/>
  <c r="L127" i="2" s="1"/>
  <c r="X127" i="2" s="1"/>
  <c r="O127" i="2"/>
  <c r="P127" i="2" s="1"/>
  <c r="O123" i="2"/>
  <c r="P123" i="2" s="1"/>
  <c r="K123" i="2"/>
  <c r="L123" i="2" s="1"/>
  <c r="O118" i="2"/>
  <c r="P118" i="2" s="1"/>
  <c r="K118" i="2"/>
  <c r="L118" i="2" s="1"/>
  <c r="O98" i="2"/>
  <c r="P98" i="2" s="1"/>
  <c r="K98" i="2"/>
  <c r="L98" i="2" s="1"/>
  <c r="X98" i="2" s="1"/>
  <c r="O93" i="2"/>
  <c r="P93" i="2" s="1"/>
  <c r="K93" i="2"/>
  <c r="L93" i="2" s="1"/>
  <c r="O87" i="2"/>
  <c r="P87" i="2" s="1"/>
  <c r="X87" i="2" s="1"/>
  <c r="O83" i="2"/>
  <c r="P83" i="2" s="1"/>
  <c r="K83" i="2"/>
  <c r="L83" i="2" s="1"/>
  <c r="X83" i="2" s="1"/>
  <c r="O78" i="2"/>
  <c r="P78" i="2" s="1"/>
  <c r="K78" i="2"/>
  <c r="L78" i="2" s="1"/>
  <c r="O72" i="2"/>
  <c r="P72" i="2" s="1"/>
  <c r="K72" i="2"/>
  <c r="L72" i="2" s="1"/>
  <c r="X72" i="2" s="1"/>
  <c r="O66" i="2"/>
  <c r="P66" i="2" s="1"/>
  <c r="K66" i="2"/>
  <c r="L66" i="2" s="1"/>
  <c r="K60" i="2"/>
  <c r="L60" i="2" s="1"/>
  <c r="O60" i="2"/>
  <c r="P60" i="2" s="1"/>
  <c r="O45" i="2"/>
  <c r="P45" i="2" s="1"/>
  <c r="K45" i="2"/>
  <c r="L45" i="2" s="1"/>
  <c r="K35" i="2"/>
  <c r="L35" i="2" s="1"/>
  <c r="O35" i="2"/>
  <c r="P35" i="2" s="1"/>
  <c r="O43" i="2"/>
  <c r="P43" i="2" s="1"/>
  <c r="K43" i="2"/>
  <c r="L43" i="2" s="1"/>
  <c r="K56" i="2"/>
  <c r="L56" i="2" s="1"/>
  <c r="O56" i="2"/>
  <c r="P56" i="2" s="1"/>
  <c r="O69" i="2"/>
  <c r="P69" i="2" s="1"/>
  <c r="K69" i="2"/>
  <c r="L69" i="2" s="1"/>
  <c r="O25" i="2"/>
  <c r="P25" i="2" s="1"/>
  <c r="K25" i="2"/>
  <c r="L25" i="2" s="1"/>
  <c r="X25" i="2" s="1"/>
  <c r="K249" i="2"/>
  <c r="L249" i="2" s="1"/>
  <c r="O249" i="2"/>
  <c r="P249" i="2" s="1"/>
  <c r="K245" i="2"/>
  <c r="L245" i="2" s="1"/>
  <c r="O245" i="2"/>
  <c r="P245" i="2" s="1"/>
  <c r="K237" i="2"/>
  <c r="L237" i="2" s="1"/>
  <c r="O237" i="2"/>
  <c r="P237" i="2" s="1"/>
  <c r="K233" i="2"/>
  <c r="L233" i="2" s="1"/>
  <c r="O233" i="2"/>
  <c r="P233" i="2" s="1"/>
  <c r="O225" i="2"/>
  <c r="P225" i="2" s="1"/>
  <c r="K225" i="2"/>
  <c r="L225" i="2" s="1"/>
  <c r="O216" i="2"/>
  <c r="P216" i="2" s="1"/>
  <c r="K216" i="2"/>
  <c r="L216" i="2" s="1"/>
  <c r="X216" i="2" s="1"/>
  <c r="O208" i="2"/>
  <c r="P208" i="2" s="1"/>
  <c r="K208" i="2"/>
  <c r="L208" i="2" s="1"/>
  <c r="O194" i="2"/>
  <c r="P194" i="2" s="1"/>
  <c r="K194" i="2"/>
  <c r="L194" i="2" s="1"/>
  <c r="X194" i="2" s="1"/>
  <c r="O190" i="2"/>
  <c r="P190" i="2" s="1"/>
  <c r="K190" i="2"/>
  <c r="L190" i="2" s="1"/>
  <c r="K182" i="2"/>
  <c r="L182" i="2" s="1"/>
  <c r="O182" i="2"/>
  <c r="P182" i="2" s="1"/>
  <c r="O173" i="2"/>
  <c r="P173" i="2" s="1"/>
  <c r="K173" i="2"/>
  <c r="L173" i="2" s="1"/>
  <c r="O164" i="2"/>
  <c r="P164" i="2" s="1"/>
  <c r="K164" i="2"/>
  <c r="L164" i="2" s="1"/>
  <c r="X164" i="2" s="1"/>
  <c r="O153" i="2"/>
  <c r="P153" i="2" s="1"/>
  <c r="X153" i="2" s="1"/>
  <c r="O144" i="2"/>
  <c r="P144" i="2" s="1"/>
  <c r="K144" i="2"/>
  <c r="L144" i="2" s="1"/>
  <c r="O129" i="2"/>
  <c r="P129" i="2" s="1"/>
  <c r="X129" i="2" s="1"/>
  <c r="K100" i="2"/>
  <c r="L100" i="2" s="1"/>
  <c r="O100" i="2"/>
  <c r="P100" i="2" s="1"/>
  <c r="O85" i="2"/>
  <c r="P85" i="2" s="1"/>
  <c r="K85" i="2"/>
  <c r="L85" i="2" s="1"/>
  <c r="X85" i="2" s="1"/>
  <c r="K74" i="2"/>
  <c r="L74" i="2" s="1"/>
  <c r="O74" i="2"/>
  <c r="P74" i="2" s="1"/>
  <c r="O68" i="2"/>
  <c r="P68" i="2" s="1"/>
  <c r="K68" i="2"/>
  <c r="L68" i="2" s="1"/>
  <c r="X68" i="2" s="1"/>
  <c r="O58" i="2"/>
  <c r="P58" i="2" s="1"/>
  <c r="K58" i="2"/>
  <c r="L58" i="2" s="1"/>
  <c r="K47" i="2"/>
  <c r="L47" i="2" s="1"/>
  <c r="O47" i="2"/>
  <c r="P47" i="2" s="1"/>
  <c r="O11" i="2"/>
  <c r="P11" i="2" s="1"/>
  <c r="K11" i="2"/>
  <c r="L11" i="2" s="1"/>
  <c r="O20" i="2"/>
  <c r="P20" i="2" s="1"/>
  <c r="K20" i="2"/>
  <c r="L20" i="2" s="1"/>
  <c r="X20" i="2" s="1"/>
  <c r="M27" i="2"/>
  <c r="I27" i="2"/>
  <c r="K248" i="2"/>
  <c r="L248" i="2" s="1"/>
  <c r="O248" i="2"/>
  <c r="P248" i="2" s="1"/>
  <c r="X248" i="2" s="1"/>
  <c r="O244" i="2"/>
  <c r="P244" i="2" s="1"/>
  <c r="K244" i="2"/>
  <c r="L244" i="2" s="1"/>
  <c r="K236" i="2"/>
  <c r="L236" i="2" s="1"/>
  <c r="O236" i="2"/>
  <c r="P236" i="2" s="1"/>
  <c r="K232" i="2"/>
  <c r="L232" i="2" s="1"/>
  <c r="O232" i="2"/>
  <c r="P232" i="2" s="1"/>
  <c r="O224" i="2"/>
  <c r="P224" i="2" s="1"/>
  <c r="K224" i="2"/>
  <c r="L224" i="2" s="1"/>
  <c r="X224" i="2" s="1"/>
  <c r="O215" i="2"/>
  <c r="P215" i="2" s="1"/>
  <c r="K215" i="2"/>
  <c r="L215" i="2" s="1"/>
  <c r="O203" i="2"/>
  <c r="P203" i="2" s="1"/>
  <c r="K203" i="2"/>
  <c r="L203" i="2" s="1"/>
  <c r="X203" i="2" s="1"/>
  <c r="O198" i="2"/>
  <c r="P198" i="2" s="1"/>
  <c r="X198" i="2" s="1"/>
  <c r="O188" i="2"/>
  <c r="P188" i="2" s="1"/>
  <c r="X188" i="2" s="1"/>
  <c r="O185" i="2"/>
  <c r="P185" i="2" s="1"/>
  <c r="X185" i="2" s="1"/>
  <c r="O176" i="2"/>
  <c r="P176" i="2" s="1"/>
  <c r="K176" i="2"/>
  <c r="L176" i="2" s="1"/>
  <c r="O163" i="2"/>
  <c r="P163" i="2" s="1"/>
  <c r="K163" i="2"/>
  <c r="L163" i="2" s="1"/>
  <c r="O152" i="2"/>
  <c r="P152" i="2" s="1"/>
  <c r="K152" i="2"/>
  <c r="L152" i="2" s="1"/>
  <c r="O84" i="2"/>
  <c r="P84" i="2" s="1"/>
  <c r="X84" i="2" s="1"/>
  <c r="O73" i="2"/>
  <c r="P73" i="2" s="1"/>
  <c r="K73" i="2"/>
  <c r="L73" i="2" s="1"/>
  <c r="X73" i="2" s="1"/>
  <c r="O61" i="2"/>
  <c r="P61" i="2" s="1"/>
  <c r="K61" i="2"/>
  <c r="L61" i="2" s="1"/>
  <c r="K53" i="2"/>
  <c r="L53" i="2" s="1"/>
  <c r="O53" i="2"/>
  <c r="P53" i="2" s="1"/>
  <c r="O36" i="2"/>
  <c r="P36" i="2" s="1"/>
  <c r="K36" i="2"/>
  <c r="L36" i="2" s="1"/>
  <c r="O14" i="2"/>
  <c r="P14" i="2" s="1"/>
  <c r="X14" i="2" s="1"/>
  <c r="M14" i="2"/>
  <c r="O246" i="2"/>
  <c r="P246" i="2" s="1"/>
  <c r="K246" i="2"/>
  <c r="L246" i="2" s="1"/>
  <c r="O242" i="2"/>
  <c r="P242" i="2" s="1"/>
  <c r="K242" i="2"/>
  <c r="L242" i="2" s="1"/>
  <c r="X242" i="2" s="1"/>
  <c r="O238" i="2"/>
  <c r="P238" i="2" s="1"/>
  <c r="K238" i="2"/>
  <c r="L238" i="2" s="1"/>
  <c r="O234" i="2"/>
  <c r="P234" i="2" s="1"/>
  <c r="K234" i="2"/>
  <c r="L234" i="2" s="1"/>
  <c r="X234" i="2" s="1"/>
  <c r="O230" i="2"/>
  <c r="P230" i="2" s="1"/>
  <c r="K230" i="2"/>
  <c r="L230" i="2" s="1"/>
  <c r="O226" i="2"/>
  <c r="P226" i="2" s="1"/>
  <c r="K226" i="2"/>
  <c r="L226" i="2" s="1"/>
  <c r="X226" i="2" s="1"/>
  <c r="O222" i="2"/>
  <c r="P222" i="2" s="1"/>
  <c r="K222" i="2"/>
  <c r="L222" i="2" s="1"/>
  <c r="O217" i="2"/>
  <c r="P217" i="2" s="1"/>
  <c r="K217" i="2"/>
  <c r="L217" i="2" s="1"/>
  <c r="X217" i="2" s="1"/>
  <c r="O209" i="2"/>
  <c r="P209" i="2" s="1"/>
  <c r="K209" i="2"/>
  <c r="L209" i="2" s="1"/>
  <c r="O191" i="2"/>
  <c r="P191" i="2" s="1"/>
  <c r="K191" i="2"/>
  <c r="L191" i="2" s="1"/>
  <c r="X191" i="2" s="1"/>
  <c r="O186" i="2"/>
  <c r="P186" i="2" s="1"/>
  <c r="K186" i="2"/>
  <c r="L186" i="2" s="1"/>
  <c r="O183" i="2"/>
  <c r="P183" i="2" s="1"/>
  <c r="K183" i="2"/>
  <c r="L183" i="2" s="1"/>
  <c r="X183" i="2" s="1"/>
  <c r="O178" i="2"/>
  <c r="P178" i="2" s="1"/>
  <c r="X178" i="2" s="1"/>
  <c r="O174" i="2"/>
  <c r="P174" i="2" s="1"/>
  <c r="X174" i="2" s="1"/>
  <c r="K170" i="2"/>
  <c r="L170" i="2" s="1"/>
  <c r="O170" i="2"/>
  <c r="P170" i="2" s="1"/>
  <c r="O165" i="2"/>
  <c r="P165" i="2" s="1"/>
  <c r="K165" i="2"/>
  <c r="L165" i="2" s="1"/>
  <c r="K161" i="2"/>
  <c r="L161" i="2" s="1"/>
  <c r="O161" i="2"/>
  <c r="P161" i="2" s="1"/>
  <c r="X161" i="2" s="1"/>
  <c r="O154" i="2"/>
  <c r="P154" i="2" s="1"/>
  <c r="K154" i="2"/>
  <c r="L154" i="2" s="1"/>
  <c r="K150" i="2"/>
  <c r="L150" i="2" s="1"/>
  <c r="O150" i="2"/>
  <c r="P150" i="2" s="1"/>
  <c r="O145" i="2"/>
  <c r="P145" i="2" s="1"/>
  <c r="K145" i="2"/>
  <c r="L145" i="2" s="1"/>
  <c r="O141" i="2"/>
  <c r="P141" i="2" s="1"/>
  <c r="K141" i="2"/>
  <c r="L141" i="2" s="1"/>
  <c r="X141" i="2" s="1"/>
  <c r="O136" i="2"/>
  <c r="P136" i="2" s="1"/>
  <c r="K136" i="2"/>
  <c r="L136" i="2" s="1"/>
  <c r="O131" i="2"/>
  <c r="P131" i="2" s="1"/>
  <c r="K131" i="2"/>
  <c r="L131" i="2" s="1"/>
  <c r="X131" i="2" s="1"/>
  <c r="O126" i="2"/>
  <c r="P126" i="2" s="1"/>
  <c r="K126" i="2"/>
  <c r="L126" i="2" s="1"/>
  <c r="O122" i="2"/>
  <c r="P122" i="2" s="1"/>
  <c r="K122" i="2"/>
  <c r="L122" i="2" s="1"/>
  <c r="X122" i="2" s="1"/>
  <c r="O101" i="2"/>
  <c r="P101" i="2" s="1"/>
  <c r="K101" i="2"/>
  <c r="L101" i="2" s="1"/>
  <c r="O96" i="2"/>
  <c r="P96" i="2" s="1"/>
  <c r="X96" i="2" s="1"/>
  <c r="O92" i="2"/>
  <c r="P92" i="2" s="1"/>
  <c r="X92" i="2" s="1"/>
  <c r="O86" i="2"/>
  <c r="P86" i="2" s="1"/>
  <c r="K86" i="2"/>
  <c r="L86" i="2" s="1"/>
  <c r="O82" i="2"/>
  <c r="P82" i="2" s="1"/>
  <c r="X82" i="2" s="1"/>
  <c r="O65" i="2"/>
  <c r="P65" i="2" s="1"/>
  <c r="X65" i="2" s="1"/>
  <c r="O59" i="2"/>
  <c r="P59" i="2" s="1"/>
  <c r="X59" i="2" s="1"/>
  <c r="O54" i="2"/>
  <c r="P54" i="2" s="1"/>
  <c r="X54" i="2" s="1"/>
  <c r="O48" i="2"/>
  <c r="P48" i="2" s="1"/>
  <c r="K48" i="2"/>
  <c r="L48" i="2" s="1"/>
  <c r="X48" i="2" s="1"/>
  <c r="O38" i="2"/>
  <c r="P38" i="2" s="1"/>
  <c r="K38" i="2"/>
  <c r="L38" i="2" s="1"/>
  <c r="K70" i="2"/>
  <c r="L70" i="2" s="1"/>
  <c r="O70" i="2"/>
  <c r="P70" i="2" s="1"/>
  <c r="X136" i="2" l="1"/>
  <c r="X154" i="2"/>
  <c r="X209" i="2"/>
  <c r="X230" i="2"/>
  <c r="X246" i="2"/>
  <c r="X244" i="2"/>
  <c r="X190" i="2"/>
  <c r="X225" i="2"/>
  <c r="X142" i="2"/>
  <c r="X162" i="2"/>
  <c r="X180" i="2"/>
  <c r="X231" i="2"/>
  <c r="X143" i="2"/>
  <c r="X212" i="2"/>
  <c r="X145" i="2"/>
  <c r="X165" i="2"/>
  <c r="X186" i="2"/>
  <c r="X208" i="2"/>
  <c r="X223" i="2"/>
  <c r="X239" i="2"/>
  <c r="X99" i="2"/>
  <c r="X31" i="2"/>
  <c r="X125" i="2"/>
  <c r="X199" i="2"/>
  <c r="X155" i="2"/>
  <c r="X163" i="2"/>
  <c r="X181" i="2"/>
  <c r="X30" i="2"/>
  <c r="X176" i="2"/>
  <c r="X215" i="2"/>
  <c r="X74" i="2"/>
  <c r="X249" i="2"/>
  <c r="X146" i="2"/>
  <c r="X132" i="2"/>
  <c r="X151" i="2"/>
  <c r="X233" i="2"/>
  <c r="X222" i="2"/>
  <c r="X238" i="2"/>
  <c r="X152" i="2"/>
  <c r="X232" i="2"/>
  <c r="X100" i="2"/>
  <c r="X173" i="2"/>
  <c r="X237" i="2"/>
  <c r="X137" i="2"/>
  <c r="X175" i="2"/>
  <c r="X172" i="2"/>
  <c r="X211" i="2"/>
  <c r="X241" i="2"/>
  <c r="X150" i="2"/>
  <c r="X170" i="2"/>
  <c r="X236" i="2"/>
  <c r="X144" i="2"/>
  <c r="X182" i="2"/>
  <c r="X245" i="2"/>
  <c r="X123" i="2"/>
  <c r="X210" i="2"/>
  <c r="X247" i="2"/>
  <c r="X192" i="2"/>
  <c r="X228" i="2"/>
  <c r="X64" i="2"/>
  <c r="X149" i="2"/>
  <c r="X93" i="2"/>
  <c r="X118" i="2"/>
  <c r="X32" i="2"/>
  <c r="X41" i="2"/>
  <c r="X67" i="2"/>
  <c r="X88" i="2"/>
  <c r="X19" i="2"/>
  <c r="X70" i="2"/>
  <c r="X53" i="2"/>
  <c r="X47" i="2"/>
  <c r="X56" i="2"/>
  <c r="X35" i="2"/>
  <c r="X60" i="2"/>
  <c r="X124" i="2"/>
  <c r="X38" i="2"/>
  <c r="X86" i="2"/>
  <c r="X101" i="2"/>
  <c r="X126" i="2"/>
  <c r="X36" i="2"/>
  <c r="X61" i="2"/>
  <c r="X11" i="2"/>
  <c r="X58" i="2"/>
  <c r="X69" i="2"/>
  <c r="X43" i="2"/>
  <c r="X45" i="2"/>
  <c r="X66" i="2"/>
  <c r="X78" i="2"/>
  <c r="X7" i="2"/>
  <c r="O27" i="2"/>
  <c r="P27" i="2" s="1"/>
  <c r="K27" i="2"/>
  <c r="L27" i="2" s="1"/>
  <c r="O13" i="2"/>
  <c r="P13" i="2" s="1"/>
  <c r="K13" i="2"/>
  <c r="L13" i="2" s="1"/>
  <c r="L252" i="2" s="1"/>
  <c r="P252" i="2" l="1"/>
  <c r="X13" i="2"/>
  <c r="X27" i="2"/>
  <c r="K250" i="2"/>
  <c r="O250" i="2"/>
</calcChain>
</file>

<file path=xl/sharedStrings.xml><?xml version="1.0" encoding="utf-8"?>
<sst xmlns="http://schemas.openxmlformats.org/spreadsheetml/2006/main" count="1826" uniqueCount="476">
  <si>
    <t xml:space="preserve"> </t>
  </si>
  <si>
    <t>AÑO 2026</t>
  </si>
  <si>
    <t>AÑO 2027</t>
  </si>
  <si>
    <t>AÑO 2028</t>
  </si>
  <si>
    <t>Edificio Habitabilidad Block 1</t>
  </si>
  <si>
    <t>Eddificio Habitabilidad Block 2</t>
  </si>
  <si>
    <t>Edificio Habitabilidad Block 3</t>
  </si>
  <si>
    <t>Sala de caldera</t>
  </si>
  <si>
    <t xml:space="preserve">Brigada Escuela y Garage </t>
  </si>
  <si>
    <t>Chutera</t>
  </si>
  <si>
    <t>Edificio Dirección</t>
  </si>
  <si>
    <t>Comedores de Cadetes</t>
  </si>
  <si>
    <t>Pabellón N° 1 Salas de Clases.</t>
  </si>
  <si>
    <t>Pabellón N° 2 Salas de Clases.</t>
  </si>
  <si>
    <t>Pabellón N° 3 Salas de Clases</t>
  </si>
  <si>
    <t>Casino de Oficiales</t>
  </si>
  <si>
    <t>Complejo deportivo</t>
  </si>
  <si>
    <t>Estadio</t>
  </si>
  <si>
    <t>Polígono de tiro</t>
  </si>
  <si>
    <t>Capilla</t>
  </si>
  <si>
    <t>Palo Araucano</t>
  </si>
  <si>
    <t>Talabartería y Sala de armas</t>
  </si>
  <si>
    <t>Guardias de acceso</t>
  </si>
  <si>
    <t>Casa de Yates</t>
  </si>
  <si>
    <t>Casa de Botes Curauma</t>
  </si>
  <si>
    <t>Instalaciones Eléctricas</t>
  </si>
  <si>
    <t>Instalaciones de Gas</t>
  </si>
  <si>
    <t>Generales</t>
  </si>
  <si>
    <t>Mantención techumbre.</t>
  </si>
  <si>
    <t>Mantención y pintado de Cielo entrepuentes H-13, H-24, H-12 y H-23.</t>
  </si>
  <si>
    <t>Mantención y pintado de sastrería y sala de planchado.</t>
  </si>
  <si>
    <t>Mantención y pintado Cielo entrepuentes H-34, H-43,H-33 y H-42.</t>
  </si>
  <si>
    <t>Pintado entrepuente, roperos, baños y duchas H-34, H-43, H-33 y H-42.</t>
  </si>
  <si>
    <t>Mantención pisos de baños H-34, H-43, H-33 y H-42.</t>
  </si>
  <si>
    <t>Mantención pisos de entrepuentes H-34, H-43, H-33 y H-42.</t>
  </si>
  <si>
    <t>Mantención y pintado entrepiso y peluquerías.</t>
  </si>
  <si>
    <t>Mantención y pintado pasillo de los Servicios Alimentación.</t>
  </si>
  <si>
    <t>Mantención y pintado interior enfermería de Cadetes femeninos.</t>
  </si>
  <si>
    <t>Mantención y pintado de baños enfermería de Cadetes femeninos.</t>
  </si>
  <si>
    <t>Pintado de entrepuente y baño de visitas.</t>
  </si>
  <si>
    <t>Mantención, pintado oficinas y pasillos de Mantención y Servicios.</t>
  </si>
  <si>
    <t>Mantención y pintado entrepuentes SO y Sgtos. Masculinos y Femeninos.</t>
  </si>
  <si>
    <t>Mantención y pintado baños y duchas entrepuentes de Cabos y Marineros (Nº1).</t>
  </si>
  <si>
    <t>Mantención y pintado Cámara de SO, repostero y Cámara de Sargentos.</t>
  </si>
  <si>
    <t>Mantención y pintado baños Cámaras de SO y Sargentos.</t>
  </si>
  <si>
    <t>Mantención y pintado interior enfermería de Cadetes Masculinos.</t>
  </si>
  <si>
    <t>Mantención y pintado baños enfermería de Cadetes Masculinos.</t>
  </si>
  <si>
    <t>Mantención y pintado interior cocina de tripulaciòn y repostero.</t>
  </si>
  <si>
    <t>Mantención y pintado interior talleres, salas de estar y duchas T.T.</t>
  </si>
  <si>
    <t>Pintado de cielo</t>
  </si>
  <si>
    <t>Mantención al piso</t>
  </si>
  <si>
    <t>Pintado espacios comunes.</t>
  </si>
  <si>
    <t>Mantención de techumbre.</t>
  </si>
  <si>
    <t>Mantención y pintado interior.</t>
  </si>
  <si>
    <t>Mantención cineteca.</t>
  </si>
  <si>
    <t>Mantención lineas de disparo</t>
  </si>
  <si>
    <t>Mantención armerillos.</t>
  </si>
  <si>
    <t>Mantención muelle flotante.</t>
  </si>
  <si>
    <t>Red de agua potable.</t>
  </si>
  <si>
    <t>Mantención rejas y cierres perimetrales.</t>
  </si>
  <si>
    <t>Red de incendio y grifos.</t>
  </si>
  <si>
    <t>Mantención de caminos y aceras.</t>
  </si>
  <si>
    <t>Limpiar, revisar y cambiar sellos en cubirta de techo, canaletas y bajadas de aguas lluvias.</t>
  </si>
  <si>
    <t>Reparar fisuras, preparación de superficies y aplicación de esquemas de pintura.</t>
  </si>
  <si>
    <t>Reparar fisuras, preparación de superficies y aplicación de esquemas de pintura en muros y pilares metálicos</t>
  </si>
  <si>
    <t xml:space="preserve"> Limpieza de frague e impermeabilizar canales de recolección aguas duchas.</t>
  </si>
  <si>
    <t>Reparar parquet dañado, pulido y vitrificado.</t>
  </si>
  <si>
    <t>Reparar fisuras, preparación de superficies y aplicación de esquemas de pintura en muros, cielo y pilares metálicos. Reparar parquet dañado en el piso, pulido y vitrificado.</t>
  </si>
  <si>
    <t>Mantención instalaciones sanitarias.</t>
  </si>
  <si>
    <t xml:space="preserve">Limpieza de la red de alcantarillado, piletas y sifones, verificar el correcto funcionamiento de artefactos sanitarios y cambio de sellos, revision y reparación de llaves de paso y monomandos, revision y reparación de filtraciones en red de agua potable. </t>
  </si>
  <si>
    <t>Preparación de superficie y aplicación de esquemas de pintura a pilares y marcos de ventanales fabricados en estructura metálica.</t>
  </si>
  <si>
    <t>Mantención integral a puertas y ventanas del edificio.</t>
  </si>
  <si>
    <t>Revisar y lubricar los mecanismos de funcionamiento, limpiar drenes, despiches y canales de ventanales. Revisar funcionamiento, apriete y lubricar quincalleria, bisagras y cerraduras.</t>
  </si>
  <si>
    <t>Preparación de superficie y aplicación de esquemas de pintura en muros, cielo, marcos de puertas y puertas.</t>
  </si>
  <si>
    <t>Reparar fisuras, preparación de superficies y aplicación de esquemas de pintura en muros, cielo y puertas.</t>
  </si>
  <si>
    <t>Mantención de azoteas.</t>
  </si>
  <si>
    <t>Limpiar, revisar y cambiar sellos en cubierta de techo, canaletas y bajadas de aguas lluvias.</t>
  </si>
  <si>
    <t>Limpiar y revisar sistema de impermeabilización azotea, limpiar y destapar canaletas y bajadas de aguas lluvias.</t>
  </si>
  <si>
    <t xml:space="preserve">Limpieza de la red de alcantarillado, piletas y sifones, verificar el correcto funcionamiento de artefactos sanitarios, cambio de sellos, revision y reparación de llaves de paso y monomandos, revision y reparación de filtraciones en red de agua potable. </t>
  </si>
  <si>
    <t>Revisar y lubricar los mecanismos de funcionamiento, limpiar drenes, despiches y canales de ventanales. Revisar funcionamiento y apriete, lubricar quincallería, bisagras y cerraduras.</t>
  </si>
  <si>
    <t>Mantención y pintado de baños y duchas entrepuentes SO y Sgtos. Masculinos y Femeninos.</t>
  </si>
  <si>
    <t>Preparación de superficie y aplicación de esquemas de pintura a cielo.</t>
  </si>
  <si>
    <t>Mantención y pintado de baños y duchas entrepuentes de Cabos y Marineros (Nº2).</t>
  </si>
  <si>
    <t>Mantención y pintado interior de Cámara y comedores de Cabos y Marineros.</t>
  </si>
  <si>
    <t>Preparación de superficie y aplicación de esquemas de pintura a muros, cielo, pilares, marcos de puertas y puertas.</t>
  </si>
  <si>
    <t>Mantención y pintado interior de entrepuentes de Cabos y Marineros.</t>
  </si>
  <si>
    <t>Preparación de superficie y aplicación de esquemas de pintura a muros, cielos y estructuras metálicas.</t>
  </si>
  <si>
    <t>Mantención muros interiores.</t>
  </si>
  <si>
    <t>Lavado y limpieza de frague.</t>
  </si>
  <si>
    <t>Preparación de superficie y aplicación de esquemas de pintura a muros, pilares metálicos.</t>
  </si>
  <si>
    <t>Preparación de superficie y aplicación de esquemas de pintura a muros, marcos de puertes, puertas y estructuras metálicas.</t>
  </si>
  <si>
    <t>Preparación de superficie y aplicación de esquemas de pintura a muros, marcos de puertas y puertas fabricadas en estructura metálica.</t>
  </si>
  <si>
    <t>Reparar fisuras, preparación de superficies, aplicación de esquemas de pintura en muros y pilares metálicos, revisión y correccion de sellos en ventanales.</t>
  </si>
  <si>
    <t>Sala histórica.</t>
  </si>
  <si>
    <t>Mantención a oficinas piso 2 al 8.</t>
  </si>
  <si>
    <t>Mantención oficinas de oficiales de divisiòn (piso zócalo).</t>
  </si>
  <si>
    <t>Preparación de superficie y aplicación de esquemas de pintura a muros, barnizado de puertas y muebles de madera.</t>
  </si>
  <si>
    <t>Mantención y pintado de baños.</t>
  </si>
  <si>
    <t>Preparación de superficie y aplicación de esquemas de pintura a muros, estructuras metálicas y pretector de madera en bajo aleros.</t>
  </si>
  <si>
    <t>Preparación de superficie y aplicación de esquemas de pintura a muros y protector de madera a cielo.</t>
  </si>
  <si>
    <t>Preparación de superficie y aplicación de esquemas de pintura a muros y pilares metálicos.</t>
  </si>
  <si>
    <t>Preparación de superficie y aplicación de esquemas de pintura a muros y cielo, barnizado de revestimientos de madera.</t>
  </si>
  <si>
    <t>Mantención y pintado de baños y duchas.</t>
  </si>
  <si>
    <t>Preparación de superficie y aplicación de esquemas de pintura a estructuras metálicas.</t>
  </si>
  <si>
    <t>Preparación de superficie y aplicación de esquemas de pintura a muros.</t>
  </si>
  <si>
    <t>Preparación de superficie y aplicación de barnis a estructuras de madera.</t>
  </si>
  <si>
    <t>Mantención parabalas.</t>
  </si>
  <si>
    <t>Revisión estado de conservación, preparación de superficie y aplicación de esquemas de pintura.</t>
  </si>
  <si>
    <t>Revisión estado de conservación, reparación, preparación de superficie y aplicación de esquemas de pintura.</t>
  </si>
  <si>
    <t>Mantenimiento diario que incluye el riego para mantener la humedad, cepillado para nivelar la superficie y pasar el rodillo. Se debe hacer una limpieza semanal de barrido, y una limpieza profunda mensual o bianual para nivelar el desgaste. La renovación o resiembra de la capa superior de arcilla se hace cada 2 a 3 años</t>
  </si>
  <si>
    <t>Requieren un mantenimiento regular, incluyendo limpieza superficial 1-2 veces por semana, lavado mensual, y una renovación completa cada 2 a 4 años</t>
  </si>
  <si>
    <t xml:space="preserve">Mantención canchas de tenis, carpeta de poliuretano. </t>
  </si>
  <si>
    <t>Lavado cada 2 semanas, revisar y cambiar sellos en cubierta de techo, canaletas y bajadas de aguas lluvias.</t>
  </si>
  <si>
    <t>Mantención revestimiento exterior.</t>
  </si>
  <si>
    <t>Lavado de las fachadas cada 6 meses.</t>
  </si>
  <si>
    <t>Mantención y pintado de baños, camarines y duchas.</t>
  </si>
  <si>
    <t>Mantención y pintado interior oficinas.</t>
  </si>
  <si>
    <t xml:space="preserve">Mantención multicanchas, carpetas de poliuretano. </t>
  </si>
  <si>
    <t>Limpieza superficial 1-2 veces por semana, lavado mensual, y una renovación completa cada 2 a 4 años.</t>
  </si>
  <si>
    <t>Pintado estructuras metalicas sector piscinas y gimnasio.</t>
  </si>
  <si>
    <t>Instalaciones sanitarias de urbanización</t>
  </si>
  <si>
    <t>Instalaciones Eléctricas de urbanización</t>
  </si>
  <si>
    <t>Red de alcantarillado y cámaras de Inspección.</t>
  </si>
  <si>
    <t>Válvulas de corte</t>
  </si>
  <si>
    <t>Llaves de jardín.</t>
  </si>
  <si>
    <t>Cocina y repostero.</t>
  </si>
  <si>
    <t>Lineas de alimentación eléctrica.</t>
  </si>
  <si>
    <t>Inspecciones visuales, limpieza de aisladores, monitoreo de variables eléctricas y ambientales, y trabajos de mantenimiento correctivo o preventivo</t>
  </si>
  <si>
    <t>Mantención sub-estación eléctrica N°1 (2 Trafo.)</t>
  </si>
  <si>
    <t>Mantención sub-estación eléctrica N°2 ( 1 Trafo.)</t>
  </si>
  <si>
    <t>Mantención sub-estación eléctrica N°3 ( 1 Trafo.)</t>
  </si>
  <si>
    <t xml:space="preserve">Tablero de alumbrado, diferenciales e interruptores. </t>
  </si>
  <si>
    <t>Limpieza de polvo y contaminantes, el reapriete de conexiones, la verificación de voltajes y corrientes, el seguimiento del estado de cables y dispositivos de protección (interruptores, diferenciales), y la prueba del interruptor diferencial (RCD).</t>
  </si>
  <si>
    <t>Revisión y limpieza de sensores, la comprobación del panel de control y su batería, la prueba de sirenas, la verificación de la comunicación con la Central Receptora de Alarmas (CRA), y la actualización de software.</t>
  </si>
  <si>
    <t>Limpieza exhaustiva del equipo, lubricación de partes móviles, ajuste de tornillos y correas, inspección visual de componentes, y reemplazo de filtros si es necesario para mantener su eficiencia y prolongar su vida útil.</t>
  </si>
  <si>
    <t>Inspecciones visuales, limpieza de los componentes, verificación de conexiones y fijación, comprobación del estado de los cables y pruebas de funcionalidad.</t>
  </si>
  <si>
    <t>Limpieza periódica de rieles y bisagras, la lubricación de sus componentes (como bisagras, ruedas y cadenas) con grasa de litio, la revisión y ajuste de sus componentes eléctricos (motor, cableado, sensores).</t>
  </si>
  <si>
    <t>Medición de resistencia eléctrica con un telurómetro, la limpieza física de la varilla y sus conectores, la aplicación de materiales como sal industrial o torgel para mejorar la conductividad, y la verificación de componentes dañados.</t>
  </si>
  <si>
    <t xml:space="preserve">La inspección de la estanqueidad de las tuberías mediante pruebas de hermeticidad, la verificación de la presión del gas, la revisión de la corrosión y el estado de las conexiones, así como la inspección y limpieza de los aparatos a gas y la ventilación. </t>
  </si>
  <si>
    <t>Desarmar la llave para aplicar grasa grafitada en el vástago cónico y el resorte, lubricando así los componentes y reparando posibles fugas por falta de grasa o desgaste</t>
  </si>
  <si>
    <t xml:space="preserve">Limpiar filtros y emisores, verificar la presión del sistema, drenar tuberías para eliminar sedimentos o escoria, realizar lavados con soluciones ácidas si es necesario, y desconectar o proteger componentes si el sistema no se usará. </t>
  </si>
  <si>
    <t>Revisiones periódicas y pruebas funcionales de todos sus componentes (tuberías, válvulas, rociadores, alarmas, bombas, etc.)</t>
  </si>
  <si>
    <t xml:space="preserve"> La poda se enfoca en la eliminación de ramas secas, débiles o mal orientadas para mejorar la salud y forma del árbol, mientras que la tala implica la eliminación completa de un árbol cuando es necesario por razones de seguridad o sanidad.</t>
  </si>
  <si>
    <t>Limpieza de cunetas y alcantarillas, bacheo de la calzada, reparación de señalización y la aplicación de técnicas de estabilización para prevenir el deterioro prematuro.</t>
  </si>
  <si>
    <t>Inspección, limpieza y reparación de tuberías y componentes para prevenir fugas, obstrucciones y contaminación.</t>
  </si>
  <si>
    <t>Limpieza y lavado a presión para eliminar residuos y obstrucciones, y la inspección con cámaras robotizadas o no robotizadas (CCTV) para detectar daños estructurales, grietas, fugas o raíces</t>
  </si>
  <si>
    <t>Inspección visual, limpieza de la válvula y su entorno, verificación del funcionamiento abriendo y cerrando lentamente, revisión de fugas en el eje, lubricación del eje y la posible inspección o limpieza interna.</t>
  </si>
  <si>
    <t>Limpiar el sarro acumulado con pasta de bicarbonato y vinagre, reparar goteos cambiando el empaque del vástago y lubricándolo, o simplemente ajustar la tuerca superior</t>
  </si>
  <si>
    <t>Preparación de superficie y aplicación de esquemas de pintura a muros, pilares y revestimiento de madera.</t>
  </si>
  <si>
    <t>Preparación de superficie y aplicación de esquemas de pintura a muros y estructuras metálicas.</t>
  </si>
  <si>
    <t>Mantención azotea.</t>
  </si>
  <si>
    <t>(Columnas, vigas, costaneras, diagonales y refuerzos) Preparación de superficies eliminando el óxido presente y aplicación de esquemas de pinturas.</t>
  </si>
  <si>
    <t>Preparación de superficies eliminando el óxido presente, aplicación de esquemas de pinturas y lubricación a piezas móviles.</t>
  </si>
  <si>
    <t>Verificación y pruebas de todos los componentes del sistema, como citófonos, cables troncales y fuentes de alimentación</t>
  </si>
  <si>
    <t>Extractores, campanas.</t>
  </si>
  <si>
    <t>Inspección física, limpieza de polvo y suciedad, reapriete de conexiones, y pruebas de voltaje y aislamiento.</t>
  </si>
  <si>
    <t>Mantenimiento preventivo, predictivo y correctivo, con actividades como inspecciones visuales, pruebas eléctricas, limpieza, lubricación, ajustes de componentes y cambio de aceites dieléctricos.</t>
  </si>
  <si>
    <t xml:space="preserve">Mantenimiento preventivo, predictivo y correctivo, con actividades como inspecciones visuales, pruebas eléctricas, limpieza, lubricación, ajustes de componentes y cambio de aceites dieléctricos. </t>
  </si>
  <si>
    <t>Preparación de superficie y aplicación de esquemas de pintura en cielo, muros, barnizado de puertas y muebles de madera.</t>
  </si>
  <si>
    <t>Preparación de superficie y aplicación de barniz.</t>
  </si>
  <si>
    <t>Barnizado de cielo</t>
  </si>
  <si>
    <t>Salas de laboratorios, salas especiales, salas COS, OM. Y Biblioteca</t>
  </si>
  <si>
    <t>Mantención de cielo</t>
  </si>
  <si>
    <t>Limpieza de componentes como la cámara de combustión, quemadores y filtros, así como la verificación de la presión en los circuitos y el correcto funcionamiento de válvulas de seguridad.</t>
  </si>
  <si>
    <t>Limpiezas periódicas de quemadores, rejillas y puertos, así como revisiones técnicas para prevenir fugas de gas y asegurar un funcionamiento seguro y eficiente.</t>
  </si>
  <si>
    <t>Limpieza de quemadores y parrillas, la revisión de las conexiones de gas, la prueba de los sistemas de encendido y la calibración de los controles de temperatura.</t>
  </si>
  <si>
    <t>Inspecciones visuales regulares, pruebas de fugas, limpieza de componentes y revisiones por parte de un profesional calificado.</t>
  </si>
  <si>
    <t>Realizar cortes regulares del césped, la eliminación de malezas mediante métodos manuales o mecánicos (con desbrozadora) y la limpieza general del jardín.</t>
  </si>
  <si>
    <t>Limpieza interna para eliminar sedimentos y microorganismos, y la desinfección con hipoclorito de sodio. También se debe hacer un mantenimiento externo cada 3 meses, que incluye limpiar la zona perimetral, sellar tuberías de ventilación y revisar válvulas.</t>
  </si>
  <si>
    <t>Revisiones periódicas como la limpieza de filtros e impulsores, el control de lubricación, la comprobación de sellos y empaques, y la verificación de la presión y vibración.</t>
  </si>
  <si>
    <t>1</t>
  </si>
  <si>
    <t>Incluyen limpiezas diarias y semanales para evitar la acumulación de residuos, limpieza anual de la superficie, reparaciones inmediatas de pequeños desperfectos, repintado de líneas cada 3-5 años, y la aplicación de protección UV si la pista está muy expuesta al sol.</t>
  </si>
  <si>
    <t>Mantención canchas de babyfutbol, pasto sintético.</t>
  </si>
  <si>
    <t xml:space="preserve">Siega regular, riego planificado, fertilización, aireación, escarificado y control fitosanitario. Es crucial realizar reparaciones en el terreno después del uso intensivo, mantener el área limpia de residuos y demarcar las líneas periódicamente para garantizar las condiciones óptimas de juego y prolongar la vida útil del césped. </t>
  </si>
  <si>
    <t>Cepillar la cancha al menos una vez al mes o con más frecuencia si es muy utilizada para levantar las fibras y distribuir el caucho. También se debe realizar un lavado con agua periódicamente, especialmente después de la lluvia o para limpiar residuos. Si la cancha tiene relleno de caucho, este debe reponerse y distribuirse de forma regular para mantener el nivel adecuado.</t>
  </si>
  <si>
    <t xml:space="preserve">Valor total </t>
  </si>
  <si>
    <t>Preparación de superficies y aplicación de esquemas de pintura.</t>
  </si>
  <si>
    <t>Salas de Estudios, 4 pabellones de 2 pisos cada uno.</t>
  </si>
  <si>
    <t>Preparación de superficie y aplicación de esquemas de pintura y barniz a cielos.</t>
  </si>
  <si>
    <t>Preparación de superficie y aplicación de esquema de pintura y barniz.</t>
  </si>
  <si>
    <t>Preparación de superficie y aplicación esquemas de pintura y barniz.</t>
  </si>
  <si>
    <t>Talleres</t>
  </si>
  <si>
    <t>Incluye inspecciones, ajustes, lubricación, limpieza y reparaciones preventivas de componentes como cables, puertas y frenos.</t>
  </si>
  <si>
    <t>Limpiezas periódicas de paneles y suelos, revisiones de aislamiento, juntas y cierres, así como el control de los componentes del sistema de refrigeración como el evaporador, el condensador y las válvulas</t>
  </si>
  <si>
    <t xml:space="preserve">Limpieza, revisiones periódicas y reparaciones para asegurar el correcto funcionamiento de los equipos. </t>
  </si>
  <si>
    <t>Limpiar el filtro de aire cada dos semanas, vaciar y desinfectar el depósito de agua cada dos o cuatro semanas, y revisar las bobinas para eliminar el polvo.</t>
  </si>
  <si>
    <t>Limpieza exhaustiva de la caldera, revisión y ajuste de componentes clave como quemadores, bombas y presiones, además de la verificación de la seguridad de la instalación, incluyendo ventilaciones y extintores</t>
  </si>
  <si>
    <t>Limpieza de frague e impermeabilizar canales de recolección aguas duchas.</t>
  </si>
  <si>
    <t>Pintado de cielo.</t>
  </si>
  <si>
    <t>Mantención al piso.</t>
  </si>
  <si>
    <t>Mantención carpeta de atletismo.</t>
  </si>
  <si>
    <t>Sala de máquinas.</t>
  </si>
  <si>
    <t>Sala de equipos deshumidificadores.</t>
  </si>
  <si>
    <t>Sala de calderas apoyo a equipos deshumidificadores.</t>
  </si>
  <si>
    <t>Mantención vaso piscina olímpica y de calentamiento.</t>
  </si>
  <si>
    <t>Mantención de graderías.</t>
  </si>
  <si>
    <t>Mantención cancha de fútbol.</t>
  </si>
  <si>
    <t>Mantención pista atlética.</t>
  </si>
  <si>
    <t xml:space="preserve">Incluye la limpieza física del vaso, el control y ajuste de la química del agua y la optimización del sistema de filtración. Se requiere cepillar paredes y fondo, aspirar la suciedad, mantener niveles de desinfectante (cloro, bromo) y pH óptimos (7.2-7.6), y asegurar el correcto funcionamiento de los filtros y la circulación del agua. También es crucial mantener la temperatura y humedad ambiental adecuadas para los nadadores en piscinas cubiertas. </t>
  </si>
  <si>
    <t>Incluyen limpiezas diarias y semanales para evitar la acumulación de residuos, limpieza anual de la superficie, reparaciones inmediatas de pequeños desperfectos, repintado de líneas cada 3-5 años, y la aplicación de protección UV si la pista está muy expuesta al sol</t>
  </si>
  <si>
    <t xml:space="preserve">Valor total $ </t>
  </si>
  <si>
    <t>Total UF</t>
  </si>
  <si>
    <t>Reparación de puertas, cerraduras, cajones y rieles para garantizar el correcto funcionamiento.</t>
  </si>
  <si>
    <t>Mantención roperos de entrepuentes H-13, H-24, H-12 y H-23.</t>
  </si>
  <si>
    <t>Mantención roperos de entrepuentes H-34, H-43, H-33 y H-42.</t>
  </si>
  <si>
    <t>Mantención roperos entrepuentes  de Suboficiales, Sargentos, Femenino, Cabos y Marineros.</t>
  </si>
  <si>
    <t>Mantención a puertas y ventanas.</t>
  </si>
  <si>
    <t>Pintado de muros, roperos, baños y duchas en entrepuentes H-13, H-24, H-12 y H-23.</t>
  </si>
  <si>
    <t>Mantención de pisos en baños entrepuentes H-13, H-24, H-12 y H-23.</t>
  </si>
  <si>
    <t>Mantención de pisos en entrepuentes H-13, H-24, H-12 y H-23.</t>
  </si>
  <si>
    <t>Mantención y pintado de lavandería.</t>
  </si>
  <si>
    <t>Reparar fisuras, preparación de superficies y aplicación de esquemas de pintura en muros y pilares metálicos.</t>
  </si>
  <si>
    <t>Montacargas.</t>
  </si>
  <si>
    <t>Mantención y pintado guardia de cadetes y sala de visitas.</t>
  </si>
  <si>
    <t>Pintado exterior del edificio.</t>
  </si>
  <si>
    <t>Portones de acceso.</t>
  </si>
  <si>
    <t>Sistema de regadío.</t>
  </si>
  <si>
    <t>Tala y poda de árboles.</t>
  </si>
  <si>
    <t>Desmalezado y corte de césped.</t>
  </si>
  <si>
    <t>Reguladores.</t>
  </si>
  <si>
    <t>Estufas.</t>
  </si>
  <si>
    <t>Calderas.</t>
  </si>
  <si>
    <t>Llaves de corte.</t>
  </si>
  <si>
    <t>Red de gas.</t>
  </si>
  <si>
    <t>Tableros de distribución.</t>
  </si>
  <si>
    <t>Red eléctrica, enchufes, interruptores.</t>
  </si>
  <si>
    <t>Barras a tierra.</t>
  </si>
  <si>
    <t xml:space="preserve">Cotofonía. </t>
  </si>
  <si>
    <t xml:space="preserve">Alarma. </t>
  </si>
  <si>
    <t>Bombas impulsoras de agua.</t>
  </si>
  <si>
    <t>Estanques de acumulación de agua potable.</t>
  </si>
  <si>
    <t>Mantención estructuras.</t>
  </si>
  <si>
    <t>Reemplazo de cáncamos y driza.</t>
  </si>
  <si>
    <t>Cambiar cáncamos, driza y lubricacion a piezas móbiles.</t>
  </si>
  <si>
    <t>Mantención de cielo.</t>
  </si>
  <si>
    <t xml:space="preserve">Mantención canchas de tenis de arcilla. </t>
  </si>
  <si>
    <t>Mantención puertas y ventanas.</t>
  </si>
  <si>
    <t>Mantención y pintado de casino y baños de Cadetes.</t>
  </si>
  <si>
    <t>Cámaras frigoríficas.</t>
  </si>
  <si>
    <t>Certificación ascensores.</t>
  </si>
  <si>
    <t>Mantención ascensores.</t>
  </si>
  <si>
    <t>Certificación anueal.</t>
  </si>
  <si>
    <t>AÑO 2029</t>
  </si>
  <si>
    <t>AÑO 2030</t>
  </si>
  <si>
    <t>AÑO 2031</t>
  </si>
  <si>
    <t>AÑO 2032</t>
  </si>
  <si>
    <t>AÑO 2033</t>
  </si>
  <si>
    <t>AÑO 2034</t>
  </si>
  <si>
    <t>TIPO DE TRABAJO</t>
  </si>
  <si>
    <t>SECTOR</t>
  </si>
  <si>
    <t>TAREA</t>
  </si>
  <si>
    <t>AÑO 2025</t>
  </si>
  <si>
    <t>PLAN DE SOSTENIMIENTO INFRAESTRUCTURA ESNAVAL</t>
  </si>
  <si>
    <t>VALOR ANUAL EN UF.</t>
  </si>
  <si>
    <t>PERIOCIDAD AÑOS</t>
  </si>
  <si>
    <t>PRIORIDAD EJECUCIÓN</t>
  </si>
  <si>
    <t>OBSERVACIONES</t>
  </si>
  <si>
    <t>1.- LOS VALORES ESTAN EXPRESADOS EN UF</t>
  </si>
  <si>
    <t>2.- EL MANTENIMIENTO  DE  LOS  SISTEMAS  Y  MAQUINARIA  AUXILIAR  EXISTENTE  EN  LA ESCUELA  ESCUELA NAVAL"ARTURO PRAT", SE REGIRAN DE ACUERDO AL MANTENIMIENTO AUTOMÁTICO IMPLANTADO POR EL SERVIMADA EN SALINO.</t>
  </si>
  <si>
    <t>3.- EL MANTENIMIENTO DE LA INFRAESTRUCTURA, SE EFECTUARAN SEGÚN PROGRAMACIÓN " D.G.S.A.".</t>
  </si>
  <si>
    <t>4.- LA ESCUELA NAVAL "ARTURO PRAT", REQUERIRA ANUALMENTE RECURSOS CREDIFIN QUE PERMITAN FINANCIAR TRABAJOS IMPREVISTOS A EJECUTAR EN LA PLANTA DE ASMAR TALCAHUANO.</t>
  </si>
  <si>
    <t>A</t>
  </si>
  <si>
    <t>B</t>
  </si>
  <si>
    <t>C</t>
  </si>
  <si>
    <t>D</t>
  </si>
  <si>
    <t>Normal</t>
  </si>
  <si>
    <t>Programable</t>
  </si>
  <si>
    <t xml:space="preserve"> Máxima prioridad</t>
  </si>
  <si>
    <t>Mantención techumbre y azotea.</t>
  </si>
  <si>
    <t>Se requere impermeabilizar azoteas sector cajas de escalas, trabajos considerados en proyectos de recuperación de la infraestructura.</t>
  </si>
  <si>
    <t>La fachada norte del edifiico se pintó el año 2019 y la fachada sur el año 2013, condición que genera oxidación en las estructuras metálicas y muros permeables a las aguas lluvias.</t>
  </si>
  <si>
    <t>Se requere impermeabilizar azotea, trabajos considerados en proyectos de recuperación de la infraestructura.</t>
  </si>
  <si>
    <t>Hace mas de 12 años que no se pintan.</t>
  </si>
  <si>
    <t>Hace mas de 4 años que no se lava.</t>
  </si>
  <si>
    <t>Techo en muy malas condiciones, con grandes filtraciones de agua al interior del edificio y riesgo de caidas de estructuras desde las alturas.</t>
  </si>
  <si>
    <t>Revestimiento sector piscina olímpica, en muy malas condicones, con riesgo de desprendimiento de estructuras desde las alturas.</t>
  </si>
  <si>
    <t>Este año se realizó la imperemabilización de las azoteas.</t>
  </si>
  <si>
    <t>Techo en malas condicones, con filtraciones de aguas lluvia al interior del edificio.</t>
  </si>
  <si>
    <t>Hace mas de 13 años que no se pintan, generando oxidacion en sus estructuras metalicas y muros permables al paso de la lluvia y humedad del ambiente salino.</t>
  </si>
  <si>
    <t>Requiere una impermeabilización y reparación de escotillas para evitar el ingreso de particulas o aguas contaminadas desde el exterior.</t>
  </si>
  <si>
    <t>Instalaciones fuera de Normativa Chilena Eléctrica, trabajos considerados en el plan de recuperación de la infraestructura ESNAVAL</t>
  </si>
  <si>
    <t>Instalaciones fuera de Normativa Chilena Vigente, trabajos considerados en el plan de recuperación de la infraestructura ESNAVAL</t>
  </si>
  <si>
    <t>Segunda prioridad</t>
  </si>
  <si>
    <t>TOTAL EN 10 AÑOS</t>
  </si>
  <si>
    <t>Hace mas de 12 años que no se impermeabilizan.</t>
  </si>
  <si>
    <t>Hace mas de 4 años que no se pintan.</t>
  </si>
  <si>
    <t>Hace mas de 4 años que no se lavan.</t>
  </si>
  <si>
    <t>Ventanales suelto y desajustados, permitiendo el ingreso de viento y polvo desde el exterior al interior de ñas oficinas, requere un pronto cambio, trabajo considerado en proyecto de recuperacion de la infraestructura ESNAVAL.</t>
  </si>
  <si>
    <t>NOTAS:</t>
  </si>
  <si>
    <t>5.- PRIORIDAD DE EJECUCIÓN</t>
  </si>
  <si>
    <t>Salas de clases, 3 pabellones de 2 pisos cada uno.</t>
  </si>
  <si>
    <t>Prevenir colapso estructural.</t>
  </si>
  <si>
    <t>Análisis estructural.</t>
  </si>
  <si>
    <t>Recuperación estructural.</t>
  </si>
  <si>
    <t>Soportar embates de la lluvia y viento.</t>
  </si>
  <si>
    <t>Cambio cubierta de techo.</t>
  </si>
  <si>
    <t>Impermeabilización de azotea.</t>
  </si>
  <si>
    <t>Impermeabilización y pintura de fachadas.</t>
  </si>
  <si>
    <t>Cambio de ventanales.</t>
  </si>
  <si>
    <t>Cumplir con Normativa Chilena vigente.</t>
  </si>
  <si>
    <t>Vías de evacuación..</t>
  </si>
  <si>
    <t>Normalización eléctrica</t>
  </si>
  <si>
    <t>Instalación de gas.</t>
  </si>
  <si>
    <t>Instalaciones sanitarias.</t>
  </si>
  <si>
    <t>Accesibilidad universal.</t>
  </si>
  <si>
    <t>Modernización de artefactos o equipos por vetustez o falla.</t>
  </si>
  <si>
    <t>Ascensores</t>
  </si>
  <si>
    <t xml:space="preserve">Cámaras frigoríficas </t>
  </si>
  <si>
    <t>Equipos de aire acondicionado.</t>
  </si>
  <si>
    <t>Artefactos sanitarios.</t>
  </si>
  <si>
    <t>Cabinas de WC y duchas.</t>
  </si>
  <si>
    <t>Unidad de medida</t>
  </si>
  <si>
    <t>Cantidad</t>
  </si>
  <si>
    <t>Valor unitario</t>
  </si>
  <si>
    <t>Valor total</t>
  </si>
  <si>
    <t>Valor uf.</t>
  </si>
  <si>
    <t>Edificio Habitabilidad</t>
  </si>
  <si>
    <t>CONCEPTOS BASICOS</t>
  </si>
  <si>
    <t>M2</t>
  </si>
  <si>
    <t>GL</t>
  </si>
  <si>
    <t>NR</t>
  </si>
  <si>
    <t>AÑO 2035</t>
  </si>
  <si>
    <t>Por definir según resultados del estudio</t>
  </si>
  <si>
    <t>Vías de evacuación.</t>
  </si>
  <si>
    <t>Red húmeda incendio.</t>
  </si>
  <si>
    <t>WC institucional</t>
  </si>
  <si>
    <t>Urinarios.</t>
  </si>
  <si>
    <t>Lavamanos</t>
  </si>
  <si>
    <t>Vanitorios</t>
  </si>
  <si>
    <t>Equipos de aire acondicionado 36000 BTU.</t>
  </si>
  <si>
    <t>Estudio y Análisis estructural.</t>
  </si>
  <si>
    <t>Recuperación instalaciones</t>
  </si>
  <si>
    <t>Cancha de fútbol.</t>
  </si>
  <si>
    <t>Pista atlética.</t>
  </si>
  <si>
    <t xml:space="preserve">Canchas de tenis de arcilla. </t>
  </si>
  <si>
    <t xml:space="preserve">Canchas de tenis, carpeta de poliuretano. </t>
  </si>
  <si>
    <t>Petroleo</t>
  </si>
  <si>
    <t>Lavaplatos</t>
  </si>
  <si>
    <t>Instalación abierta.</t>
  </si>
  <si>
    <t>Corregir pendientes en piso.</t>
  </si>
  <si>
    <t>Laboratorios y salas especiales.</t>
  </si>
  <si>
    <t>Capilla.</t>
  </si>
  <si>
    <t>Quincho</t>
  </si>
  <si>
    <t>Caseta de control</t>
  </si>
  <si>
    <t>Estacionamientos</t>
  </si>
  <si>
    <t>Calles y avenidas.</t>
  </si>
  <si>
    <t>Normalización eléctrica.</t>
  </si>
  <si>
    <t>Recuperación estructural (Cambio cielo de madera).</t>
  </si>
  <si>
    <t>Casa de botes Curauma</t>
  </si>
  <si>
    <t>Renovación de armerillos.</t>
  </si>
  <si>
    <t>Talleres y maestranzas</t>
  </si>
  <si>
    <t>Lineas de tiro</t>
  </si>
  <si>
    <t>Modernización de artefactos o equipos por vetustez o falla</t>
  </si>
  <si>
    <t>Horno.</t>
  </si>
  <si>
    <t>Parrillas.</t>
  </si>
  <si>
    <t>Baños</t>
  </si>
  <si>
    <t>Canchas de babyfutbol, pasto sintético.</t>
  </si>
  <si>
    <t>Cubierta de techo.</t>
  </si>
  <si>
    <t>PLAN DE RECUPERACIÓN DE LA INFRAESTRUCTURA ESNAVAL</t>
  </si>
  <si>
    <t>WC institucional.</t>
  </si>
  <si>
    <t>Lavamanos.</t>
  </si>
  <si>
    <t>Vanitorios.</t>
  </si>
  <si>
    <t>Ventanas.</t>
  </si>
  <si>
    <t>Techumbre.</t>
  </si>
  <si>
    <t>Instalaciones eléctricas de urbanización</t>
  </si>
  <si>
    <t>Instalaciones de gas</t>
  </si>
  <si>
    <t>Nr.</t>
  </si>
  <si>
    <t>Calderas agua caliente 2 vapor 1.</t>
  </si>
  <si>
    <t>VALOR TOTAL</t>
  </si>
  <si>
    <t>MT.</t>
  </si>
  <si>
    <t>PRIORIDAD</t>
  </si>
  <si>
    <t>Valor total $</t>
  </si>
  <si>
    <t xml:space="preserve">Estimación pendiente por asesoramiento de SERVICONS/DOCAPRIM </t>
  </si>
  <si>
    <t>Valor UF 09-01-2026</t>
  </si>
  <si>
    <t>74.</t>
  </si>
  <si>
    <t>Sistemas de filtrado</t>
  </si>
  <si>
    <t>Vaso piscinas</t>
  </si>
  <si>
    <t>Equipos deshumidificadores</t>
  </si>
  <si>
    <t>Circuito agua caliente y vapor.</t>
  </si>
  <si>
    <t>Evacuación de aguas lluvias.</t>
  </si>
  <si>
    <t>Parque solar</t>
  </si>
  <si>
    <t>Terraza del mar</t>
  </si>
  <si>
    <t>PROYECTO: RECUPERACIÓN COMPLEJO DEPORTIVO</t>
  </si>
  <si>
    <t>DESCRIPCIÓN PROPUESTAS</t>
  </si>
  <si>
    <t>DESCRIPCIÓN</t>
  </si>
  <si>
    <t>ESTRUCTURAS</t>
  </si>
  <si>
    <t>UNIDAD DE MEDIA</t>
  </si>
  <si>
    <t>CANTIDAD</t>
  </si>
  <si>
    <t>PRECIO UNITARIO</t>
  </si>
  <si>
    <t>COINVA</t>
  </si>
  <si>
    <t xml:space="preserve">PISCINAS </t>
  </si>
  <si>
    <t>TECHUMBRE</t>
  </si>
  <si>
    <t>CAMBIO COSTANERAS</t>
  </si>
  <si>
    <t>SI</t>
  </si>
  <si>
    <t>MUROS</t>
  </si>
  <si>
    <t xml:space="preserve">CAMBIO DE COSTANERAS </t>
  </si>
  <si>
    <t xml:space="preserve">CAMBIO DE REVESTIMIENTOS </t>
  </si>
  <si>
    <t>CAMBIO DE  VENTANALES</t>
  </si>
  <si>
    <t>PARCIAL</t>
  </si>
  <si>
    <t>PARCIAL 280 M2</t>
  </si>
  <si>
    <t>GIMNASIO</t>
  </si>
  <si>
    <t xml:space="preserve">MANTENCIÓN DE COSTANERAS </t>
  </si>
  <si>
    <t>NO</t>
  </si>
  <si>
    <t>CAMBIO CUBIERTA DE TECHO</t>
  </si>
  <si>
    <t xml:space="preserve">MANTENIMIENTO DE COSTANERAS </t>
  </si>
  <si>
    <t>REVESTIMIENTO MUROS</t>
  </si>
  <si>
    <t>NORMALIZACIÓN INSTALACIÓN ELÉCTRICA</t>
  </si>
  <si>
    <t>PISCINAS</t>
  </si>
  <si>
    <t>INSTALACIONES ELÉCTRICAS</t>
  </si>
  <si>
    <t>GL.</t>
  </si>
  <si>
    <t>ILUMINACIÓN</t>
  </si>
  <si>
    <t>CLIMATIZACIÓN</t>
  </si>
  <si>
    <t>CLIMATIZACIÓN RECINTOS NIVEL 1 Y -1</t>
  </si>
  <si>
    <t>CALEFACCIÓN AGUAS</t>
  </si>
  <si>
    <t xml:space="preserve">SALA DE CALDERAS </t>
  </si>
  <si>
    <t>ACCESIBILIDAD UNIVERSAL</t>
  </si>
  <si>
    <t>PISCINA OLÍMPICA</t>
  </si>
  <si>
    <t>VIAS DE CIRCULACIÓN</t>
  </si>
  <si>
    <t>BAÑOS VISITAS</t>
  </si>
  <si>
    <t>2 CAMARINES DE 7</t>
  </si>
  <si>
    <t>VARIOS</t>
  </si>
  <si>
    <t>EQUIPAMIENTO</t>
  </si>
  <si>
    <t>EQUIPOS</t>
  </si>
  <si>
    <t>CIRCUITO DE RECIRCULACIÓN</t>
  </si>
  <si>
    <t>SISTEMA DE BOMBAS Y FILTROS</t>
  </si>
  <si>
    <t>MANTENIMIENTO VASOS PISCINAS</t>
  </si>
  <si>
    <t>SOLO LIMPIEZA, NO CONSIDERA REPARACIÓN, PINTADO Y DEMARCACIONES.</t>
  </si>
  <si>
    <t>VALORES ESTIMADOS IVA INCLUIDO</t>
  </si>
  <si>
    <t>PLAZOS EN MESES</t>
  </si>
  <si>
    <t>6 MESES</t>
  </si>
  <si>
    <t>7 MESES</t>
  </si>
  <si>
    <t>4 MESES</t>
  </si>
  <si>
    <t>3,5 MESES SON POR IMPORTACIÓN</t>
  </si>
  <si>
    <t xml:space="preserve">VALOR ESTIMADO TOTAL </t>
  </si>
  <si>
    <t>Valor estimado sería reducido, si es que se adjudican los fondos del IND.</t>
  </si>
  <si>
    <t>VALOR POR EDIFICIO EN $</t>
  </si>
  <si>
    <t>VALOR TOTAL IVA INCLUIDO</t>
  </si>
  <si>
    <t>Instalaciones eléctricas de urbanización.</t>
  </si>
  <si>
    <t>Por definir</t>
  </si>
  <si>
    <t>Complejo deportivo.</t>
  </si>
  <si>
    <t>Edificio Dirección.</t>
  </si>
  <si>
    <t>Casa de Yates.</t>
  </si>
  <si>
    <t>Brigada Escuela y Garage.</t>
  </si>
  <si>
    <t>Edificio Habitabilidad.</t>
  </si>
  <si>
    <t>Talabartería y Sala de armas.</t>
  </si>
  <si>
    <t>Polígono de tiro.</t>
  </si>
  <si>
    <t>Sala de caldera.</t>
  </si>
  <si>
    <t>Casino de Oficiales.</t>
  </si>
  <si>
    <t>Estadio.</t>
  </si>
  <si>
    <t>Palo Araucano.</t>
  </si>
  <si>
    <t>Talleres y maestranzas.</t>
  </si>
  <si>
    <t>Guardias de acceso.</t>
  </si>
  <si>
    <t>Casa de botes Curauma.</t>
  </si>
  <si>
    <t>Quincho.</t>
  </si>
  <si>
    <t>Instalaciones sanitarias de urbanización.</t>
  </si>
  <si>
    <t>Instalaciones de gas.</t>
  </si>
  <si>
    <t>Generales.</t>
  </si>
  <si>
    <t>EDIFICIO</t>
  </si>
  <si>
    <t>VALOR UF.</t>
  </si>
  <si>
    <t>TECHO Y AZOTEAS</t>
  </si>
  <si>
    <t>VENTANALES</t>
  </si>
  <si>
    <t>MUROS O FACHADAS</t>
  </si>
  <si>
    <t>Chutera. (Valor ventanal corresponde a nivelar piso)</t>
  </si>
  <si>
    <t>TRABAJOS NECESARIOS PARA SOPORTAR ENBASTE VIENTO Y LLUVIA</t>
  </si>
  <si>
    <t>VALOR AUMENTADO POR EDIIFICIO</t>
  </si>
  <si>
    <t>ITEM</t>
  </si>
  <si>
    <t>VALOR UF</t>
  </si>
  <si>
    <t>PLAN DE SOSTENIMIENTO ANUAL PROMEDIO A 10 AÑOS</t>
  </si>
  <si>
    <t>PLAN DE RECUPERACIÓN DE LA INFRAESTRUCTURA VALOR TOTAL</t>
  </si>
  <si>
    <t>VALOR $</t>
  </si>
  <si>
    <t>TABLA DE COMPARACIÓN DE ALTERNATIVAS</t>
  </si>
  <si>
    <t>Comedores de Cadetes.</t>
  </si>
  <si>
    <t>PADILLA (ASMAR)</t>
  </si>
  <si>
    <t xml:space="preserve"> IND (SERVICONS)</t>
  </si>
  <si>
    <t>ARTECO / BUTLER (FABRICANTE)</t>
  </si>
  <si>
    <t>VALOR ESTIMADO POR ESNAVAL 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</si>
</sst>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164" formatCode="_ &quot;$&quot;* #,##0.00_ ;_ &quot;$&quot;* \-#,##0.00_ ;_ &quot;$&quot;* &quot;-&quot;_ ;_ @_ "/>
    <numFmt numFmtId="165" formatCode="_ * #,##0.00_ ;_ * \-#,##0.00_ ;_ * &quot;-&quot;_ ;_ @_ 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b/>
      <i/>
      <sz val="11"/>
      <name val="Arial"/>
      <family val="2"/>
    </font>
    <font>
      <b/>
      <i/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Times New Roman"/>
      <family val="1"/>
    </font>
    <font>
      <b/>
      <sz val="10"/>
      <color theme="1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2" fontId="3" fillId="0" borderId="0" applyFont="0" applyFill="0" applyBorder="0" applyAlignment="0" applyProtection="0"/>
    <xf numFmtId="0" fontId="4" fillId="0" borderId="0"/>
    <xf numFmtId="41" fontId="3" fillId="0" borderId="0" applyFont="0" applyFill="0" applyBorder="0" applyAlignment="0" applyProtection="0"/>
  </cellStyleXfs>
  <cellXfs count="723">
    <xf numFmtId="0" fontId="0" fillId="0" borderId="0" xfId="0"/>
    <xf numFmtId="42" fontId="2" fillId="2" borderId="1" xfId="1" applyFont="1" applyFill="1" applyBorder="1" applyAlignment="1">
      <alignment vertical="center"/>
    </xf>
    <xf numFmtId="0" fontId="2" fillId="2" borderId="1" xfId="2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2" fillId="2" borderId="13" xfId="2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42" fontId="2" fillId="0" borderId="1" xfId="1" applyFont="1" applyBorder="1" applyAlignment="1">
      <alignment horizontal="center" vertical="center"/>
    </xf>
    <xf numFmtId="42" fontId="2" fillId="0" borderId="3" xfId="1" applyFont="1" applyBorder="1" applyAlignment="1">
      <alignment horizontal="center" vertical="center"/>
    </xf>
    <xf numFmtId="42" fontId="2" fillId="0" borderId="1" xfId="1" applyFont="1" applyBorder="1" applyAlignment="1">
      <alignment vertical="center"/>
    </xf>
    <xf numFmtId="42" fontId="0" fillId="0" borderId="1" xfId="1" applyFont="1" applyBorder="1" applyAlignment="1">
      <alignment horizontal="center" vertical="center"/>
    </xf>
    <xf numFmtId="42" fontId="0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2" fontId="3" fillId="0" borderId="1" xfId="1" applyFont="1" applyBorder="1" applyAlignment="1">
      <alignment vertical="center"/>
    </xf>
    <xf numFmtId="42" fontId="0" fillId="0" borderId="8" xfId="1" applyFont="1" applyBorder="1" applyAlignment="1">
      <alignment vertical="center"/>
    </xf>
    <xf numFmtId="42" fontId="3" fillId="0" borderId="1" xfId="1" applyFont="1" applyBorder="1" applyAlignment="1">
      <alignment horizontal="center" vertical="center"/>
    </xf>
    <xf numFmtId="42" fontId="2" fillId="0" borderId="11" xfId="1" applyFont="1" applyBorder="1" applyAlignment="1">
      <alignment horizontal="center" vertical="center"/>
    </xf>
    <xf numFmtId="0" fontId="2" fillId="2" borderId="11" xfId="2" applyFont="1" applyFill="1" applyBorder="1" applyAlignment="1">
      <alignment vertical="center" wrapText="1"/>
    </xf>
    <xf numFmtId="0" fontId="2" fillId="2" borderId="3" xfId="2" applyFont="1" applyFill="1" applyBorder="1" applyAlignment="1">
      <alignment vertical="center" wrapText="1"/>
    </xf>
    <xf numFmtId="0" fontId="2" fillId="2" borderId="8" xfId="2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42" fontId="0" fillId="0" borderId="11" xfId="1" applyFont="1" applyBorder="1" applyAlignment="1">
      <alignment vertical="center"/>
    </xf>
    <xf numFmtId="42" fontId="0" fillId="0" borderId="3" xfId="1" applyFont="1" applyBorder="1" applyAlignment="1">
      <alignment vertical="center"/>
    </xf>
    <xf numFmtId="42" fontId="0" fillId="0" borderId="13" xfId="1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42" fontId="1" fillId="0" borderId="0" xfId="1" applyFont="1" applyAlignment="1">
      <alignment vertical="center"/>
    </xf>
    <xf numFmtId="42" fontId="0" fillId="0" borderId="0" xfId="0" applyNumberFormat="1" applyAlignment="1">
      <alignment vertical="center"/>
    </xf>
    <xf numFmtId="0" fontId="1" fillId="0" borderId="0" xfId="0" applyFont="1" applyAlignment="1">
      <alignment horizontal="center" wrapText="1"/>
    </xf>
    <xf numFmtId="0" fontId="2" fillId="3" borderId="11" xfId="2" applyFont="1" applyFill="1" applyBorder="1" applyAlignment="1">
      <alignment horizontal="center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3" borderId="13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8" xfId="2" applyFont="1" applyFill="1" applyBorder="1" applyAlignment="1">
      <alignment horizontal="center" vertical="center" wrapText="1"/>
    </xf>
    <xf numFmtId="42" fontId="1" fillId="0" borderId="0" xfId="0" applyNumberFormat="1" applyFont="1" applyBorder="1" applyAlignment="1">
      <alignment vertical="center"/>
    </xf>
    <xf numFmtId="41" fontId="2" fillId="0" borderId="1" xfId="3" applyFont="1" applyBorder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" fillId="0" borderId="19" xfId="0" applyFont="1" applyBorder="1" applyAlignment="1">
      <alignment horizontal="right" vertical="center"/>
    </xf>
    <xf numFmtId="42" fontId="1" fillId="0" borderId="20" xfId="0" applyNumberFormat="1" applyFont="1" applyBorder="1" applyAlignment="1">
      <alignment vertical="center"/>
    </xf>
    <xf numFmtId="0" fontId="0" fillId="0" borderId="1" xfId="0" applyFont="1" applyBorder="1" applyAlignment="1">
      <alignment vertical="center"/>
    </xf>
    <xf numFmtId="1" fontId="3" fillId="0" borderId="1" xfId="1" applyNumberFormat="1" applyFont="1" applyBorder="1" applyAlignment="1">
      <alignment horizontal="center" vertical="center"/>
    </xf>
    <xf numFmtId="42" fontId="3" fillId="0" borderId="13" xfId="1" applyFont="1" applyBorder="1" applyAlignment="1">
      <alignment vertical="center"/>
    </xf>
    <xf numFmtId="0" fontId="0" fillId="0" borderId="3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42" fontId="0" fillId="0" borderId="1" xfId="0" applyNumberFormat="1" applyBorder="1" applyAlignment="1">
      <alignment vertical="center"/>
    </xf>
    <xf numFmtId="42" fontId="0" fillId="0" borderId="3" xfId="0" applyNumberFormat="1" applyBorder="1" applyAlignment="1">
      <alignment vertical="center"/>
    </xf>
    <xf numFmtId="42" fontId="0" fillId="0" borderId="8" xfId="0" applyNumberFormat="1" applyBorder="1" applyAlignment="1">
      <alignment vertical="center"/>
    </xf>
    <xf numFmtId="42" fontId="0" fillId="0" borderId="13" xfId="0" applyNumberFormat="1" applyBorder="1" applyAlignment="1">
      <alignment vertical="center"/>
    </xf>
    <xf numFmtId="41" fontId="0" fillId="0" borderId="1" xfId="0" applyNumberForma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vertical="center"/>
    </xf>
    <xf numFmtId="42" fontId="0" fillId="0" borderId="11" xfId="0" applyNumberFormat="1" applyBorder="1" applyAlignment="1">
      <alignment vertical="center"/>
    </xf>
    <xf numFmtId="1" fontId="2" fillId="0" borderId="3" xfId="1" applyNumberFormat="1" applyFont="1" applyBorder="1" applyAlignment="1">
      <alignment horizontal="center" vertical="center"/>
    </xf>
    <xf numFmtId="41" fontId="0" fillId="0" borderId="3" xfId="0" applyNumberFormat="1" applyBorder="1" applyAlignment="1">
      <alignment vertical="center"/>
    </xf>
    <xf numFmtId="1" fontId="2" fillId="0" borderId="8" xfId="1" applyNumberFormat="1" applyFont="1" applyBorder="1" applyAlignment="1">
      <alignment horizontal="center" vertical="center"/>
    </xf>
    <xf numFmtId="41" fontId="0" fillId="0" borderId="8" xfId="0" applyNumberFormat="1" applyBorder="1" applyAlignment="1">
      <alignment vertical="center"/>
    </xf>
    <xf numFmtId="1" fontId="0" fillId="0" borderId="0" xfId="0" applyNumberFormat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2" fillId="0" borderId="11" xfId="1" applyNumberFormat="1" applyFont="1" applyBorder="1" applyAlignment="1">
      <alignment horizontal="center" vertical="center"/>
    </xf>
    <xf numFmtId="41" fontId="0" fillId="0" borderId="11" xfId="0" applyNumberFormat="1" applyBorder="1" applyAlignment="1">
      <alignment vertical="center"/>
    </xf>
    <xf numFmtId="41" fontId="2" fillId="0" borderId="3" xfId="3" applyFont="1" applyBorder="1" applyAlignment="1">
      <alignment horizontal="center" vertical="center"/>
    </xf>
    <xf numFmtId="1" fontId="0" fillId="0" borderId="8" xfId="1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" fontId="2" fillId="0" borderId="13" xfId="1" applyNumberFormat="1" applyFont="1" applyBorder="1" applyAlignment="1">
      <alignment horizontal="center" vertical="center"/>
    </xf>
    <xf numFmtId="41" fontId="0" fillId="0" borderId="13" xfId="0" applyNumberFormat="1" applyBorder="1" applyAlignment="1">
      <alignment vertical="center"/>
    </xf>
    <xf numFmtId="1" fontId="0" fillId="0" borderId="13" xfId="1" applyNumberFormat="1" applyFon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" fontId="0" fillId="0" borderId="3" xfId="1" applyNumberFormat="1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42" fontId="0" fillId="0" borderId="8" xfId="1" applyFont="1" applyBorder="1" applyAlignment="1">
      <alignment horizontal="center" vertical="center"/>
    </xf>
    <xf numFmtId="49" fontId="8" fillId="3" borderId="1" xfId="2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2" fontId="3" fillId="0" borderId="11" xfId="1" applyFont="1" applyBorder="1" applyAlignment="1">
      <alignment vertical="center"/>
    </xf>
    <xf numFmtId="1" fontId="0" fillId="0" borderId="11" xfId="1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2" fillId="4" borderId="13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41" fontId="2" fillId="0" borderId="11" xfId="3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2" fillId="2" borderId="11" xfId="2" applyFont="1" applyFill="1" applyBorder="1" applyAlignment="1">
      <alignment wrapText="1"/>
    </xf>
    <xf numFmtId="0" fontId="2" fillId="0" borderId="11" xfId="0" applyFont="1" applyBorder="1" applyAlignment="1">
      <alignment horizontal="left" wrapText="1"/>
    </xf>
    <xf numFmtId="42" fontId="0" fillId="0" borderId="11" xfId="1" applyFont="1" applyBorder="1" applyAlignment="1"/>
    <xf numFmtId="1" fontId="2" fillId="0" borderId="11" xfId="1" applyNumberFormat="1" applyFont="1" applyBorder="1" applyAlignment="1">
      <alignment horizontal="center"/>
    </xf>
    <xf numFmtId="41" fontId="0" fillId="0" borderId="11" xfId="0" applyNumberFormat="1" applyBorder="1" applyAlignment="1"/>
    <xf numFmtId="42" fontId="0" fillId="0" borderId="11" xfId="0" applyNumberFormat="1" applyBorder="1" applyAlignment="1"/>
    <xf numFmtId="1" fontId="0" fillId="0" borderId="11" xfId="1" applyNumberFormat="1" applyFont="1" applyBorder="1" applyAlignment="1">
      <alignment horizontal="center"/>
    </xf>
    <xf numFmtId="0" fontId="2" fillId="3" borderId="11" xfId="2" applyFont="1" applyFill="1" applyBorder="1" applyAlignment="1">
      <alignment horizontal="center" wrapText="1"/>
    </xf>
    <xf numFmtId="0" fontId="0" fillId="0" borderId="18" xfId="0" applyBorder="1" applyAlignment="1">
      <alignment vertical="center" wrapText="1"/>
    </xf>
    <xf numFmtId="42" fontId="0" fillId="0" borderId="11" xfId="1" applyFont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1" fontId="1" fillId="5" borderId="15" xfId="0" applyNumberFormat="1" applyFont="1" applyFill="1" applyBorder="1" applyAlignment="1">
      <alignment horizontal="center" vertical="center" wrapText="1"/>
    </xf>
    <xf numFmtId="1" fontId="2" fillId="5" borderId="11" xfId="1" applyNumberFormat="1" applyFont="1" applyFill="1" applyBorder="1" applyAlignment="1">
      <alignment horizontal="center" vertical="center"/>
    </xf>
    <xf numFmtId="1" fontId="2" fillId="5" borderId="1" xfId="1" applyNumberFormat="1" applyFont="1" applyFill="1" applyBorder="1" applyAlignment="1">
      <alignment horizontal="center" vertical="center"/>
    </xf>
    <xf numFmtId="1" fontId="2" fillId="5" borderId="13" xfId="1" applyNumberFormat="1" applyFont="1" applyFill="1" applyBorder="1" applyAlignment="1">
      <alignment horizontal="center" vertical="center"/>
    </xf>
    <xf numFmtId="1" fontId="2" fillId="5" borderId="3" xfId="1" applyNumberFormat="1" applyFont="1" applyFill="1" applyBorder="1" applyAlignment="1">
      <alignment horizontal="center" vertical="center"/>
    </xf>
    <xf numFmtId="1" fontId="2" fillId="5" borderId="8" xfId="1" applyNumberFormat="1" applyFont="1" applyFill="1" applyBorder="1" applyAlignment="1">
      <alignment horizontal="center" vertical="center"/>
    </xf>
    <xf numFmtId="42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2" fontId="1" fillId="0" borderId="0" xfId="1" applyFont="1" applyBorder="1" applyAlignment="1">
      <alignment horizontal="center" vertical="center"/>
    </xf>
    <xf numFmtId="42" fontId="1" fillId="5" borderId="0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8" xfId="0" applyBorder="1" applyAlignment="1">
      <alignment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41" fontId="1" fillId="0" borderId="0" xfId="3" applyFont="1" applyAlignment="1">
      <alignment vertical="center"/>
    </xf>
    <xf numFmtId="41" fontId="0" fillId="0" borderId="0" xfId="3" applyFont="1" applyAlignment="1">
      <alignment vertical="center"/>
    </xf>
    <xf numFmtId="41" fontId="1" fillId="0" borderId="0" xfId="3" applyFont="1" applyBorder="1" applyAlignment="1">
      <alignment vertical="center"/>
    </xf>
    <xf numFmtId="41" fontId="1" fillId="5" borderId="0" xfId="3" applyFont="1" applyFill="1" applyBorder="1" applyAlignment="1">
      <alignment vertical="center"/>
    </xf>
    <xf numFmtId="0" fontId="2" fillId="6" borderId="1" xfId="2" applyFont="1" applyFill="1" applyBorder="1" applyAlignment="1">
      <alignment vertical="center" wrapText="1"/>
    </xf>
    <xf numFmtId="0" fontId="2" fillId="6" borderId="3" xfId="2" applyFont="1" applyFill="1" applyBorder="1" applyAlignment="1">
      <alignment vertical="center" wrapText="1"/>
    </xf>
    <xf numFmtId="0" fontId="2" fillId="6" borderId="8" xfId="2" applyFont="1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1" fillId="2" borderId="27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1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41" fontId="2" fillId="0" borderId="3" xfId="3" applyFont="1" applyBorder="1" applyAlignment="1">
      <alignment horizontal="center" vertical="center" wrapText="1"/>
    </xf>
    <xf numFmtId="1" fontId="2" fillId="0" borderId="3" xfId="1" applyNumberFormat="1" applyFont="1" applyBorder="1" applyAlignment="1">
      <alignment horizontal="center" vertical="center" wrapText="1"/>
    </xf>
    <xf numFmtId="42" fontId="2" fillId="0" borderId="3" xfId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 wrapText="1"/>
    </xf>
    <xf numFmtId="42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2" fontId="2" fillId="0" borderId="1" xfId="1" applyFont="1" applyBorder="1" applyAlignment="1">
      <alignment vertical="center" wrapText="1"/>
    </xf>
    <xf numFmtId="41" fontId="0" fillId="0" borderId="1" xfId="3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42" fontId="0" fillId="0" borderId="1" xfId="1" applyFont="1" applyBorder="1" applyAlignment="1">
      <alignment horizontal="center" vertical="center" wrapText="1"/>
    </xf>
    <xf numFmtId="42" fontId="0" fillId="0" borderId="1" xfId="1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" fontId="0" fillId="0" borderId="8" xfId="1" applyNumberFormat="1" applyFont="1" applyBorder="1" applyAlignment="1">
      <alignment horizontal="center" vertical="center" wrapText="1"/>
    </xf>
    <xf numFmtId="42" fontId="0" fillId="0" borderId="8" xfId="1" applyFont="1" applyBorder="1" applyAlignment="1">
      <alignment vertical="center" wrapText="1"/>
    </xf>
    <xf numFmtId="42" fontId="2" fillId="0" borderId="8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" fontId="0" fillId="0" borderId="13" xfId="1" applyNumberFormat="1" applyFont="1" applyBorder="1" applyAlignment="1">
      <alignment horizontal="center" vertical="center" wrapText="1"/>
    </xf>
    <xf numFmtId="42" fontId="0" fillId="0" borderId="13" xfId="1" applyFont="1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1" fontId="0" fillId="0" borderId="11" xfId="1" applyNumberFormat="1" applyFont="1" applyBorder="1" applyAlignment="1">
      <alignment horizontal="center" vertical="center" wrapText="1"/>
    </xf>
    <xf numFmtId="1" fontId="0" fillId="0" borderId="3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2" fontId="0" fillId="0" borderId="11" xfId="1" applyFont="1" applyBorder="1" applyAlignment="1">
      <alignment vertical="center" wrapText="1"/>
    </xf>
    <xf numFmtId="0" fontId="0" fillId="3" borderId="8" xfId="0" applyFill="1" applyBorder="1" applyAlignment="1">
      <alignment wrapText="1"/>
    </xf>
    <xf numFmtId="0" fontId="0" fillId="3" borderId="3" xfId="0" applyFill="1" applyBorder="1" applyAlignment="1">
      <alignment wrapText="1"/>
    </xf>
    <xf numFmtId="42" fontId="0" fillId="0" borderId="3" xfId="1" applyFont="1" applyBorder="1" applyAlignment="1">
      <alignment vertical="center" wrapText="1"/>
    </xf>
    <xf numFmtId="1" fontId="3" fillId="0" borderId="1" xfId="1" applyNumberFormat="1" applyFont="1" applyBorder="1" applyAlignment="1">
      <alignment horizontal="center" vertical="center" wrapText="1"/>
    </xf>
    <xf numFmtId="42" fontId="3" fillId="0" borderId="1" xfId="1" applyFont="1" applyBorder="1" applyAlignment="1">
      <alignment vertical="center" wrapText="1"/>
    </xf>
    <xf numFmtId="1" fontId="3" fillId="0" borderId="13" xfId="1" applyNumberFormat="1" applyFont="1" applyBorder="1" applyAlignment="1">
      <alignment horizontal="center" vertical="center" wrapText="1"/>
    </xf>
    <xf numFmtId="42" fontId="3" fillId="0" borderId="1" xfId="1" applyFont="1" applyBorder="1" applyAlignment="1">
      <alignment horizontal="center" vertical="center" wrapText="1"/>
    </xf>
    <xf numFmtId="42" fontId="1" fillId="0" borderId="20" xfId="0" applyNumberFormat="1" applyFont="1" applyBorder="1" applyAlignment="1">
      <alignment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41" fontId="1" fillId="5" borderId="0" xfId="3" applyFont="1" applyFill="1" applyBorder="1" applyAlignment="1">
      <alignment vertical="center" wrapText="1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42" fontId="0" fillId="0" borderId="0" xfId="0" applyNumberFormat="1" applyAlignment="1">
      <alignment vertical="center" wrapText="1"/>
    </xf>
    <xf numFmtId="0" fontId="0" fillId="0" borderId="0" xfId="0" applyAlignment="1">
      <alignment horizontal="right" wrapText="1"/>
    </xf>
    <xf numFmtId="1" fontId="0" fillId="0" borderId="0" xfId="0" applyNumberFormat="1" applyAlignment="1">
      <alignment vertical="center" wrapText="1"/>
    </xf>
    <xf numFmtId="1" fontId="1" fillId="0" borderId="31" xfId="0" applyNumberFormat="1" applyFont="1" applyBorder="1" applyAlignment="1">
      <alignment vertical="center" wrapText="1"/>
    </xf>
    <xf numFmtId="1" fontId="1" fillId="0" borderId="0" xfId="0" applyNumberFormat="1" applyFont="1" applyAlignment="1">
      <alignment horizontal="right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42" fontId="2" fillId="0" borderId="13" xfId="1" applyFont="1" applyBorder="1" applyAlignment="1">
      <alignment horizontal="center" vertical="center" wrapText="1"/>
    </xf>
    <xf numFmtId="42" fontId="3" fillId="2" borderId="13" xfId="1" applyFont="1" applyFill="1" applyBorder="1" applyAlignment="1">
      <alignment vertical="center" wrapText="1"/>
    </xf>
    <xf numFmtId="1" fontId="14" fillId="0" borderId="1" xfId="1" applyNumberFormat="1" applyFont="1" applyBorder="1" applyAlignment="1">
      <alignment horizontal="center" vertical="center" wrapText="1"/>
    </xf>
    <xf numFmtId="42" fontId="5" fillId="0" borderId="1" xfId="1" applyFont="1" applyBorder="1" applyAlignment="1">
      <alignment horizontal="center" vertical="center" wrapText="1"/>
    </xf>
    <xf numFmtId="42" fontId="14" fillId="0" borderId="1" xfId="1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41" fontId="2" fillId="0" borderId="8" xfId="3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2" fillId="3" borderId="1" xfId="2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 wrapText="1"/>
    </xf>
    <xf numFmtId="41" fontId="14" fillId="0" borderId="1" xfId="3" applyFont="1" applyBorder="1" applyAlignment="1">
      <alignment horizontal="center" vertical="center" wrapText="1"/>
    </xf>
    <xf numFmtId="42" fontId="14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" fontId="0" fillId="2" borderId="1" xfId="1" applyNumberFormat="1" applyFont="1" applyFill="1" applyBorder="1" applyAlignment="1">
      <alignment horizontal="center" vertical="center" wrapText="1"/>
    </xf>
    <xf numFmtId="1" fontId="0" fillId="2" borderId="8" xfId="1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41" fontId="2" fillId="2" borderId="3" xfId="3" applyFont="1" applyFill="1" applyBorder="1" applyAlignment="1">
      <alignment horizontal="center" vertical="center" wrapText="1"/>
    </xf>
    <xf numFmtId="42" fontId="2" fillId="2" borderId="3" xfId="1" applyFont="1" applyFill="1" applyBorder="1" applyAlignment="1">
      <alignment horizontal="center" vertical="center" wrapText="1"/>
    </xf>
    <xf numFmtId="41" fontId="2" fillId="2" borderId="1" xfId="3" applyFont="1" applyFill="1" applyBorder="1" applyAlignment="1">
      <alignment horizontal="center" vertical="center" wrapText="1"/>
    </xf>
    <xf numFmtId="42" fontId="0" fillId="2" borderId="1" xfId="1" applyFont="1" applyFill="1" applyBorder="1" applyAlignment="1">
      <alignment vertical="center" wrapText="1"/>
    </xf>
    <xf numFmtId="42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0" fillId="2" borderId="8" xfId="0" applyFont="1" applyFill="1" applyBorder="1" applyAlignment="1">
      <alignment horizontal="center" vertical="center" wrapText="1"/>
    </xf>
    <xf numFmtId="1" fontId="14" fillId="0" borderId="13" xfId="1" applyNumberFormat="1" applyFont="1" applyBorder="1" applyAlignment="1">
      <alignment horizontal="center" vertical="center" wrapText="1"/>
    </xf>
    <xf numFmtId="1" fontId="14" fillId="0" borderId="8" xfId="1" applyNumberFormat="1" applyFont="1" applyBorder="1" applyAlignment="1">
      <alignment horizontal="center" vertical="center" wrapText="1"/>
    </xf>
    <xf numFmtId="1" fontId="3" fillId="0" borderId="8" xfId="1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wrapText="1"/>
    </xf>
    <xf numFmtId="1" fontId="14" fillId="2" borderId="13" xfId="1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vertical="center" wrapText="1"/>
    </xf>
    <xf numFmtId="42" fontId="14" fillId="2" borderId="13" xfId="1" applyFont="1" applyFill="1" applyBorder="1" applyAlignment="1">
      <alignment vertical="center" wrapText="1"/>
    </xf>
    <xf numFmtId="42" fontId="5" fillId="2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8" xfId="2" applyFont="1" applyFill="1" applyBorder="1" applyAlignment="1">
      <alignment vertical="center" wrapText="1"/>
    </xf>
    <xf numFmtId="0" fontId="5" fillId="3" borderId="1" xfId="2" applyFont="1" applyFill="1" applyBorder="1" applyAlignment="1">
      <alignment vertical="center" wrapText="1"/>
    </xf>
    <xf numFmtId="0" fontId="2" fillId="3" borderId="35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vertical="center" wrapText="1"/>
    </xf>
    <xf numFmtId="0" fontId="2" fillId="3" borderId="22" xfId="2" applyFont="1" applyFill="1" applyBorder="1" applyAlignment="1">
      <alignment horizontal="center" vertical="center" wrapText="1"/>
    </xf>
    <xf numFmtId="0" fontId="2" fillId="3" borderId="23" xfId="2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1" fontId="0" fillId="0" borderId="3" xfId="1" applyNumberFormat="1" applyFont="1" applyFill="1" applyBorder="1" applyAlignment="1">
      <alignment horizontal="center" vertical="center" wrapText="1"/>
    </xf>
    <xf numFmtId="42" fontId="0" fillId="0" borderId="3" xfId="1" applyFont="1" applyFill="1" applyBorder="1" applyAlignment="1">
      <alignment vertical="center" wrapText="1"/>
    </xf>
    <xf numFmtId="42" fontId="2" fillId="0" borderId="3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" fontId="0" fillId="0" borderId="1" xfId="1" applyNumberFormat="1" applyFont="1" applyFill="1" applyBorder="1" applyAlignment="1">
      <alignment horizontal="center" vertical="center" wrapText="1"/>
    </xf>
    <xf numFmtId="42" fontId="0" fillId="0" borderId="1" xfId="1" applyFont="1" applyFill="1" applyBorder="1" applyAlignment="1">
      <alignment vertical="center" wrapText="1"/>
    </xf>
    <xf numFmtId="42" fontId="2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1" fontId="0" fillId="0" borderId="8" xfId="1" applyNumberFormat="1" applyFont="1" applyFill="1" applyBorder="1" applyAlignment="1">
      <alignment horizontal="center" vertical="center" wrapText="1"/>
    </xf>
    <xf numFmtId="42" fontId="0" fillId="0" borderId="8" xfId="1" applyFont="1" applyFill="1" applyBorder="1" applyAlignment="1">
      <alignment vertical="center" wrapText="1"/>
    </xf>
    <xf numFmtId="42" fontId="2" fillId="0" borderId="8" xfId="1" applyFont="1" applyFill="1" applyBorder="1" applyAlignment="1">
      <alignment horizontal="center" vertical="center" wrapText="1"/>
    </xf>
    <xf numFmtId="1" fontId="0" fillId="2" borderId="24" xfId="1" applyNumberFormat="1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2" fillId="3" borderId="24" xfId="2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42" fontId="0" fillId="0" borderId="0" xfId="1" applyFont="1" applyAlignment="1">
      <alignment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3" borderId="24" xfId="2" applyFont="1" applyFill="1" applyBorder="1" applyAlignment="1">
      <alignment horizontal="center" vertical="center" wrapText="1"/>
    </xf>
    <xf numFmtId="1" fontId="2" fillId="0" borderId="32" xfId="1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 wrapText="1"/>
    </xf>
    <xf numFmtId="0" fontId="13" fillId="3" borderId="13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2" fillId="6" borderId="24" xfId="2" applyFont="1" applyFill="1" applyBorder="1" applyAlignment="1">
      <alignment vertical="center" wrapText="1"/>
    </xf>
    <xf numFmtId="41" fontId="2" fillId="0" borderId="24" xfId="3" applyFont="1" applyBorder="1" applyAlignment="1">
      <alignment horizontal="center" vertical="center" wrapText="1"/>
    </xf>
    <xf numFmtId="1" fontId="0" fillId="0" borderId="24" xfId="1" applyNumberFormat="1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42" fontId="1" fillId="2" borderId="24" xfId="1" applyFont="1" applyFill="1" applyBorder="1" applyAlignment="1">
      <alignment vertical="center" wrapText="1"/>
    </xf>
    <xf numFmtId="42" fontId="16" fillId="2" borderId="24" xfId="1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0" fillId="0" borderId="24" xfId="0" applyFont="1" applyBorder="1" applyAlignment="1">
      <alignment horizontal="center" vertical="center" wrapText="1"/>
    </xf>
    <xf numFmtId="42" fontId="16" fillId="0" borderId="24" xfId="1" applyFont="1" applyBorder="1" applyAlignment="1">
      <alignment horizontal="center" vertical="center" wrapText="1"/>
    </xf>
    <xf numFmtId="0" fontId="0" fillId="2" borderId="24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wrapText="1"/>
    </xf>
    <xf numFmtId="0" fontId="2" fillId="0" borderId="24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1" fontId="14" fillId="0" borderId="24" xfId="1" applyNumberFormat="1" applyFont="1" applyBorder="1" applyAlignment="1">
      <alignment horizontal="center" vertical="center" wrapText="1"/>
    </xf>
    <xf numFmtId="1" fontId="3" fillId="0" borderId="24" xfId="1" applyNumberFormat="1" applyFont="1" applyBorder="1" applyAlignment="1">
      <alignment horizontal="center" vertical="center" wrapText="1"/>
    </xf>
    <xf numFmtId="42" fontId="3" fillId="2" borderId="8" xfId="1" applyFont="1" applyFill="1" applyBorder="1" applyAlignment="1">
      <alignment vertical="center" wrapText="1"/>
    </xf>
    <xf numFmtId="0" fontId="2" fillId="3" borderId="3" xfId="2" applyFont="1" applyFill="1" applyBorder="1" applyAlignment="1">
      <alignment wrapText="1"/>
    </xf>
    <xf numFmtId="42" fontId="0" fillId="0" borderId="3" xfId="1" applyFont="1" applyBorder="1" applyAlignment="1">
      <alignment wrapText="1"/>
    </xf>
    <xf numFmtId="0" fontId="0" fillId="0" borderId="9" xfId="0" applyBorder="1" applyAlignment="1">
      <alignment vertical="center" wrapText="1"/>
    </xf>
    <xf numFmtId="0" fontId="2" fillId="3" borderId="24" xfId="2" applyFont="1" applyFill="1" applyBorder="1" applyAlignment="1">
      <alignment vertical="center" wrapText="1"/>
    </xf>
    <xf numFmtId="0" fontId="0" fillId="0" borderId="36" xfId="0" applyBorder="1" applyAlignment="1">
      <alignment vertical="center" wrapText="1"/>
    </xf>
    <xf numFmtId="42" fontId="0" fillId="2" borderId="3" xfId="1" applyFont="1" applyFill="1" applyBorder="1" applyAlignment="1">
      <alignment vertical="center" wrapText="1"/>
    </xf>
    <xf numFmtId="41" fontId="0" fillId="0" borderId="8" xfId="3" applyFont="1" applyBorder="1" applyAlignment="1">
      <alignment horizontal="center" vertical="center" wrapText="1"/>
    </xf>
    <xf numFmtId="0" fontId="2" fillId="6" borderId="37" xfId="2" applyFont="1" applyFill="1" applyBorder="1" applyAlignment="1">
      <alignment horizontal="center" vertical="center" wrapText="1"/>
    </xf>
    <xf numFmtId="1" fontId="3" fillId="0" borderId="3" xfId="1" applyNumberFormat="1" applyFont="1" applyBorder="1" applyAlignment="1">
      <alignment horizontal="center" vertical="center" wrapText="1"/>
    </xf>
    <xf numFmtId="1" fontId="14" fillId="2" borderId="1" xfId="1" applyNumberFormat="1" applyFont="1" applyFill="1" applyBorder="1" applyAlignment="1">
      <alignment horizontal="center" vertical="center" wrapText="1"/>
    </xf>
    <xf numFmtId="42" fontId="14" fillId="2" borderId="1" xfId="1" applyFont="1" applyFill="1" applyBorder="1" applyAlignment="1">
      <alignment vertical="center" wrapText="1"/>
    </xf>
    <xf numFmtId="42" fontId="3" fillId="2" borderId="1" xfId="1" applyFont="1" applyFill="1" applyBorder="1" applyAlignment="1">
      <alignment vertical="center" wrapText="1"/>
    </xf>
    <xf numFmtId="0" fontId="2" fillId="3" borderId="37" xfId="2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1" fontId="0" fillId="0" borderId="24" xfId="1" applyNumberFormat="1" applyFont="1" applyFill="1" applyBorder="1" applyAlignment="1">
      <alignment horizontal="center" vertical="center" wrapText="1"/>
    </xf>
    <xf numFmtId="0" fontId="2" fillId="6" borderId="24" xfId="2" applyFont="1" applyFill="1" applyBorder="1" applyAlignment="1">
      <alignment horizontal="center" vertical="center" wrapText="1"/>
    </xf>
    <xf numFmtId="42" fontId="2" fillId="0" borderId="31" xfId="1" applyFont="1" applyBorder="1" applyAlignment="1">
      <alignment horizontal="center" vertical="center" wrapText="1"/>
    </xf>
    <xf numFmtId="1" fontId="2" fillId="0" borderId="31" xfId="1" applyNumberFormat="1" applyFont="1" applyBorder="1" applyAlignment="1">
      <alignment horizontal="center" vertical="center" wrapText="1"/>
    </xf>
    <xf numFmtId="0" fontId="3" fillId="3" borderId="24" xfId="0" applyFont="1" applyFill="1" applyBorder="1" applyAlignment="1">
      <alignment wrapText="1"/>
    </xf>
    <xf numFmtId="1" fontId="14" fillId="0" borderId="11" xfId="1" applyNumberFormat="1" applyFont="1" applyBorder="1" applyAlignment="1">
      <alignment horizontal="center" vertical="center" wrapText="1"/>
    </xf>
    <xf numFmtId="0" fontId="2" fillId="3" borderId="30" xfId="2" applyFont="1" applyFill="1" applyBorder="1" applyAlignment="1">
      <alignment vertical="center" wrapText="1"/>
    </xf>
    <xf numFmtId="0" fontId="0" fillId="3" borderId="13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24" xfId="0" applyFont="1" applyFill="1" applyBorder="1" applyAlignment="1">
      <alignment wrapText="1"/>
    </xf>
    <xf numFmtId="0" fontId="3" fillId="3" borderId="13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42" fontId="1" fillId="0" borderId="24" xfId="1" applyFont="1" applyBorder="1" applyAlignment="1">
      <alignment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wrapText="1"/>
    </xf>
    <xf numFmtId="0" fontId="13" fillId="3" borderId="22" xfId="0" applyFont="1" applyFill="1" applyBorder="1" applyAlignment="1">
      <alignment vertical="center" wrapText="1"/>
    </xf>
    <xf numFmtId="0" fontId="13" fillId="3" borderId="23" xfId="0" applyFont="1" applyFill="1" applyBorder="1" applyAlignment="1">
      <alignment vertical="center" wrapText="1"/>
    </xf>
    <xf numFmtId="0" fontId="0" fillId="3" borderId="22" xfId="0" applyFont="1" applyFill="1" applyBorder="1" applyAlignment="1">
      <alignment vertical="center" wrapText="1"/>
    </xf>
    <xf numFmtId="0" fontId="0" fillId="3" borderId="22" xfId="0" applyFont="1" applyFill="1" applyBorder="1" applyAlignment="1">
      <alignment wrapText="1"/>
    </xf>
    <xf numFmtId="0" fontId="2" fillId="3" borderId="25" xfId="2" applyFont="1" applyFill="1" applyBorder="1" applyAlignment="1">
      <alignment horizontal="center" vertical="center" wrapText="1"/>
    </xf>
    <xf numFmtId="41" fontId="0" fillId="0" borderId="24" xfId="3" applyFont="1" applyBorder="1" applyAlignment="1">
      <alignment horizontal="center" vertical="center" wrapText="1"/>
    </xf>
    <xf numFmtId="42" fontId="16" fillId="0" borderId="24" xfId="1" applyFont="1" applyFill="1" applyBorder="1" applyAlignment="1">
      <alignment horizontal="center" vertical="center" wrapText="1"/>
    </xf>
    <xf numFmtId="0" fontId="2" fillId="3" borderId="39" xfId="2" applyFont="1" applyFill="1" applyBorder="1" applyAlignment="1">
      <alignment horizontal="center" vertical="center" wrapText="1"/>
    </xf>
    <xf numFmtId="0" fontId="2" fillId="3" borderId="39" xfId="2" applyFont="1" applyFill="1" applyBorder="1" applyAlignment="1">
      <alignment vertical="center" wrapText="1"/>
    </xf>
    <xf numFmtId="0" fontId="0" fillId="0" borderId="39" xfId="0" applyBorder="1" applyAlignment="1">
      <alignment horizontal="center" vertical="center" wrapText="1"/>
    </xf>
    <xf numFmtId="1" fontId="0" fillId="0" borderId="39" xfId="1" applyNumberFormat="1" applyFont="1" applyBorder="1" applyAlignment="1">
      <alignment horizontal="center" vertical="center" wrapText="1"/>
    </xf>
    <xf numFmtId="0" fontId="2" fillId="3" borderId="0" xfId="2" applyFont="1" applyFill="1" applyBorder="1" applyAlignment="1">
      <alignment horizontal="center" vertical="center" wrapText="1"/>
    </xf>
    <xf numFmtId="0" fontId="2" fillId="3" borderId="0" xfId="2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" fontId="0" fillId="0" borderId="0" xfId="1" applyNumberFormat="1" applyFont="1" applyBorder="1" applyAlignment="1">
      <alignment horizontal="center" vertical="center" wrapText="1"/>
    </xf>
    <xf numFmtId="1" fontId="2" fillId="5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42" fontId="1" fillId="2" borderId="0" xfId="1" applyFont="1" applyFill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2" fontId="1" fillId="0" borderId="38" xfId="0" applyNumberFormat="1" applyFont="1" applyBorder="1" applyAlignment="1">
      <alignment horizontal="right" vertical="center" wrapText="1"/>
    </xf>
    <xf numFmtId="1" fontId="1" fillId="0" borderId="40" xfId="0" applyNumberFormat="1" applyFont="1" applyBorder="1" applyAlignment="1">
      <alignment horizontal="center" vertical="center" wrapText="1"/>
    </xf>
    <xf numFmtId="1" fontId="16" fillId="0" borderId="41" xfId="1" applyNumberFormat="1" applyFont="1" applyBorder="1" applyAlignment="1">
      <alignment horizontal="center" vertical="center" wrapText="1"/>
    </xf>
    <xf numFmtId="1" fontId="2" fillId="0" borderId="43" xfId="1" applyNumberFormat="1" applyFont="1" applyBorder="1" applyAlignment="1">
      <alignment horizontal="center" vertical="center" wrapText="1"/>
    </xf>
    <xf numFmtId="1" fontId="5" fillId="0" borderId="32" xfId="1" applyNumberFormat="1" applyFont="1" applyBorder="1" applyAlignment="1">
      <alignment horizontal="center" vertical="center" wrapText="1"/>
    </xf>
    <xf numFmtId="1" fontId="2" fillId="0" borderId="44" xfId="1" applyNumberFormat="1" applyFont="1" applyBorder="1" applyAlignment="1">
      <alignment horizontal="center" vertical="center" wrapText="1"/>
    </xf>
    <xf numFmtId="1" fontId="2" fillId="0" borderId="40" xfId="1" applyNumberFormat="1" applyFont="1" applyBorder="1" applyAlignment="1">
      <alignment horizontal="center" vertical="center" wrapText="1"/>
    </xf>
    <xf numFmtId="1" fontId="2" fillId="2" borderId="32" xfId="1" applyNumberFormat="1" applyFont="1" applyFill="1" applyBorder="1" applyAlignment="1">
      <alignment horizontal="center" vertical="center" wrapText="1"/>
    </xf>
    <xf numFmtId="1" fontId="2" fillId="0" borderId="41" xfId="1" applyNumberFormat="1" applyFont="1" applyBorder="1" applyAlignment="1">
      <alignment horizontal="center" vertical="center" wrapText="1"/>
    </xf>
    <xf numFmtId="1" fontId="2" fillId="0" borderId="42" xfId="1" applyNumberFormat="1" applyFont="1" applyBorder="1" applyAlignment="1">
      <alignment horizontal="center" vertical="center" wrapText="1"/>
    </xf>
    <xf numFmtId="1" fontId="5" fillId="2" borderId="32" xfId="1" applyNumberFormat="1" applyFont="1" applyFill="1" applyBorder="1" applyAlignment="1">
      <alignment horizontal="center" vertical="center" wrapText="1"/>
    </xf>
    <xf numFmtId="1" fontId="2" fillId="0" borderId="40" xfId="1" applyNumberFormat="1" applyFont="1" applyFill="1" applyBorder="1" applyAlignment="1">
      <alignment horizontal="center" vertical="center" wrapText="1"/>
    </xf>
    <xf numFmtId="1" fontId="2" fillId="0" borderId="32" xfId="1" applyNumberFormat="1" applyFont="1" applyFill="1" applyBorder="1" applyAlignment="1">
      <alignment horizontal="center" vertical="center" wrapText="1"/>
    </xf>
    <xf numFmtId="1" fontId="2" fillId="0" borderId="42" xfId="1" applyNumberFormat="1" applyFont="1" applyFill="1" applyBorder="1" applyAlignment="1">
      <alignment horizontal="center" vertical="center" wrapText="1"/>
    </xf>
    <xf numFmtId="1" fontId="16" fillId="0" borderId="41" xfId="1" applyNumberFormat="1" applyFont="1" applyFill="1" applyBorder="1" applyAlignment="1">
      <alignment horizontal="center" vertical="center" wrapText="1"/>
    </xf>
    <xf numFmtId="1" fontId="1" fillId="5" borderId="28" xfId="0" applyNumberFormat="1" applyFont="1" applyFill="1" applyBorder="1" applyAlignment="1">
      <alignment horizontal="center" vertical="center" wrapText="1"/>
    </xf>
    <xf numFmtId="1" fontId="2" fillId="5" borderId="35" xfId="1" applyNumberFormat="1" applyFont="1" applyFill="1" applyBorder="1" applyAlignment="1">
      <alignment horizontal="center" vertical="center" wrapText="1"/>
    </xf>
    <xf numFmtId="1" fontId="2" fillId="5" borderId="22" xfId="1" applyNumberFormat="1" applyFont="1" applyFill="1" applyBorder="1" applyAlignment="1">
      <alignment horizontal="center" vertical="center" wrapText="1"/>
    </xf>
    <xf numFmtId="1" fontId="2" fillId="5" borderId="23" xfId="1" applyNumberFormat="1" applyFont="1" applyFill="1" applyBorder="1" applyAlignment="1">
      <alignment horizontal="center" vertical="center" wrapText="1"/>
    </xf>
    <xf numFmtId="1" fontId="2" fillId="5" borderId="37" xfId="1" applyNumberFormat="1" applyFont="1" applyFill="1" applyBorder="1" applyAlignment="1">
      <alignment horizontal="center" vertical="center" wrapText="1"/>
    </xf>
    <xf numFmtId="1" fontId="2" fillId="5" borderId="45" xfId="1" applyNumberFormat="1" applyFont="1" applyFill="1" applyBorder="1" applyAlignment="1">
      <alignment horizontal="center" vertical="center" wrapText="1"/>
    </xf>
    <xf numFmtId="1" fontId="2" fillId="5" borderId="25" xfId="1" applyNumberFormat="1" applyFont="1" applyFill="1" applyBorder="1" applyAlignment="1">
      <alignment horizontal="center" vertical="center" wrapText="1"/>
    </xf>
    <xf numFmtId="1" fontId="1" fillId="7" borderId="29" xfId="0" applyNumberFormat="1" applyFont="1" applyFill="1" applyBorder="1" applyAlignment="1">
      <alignment horizontal="center" vertical="center" wrapText="1"/>
    </xf>
    <xf numFmtId="1" fontId="2" fillId="7" borderId="3" xfId="1" applyNumberFormat="1" applyFont="1" applyFill="1" applyBorder="1" applyAlignment="1">
      <alignment horizontal="center" vertical="center" wrapText="1"/>
    </xf>
    <xf numFmtId="1" fontId="0" fillId="7" borderId="3" xfId="1" applyNumberFormat="1" applyFont="1" applyFill="1" applyBorder="1" applyAlignment="1">
      <alignment horizontal="center" vertical="center" wrapText="1"/>
    </xf>
    <xf numFmtId="1" fontId="0" fillId="7" borderId="4" xfId="1" applyNumberFormat="1" applyFont="1" applyFill="1" applyBorder="1" applyAlignment="1">
      <alignment horizontal="center" vertical="center" wrapText="1"/>
    </xf>
    <xf numFmtId="1" fontId="2" fillId="7" borderId="1" xfId="1" applyNumberFormat="1" applyFont="1" applyFill="1" applyBorder="1" applyAlignment="1">
      <alignment horizontal="center" vertical="center" wrapText="1"/>
    </xf>
    <xf numFmtId="1" fontId="0" fillId="7" borderId="1" xfId="1" applyNumberFormat="1" applyFont="1" applyFill="1" applyBorder="1" applyAlignment="1">
      <alignment horizontal="center" vertical="center" wrapText="1"/>
    </xf>
    <xf numFmtId="1" fontId="0" fillId="7" borderId="6" xfId="1" applyNumberFormat="1" applyFont="1" applyFill="1" applyBorder="1" applyAlignment="1">
      <alignment horizontal="center" vertical="center" wrapText="1"/>
    </xf>
    <xf numFmtId="1" fontId="3" fillId="7" borderId="1" xfId="1" applyNumberFormat="1" applyFont="1" applyFill="1" applyBorder="1" applyAlignment="1">
      <alignment horizontal="center" vertical="center" wrapText="1"/>
    </xf>
    <xf numFmtId="1" fontId="3" fillId="7" borderId="6" xfId="1" applyNumberFormat="1" applyFont="1" applyFill="1" applyBorder="1" applyAlignment="1">
      <alignment horizontal="center" vertical="center" wrapText="1"/>
    </xf>
    <xf numFmtId="1" fontId="2" fillId="7" borderId="8" xfId="1" applyNumberFormat="1" applyFont="1" applyFill="1" applyBorder="1" applyAlignment="1">
      <alignment horizontal="center" vertical="center" wrapText="1"/>
    </xf>
    <xf numFmtId="1" fontId="0" fillId="7" borderId="8" xfId="1" applyNumberFormat="1" applyFont="1" applyFill="1" applyBorder="1" applyAlignment="1">
      <alignment horizontal="center" vertical="center" wrapText="1"/>
    </xf>
    <xf numFmtId="1" fontId="0" fillId="7" borderId="9" xfId="1" applyNumberFormat="1" applyFont="1" applyFill="1" applyBorder="1" applyAlignment="1">
      <alignment horizontal="center" vertical="center" wrapText="1"/>
    </xf>
    <xf numFmtId="1" fontId="2" fillId="7" borderId="24" xfId="1" applyNumberFormat="1" applyFont="1" applyFill="1" applyBorder="1" applyAlignment="1">
      <alignment horizontal="center" vertical="center" wrapText="1"/>
    </xf>
    <xf numFmtId="1" fontId="0" fillId="7" borderId="24" xfId="1" applyNumberFormat="1" applyFont="1" applyFill="1" applyBorder="1" applyAlignment="1">
      <alignment horizontal="center" vertical="center" wrapText="1"/>
    </xf>
    <xf numFmtId="1" fontId="0" fillId="7" borderId="36" xfId="1" applyNumberFormat="1" applyFont="1" applyFill="1" applyBorder="1" applyAlignment="1">
      <alignment horizontal="center" vertical="center" wrapText="1"/>
    </xf>
    <xf numFmtId="1" fontId="0" fillId="7" borderId="3" xfId="0" applyNumberFormat="1" applyFill="1" applyBorder="1" applyAlignment="1">
      <alignment horizontal="center" vertical="center" wrapText="1"/>
    </xf>
    <xf numFmtId="1" fontId="0" fillId="7" borderId="4" xfId="0" applyNumberForma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" fontId="0" fillId="7" borderId="6" xfId="0" applyNumberFormat="1" applyFill="1" applyBorder="1" applyAlignment="1">
      <alignment horizontal="center" vertical="center" wrapText="1"/>
    </xf>
    <xf numFmtId="1" fontId="2" fillId="7" borderId="13" xfId="1" applyNumberFormat="1" applyFont="1" applyFill="1" applyBorder="1" applyAlignment="1">
      <alignment horizontal="center" vertical="center" wrapText="1"/>
    </xf>
    <xf numFmtId="1" fontId="0" fillId="7" borderId="13" xfId="1" applyNumberFormat="1" applyFont="1" applyFill="1" applyBorder="1" applyAlignment="1">
      <alignment horizontal="center" vertical="center" wrapText="1"/>
    </xf>
    <xf numFmtId="1" fontId="0" fillId="7" borderId="18" xfId="1" applyNumberFormat="1" applyFont="1" applyFill="1" applyBorder="1" applyAlignment="1">
      <alignment horizontal="center" vertical="center" wrapText="1"/>
    </xf>
    <xf numFmtId="1" fontId="2" fillId="7" borderId="11" xfId="1" applyNumberFormat="1" applyFont="1" applyFill="1" applyBorder="1" applyAlignment="1">
      <alignment horizontal="center" vertical="center" wrapText="1"/>
    </xf>
    <xf numFmtId="1" fontId="0" fillId="7" borderId="11" xfId="1" applyNumberFormat="1" applyFont="1" applyFill="1" applyBorder="1" applyAlignment="1">
      <alignment horizontal="center" vertical="center" wrapText="1"/>
    </xf>
    <xf numFmtId="1" fontId="0" fillId="7" borderId="12" xfId="1" applyNumberFormat="1" applyFont="1" applyFill="1" applyBorder="1" applyAlignment="1">
      <alignment horizontal="center" vertical="center" wrapText="1"/>
    </xf>
    <xf numFmtId="1" fontId="2" fillId="7" borderId="4" xfId="1" applyNumberFormat="1" applyFont="1" applyFill="1" applyBorder="1" applyAlignment="1">
      <alignment horizontal="center" vertical="center" wrapText="1"/>
    </xf>
    <xf numFmtId="1" fontId="2" fillId="7" borderId="6" xfId="1" applyNumberFormat="1" applyFont="1" applyFill="1" applyBorder="1" applyAlignment="1">
      <alignment horizontal="center" vertical="center" wrapText="1"/>
    </xf>
    <xf numFmtId="1" fontId="2" fillId="7" borderId="3" xfId="1" applyNumberFormat="1" applyFont="1" applyFill="1" applyBorder="1" applyAlignment="1">
      <alignment horizontal="center" wrapText="1"/>
    </xf>
    <xf numFmtId="1" fontId="0" fillId="7" borderId="3" xfId="1" applyNumberFormat="1" applyFont="1" applyFill="1" applyBorder="1" applyAlignment="1">
      <alignment horizontal="center" wrapText="1"/>
    </xf>
    <xf numFmtId="1" fontId="0" fillId="7" borderId="4" xfId="1" applyNumberFormat="1" applyFont="1" applyFill="1" applyBorder="1" applyAlignment="1">
      <alignment horizontal="center" wrapText="1"/>
    </xf>
    <xf numFmtId="1" fontId="1" fillId="7" borderId="27" xfId="0" applyNumberFormat="1" applyFont="1" applyFill="1" applyBorder="1" applyAlignment="1">
      <alignment horizontal="center" vertical="center" wrapText="1"/>
    </xf>
    <xf numFmtId="1" fontId="1" fillId="7" borderId="26" xfId="0" applyNumberFormat="1" applyFont="1" applyFill="1" applyBorder="1" applyAlignment="1">
      <alignment horizontal="center" vertical="center" wrapText="1"/>
    </xf>
    <xf numFmtId="1" fontId="1" fillId="0" borderId="0" xfId="1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7" borderId="2" xfId="0" applyNumberFormat="1" applyFill="1" applyBorder="1" applyAlignment="1">
      <alignment horizontal="center" vertical="center" wrapText="1"/>
    </xf>
    <xf numFmtId="1" fontId="0" fillId="7" borderId="5" xfId="0" applyNumberFormat="1" applyFill="1" applyBorder="1" applyAlignment="1">
      <alignment horizontal="center" vertical="center" wrapText="1"/>
    </xf>
    <xf numFmtId="1" fontId="0" fillId="7" borderId="7" xfId="0" applyNumberFormat="1" applyFill="1" applyBorder="1" applyAlignment="1">
      <alignment horizontal="center" vertical="center" wrapText="1"/>
    </xf>
    <xf numFmtId="1" fontId="0" fillId="7" borderId="8" xfId="0" applyNumberFormat="1" applyFill="1" applyBorder="1" applyAlignment="1">
      <alignment horizontal="center" vertical="center" wrapText="1"/>
    </xf>
    <xf numFmtId="1" fontId="0" fillId="7" borderId="34" xfId="0" applyNumberFormat="1" applyFill="1" applyBorder="1" applyAlignment="1">
      <alignment horizontal="center" vertical="center" wrapText="1"/>
    </xf>
    <xf numFmtId="1" fontId="0" fillId="7" borderId="24" xfId="0" applyNumberFormat="1" applyFill="1" applyBorder="1" applyAlignment="1">
      <alignment horizontal="center" vertical="center" wrapText="1"/>
    </xf>
    <xf numFmtId="1" fontId="0" fillId="7" borderId="17" xfId="0" applyNumberFormat="1" applyFill="1" applyBorder="1" applyAlignment="1">
      <alignment horizontal="center" vertical="center" wrapText="1"/>
    </xf>
    <xf numFmtId="1" fontId="0" fillId="7" borderId="13" xfId="0" applyNumberFormat="1" applyFill="1" applyBorder="1" applyAlignment="1">
      <alignment horizontal="center" vertical="center" wrapText="1"/>
    </xf>
    <xf numFmtId="1" fontId="0" fillId="7" borderId="10" xfId="0" applyNumberFormat="1" applyFill="1" applyBorder="1" applyAlignment="1">
      <alignment horizontal="center" vertical="center" wrapText="1"/>
    </xf>
    <xf numFmtId="1" fontId="0" fillId="7" borderId="11" xfId="0" applyNumberFormat="1" applyFill="1" applyBorder="1" applyAlignment="1">
      <alignment horizontal="center" vertical="center" wrapText="1"/>
    </xf>
    <xf numFmtId="1" fontId="14" fillId="7" borderId="5" xfId="0" applyNumberFormat="1" applyFont="1" applyFill="1" applyBorder="1" applyAlignment="1">
      <alignment horizontal="center" vertical="center" wrapText="1"/>
    </xf>
    <xf numFmtId="1" fontId="0" fillId="7" borderId="2" xfId="0" applyNumberFormat="1" applyFill="1" applyBorder="1" applyAlignment="1">
      <alignment horizontal="center" wrapText="1"/>
    </xf>
    <xf numFmtId="1" fontId="0" fillId="7" borderId="3" xfId="0" applyNumberFormat="1" applyFill="1" applyBorder="1" applyAlignment="1">
      <alignment horizontal="center" wrapText="1"/>
    </xf>
    <xf numFmtId="1" fontId="1" fillId="0" borderId="0" xfId="3" applyNumberFormat="1" applyFont="1" applyAlignment="1">
      <alignment horizontal="center" vertical="center" wrapText="1"/>
    </xf>
    <xf numFmtId="42" fontId="1" fillId="2" borderId="14" xfId="1" applyFont="1" applyFill="1" applyBorder="1" applyAlignment="1">
      <alignment vertical="center" wrapText="1"/>
    </xf>
    <xf numFmtId="1" fontId="0" fillId="7" borderId="31" xfId="0" applyNumberFormat="1" applyFill="1" applyBorder="1" applyAlignment="1">
      <alignment horizontal="center" vertical="center" wrapText="1"/>
    </xf>
    <xf numFmtId="1" fontId="2" fillId="7" borderId="0" xfId="1" applyNumberFormat="1" applyFont="1" applyFill="1" applyBorder="1" applyAlignment="1">
      <alignment horizontal="center" vertical="center" wrapText="1"/>
    </xf>
    <xf numFmtId="1" fontId="0" fillId="7" borderId="0" xfId="1" applyNumberFormat="1" applyFont="1" applyFill="1" applyBorder="1" applyAlignment="1">
      <alignment horizontal="center" vertical="center" wrapText="1"/>
    </xf>
    <xf numFmtId="41" fontId="0" fillId="7" borderId="39" xfId="3" applyFont="1" applyFill="1" applyBorder="1" applyAlignment="1">
      <alignment horizontal="center" vertical="center" wrapText="1"/>
    </xf>
    <xf numFmtId="1" fontId="0" fillId="7" borderId="14" xfId="0" applyNumberFormat="1" applyFill="1" applyBorder="1" applyAlignment="1">
      <alignment horizontal="center" vertical="center" wrapText="1"/>
    </xf>
    <xf numFmtId="1" fontId="0" fillId="7" borderId="15" xfId="0" applyNumberFormat="1" applyFill="1" applyBorder="1" applyAlignment="1">
      <alignment horizontal="center" vertical="center" wrapText="1"/>
    </xf>
    <xf numFmtId="1" fontId="2" fillId="5" borderId="15" xfId="1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wrapText="1"/>
    </xf>
    <xf numFmtId="0" fontId="1" fillId="0" borderId="38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49" xfId="0" applyFont="1" applyBorder="1" applyAlignment="1">
      <alignment wrapText="1"/>
    </xf>
    <xf numFmtId="0" fontId="1" fillId="0" borderId="49" xfId="0" applyFont="1" applyBorder="1" applyAlignment="1">
      <alignment vertical="center" wrapText="1"/>
    </xf>
    <xf numFmtId="0" fontId="1" fillId="0" borderId="50" xfId="0" applyFont="1" applyBorder="1" applyAlignment="1">
      <alignment wrapText="1"/>
    </xf>
    <xf numFmtId="41" fontId="0" fillId="0" borderId="0" xfId="0" applyNumberFormat="1" applyBorder="1" applyAlignment="1">
      <alignment vertical="center"/>
    </xf>
    <xf numFmtId="42" fontId="0" fillId="0" borderId="0" xfId="1" applyFont="1" applyBorder="1" applyAlignment="1">
      <alignment horizontal="center" vertical="center" wrapText="1"/>
    </xf>
    <xf numFmtId="164" fontId="1" fillId="0" borderId="0" xfId="1" applyNumberFormat="1" applyFont="1" applyAlignment="1">
      <alignment vertical="center" wrapText="1"/>
    </xf>
    <xf numFmtId="1" fontId="3" fillId="7" borderId="13" xfId="1" applyNumberFormat="1" applyFont="1" applyFill="1" applyBorder="1" applyAlignment="1">
      <alignment horizontal="center" vertical="center" wrapText="1"/>
    </xf>
    <xf numFmtId="1" fontId="3" fillId="7" borderId="18" xfId="1" applyNumberFormat="1" applyFont="1" applyFill="1" applyBorder="1" applyAlignment="1">
      <alignment horizontal="center" vertical="center" wrapText="1"/>
    </xf>
    <xf numFmtId="42" fontId="3" fillId="0" borderId="8" xfId="1" applyFont="1" applyBorder="1" applyAlignment="1">
      <alignment vertical="center" wrapText="1"/>
    </xf>
    <xf numFmtId="0" fontId="14" fillId="3" borderId="1" xfId="0" applyFont="1" applyFill="1" applyBorder="1" applyAlignment="1">
      <alignment wrapText="1"/>
    </xf>
    <xf numFmtId="41" fontId="5" fillId="0" borderId="1" xfId="3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3" borderId="13" xfId="2" applyFont="1" applyFill="1" applyBorder="1" applyAlignment="1">
      <alignment vertical="center" wrapText="1"/>
    </xf>
    <xf numFmtId="42" fontId="3" fillId="0" borderId="13" xfId="1" applyFont="1" applyBorder="1" applyAlignment="1">
      <alignment horizontal="center" vertical="center" wrapText="1"/>
    </xf>
    <xf numFmtId="1" fontId="2" fillId="0" borderId="52" xfId="1" applyNumberFormat="1" applyFont="1" applyBorder="1" applyAlignment="1">
      <alignment horizontal="center" vertical="center" wrapText="1"/>
    </xf>
    <xf numFmtId="0" fontId="2" fillId="6" borderId="13" xfId="2" applyFont="1" applyFill="1" applyBorder="1" applyAlignment="1">
      <alignment vertical="center" wrapText="1"/>
    </xf>
    <xf numFmtId="1" fontId="2" fillId="0" borderId="32" xfId="1" applyNumberFormat="1" applyFont="1" applyBorder="1" applyAlignment="1">
      <alignment horizontal="center" vertical="center" wrapText="1"/>
    </xf>
    <xf numFmtId="42" fontId="16" fillId="0" borderId="39" xfId="1" applyFont="1" applyBorder="1" applyAlignment="1">
      <alignment horizontal="center" vertical="center" wrapText="1"/>
    </xf>
    <xf numFmtId="1" fontId="16" fillId="0" borderId="39" xfId="1" applyNumberFormat="1" applyFont="1" applyBorder="1" applyAlignment="1">
      <alignment horizontal="center" vertical="center" wrapText="1"/>
    </xf>
    <xf numFmtId="1" fontId="0" fillId="7" borderId="45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wrapText="1"/>
    </xf>
    <xf numFmtId="0" fontId="1" fillId="2" borderId="0" xfId="0" applyFont="1" applyFill="1" applyAlignment="1">
      <alignment wrapText="1"/>
    </xf>
    <xf numFmtId="0" fontId="0" fillId="2" borderId="0" xfId="0" applyFill="1" applyAlignment="1">
      <alignment horizontal="right" wrapText="1"/>
    </xf>
    <xf numFmtId="1" fontId="0" fillId="2" borderId="0" xfId="0" applyNumberForma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0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42" fontId="0" fillId="2" borderId="11" xfId="1" applyFont="1" applyFill="1" applyBorder="1" applyAlignment="1">
      <alignment vertical="center" wrapText="1"/>
    </xf>
    <xf numFmtId="165" fontId="0" fillId="2" borderId="12" xfId="3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42" fontId="0" fillId="2" borderId="8" xfId="0" applyNumberFormat="1" applyFill="1" applyBorder="1" applyAlignment="1">
      <alignment vertical="center" wrapText="1"/>
    </xf>
    <xf numFmtId="165" fontId="0" fillId="2" borderId="9" xfId="3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42" fontId="0" fillId="2" borderId="0" xfId="0" applyNumberFormat="1" applyFill="1" applyAlignment="1">
      <alignment wrapText="1"/>
    </xf>
    <xf numFmtId="165" fontId="0" fillId="2" borderId="0" xfId="0" applyNumberFormat="1" applyFill="1" applyAlignment="1">
      <alignment wrapText="1"/>
    </xf>
    <xf numFmtId="42" fontId="1" fillId="2" borderId="0" xfId="1" applyFont="1" applyFill="1" applyAlignment="1">
      <alignment wrapText="1"/>
    </xf>
    <xf numFmtId="0" fontId="0" fillId="2" borderId="59" xfId="0" applyFill="1" applyBorder="1" applyAlignment="1">
      <alignment wrapText="1"/>
    </xf>
    <xf numFmtId="164" fontId="0" fillId="2" borderId="60" xfId="0" applyNumberFormat="1" applyFill="1" applyBorder="1" applyAlignment="1">
      <alignment wrapText="1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42" fontId="16" fillId="0" borderId="15" xfId="1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64" fontId="1" fillId="2" borderId="0" xfId="1" applyNumberFormat="1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42" fontId="2" fillId="2" borderId="11" xfId="1" applyFont="1" applyFill="1" applyBorder="1" applyAlignment="1">
      <alignment horizontal="center" vertical="center" wrapText="1"/>
    </xf>
    <xf numFmtId="42" fontId="0" fillId="2" borderId="48" xfId="0" applyNumberForma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42" fontId="0" fillId="2" borderId="49" xfId="0" applyNumberFormat="1" applyFill="1" applyBorder="1" applyAlignment="1">
      <alignment wrapText="1"/>
    </xf>
    <xf numFmtId="42" fontId="0" fillId="2" borderId="5" xfId="0" applyNumberFormat="1" applyFill="1" applyBorder="1" applyAlignment="1">
      <alignment wrapText="1"/>
    </xf>
    <xf numFmtId="42" fontId="0" fillId="2" borderId="1" xfId="0" applyNumberFormat="1" applyFill="1" applyBorder="1" applyAlignment="1">
      <alignment wrapText="1"/>
    </xf>
    <xf numFmtId="42" fontId="0" fillId="2" borderId="6" xfId="0" applyNumberFormat="1" applyFill="1" applyBorder="1" applyAlignment="1">
      <alignment wrapText="1"/>
    </xf>
    <xf numFmtId="42" fontId="0" fillId="2" borderId="5" xfId="0" applyNumberFormat="1" applyFill="1" applyBorder="1" applyAlignment="1">
      <alignment vertical="center" wrapText="1"/>
    </xf>
    <xf numFmtId="42" fontId="0" fillId="2" borderId="1" xfId="0" applyNumberFormat="1" applyFill="1" applyBorder="1" applyAlignment="1">
      <alignment vertical="center" wrapText="1"/>
    </xf>
    <xf numFmtId="42" fontId="0" fillId="2" borderId="6" xfId="0" applyNumberFormat="1" applyFill="1" applyBorder="1" applyAlignment="1">
      <alignment vertical="center" wrapText="1"/>
    </xf>
    <xf numFmtId="42" fontId="0" fillId="2" borderId="49" xfId="0" applyNumberFormat="1" applyFill="1" applyBorder="1" applyAlignment="1">
      <alignment vertical="center" wrapText="1"/>
    </xf>
    <xf numFmtId="42" fontId="0" fillId="2" borderId="0" xfId="0" applyNumberFormat="1" applyFill="1" applyAlignment="1">
      <alignment vertical="center" wrapText="1"/>
    </xf>
    <xf numFmtId="0" fontId="0" fillId="2" borderId="5" xfId="0" applyFill="1" applyBorder="1" applyAlignment="1">
      <alignment wrapText="1"/>
    </xf>
    <xf numFmtId="0" fontId="0" fillId="2" borderId="1" xfId="0" applyFill="1" applyBorder="1" applyAlignment="1">
      <alignment wrapText="1"/>
    </xf>
    <xf numFmtId="42" fontId="0" fillId="2" borderId="50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wrapText="1"/>
    </xf>
    <xf numFmtId="0" fontId="0" fillId="2" borderId="8" xfId="0" applyFill="1" applyBorder="1" applyAlignment="1">
      <alignment wrapText="1"/>
    </xf>
    <xf numFmtId="0" fontId="0" fillId="2" borderId="9" xfId="0" applyFill="1" applyBorder="1" applyAlignment="1">
      <alignment wrapText="1"/>
    </xf>
    <xf numFmtId="42" fontId="0" fillId="2" borderId="0" xfId="1" applyFont="1" applyFill="1" applyBorder="1" applyAlignment="1">
      <alignment horizontal="center" vertical="center" wrapText="1"/>
    </xf>
    <xf numFmtId="44" fontId="0" fillId="2" borderId="0" xfId="0" applyNumberFormat="1" applyFill="1" applyAlignment="1">
      <alignment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2" fillId="3" borderId="10" xfId="2" applyFont="1" applyFill="1" applyBorder="1" applyAlignment="1">
      <alignment horizontal="center" vertical="center" wrapText="1"/>
    </xf>
    <xf numFmtId="0" fontId="2" fillId="3" borderId="5" xfId="2" applyFont="1" applyFill="1" applyBorder="1" applyAlignment="1">
      <alignment horizontal="center" vertical="center" wrapText="1"/>
    </xf>
    <xf numFmtId="0" fontId="2" fillId="3" borderId="17" xfId="2" applyFont="1" applyFill="1" applyBorder="1" applyAlignment="1">
      <alignment horizontal="center" vertical="center" wrapText="1"/>
    </xf>
    <xf numFmtId="0" fontId="2" fillId="3" borderId="2" xfId="2" applyFont="1" applyFill="1" applyBorder="1" applyAlignment="1">
      <alignment horizontal="center" vertical="center" wrapText="1"/>
    </xf>
    <xf numFmtId="0" fontId="2" fillId="3" borderId="7" xfId="2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1" fontId="0" fillId="0" borderId="32" xfId="1" applyNumberFormat="1" applyFont="1" applyBorder="1" applyAlignment="1">
      <alignment horizontal="center" vertical="center" wrapText="1"/>
    </xf>
    <xf numFmtId="1" fontId="0" fillId="0" borderId="22" xfId="1" applyNumberFormat="1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 wrapText="1"/>
    </xf>
    <xf numFmtId="1" fontId="2" fillId="0" borderId="32" xfId="1" applyNumberFormat="1" applyFont="1" applyBorder="1" applyAlignment="1">
      <alignment horizontal="center" vertical="center" wrapText="1"/>
    </xf>
    <xf numFmtId="1" fontId="2" fillId="0" borderId="22" xfId="1" applyNumberFormat="1" applyFont="1" applyBorder="1" applyAlignment="1">
      <alignment horizontal="center" vertical="center" wrapText="1"/>
    </xf>
    <xf numFmtId="0" fontId="2" fillId="3" borderId="26" xfId="2" applyFont="1" applyFill="1" applyBorder="1" applyAlignment="1">
      <alignment horizontal="center" vertical="center" wrapText="1"/>
    </xf>
    <xf numFmtId="0" fontId="2" fillId="3" borderId="24" xfId="2" applyFont="1" applyFill="1" applyBorder="1" applyAlignment="1">
      <alignment horizontal="center" vertical="center" wrapText="1"/>
    </xf>
    <xf numFmtId="0" fontId="2" fillId="3" borderId="30" xfId="2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41" fontId="2" fillId="2" borderId="26" xfId="3" applyFont="1" applyFill="1" applyBorder="1" applyAlignment="1">
      <alignment horizontal="center" vertical="center" wrapText="1"/>
    </xf>
    <xf numFmtId="41" fontId="2" fillId="2" borderId="24" xfId="3" applyFont="1" applyFill="1" applyBorder="1" applyAlignment="1">
      <alignment horizontal="center" vertical="center" wrapText="1"/>
    </xf>
    <xf numFmtId="41" fontId="2" fillId="2" borderId="30" xfId="3" applyFont="1" applyFill="1" applyBorder="1" applyAlignment="1">
      <alignment horizontal="center" vertical="center" wrapText="1"/>
    </xf>
    <xf numFmtId="1" fontId="0" fillId="2" borderId="26" xfId="1" applyNumberFormat="1" applyFont="1" applyFill="1" applyBorder="1" applyAlignment="1">
      <alignment horizontal="center" vertical="center" wrapText="1"/>
    </xf>
    <xf numFmtId="1" fontId="0" fillId="2" borderId="24" xfId="1" applyNumberFormat="1" applyFont="1" applyFill="1" applyBorder="1" applyAlignment="1">
      <alignment horizontal="center" vertical="center" wrapText="1"/>
    </xf>
    <xf numFmtId="1" fontId="0" fillId="2" borderId="30" xfId="1" applyNumberFormat="1" applyFont="1" applyFill="1" applyBorder="1" applyAlignment="1">
      <alignment horizontal="center" vertical="center" wrapText="1"/>
    </xf>
    <xf numFmtId="42" fontId="2" fillId="2" borderId="26" xfId="1" applyFont="1" applyFill="1" applyBorder="1" applyAlignment="1">
      <alignment horizontal="center" vertical="center" wrapText="1"/>
    </xf>
    <xf numFmtId="42" fontId="2" fillId="2" borderId="24" xfId="1" applyFont="1" applyFill="1" applyBorder="1" applyAlignment="1">
      <alignment horizontal="center" vertical="center" wrapText="1"/>
    </xf>
    <xf numFmtId="42" fontId="2" fillId="2" borderId="30" xfId="1" applyFont="1" applyFill="1" applyBorder="1" applyAlignment="1">
      <alignment horizontal="center" vertical="center" wrapText="1"/>
    </xf>
    <xf numFmtId="1" fontId="3" fillId="0" borderId="22" xfId="1" applyNumberFormat="1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0" fillId="3" borderId="24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>
      <alignment vertical="center" wrapText="1"/>
    </xf>
    <xf numFmtId="0" fontId="13" fillId="3" borderId="1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2" fillId="3" borderId="35" xfId="2" applyFont="1" applyFill="1" applyBorder="1" applyAlignment="1">
      <alignment horizontal="center" vertical="center" wrapText="1"/>
    </xf>
    <xf numFmtId="0" fontId="2" fillId="3" borderId="22" xfId="2" applyFont="1" applyFill="1" applyBorder="1" applyAlignment="1">
      <alignment horizontal="center" vertical="center" wrapText="1"/>
    </xf>
    <xf numFmtId="0" fontId="2" fillId="3" borderId="45" xfId="2" applyFont="1" applyFill="1" applyBorder="1" applyAlignment="1">
      <alignment horizontal="center" vertical="center" wrapText="1"/>
    </xf>
    <xf numFmtId="0" fontId="2" fillId="3" borderId="23" xfId="2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42" fontId="2" fillId="0" borderId="32" xfId="1" applyFont="1" applyBorder="1" applyAlignment="1">
      <alignment horizontal="center" vertical="center" wrapText="1"/>
    </xf>
    <xf numFmtId="42" fontId="2" fillId="0" borderId="33" xfId="1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13" fillId="3" borderId="8" xfId="0" applyFont="1" applyFill="1" applyBorder="1" applyAlignment="1">
      <alignment vertical="center" wrapText="1"/>
    </xf>
    <xf numFmtId="1" fontId="2" fillId="2" borderId="40" xfId="1" applyNumberFormat="1" applyFont="1" applyFill="1" applyBorder="1" applyAlignment="1">
      <alignment horizontal="center" vertical="center" wrapText="1"/>
    </xf>
    <xf numFmtId="1" fontId="2" fillId="2" borderId="41" xfId="1" applyNumberFormat="1" applyFont="1" applyFill="1" applyBorder="1" applyAlignment="1">
      <alignment horizontal="center" vertical="center" wrapText="1"/>
    </xf>
    <xf numFmtId="1" fontId="2" fillId="2" borderId="42" xfId="1" applyNumberFormat="1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2" fillId="3" borderId="25" xfId="2" applyFont="1" applyFill="1" applyBorder="1" applyAlignment="1">
      <alignment horizontal="center" vertical="center" wrapText="1"/>
    </xf>
    <xf numFmtId="0" fontId="2" fillId="3" borderId="46" xfId="2" applyFont="1" applyFill="1" applyBorder="1" applyAlignment="1">
      <alignment horizontal="center" vertical="center" wrapText="1"/>
    </xf>
    <xf numFmtId="0" fontId="2" fillId="6" borderId="35" xfId="2" applyFont="1" applyFill="1" applyBorder="1" applyAlignment="1">
      <alignment horizontal="center" vertical="center" wrapText="1"/>
    </xf>
    <xf numFmtId="0" fontId="2" fillId="6" borderId="22" xfId="2" applyFont="1" applyFill="1" applyBorder="1" applyAlignment="1">
      <alignment horizontal="center" vertical="center" wrapText="1"/>
    </xf>
    <xf numFmtId="0" fontId="2" fillId="6" borderId="45" xfId="2" applyFont="1" applyFill="1" applyBorder="1" applyAlignment="1">
      <alignment horizontal="center" vertical="center" wrapText="1"/>
    </xf>
    <xf numFmtId="0" fontId="2" fillId="6" borderId="23" xfId="2" applyFont="1" applyFill="1" applyBorder="1" applyAlignment="1">
      <alignment horizontal="center" vertical="center" wrapText="1"/>
    </xf>
    <xf numFmtId="0" fontId="2" fillId="3" borderId="47" xfId="2" applyFont="1" applyFill="1" applyBorder="1" applyAlignment="1">
      <alignment horizontal="center" vertical="center" wrapText="1"/>
    </xf>
    <xf numFmtId="0" fontId="2" fillId="3" borderId="0" xfId="2" applyFont="1" applyFill="1" applyBorder="1" applyAlignment="1">
      <alignment horizontal="center" vertical="center" wrapText="1"/>
    </xf>
    <xf numFmtId="0" fontId="2" fillId="3" borderId="31" xfId="2" applyFont="1" applyFill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2" fillId="6" borderId="26" xfId="2" applyFont="1" applyFill="1" applyBorder="1" applyAlignment="1">
      <alignment horizontal="center" vertical="center" wrapText="1"/>
    </xf>
    <xf numFmtId="0" fontId="2" fillId="6" borderId="24" xfId="2" applyFont="1" applyFill="1" applyBorder="1" applyAlignment="1">
      <alignment horizontal="center" vertical="center" wrapText="1"/>
    </xf>
    <xf numFmtId="0" fontId="2" fillId="6" borderId="30" xfId="2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3" borderId="28" xfId="2" applyFont="1" applyFill="1" applyBorder="1" applyAlignment="1">
      <alignment horizontal="center" vertical="center" wrapText="1"/>
    </xf>
    <xf numFmtId="0" fontId="2" fillId="3" borderId="37" xfId="2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1" fontId="0" fillId="2" borderId="55" xfId="0" applyNumberFormat="1" applyFill="1" applyBorder="1" applyAlignment="1">
      <alignment horizontal="center" vertical="center" wrapText="1"/>
    </xf>
    <xf numFmtId="1" fontId="0" fillId="2" borderId="56" xfId="0" applyNumberFormat="1" applyFill="1" applyBorder="1" applyAlignment="1">
      <alignment horizontal="center" vertical="center" wrapText="1"/>
    </xf>
    <xf numFmtId="1" fontId="0" fillId="2" borderId="57" xfId="0" applyNumberForma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right" wrapText="1"/>
    </xf>
    <xf numFmtId="42" fontId="11" fillId="3" borderId="15" xfId="0" applyNumberFormat="1" applyFont="1" applyFill="1" applyBorder="1" applyAlignment="1">
      <alignment horizontal="center" vertical="center" wrapText="1"/>
    </xf>
    <xf numFmtId="165" fontId="17" fillId="3" borderId="16" xfId="3" applyNumberFormat="1" applyFont="1" applyFill="1" applyBorder="1" applyAlignment="1">
      <alignment horizontal="center" vertical="center" wrapText="1"/>
    </xf>
    <xf numFmtId="0" fontId="1" fillId="9" borderId="14" xfId="0" applyFont="1" applyFill="1" applyBorder="1" applyAlignment="1">
      <alignment vertical="center" wrapText="1"/>
    </xf>
    <xf numFmtId="0" fontId="1" fillId="9" borderId="15" xfId="0" applyFont="1" applyFill="1" applyBorder="1" applyAlignment="1">
      <alignment horizontal="center" vertical="center" wrapText="1"/>
    </xf>
    <xf numFmtId="1" fontId="1" fillId="9" borderId="16" xfId="0" applyNumberFormat="1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2" fillId="9" borderId="11" xfId="2" applyFont="1" applyFill="1" applyBorder="1" applyAlignment="1">
      <alignment horizontal="left" vertical="center" wrapText="1"/>
    </xf>
    <xf numFmtId="42" fontId="2" fillId="9" borderId="11" xfId="1" applyFont="1" applyFill="1" applyBorder="1" applyAlignment="1">
      <alignment horizontal="center" vertical="center" wrapText="1"/>
    </xf>
    <xf numFmtId="165" fontId="2" fillId="9" borderId="58" xfId="3" applyNumberFormat="1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wrapText="1"/>
    </xf>
    <xf numFmtId="0" fontId="2" fillId="9" borderId="1" xfId="2" applyFont="1" applyFill="1" applyBorder="1" applyAlignment="1">
      <alignment horizontal="left" vertical="center" wrapText="1"/>
    </xf>
    <xf numFmtId="42" fontId="2" fillId="9" borderId="1" xfId="1" applyFont="1" applyFill="1" applyBorder="1" applyAlignment="1">
      <alignment horizontal="center" vertical="center" wrapText="1"/>
    </xf>
    <xf numFmtId="165" fontId="2" fillId="9" borderId="32" xfId="3" applyNumberFormat="1" applyFont="1" applyFill="1" applyBorder="1" applyAlignment="1">
      <alignment horizontal="center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2" fillId="9" borderId="13" xfId="2" applyFont="1" applyFill="1" applyBorder="1" applyAlignment="1">
      <alignment horizontal="left" vertical="center" wrapText="1"/>
    </xf>
    <xf numFmtId="42" fontId="2" fillId="9" borderId="13" xfId="1" applyFont="1" applyFill="1" applyBorder="1" applyAlignment="1">
      <alignment horizontal="center" vertical="center" wrapText="1"/>
    </xf>
    <xf numFmtId="165" fontId="2" fillId="9" borderId="52" xfId="3" applyNumberFormat="1" applyFont="1" applyFill="1" applyBorder="1" applyAlignment="1">
      <alignment horizontal="center" vertical="center" wrapText="1"/>
    </xf>
    <xf numFmtId="0" fontId="1" fillId="2" borderId="59" xfId="0" applyFont="1" applyFill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left" vertical="top"/>
    </xf>
    <xf numFmtId="0" fontId="20" fillId="0" borderId="0" xfId="0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top"/>
    </xf>
    <xf numFmtId="0" fontId="18" fillId="0" borderId="0" xfId="0" applyFont="1" applyAlignment="1">
      <alignment horizontal="left" vertical="top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2" fontId="2" fillId="2" borderId="1" xfId="1" applyFont="1" applyFill="1" applyBorder="1" applyAlignment="1">
      <alignment vertical="center" wrapText="1"/>
    </xf>
    <xf numFmtId="0" fontId="2" fillId="0" borderId="0" xfId="0" applyFont="1"/>
    <xf numFmtId="0" fontId="2" fillId="2" borderId="1" xfId="0" applyFont="1" applyFill="1" applyBorder="1" applyAlignment="1">
      <alignment vertical="center"/>
    </xf>
    <xf numFmtId="42" fontId="2" fillId="2" borderId="1" xfId="0" applyNumberFormat="1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2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42" fontId="2" fillId="2" borderId="1" xfId="1" applyFont="1" applyFill="1" applyBorder="1" applyAlignment="1">
      <alignment horizontal="center" vertical="center"/>
    </xf>
    <xf numFmtId="42" fontId="2" fillId="2" borderId="1" xfId="1" applyFont="1" applyFill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42" fontId="2" fillId="2" borderId="8" xfId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right" vertical="center"/>
    </xf>
    <xf numFmtId="42" fontId="21" fillId="2" borderId="24" xfId="1" applyFont="1" applyFill="1" applyBorder="1" applyAlignment="1">
      <alignment horizontal="center" wrapText="1"/>
    </xf>
    <xf numFmtId="0" fontId="18" fillId="0" borderId="0" xfId="0" applyFont="1" applyAlignment="1">
      <alignment vertical="center"/>
    </xf>
    <xf numFmtId="42" fontId="18" fillId="0" borderId="0" xfId="0" applyNumberFormat="1" applyFont="1" applyAlignment="1">
      <alignment vertical="center"/>
    </xf>
    <xf numFmtId="42" fontId="21" fillId="2" borderId="11" xfId="1" applyFont="1" applyFill="1" applyBorder="1" applyAlignment="1">
      <alignment horizontal="center" wrapText="1"/>
    </xf>
    <xf numFmtId="0" fontId="21" fillId="0" borderId="0" xfId="0" applyFont="1" applyBorder="1"/>
    <xf numFmtId="42" fontId="21" fillId="8" borderId="13" xfId="0" applyNumberFormat="1" applyFont="1" applyFill="1" applyBorder="1" applyAlignment="1">
      <alignment horizontal="center" vertical="center"/>
    </xf>
    <xf numFmtId="42" fontId="21" fillId="0" borderId="1" xfId="1" applyFont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42" fontId="18" fillId="0" borderId="0" xfId="1" applyFont="1"/>
    <xf numFmtId="0" fontId="25" fillId="0" borderId="0" xfId="0" applyFont="1" applyAlignment="1">
      <alignment horizontal="center" vertical="center" wrapText="1"/>
    </xf>
    <xf numFmtId="0" fontId="21" fillId="9" borderId="53" xfId="0" applyFont="1" applyFill="1" applyBorder="1" applyAlignment="1">
      <alignment horizontal="center" wrapText="1"/>
    </xf>
    <xf numFmtId="0" fontId="21" fillId="9" borderId="39" xfId="0" applyFont="1" applyFill="1" applyBorder="1" applyAlignment="1">
      <alignment horizontal="center" wrapText="1"/>
    </xf>
    <xf numFmtId="0" fontId="21" fillId="9" borderId="54" xfId="0" applyFont="1" applyFill="1" applyBorder="1" applyAlignment="1">
      <alignment horizontal="center" wrapText="1"/>
    </xf>
    <xf numFmtId="42" fontId="21" fillId="3" borderId="11" xfId="1" applyFont="1" applyFill="1" applyBorder="1" applyAlignment="1">
      <alignment vertical="center"/>
    </xf>
    <xf numFmtId="42" fontId="21" fillId="3" borderId="11" xfId="1" applyFont="1" applyFill="1" applyBorder="1" applyAlignment="1">
      <alignment horizontal="center" vertical="center"/>
    </xf>
    <xf numFmtId="42" fontId="21" fillId="3" borderId="11" xfId="1" applyFont="1" applyFill="1" applyBorder="1" applyAlignment="1">
      <alignment vertical="center" wrapText="1"/>
    </xf>
    <xf numFmtId="0" fontId="16" fillId="0" borderId="6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16" fillId="0" borderId="54" xfId="0" applyFont="1" applyBorder="1" applyAlignment="1">
      <alignment horizontal="center" vertical="center" wrapText="1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2" fillId="2" borderId="65" xfId="0" applyFont="1" applyFill="1" applyBorder="1" applyAlignment="1">
      <alignment horizontal="center" vertical="center"/>
    </xf>
    <xf numFmtId="0" fontId="23" fillId="2" borderId="66" xfId="0" applyFont="1" applyFill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/>
    </xf>
    <xf numFmtId="0" fontId="24" fillId="2" borderId="50" xfId="0" applyFont="1" applyFill="1" applyBorder="1" applyAlignment="1">
      <alignment horizontal="center" vertical="center" wrapText="1"/>
    </xf>
  </cellXfs>
  <cellStyles count="4">
    <cellStyle name="Millares [0]" xfId="3" builtinId="6"/>
    <cellStyle name="Moneda [0]" xfId="1" builtinId="7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A264"/>
  <sheetViews>
    <sheetView zoomScale="85" zoomScaleNormal="85" workbookViewId="0">
      <pane xSplit="4" ySplit="6" topLeftCell="K241" activePane="bottomRight" state="frozen"/>
      <selection pane="topRight" activeCell="K1" sqref="K1"/>
      <selection pane="bottomLeft" activeCell="A6" sqref="A6"/>
      <selection pane="bottomRight" activeCell="Z254" sqref="Z254"/>
    </sheetView>
  </sheetViews>
  <sheetFormatPr baseColWidth="10" defaultRowHeight="15" x14ac:dyDescent="0.25"/>
  <cols>
    <col min="1" max="1" width="4.140625" customWidth="1"/>
    <col min="2" max="2" width="19.5703125" customWidth="1"/>
    <col min="3" max="3" width="28.5703125" customWidth="1"/>
    <col min="4" max="4" width="44.42578125" style="37" bestFit="1" customWidth="1"/>
    <col min="5" max="5" width="10.42578125" style="41" customWidth="1"/>
    <col min="6" max="6" width="13.28515625" style="4" customWidth="1"/>
    <col min="7" max="7" width="15.5703125" style="4" customWidth="1"/>
    <col min="8" max="8" width="11.28515625" style="4" customWidth="1"/>
    <col min="9" max="9" width="8.85546875" style="4" customWidth="1"/>
    <col min="10" max="10" width="14.28515625" style="4" customWidth="1"/>
    <col min="11" max="11" width="14.85546875" style="4" customWidth="1"/>
    <col min="12" max="12" width="11.28515625" style="4" customWidth="1"/>
    <col min="13" max="13" width="10" style="4" customWidth="1"/>
    <col min="14" max="14" width="15.140625" style="4" customWidth="1"/>
    <col min="15" max="15" width="16" style="4" customWidth="1"/>
    <col min="16" max="16" width="10.42578125" style="4" customWidth="1"/>
    <col min="17" max="17" width="11" style="73" customWidth="1"/>
    <col min="18" max="19" width="9.7109375" style="79" customWidth="1"/>
    <col min="20" max="20" width="9.7109375" style="73" customWidth="1"/>
    <col min="21" max="23" width="9.7109375" style="79" customWidth="1"/>
    <col min="24" max="24" width="12.7109375" style="79" customWidth="1"/>
    <col min="25" max="25" width="13.7109375" customWidth="1"/>
    <col min="26" max="26" width="13.140625" style="41" customWidth="1"/>
    <col min="27" max="27" width="35.140625" style="144" customWidth="1"/>
  </cols>
  <sheetData>
    <row r="2" spans="2:27" ht="18.75" x14ac:dyDescent="0.25">
      <c r="B2" s="527" t="s">
        <v>252</v>
      </c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45"/>
      <c r="Q2" s="72"/>
      <c r="T2" s="72"/>
    </row>
    <row r="3" spans="2:27" x14ac:dyDescent="0.25">
      <c r="B3" s="105" t="s">
        <v>253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45"/>
      <c r="Q3" s="72"/>
      <c r="T3" s="72"/>
    </row>
    <row r="4" spans="2:27" x14ac:dyDescent="0.25">
      <c r="B4" s="104" t="s">
        <v>373</v>
      </c>
      <c r="C4" s="43">
        <v>39762.519999999997</v>
      </c>
    </row>
    <row r="5" spans="2:27" ht="15.75" thickBot="1" x14ac:dyDescent="0.3">
      <c r="Y5" s="71"/>
      <c r="Z5" s="71"/>
    </row>
    <row r="6" spans="2:27" s="4" customFormat="1" ht="30.75" thickBot="1" x14ac:dyDescent="0.3">
      <c r="B6" s="148" t="s">
        <v>249</v>
      </c>
      <c r="C6" s="27" t="s">
        <v>248</v>
      </c>
      <c r="D6" s="29" t="s">
        <v>250</v>
      </c>
      <c r="E6" s="528" t="s">
        <v>1</v>
      </c>
      <c r="F6" s="528"/>
      <c r="G6" s="528"/>
      <c r="H6" s="528"/>
      <c r="I6" s="529" t="s">
        <v>2</v>
      </c>
      <c r="J6" s="529"/>
      <c r="K6" s="529"/>
      <c r="L6" s="529"/>
      <c r="M6" s="529" t="s">
        <v>3</v>
      </c>
      <c r="N6" s="529"/>
      <c r="O6" s="529"/>
      <c r="P6" s="529"/>
      <c r="Q6" s="30" t="s">
        <v>242</v>
      </c>
      <c r="R6" s="30" t="s">
        <v>243</v>
      </c>
      <c r="S6" s="30" t="s">
        <v>244</v>
      </c>
      <c r="T6" s="30" t="s">
        <v>245</v>
      </c>
      <c r="U6" s="30" t="s">
        <v>246</v>
      </c>
      <c r="V6" s="30" t="s">
        <v>247</v>
      </c>
      <c r="W6" s="113" t="s">
        <v>251</v>
      </c>
      <c r="X6" s="134" t="s">
        <v>283</v>
      </c>
      <c r="Y6" s="28" t="s">
        <v>254</v>
      </c>
      <c r="Z6" s="114" t="s">
        <v>255</v>
      </c>
      <c r="AA6" s="106" t="s">
        <v>256</v>
      </c>
    </row>
    <row r="7" spans="2:27" ht="61.5" customHeight="1" x14ac:dyDescent="0.25">
      <c r="B7" s="530" t="s">
        <v>4</v>
      </c>
      <c r="C7" s="19" t="s">
        <v>268</v>
      </c>
      <c r="D7" s="31" t="s">
        <v>62</v>
      </c>
      <c r="E7" s="112">
        <v>823</v>
      </c>
      <c r="F7" s="18">
        <v>800</v>
      </c>
      <c r="G7" s="18">
        <f>+F7*E7</f>
        <v>658400</v>
      </c>
      <c r="H7" s="81">
        <f t="shared" ref="H7:H70" si="0">+G7/$C$4</f>
        <v>16.558306666680082</v>
      </c>
      <c r="I7" s="82">
        <f>+E7</f>
        <v>823</v>
      </c>
      <c r="J7" s="74">
        <f>+F7</f>
        <v>800</v>
      </c>
      <c r="K7" s="74">
        <f>+G7</f>
        <v>658400</v>
      </c>
      <c r="L7" s="81">
        <f t="shared" ref="L7:L70" si="1">+K7/$C$4</f>
        <v>16.558306666680082</v>
      </c>
      <c r="M7" s="82">
        <f>+E7</f>
        <v>823</v>
      </c>
      <c r="N7" s="74">
        <f>+F7</f>
        <v>800</v>
      </c>
      <c r="O7" s="74">
        <f>+G7</f>
        <v>658400</v>
      </c>
      <c r="P7" s="81">
        <f t="shared" ref="P7:P70" si="2">+O7/$C$4</f>
        <v>16.558306666680082</v>
      </c>
      <c r="Q7" s="81">
        <v>16.665827131531199</v>
      </c>
      <c r="R7" s="81">
        <v>16.665827131531195</v>
      </c>
      <c r="S7" s="81">
        <v>16.665827131531195</v>
      </c>
      <c r="T7" s="81">
        <v>16.665827131531195</v>
      </c>
      <c r="U7" s="81">
        <v>16.665827131531195</v>
      </c>
      <c r="V7" s="81">
        <v>16.665827131531195</v>
      </c>
      <c r="W7" s="81">
        <v>16.665827131531195</v>
      </c>
      <c r="X7" s="135">
        <f>+H7+L7+P7+Q7+R7+S7+T7+U7+V7+W7</f>
        <v>166.33570992075857</v>
      </c>
      <c r="Y7" s="46">
        <v>1</v>
      </c>
      <c r="Z7" s="103" t="s">
        <v>262</v>
      </c>
      <c r="AA7" s="118" t="s">
        <v>269</v>
      </c>
    </row>
    <row r="8" spans="2:27" ht="99.75" customHeight="1" x14ac:dyDescent="0.25">
      <c r="B8" s="531"/>
      <c r="C8" s="2" t="s">
        <v>214</v>
      </c>
      <c r="D8" s="3" t="s">
        <v>211</v>
      </c>
      <c r="E8" s="52">
        <v>1950</v>
      </c>
      <c r="F8" s="9">
        <v>29347.055974290299</v>
      </c>
      <c r="G8" s="9">
        <f>F8*E8</f>
        <v>57226759.149866082</v>
      </c>
      <c r="H8" s="53">
        <f t="shared" si="0"/>
        <v>1439.2135898294698</v>
      </c>
      <c r="I8" s="65"/>
      <c r="J8" s="66"/>
      <c r="K8" s="66"/>
      <c r="L8" s="53">
        <f t="shared" si="1"/>
        <v>0</v>
      </c>
      <c r="M8" s="65"/>
      <c r="N8" s="66"/>
      <c r="O8" s="66"/>
      <c r="P8" s="53">
        <f t="shared" si="2"/>
        <v>0</v>
      </c>
      <c r="Q8" s="53">
        <v>1448.5590450933159</v>
      </c>
      <c r="R8" s="53">
        <v>0</v>
      </c>
      <c r="S8" s="53">
        <v>0</v>
      </c>
      <c r="T8" s="53">
        <v>1448.5590450933159</v>
      </c>
      <c r="U8" s="53">
        <v>0</v>
      </c>
      <c r="V8" s="53">
        <v>0</v>
      </c>
      <c r="W8" s="53">
        <v>1448.5590450933159</v>
      </c>
      <c r="X8" s="136">
        <f>+H8+L8+P8+Q8+R8+S8+T8+U8+V8+W8</f>
        <v>5784.8907251094179</v>
      </c>
      <c r="Y8" s="47">
        <v>3</v>
      </c>
      <c r="Z8" s="57" t="s">
        <v>261</v>
      </c>
      <c r="AA8" s="119" t="s">
        <v>270</v>
      </c>
    </row>
    <row r="9" spans="2:27" ht="38.25" x14ac:dyDescent="0.25">
      <c r="B9" s="531"/>
      <c r="C9" s="2" t="s">
        <v>212</v>
      </c>
      <c r="D9" s="3" t="s">
        <v>182</v>
      </c>
      <c r="E9" s="52">
        <v>12</v>
      </c>
      <c r="F9" s="9">
        <v>120000</v>
      </c>
      <c r="G9" s="9">
        <f>F9*E9</f>
        <v>1440000</v>
      </c>
      <c r="H9" s="53">
        <f t="shared" si="0"/>
        <v>36.215008505497138</v>
      </c>
      <c r="I9" s="65">
        <f>+E9</f>
        <v>12</v>
      </c>
      <c r="J9" s="66">
        <f>+F9</f>
        <v>120000</v>
      </c>
      <c r="K9" s="66">
        <f>+G9</f>
        <v>1440000</v>
      </c>
      <c r="L9" s="53">
        <f t="shared" si="1"/>
        <v>36.215008505497138</v>
      </c>
      <c r="M9" s="65">
        <f t="shared" ref="M9:M20" si="3">+E9</f>
        <v>12</v>
      </c>
      <c r="N9" s="66">
        <f t="shared" ref="N9:N20" si="4">+F9</f>
        <v>120000</v>
      </c>
      <c r="O9" s="66">
        <f t="shared" ref="O9:O20" si="5">+G9</f>
        <v>1440000</v>
      </c>
      <c r="P9" s="53">
        <f t="shared" si="2"/>
        <v>36.215008505497138</v>
      </c>
      <c r="Q9" s="53">
        <v>36.450168695936995</v>
      </c>
      <c r="R9" s="53">
        <v>36.450168695936995</v>
      </c>
      <c r="S9" s="53">
        <v>36.450168695936995</v>
      </c>
      <c r="T9" s="53">
        <v>36.450168695936995</v>
      </c>
      <c r="U9" s="53">
        <v>36.450168695936995</v>
      </c>
      <c r="V9" s="53">
        <v>36.450168695936995</v>
      </c>
      <c r="W9" s="53">
        <v>36.450168695936995</v>
      </c>
      <c r="X9" s="136">
        <f t="shared" ref="X9:X72" si="6">+H9+L9+P9+Q9+R9+S9+T9+U9+V9+W9</f>
        <v>363.79620638805045</v>
      </c>
      <c r="Y9" s="47">
        <v>1</v>
      </c>
      <c r="Z9" s="57" t="s">
        <v>264</v>
      </c>
      <c r="AA9" s="119"/>
    </row>
    <row r="10" spans="2:27" ht="40.5" customHeight="1" x14ac:dyDescent="0.25">
      <c r="B10" s="531"/>
      <c r="C10" s="2" t="s">
        <v>29</v>
      </c>
      <c r="D10" s="3" t="s">
        <v>63</v>
      </c>
      <c r="E10" s="52">
        <v>1200</v>
      </c>
      <c r="F10" s="11">
        <v>4200</v>
      </c>
      <c r="G10" s="11">
        <f t="shared" ref="G10:G20" si="7">+F10*E10</f>
        <v>5040000</v>
      </c>
      <c r="H10" s="53">
        <f t="shared" si="0"/>
        <v>126.75252976923998</v>
      </c>
      <c r="I10" s="65"/>
      <c r="J10" s="66"/>
      <c r="K10" s="66"/>
      <c r="L10" s="53">
        <f t="shared" si="1"/>
        <v>0</v>
      </c>
      <c r="M10" s="65">
        <f t="shared" si="3"/>
        <v>1200</v>
      </c>
      <c r="N10" s="66">
        <f t="shared" si="4"/>
        <v>4200</v>
      </c>
      <c r="O10" s="66">
        <f t="shared" si="5"/>
        <v>5040000</v>
      </c>
      <c r="P10" s="53">
        <f t="shared" si="2"/>
        <v>126.75252976923998</v>
      </c>
      <c r="Q10" s="53">
        <v>127.57559043577949</v>
      </c>
      <c r="R10" s="53">
        <v>0</v>
      </c>
      <c r="S10" s="53">
        <v>127.57559043577949</v>
      </c>
      <c r="T10" s="53">
        <v>127.57559043577949</v>
      </c>
      <c r="U10" s="53">
        <v>0</v>
      </c>
      <c r="V10" s="53">
        <v>127.57559043577949</v>
      </c>
      <c r="W10" s="53">
        <v>127.57559043577949</v>
      </c>
      <c r="X10" s="136">
        <f t="shared" si="6"/>
        <v>891.38301171737749</v>
      </c>
      <c r="Y10" s="47">
        <v>2</v>
      </c>
      <c r="Z10" s="57" t="s">
        <v>264</v>
      </c>
      <c r="AA10" s="119"/>
    </row>
    <row r="11" spans="2:27" ht="52.5" customHeight="1" x14ac:dyDescent="0.25">
      <c r="B11" s="531"/>
      <c r="C11" s="2" t="s">
        <v>207</v>
      </c>
      <c r="D11" s="3" t="s">
        <v>63</v>
      </c>
      <c r="E11" s="52">
        <v>7000</v>
      </c>
      <c r="F11" s="11">
        <v>4200</v>
      </c>
      <c r="G11" s="11">
        <f t="shared" si="7"/>
        <v>29400000</v>
      </c>
      <c r="H11" s="53">
        <f t="shared" si="0"/>
        <v>739.38975698723323</v>
      </c>
      <c r="I11" s="65">
        <f t="shared" ref="I11:K13" si="8">+E11</f>
        <v>7000</v>
      </c>
      <c r="J11" s="66">
        <f t="shared" si="8"/>
        <v>4200</v>
      </c>
      <c r="K11" s="66">
        <f t="shared" si="8"/>
        <v>29400000</v>
      </c>
      <c r="L11" s="53">
        <f t="shared" si="1"/>
        <v>739.38975698723323</v>
      </c>
      <c r="M11" s="65">
        <f t="shared" si="3"/>
        <v>7000</v>
      </c>
      <c r="N11" s="66">
        <f t="shared" si="4"/>
        <v>4200</v>
      </c>
      <c r="O11" s="66">
        <f t="shared" si="5"/>
        <v>29400000</v>
      </c>
      <c r="P11" s="53">
        <f t="shared" si="2"/>
        <v>739.38975698723323</v>
      </c>
      <c r="Q11" s="53">
        <v>744.19094420871374</v>
      </c>
      <c r="R11" s="53">
        <v>744.19094420871374</v>
      </c>
      <c r="S11" s="53">
        <v>744.19094420871374</v>
      </c>
      <c r="T11" s="53">
        <v>744.19094420871374</v>
      </c>
      <c r="U11" s="53">
        <v>744.19094420871374</v>
      </c>
      <c r="V11" s="53">
        <v>744.19094420871374</v>
      </c>
      <c r="W11" s="53">
        <v>744.19094420871374</v>
      </c>
      <c r="X11" s="136">
        <f t="shared" si="6"/>
        <v>7427.5058804226946</v>
      </c>
      <c r="Y11" s="47">
        <v>1</v>
      </c>
      <c r="Z11" s="57" t="s">
        <v>264</v>
      </c>
      <c r="AA11" s="119"/>
    </row>
    <row r="12" spans="2:27" ht="42.75" customHeight="1" x14ac:dyDescent="0.25">
      <c r="B12" s="531"/>
      <c r="C12" s="2" t="s">
        <v>203</v>
      </c>
      <c r="D12" s="3" t="s">
        <v>202</v>
      </c>
      <c r="E12" s="52">
        <v>1</v>
      </c>
      <c r="F12" s="11">
        <v>680000</v>
      </c>
      <c r="G12" s="11">
        <f t="shared" si="7"/>
        <v>680000</v>
      </c>
      <c r="H12" s="53">
        <f t="shared" si="0"/>
        <v>17.101531794262538</v>
      </c>
      <c r="I12" s="65">
        <f t="shared" si="8"/>
        <v>1</v>
      </c>
      <c r="J12" s="66">
        <f t="shared" si="8"/>
        <v>680000</v>
      </c>
      <c r="K12" s="66">
        <f t="shared" si="8"/>
        <v>680000</v>
      </c>
      <c r="L12" s="53">
        <f t="shared" si="1"/>
        <v>17.101531794262538</v>
      </c>
      <c r="M12" s="65">
        <f t="shared" si="3"/>
        <v>1</v>
      </c>
      <c r="N12" s="66">
        <f t="shared" si="4"/>
        <v>680000</v>
      </c>
      <c r="O12" s="66">
        <f t="shared" si="5"/>
        <v>680000</v>
      </c>
      <c r="P12" s="53">
        <f t="shared" si="2"/>
        <v>17.101531794262538</v>
      </c>
      <c r="Q12" s="53">
        <v>17.212579661970249</v>
      </c>
      <c r="R12" s="53">
        <v>17.212579661970249</v>
      </c>
      <c r="S12" s="53">
        <v>17.212579661970249</v>
      </c>
      <c r="T12" s="53">
        <v>17.212579661970249</v>
      </c>
      <c r="U12" s="53">
        <v>17.212579661970249</v>
      </c>
      <c r="V12" s="53">
        <v>17.212579661970249</v>
      </c>
      <c r="W12" s="53">
        <v>17.212579661970249</v>
      </c>
      <c r="X12" s="136">
        <f t="shared" si="6"/>
        <v>171.79265301657935</v>
      </c>
      <c r="Y12" s="47">
        <v>1</v>
      </c>
      <c r="Z12" s="57" t="s">
        <v>264</v>
      </c>
      <c r="AA12" s="119"/>
    </row>
    <row r="13" spans="2:27" ht="42" customHeight="1" x14ac:dyDescent="0.25">
      <c r="B13" s="531"/>
      <c r="C13" s="2" t="s">
        <v>208</v>
      </c>
      <c r="D13" s="8" t="s">
        <v>65</v>
      </c>
      <c r="E13" s="54">
        <f>188*4</f>
        <v>752</v>
      </c>
      <c r="F13" s="12">
        <v>500</v>
      </c>
      <c r="G13" s="12">
        <f t="shared" si="7"/>
        <v>376000</v>
      </c>
      <c r="H13" s="53">
        <f t="shared" si="0"/>
        <v>9.4561411097686978</v>
      </c>
      <c r="I13" s="65">
        <f t="shared" si="8"/>
        <v>752</v>
      </c>
      <c r="J13" s="66">
        <f t="shared" si="8"/>
        <v>500</v>
      </c>
      <c r="K13" s="66">
        <f t="shared" si="8"/>
        <v>376000</v>
      </c>
      <c r="L13" s="53">
        <f t="shared" si="1"/>
        <v>9.4561411097686978</v>
      </c>
      <c r="M13" s="65">
        <f t="shared" si="3"/>
        <v>752</v>
      </c>
      <c r="N13" s="66">
        <f t="shared" si="4"/>
        <v>500</v>
      </c>
      <c r="O13" s="66">
        <f t="shared" si="5"/>
        <v>376000</v>
      </c>
      <c r="P13" s="53">
        <f t="shared" si="2"/>
        <v>9.4561411097686978</v>
      </c>
      <c r="Q13" s="53">
        <v>9.5175440483835487</v>
      </c>
      <c r="R13" s="56">
        <v>9.5175440483835487</v>
      </c>
      <c r="S13" s="56">
        <v>9.5175440483835487</v>
      </c>
      <c r="T13" s="53">
        <v>9.5175440483835487</v>
      </c>
      <c r="U13" s="56">
        <v>9.5175440483835487</v>
      </c>
      <c r="V13" s="56">
        <v>9.5175440483835487</v>
      </c>
      <c r="W13" s="56">
        <v>9.5175440483835487</v>
      </c>
      <c r="X13" s="136">
        <f t="shared" si="6"/>
        <v>94.991231667990917</v>
      </c>
      <c r="Y13" s="47">
        <v>1</v>
      </c>
      <c r="Z13" s="57" t="s">
        <v>264</v>
      </c>
      <c r="AA13" s="119"/>
    </row>
    <row r="14" spans="2:27" ht="38.25" x14ac:dyDescent="0.25">
      <c r="B14" s="531"/>
      <c r="C14" s="2" t="s">
        <v>209</v>
      </c>
      <c r="D14" s="8" t="s">
        <v>66</v>
      </c>
      <c r="E14" s="54">
        <f>556*4</f>
        <v>2224</v>
      </c>
      <c r="F14" s="12">
        <v>10000</v>
      </c>
      <c r="G14" s="13">
        <f t="shared" si="7"/>
        <v>22240000</v>
      </c>
      <c r="H14" s="53">
        <f t="shared" si="0"/>
        <v>559.3206869182336</v>
      </c>
      <c r="I14" s="65"/>
      <c r="J14" s="66"/>
      <c r="K14" s="66"/>
      <c r="L14" s="53">
        <f t="shared" si="1"/>
        <v>0</v>
      </c>
      <c r="M14" s="65">
        <f t="shared" si="3"/>
        <v>2224</v>
      </c>
      <c r="N14" s="66">
        <f t="shared" si="4"/>
        <v>10000</v>
      </c>
      <c r="O14" s="66">
        <f t="shared" si="5"/>
        <v>22240000</v>
      </c>
      <c r="P14" s="53">
        <f t="shared" si="2"/>
        <v>559.3206869182336</v>
      </c>
      <c r="Q14" s="53">
        <v>562.95260541502694</v>
      </c>
      <c r="R14" s="56">
        <v>0</v>
      </c>
      <c r="S14" s="56">
        <v>562.95260541502694</v>
      </c>
      <c r="T14" s="53">
        <v>562.95260541502694</v>
      </c>
      <c r="U14" s="56">
        <v>0</v>
      </c>
      <c r="V14" s="56">
        <v>562.95260541502694</v>
      </c>
      <c r="W14" s="56">
        <v>562.95260541502694</v>
      </c>
      <c r="X14" s="136">
        <f t="shared" si="6"/>
        <v>3933.4044009116019</v>
      </c>
      <c r="Y14" s="47">
        <v>2</v>
      </c>
      <c r="Z14" s="57" t="s">
        <v>264</v>
      </c>
      <c r="AA14" s="119"/>
    </row>
    <row r="15" spans="2:27" ht="51" x14ac:dyDescent="0.25">
      <c r="B15" s="531"/>
      <c r="C15" s="2" t="s">
        <v>213</v>
      </c>
      <c r="D15" s="3" t="s">
        <v>67</v>
      </c>
      <c r="E15" s="54">
        <v>480</v>
      </c>
      <c r="F15" s="12">
        <v>1100</v>
      </c>
      <c r="G15" s="12">
        <f t="shared" si="7"/>
        <v>528000</v>
      </c>
      <c r="H15" s="53">
        <f t="shared" si="0"/>
        <v>13.278836452015618</v>
      </c>
      <c r="I15" s="65"/>
      <c r="J15" s="66"/>
      <c r="K15" s="66"/>
      <c r="L15" s="53">
        <f t="shared" si="1"/>
        <v>0</v>
      </c>
      <c r="M15" s="65">
        <f t="shared" si="3"/>
        <v>480</v>
      </c>
      <c r="N15" s="66">
        <f t="shared" si="4"/>
        <v>1100</v>
      </c>
      <c r="O15" s="66">
        <f t="shared" si="5"/>
        <v>528000</v>
      </c>
      <c r="P15" s="53">
        <f t="shared" si="2"/>
        <v>13.278836452015618</v>
      </c>
      <c r="Q15" s="53">
        <v>13.365061855176899</v>
      </c>
      <c r="R15" s="56">
        <v>0</v>
      </c>
      <c r="S15" s="56">
        <v>13.365061855176899</v>
      </c>
      <c r="T15" s="53">
        <v>13.365061855176899</v>
      </c>
      <c r="U15" s="56">
        <v>0</v>
      </c>
      <c r="V15" s="56">
        <v>13.365061855176899</v>
      </c>
      <c r="W15" s="56">
        <v>13.365061855176899</v>
      </c>
      <c r="X15" s="136">
        <f t="shared" si="6"/>
        <v>93.382982179915743</v>
      </c>
      <c r="Y15" s="47">
        <v>2</v>
      </c>
      <c r="Z15" s="57" t="s">
        <v>264</v>
      </c>
      <c r="AA15" s="119"/>
    </row>
    <row r="16" spans="2:27" ht="25.5" x14ac:dyDescent="0.25">
      <c r="B16" s="531"/>
      <c r="C16" s="2" t="s">
        <v>30</v>
      </c>
      <c r="D16" s="3" t="s">
        <v>63</v>
      </c>
      <c r="E16" s="54">
        <v>410</v>
      </c>
      <c r="F16" s="12">
        <v>1100</v>
      </c>
      <c r="G16" s="12">
        <f t="shared" si="7"/>
        <v>451000</v>
      </c>
      <c r="H16" s="53">
        <f t="shared" si="0"/>
        <v>11.342339469430007</v>
      </c>
      <c r="I16" s="65"/>
      <c r="J16" s="66"/>
      <c r="K16" s="66"/>
      <c r="L16" s="53">
        <f t="shared" si="1"/>
        <v>0</v>
      </c>
      <c r="M16" s="65">
        <f t="shared" si="3"/>
        <v>410</v>
      </c>
      <c r="N16" s="66">
        <f t="shared" si="4"/>
        <v>1100</v>
      </c>
      <c r="O16" s="66">
        <f t="shared" si="5"/>
        <v>451000</v>
      </c>
      <c r="P16" s="53">
        <f t="shared" si="2"/>
        <v>11.342339469430007</v>
      </c>
      <c r="Q16" s="53">
        <v>11.415990334630267</v>
      </c>
      <c r="R16" s="56">
        <v>0</v>
      </c>
      <c r="S16" s="56">
        <v>11.415990334630267</v>
      </c>
      <c r="T16" s="53">
        <v>11.415990334630267</v>
      </c>
      <c r="U16" s="56">
        <v>0</v>
      </c>
      <c r="V16" s="56">
        <v>11.415990334630267</v>
      </c>
      <c r="W16" s="56">
        <v>11.415990334630267</v>
      </c>
      <c r="X16" s="136">
        <f t="shared" si="6"/>
        <v>79.764630612011345</v>
      </c>
      <c r="Y16" s="47">
        <v>2</v>
      </c>
      <c r="Z16" s="57" t="s">
        <v>264</v>
      </c>
      <c r="AA16" s="119"/>
    </row>
    <row r="17" spans="2:27" ht="25.5" x14ac:dyDescent="0.25">
      <c r="B17" s="531"/>
      <c r="C17" s="2" t="s">
        <v>210</v>
      </c>
      <c r="D17" s="3" t="s">
        <v>63</v>
      </c>
      <c r="E17" s="54">
        <v>520</v>
      </c>
      <c r="F17" s="12">
        <v>1100</v>
      </c>
      <c r="G17" s="12">
        <f t="shared" si="7"/>
        <v>572000</v>
      </c>
      <c r="H17" s="53">
        <f t="shared" si="0"/>
        <v>14.385406156350253</v>
      </c>
      <c r="I17" s="65"/>
      <c r="J17" s="66"/>
      <c r="K17" s="66"/>
      <c r="L17" s="53">
        <f t="shared" si="1"/>
        <v>0</v>
      </c>
      <c r="M17" s="65">
        <f t="shared" si="3"/>
        <v>520</v>
      </c>
      <c r="N17" s="66">
        <f t="shared" si="4"/>
        <v>1100</v>
      </c>
      <c r="O17" s="66">
        <f t="shared" si="5"/>
        <v>572000</v>
      </c>
      <c r="P17" s="53">
        <f t="shared" si="2"/>
        <v>14.385406156350253</v>
      </c>
      <c r="Q17" s="53">
        <v>14.478817009774975</v>
      </c>
      <c r="R17" s="56">
        <v>0</v>
      </c>
      <c r="S17" s="56">
        <v>14.478817009774975</v>
      </c>
      <c r="T17" s="53">
        <v>14.478817009774975</v>
      </c>
      <c r="U17" s="56">
        <v>0</v>
      </c>
      <c r="V17" s="56">
        <v>14.478817009774975</v>
      </c>
      <c r="W17" s="56">
        <v>14.478817009774975</v>
      </c>
      <c r="X17" s="136">
        <f t="shared" si="6"/>
        <v>101.16489736157537</v>
      </c>
      <c r="Y17" s="47">
        <v>2</v>
      </c>
      <c r="Z17" s="57" t="s">
        <v>264</v>
      </c>
      <c r="AA17" s="119"/>
    </row>
    <row r="18" spans="2:27" ht="89.25" customHeight="1" x14ac:dyDescent="0.25">
      <c r="B18" s="531"/>
      <c r="C18" s="2" t="s">
        <v>68</v>
      </c>
      <c r="D18" s="3" t="s">
        <v>69</v>
      </c>
      <c r="E18" s="55">
        <v>1</v>
      </c>
      <c r="F18" s="13">
        <v>8766000</v>
      </c>
      <c r="G18" s="13">
        <f t="shared" si="7"/>
        <v>8766000</v>
      </c>
      <c r="H18" s="53">
        <f t="shared" si="0"/>
        <v>220.45886427721385</v>
      </c>
      <c r="I18" s="65">
        <f t="shared" ref="I18:K20" si="9">+E18</f>
        <v>1</v>
      </c>
      <c r="J18" s="66">
        <f t="shared" si="9"/>
        <v>8766000</v>
      </c>
      <c r="K18" s="66">
        <f t="shared" si="9"/>
        <v>8766000</v>
      </c>
      <c r="L18" s="53">
        <f t="shared" si="1"/>
        <v>220.45886427721385</v>
      </c>
      <c r="M18" s="65">
        <f t="shared" si="3"/>
        <v>1</v>
      </c>
      <c r="N18" s="66">
        <f t="shared" si="4"/>
        <v>8766000</v>
      </c>
      <c r="O18" s="66">
        <f t="shared" si="5"/>
        <v>8766000</v>
      </c>
      <c r="P18" s="53">
        <f t="shared" si="2"/>
        <v>220.45886427721385</v>
      </c>
      <c r="Q18" s="53">
        <v>221.89040193651647</v>
      </c>
      <c r="R18" s="56">
        <v>221.89040193651647</v>
      </c>
      <c r="S18" s="56">
        <v>221.89040193651647</v>
      </c>
      <c r="T18" s="53">
        <v>221.89040193651647</v>
      </c>
      <c r="U18" s="56">
        <v>221.89040193651647</v>
      </c>
      <c r="V18" s="56">
        <v>221.89040193651647</v>
      </c>
      <c r="W18" s="56">
        <v>221.89040193651647</v>
      </c>
      <c r="X18" s="136">
        <f t="shared" si="6"/>
        <v>2214.6094063872565</v>
      </c>
      <c r="Y18" s="47">
        <v>1</v>
      </c>
      <c r="Z18" s="57" t="s">
        <v>264</v>
      </c>
      <c r="AA18" s="119"/>
    </row>
    <row r="19" spans="2:27" ht="64.5" thickBot="1" x14ac:dyDescent="0.3">
      <c r="B19" s="532"/>
      <c r="C19" s="6" t="s">
        <v>206</v>
      </c>
      <c r="D19" s="36" t="s">
        <v>72</v>
      </c>
      <c r="E19" s="85">
        <v>1</v>
      </c>
      <c r="F19" s="26">
        <v>250000</v>
      </c>
      <c r="G19" s="26">
        <f t="shared" si="7"/>
        <v>250000</v>
      </c>
      <c r="H19" s="86">
        <f t="shared" si="0"/>
        <v>6.2873278655376978</v>
      </c>
      <c r="I19" s="87">
        <f t="shared" si="9"/>
        <v>1</v>
      </c>
      <c r="J19" s="69">
        <f t="shared" si="9"/>
        <v>250000</v>
      </c>
      <c r="K19" s="69">
        <f t="shared" si="9"/>
        <v>250000</v>
      </c>
      <c r="L19" s="86">
        <f t="shared" si="1"/>
        <v>6.2873278655376978</v>
      </c>
      <c r="M19" s="87">
        <f t="shared" si="3"/>
        <v>1</v>
      </c>
      <c r="N19" s="69">
        <f t="shared" si="4"/>
        <v>250000</v>
      </c>
      <c r="O19" s="69">
        <f t="shared" si="5"/>
        <v>250000</v>
      </c>
      <c r="P19" s="86">
        <f t="shared" si="2"/>
        <v>6.2873278655376978</v>
      </c>
      <c r="Q19" s="86">
        <v>6.3281542874890624</v>
      </c>
      <c r="R19" s="88">
        <v>6.3281542874890624</v>
      </c>
      <c r="S19" s="88">
        <v>6.3281542874890624</v>
      </c>
      <c r="T19" s="86">
        <v>6.3281542874890624</v>
      </c>
      <c r="U19" s="88">
        <v>6.3281542874890624</v>
      </c>
      <c r="V19" s="88">
        <v>6.3281542874890624</v>
      </c>
      <c r="W19" s="88">
        <v>6.3281542874890624</v>
      </c>
      <c r="X19" s="136">
        <f t="shared" si="6"/>
        <v>63.159063609036536</v>
      </c>
      <c r="Y19" s="48">
        <v>1</v>
      </c>
      <c r="Z19" s="92" t="s">
        <v>264</v>
      </c>
      <c r="AA19" s="145"/>
    </row>
    <row r="20" spans="2:27" ht="60" x14ac:dyDescent="0.25">
      <c r="B20" s="533" t="s">
        <v>5</v>
      </c>
      <c r="C20" s="20" t="s">
        <v>28</v>
      </c>
      <c r="D20" s="32" t="s">
        <v>62</v>
      </c>
      <c r="E20" s="83">
        <v>823</v>
      </c>
      <c r="F20" s="10">
        <v>800</v>
      </c>
      <c r="G20" s="10">
        <f t="shared" si="7"/>
        <v>658400</v>
      </c>
      <c r="H20" s="75">
        <f t="shared" si="0"/>
        <v>16.558306666680082</v>
      </c>
      <c r="I20" s="76">
        <f t="shared" si="9"/>
        <v>823</v>
      </c>
      <c r="J20" s="67">
        <f t="shared" si="9"/>
        <v>800</v>
      </c>
      <c r="K20" s="67">
        <f t="shared" si="9"/>
        <v>658400</v>
      </c>
      <c r="L20" s="75">
        <f t="shared" si="1"/>
        <v>16.558306666680082</v>
      </c>
      <c r="M20" s="76">
        <f t="shared" si="3"/>
        <v>823</v>
      </c>
      <c r="N20" s="67">
        <f t="shared" si="4"/>
        <v>800</v>
      </c>
      <c r="O20" s="67">
        <f t="shared" si="5"/>
        <v>658400</v>
      </c>
      <c r="P20" s="75">
        <f t="shared" si="2"/>
        <v>16.558306666680082</v>
      </c>
      <c r="Q20" s="75">
        <v>16.665827131531195</v>
      </c>
      <c r="R20" s="75">
        <v>16.665827131531195</v>
      </c>
      <c r="S20" s="75">
        <v>16.665827131531195</v>
      </c>
      <c r="T20" s="75">
        <v>16.665827131531195</v>
      </c>
      <c r="U20" s="75">
        <v>16.665827131531195</v>
      </c>
      <c r="V20" s="75">
        <v>16.665827131531195</v>
      </c>
      <c r="W20" s="75">
        <v>16.665827131531195</v>
      </c>
      <c r="X20" s="136">
        <f t="shared" si="6"/>
        <v>166.33570992075857</v>
      </c>
      <c r="Y20" s="49">
        <v>1</v>
      </c>
      <c r="Z20" s="95" t="s">
        <v>262</v>
      </c>
      <c r="AA20" s="120" t="s">
        <v>269</v>
      </c>
    </row>
    <row r="21" spans="2:27" ht="75" x14ac:dyDescent="0.25">
      <c r="B21" s="531"/>
      <c r="C21" s="2" t="s">
        <v>214</v>
      </c>
      <c r="D21" s="3" t="s">
        <v>64</v>
      </c>
      <c r="E21" s="52">
        <v>1950</v>
      </c>
      <c r="F21" s="9">
        <v>29347.055974290299</v>
      </c>
      <c r="G21" s="9">
        <f>F21*E21</f>
        <v>57226759.149866082</v>
      </c>
      <c r="H21" s="53">
        <f t="shared" si="0"/>
        <v>1439.2135898294698</v>
      </c>
      <c r="I21" s="65"/>
      <c r="J21" s="66"/>
      <c r="K21" s="66"/>
      <c r="L21" s="53">
        <f t="shared" si="1"/>
        <v>0</v>
      </c>
      <c r="M21" s="65"/>
      <c r="N21" s="66"/>
      <c r="O21" s="66"/>
      <c r="P21" s="53">
        <f t="shared" si="2"/>
        <v>0</v>
      </c>
      <c r="Q21" s="53">
        <v>1448.5590450933159</v>
      </c>
      <c r="R21" s="53">
        <v>0</v>
      </c>
      <c r="S21" s="53">
        <v>0</v>
      </c>
      <c r="T21" s="53">
        <v>1448.5590450933159</v>
      </c>
      <c r="U21" s="53">
        <v>0</v>
      </c>
      <c r="V21" s="53">
        <v>0</v>
      </c>
      <c r="W21" s="53">
        <v>1448.5590450933159</v>
      </c>
      <c r="X21" s="136">
        <f t="shared" si="6"/>
        <v>5784.8907251094179</v>
      </c>
      <c r="Y21" s="47">
        <v>3</v>
      </c>
      <c r="Z21" s="57" t="s">
        <v>261</v>
      </c>
      <c r="AA21" s="119" t="s">
        <v>270</v>
      </c>
    </row>
    <row r="22" spans="2:27" ht="38.25" x14ac:dyDescent="0.25">
      <c r="B22" s="531"/>
      <c r="C22" s="2" t="s">
        <v>212</v>
      </c>
      <c r="D22" s="3" t="s">
        <v>182</v>
      </c>
      <c r="E22" s="52">
        <v>12</v>
      </c>
      <c r="F22" s="9">
        <v>120000</v>
      </c>
      <c r="G22" s="9">
        <f>F22*E22</f>
        <v>1440000</v>
      </c>
      <c r="H22" s="53">
        <f t="shared" si="0"/>
        <v>36.215008505497138</v>
      </c>
      <c r="I22" s="65">
        <f t="shared" ref="I22:K23" si="10">+E22</f>
        <v>12</v>
      </c>
      <c r="J22" s="66">
        <f t="shared" si="10"/>
        <v>120000</v>
      </c>
      <c r="K22" s="66">
        <f t="shared" si="10"/>
        <v>1440000</v>
      </c>
      <c r="L22" s="53">
        <f t="shared" si="1"/>
        <v>36.215008505497138</v>
      </c>
      <c r="M22" s="65">
        <f t="shared" ref="M22:M38" si="11">+E22</f>
        <v>12</v>
      </c>
      <c r="N22" s="66">
        <f t="shared" ref="N22:N38" si="12">+F22</f>
        <v>120000</v>
      </c>
      <c r="O22" s="66">
        <f t="shared" ref="O22:O38" si="13">+G22</f>
        <v>1440000</v>
      </c>
      <c r="P22" s="53">
        <f t="shared" si="2"/>
        <v>36.215008505497138</v>
      </c>
      <c r="Q22" s="53">
        <v>36.450168695936995</v>
      </c>
      <c r="R22" s="53">
        <v>36.450168695936995</v>
      </c>
      <c r="S22" s="53">
        <v>36.450168695936995</v>
      </c>
      <c r="T22" s="53">
        <v>36.450168695936995</v>
      </c>
      <c r="U22" s="53">
        <v>36.450168695936995</v>
      </c>
      <c r="V22" s="53">
        <v>36.450168695936995</v>
      </c>
      <c r="W22" s="53">
        <v>36.450168695936995</v>
      </c>
      <c r="X22" s="136">
        <f t="shared" si="6"/>
        <v>363.79620638805045</v>
      </c>
      <c r="Y22" s="47">
        <v>1</v>
      </c>
      <c r="Z22" s="57" t="s">
        <v>264</v>
      </c>
      <c r="AA22" s="119"/>
    </row>
    <row r="23" spans="2:27" ht="63.75" x14ac:dyDescent="0.25">
      <c r="B23" s="531"/>
      <c r="C23" s="2" t="s">
        <v>238</v>
      </c>
      <c r="D23" s="3" t="s">
        <v>183</v>
      </c>
      <c r="E23" s="52">
        <v>1</v>
      </c>
      <c r="F23" s="1">
        <v>10247351.159853145</v>
      </c>
      <c r="G23" s="9">
        <f>F23*E23</f>
        <v>10247351.159853145</v>
      </c>
      <c r="H23" s="53">
        <f t="shared" si="0"/>
        <v>257.7138259811789</v>
      </c>
      <c r="I23" s="65">
        <f t="shared" si="10"/>
        <v>1</v>
      </c>
      <c r="J23" s="66">
        <f t="shared" si="10"/>
        <v>10247351.159853145</v>
      </c>
      <c r="K23" s="66">
        <f t="shared" si="10"/>
        <v>10247351.159853145</v>
      </c>
      <c r="L23" s="53">
        <f t="shared" si="1"/>
        <v>257.7138259811789</v>
      </c>
      <c r="M23" s="65">
        <f t="shared" si="11"/>
        <v>1</v>
      </c>
      <c r="N23" s="66">
        <f t="shared" si="12"/>
        <v>10247351.159853145</v>
      </c>
      <c r="O23" s="66">
        <f t="shared" si="13"/>
        <v>10247351.159853145</v>
      </c>
      <c r="P23" s="53">
        <f t="shared" si="2"/>
        <v>257.7138259811789</v>
      </c>
      <c r="Q23" s="53">
        <v>259.38727671052277</v>
      </c>
      <c r="R23" s="53">
        <v>259.38727671052277</v>
      </c>
      <c r="S23" s="53">
        <v>259.38727671052277</v>
      </c>
      <c r="T23" s="53">
        <v>259.38727671052277</v>
      </c>
      <c r="U23" s="53">
        <v>259.38727671052277</v>
      </c>
      <c r="V23" s="53">
        <v>259.38727671052277</v>
      </c>
      <c r="W23" s="53">
        <v>259.38727671052277</v>
      </c>
      <c r="X23" s="136">
        <f t="shared" si="6"/>
        <v>2588.8524149171953</v>
      </c>
      <c r="Y23" s="47">
        <v>1</v>
      </c>
      <c r="Z23" s="57" t="s">
        <v>264</v>
      </c>
      <c r="AA23" s="119"/>
    </row>
    <row r="24" spans="2:27" ht="38.25" x14ac:dyDescent="0.25">
      <c r="B24" s="531"/>
      <c r="C24" s="2" t="s">
        <v>31</v>
      </c>
      <c r="D24" s="3" t="s">
        <v>64</v>
      </c>
      <c r="E24" s="52">
        <v>1200</v>
      </c>
      <c r="F24" s="11">
        <v>4200</v>
      </c>
      <c r="G24" s="11">
        <f t="shared" ref="G24:G38" si="14">+F24*E24</f>
        <v>5040000</v>
      </c>
      <c r="H24" s="53">
        <f t="shared" si="0"/>
        <v>126.75252976923998</v>
      </c>
      <c r="I24" s="65"/>
      <c r="J24" s="66"/>
      <c r="K24" s="66"/>
      <c r="L24" s="53">
        <f t="shared" si="1"/>
        <v>0</v>
      </c>
      <c r="M24" s="65">
        <f t="shared" si="11"/>
        <v>1200</v>
      </c>
      <c r="N24" s="66">
        <f t="shared" si="12"/>
        <v>4200</v>
      </c>
      <c r="O24" s="66">
        <f t="shared" si="13"/>
        <v>5040000</v>
      </c>
      <c r="P24" s="53">
        <f t="shared" si="2"/>
        <v>126.75252976923998</v>
      </c>
      <c r="Q24" s="53">
        <v>127.57559043577949</v>
      </c>
      <c r="R24" s="53">
        <v>0</v>
      </c>
      <c r="S24" s="53">
        <v>127.57559043577949</v>
      </c>
      <c r="T24" s="53">
        <v>127.57559043577949</v>
      </c>
      <c r="U24" s="53">
        <v>0</v>
      </c>
      <c r="V24" s="53">
        <v>127.57559043577949</v>
      </c>
      <c r="W24" s="53">
        <v>127.57559043577949</v>
      </c>
      <c r="X24" s="136">
        <f t="shared" si="6"/>
        <v>891.38301171737749</v>
      </c>
      <c r="Y24" s="47">
        <v>2</v>
      </c>
      <c r="Z24" s="57" t="s">
        <v>264</v>
      </c>
      <c r="AA24" s="119"/>
    </row>
    <row r="25" spans="2:27" ht="38.25" x14ac:dyDescent="0.25">
      <c r="B25" s="531"/>
      <c r="C25" s="2" t="s">
        <v>32</v>
      </c>
      <c r="D25" s="3" t="s">
        <v>64</v>
      </c>
      <c r="E25" s="52">
        <v>7000</v>
      </c>
      <c r="F25" s="11">
        <v>4200</v>
      </c>
      <c r="G25" s="11">
        <f t="shared" si="14"/>
        <v>29400000</v>
      </c>
      <c r="H25" s="53">
        <f t="shared" si="0"/>
        <v>739.38975698723323</v>
      </c>
      <c r="I25" s="65">
        <f t="shared" ref="I25:K27" si="15">+E25</f>
        <v>7000</v>
      </c>
      <c r="J25" s="66">
        <f t="shared" si="15"/>
        <v>4200</v>
      </c>
      <c r="K25" s="66">
        <f t="shared" si="15"/>
        <v>29400000</v>
      </c>
      <c r="L25" s="53">
        <f t="shared" si="1"/>
        <v>739.38975698723323</v>
      </c>
      <c r="M25" s="65">
        <f t="shared" si="11"/>
        <v>7000</v>
      </c>
      <c r="N25" s="66">
        <f t="shared" si="12"/>
        <v>4200</v>
      </c>
      <c r="O25" s="66">
        <f t="shared" si="13"/>
        <v>29400000</v>
      </c>
      <c r="P25" s="53">
        <f t="shared" si="2"/>
        <v>739.38975698723323</v>
      </c>
      <c r="Q25" s="53">
        <v>744.19094420871374</v>
      </c>
      <c r="R25" s="53">
        <v>744.19094420871374</v>
      </c>
      <c r="S25" s="53">
        <v>744.19094420871374</v>
      </c>
      <c r="T25" s="53">
        <v>744.19094420871374</v>
      </c>
      <c r="U25" s="53">
        <v>744.19094420871374</v>
      </c>
      <c r="V25" s="53">
        <v>744.19094420871374</v>
      </c>
      <c r="W25" s="53">
        <v>744.19094420871374</v>
      </c>
      <c r="X25" s="136">
        <f t="shared" si="6"/>
        <v>7427.5058804226946</v>
      </c>
      <c r="Y25" s="47">
        <v>1</v>
      </c>
      <c r="Z25" s="57" t="s">
        <v>264</v>
      </c>
      <c r="AA25" s="119"/>
    </row>
    <row r="26" spans="2:27" ht="52.5" customHeight="1" x14ac:dyDescent="0.25">
      <c r="B26" s="531"/>
      <c r="C26" s="2" t="s">
        <v>204</v>
      </c>
      <c r="D26" s="3" t="s">
        <v>202</v>
      </c>
      <c r="E26" s="52">
        <v>1</v>
      </c>
      <c r="F26" s="11">
        <v>680000</v>
      </c>
      <c r="G26" s="11">
        <f t="shared" si="14"/>
        <v>680000</v>
      </c>
      <c r="H26" s="53">
        <f t="shared" si="0"/>
        <v>17.101531794262538</v>
      </c>
      <c r="I26" s="65">
        <f t="shared" si="15"/>
        <v>1</v>
      </c>
      <c r="J26" s="66">
        <f t="shared" si="15"/>
        <v>680000</v>
      </c>
      <c r="K26" s="66">
        <f t="shared" si="15"/>
        <v>680000</v>
      </c>
      <c r="L26" s="53">
        <f t="shared" si="1"/>
        <v>17.101531794262538</v>
      </c>
      <c r="M26" s="65">
        <f t="shared" si="11"/>
        <v>1</v>
      </c>
      <c r="N26" s="66">
        <f t="shared" si="12"/>
        <v>680000</v>
      </c>
      <c r="O26" s="66">
        <f t="shared" si="13"/>
        <v>680000</v>
      </c>
      <c r="P26" s="53">
        <f t="shared" si="2"/>
        <v>17.101531794262538</v>
      </c>
      <c r="Q26" s="53">
        <v>17.212579661970249</v>
      </c>
      <c r="R26" s="53">
        <v>17.212579661970249</v>
      </c>
      <c r="S26" s="53">
        <v>17.212579661970249</v>
      </c>
      <c r="T26" s="53">
        <v>17.212579661970249</v>
      </c>
      <c r="U26" s="53">
        <v>17.212579661970249</v>
      </c>
      <c r="V26" s="53">
        <v>17.212579661970249</v>
      </c>
      <c r="W26" s="53">
        <v>17.212579661970249</v>
      </c>
      <c r="X26" s="136">
        <f t="shared" si="6"/>
        <v>171.79265301657935</v>
      </c>
      <c r="Y26" s="47">
        <v>1</v>
      </c>
      <c r="Z26" s="57" t="s">
        <v>264</v>
      </c>
      <c r="AA26" s="119"/>
    </row>
    <row r="27" spans="2:27" ht="25.5" x14ac:dyDescent="0.25">
      <c r="B27" s="531"/>
      <c r="C27" s="2" t="s">
        <v>33</v>
      </c>
      <c r="D27" s="8" t="s">
        <v>187</v>
      </c>
      <c r="E27" s="54">
        <f>188*4</f>
        <v>752</v>
      </c>
      <c r="F27" s="12">
        <v>500</v>
      </c>
      <c r="G27" s="12">
        <f t="shared" si="14"/>
        <v>376000</v>
      </c>
      <c r="H27" s="53">
        <f t="shared" si="0"/>
        <v>9.4561411097686978</v>
      </c>
      <c r="I27" s="65">
        <f t="shared" si="15"/>
        <v>752</v>
      </c>
      <c r="J27" s="66">
        <f t="shared" si="15"/>
        <v>500</v>
      </c>
      <c r="K27" s="66">
        <f t="shared" si="15"/>
        <v>376000</v>
      </c>
      <c r="L27" s="53">
        <f t="shared" si="1"/>
        <v>9.4561411097686978</v>
      </c>
      <c r="M27" s="65">
        <f t="shared" si="11"/>
        <v>752</v>
      </c>
      <c r="N27" s="66">
        <f t="shared" si="12"/>
        <v>500</v>
      </c>
      <c r="O27" s="66">
        <f t="shared" si="13"/>
        <v>376000</v>
      </c>
      <c r="P27" s="53">
        <f t="shared" si="2"/>
        <v>9.4561411097686978</v>
      </c>
      <c r="Q27" s="53">
        <v>9.5175440483835487</v>
      </c>
      <c r="R27" s="56">
        <v>9.5175440483835487</v>
      </c>
      <c r="S27" s="56">
        <v>9.5175440483835487</v>
      </c>
      <c r="T27" s="53">
        <v>9.5175440483835487</v>
      </c>
      <c r="U27" s="56">
        <v>9.5175440483835487</v>
      </c>
      <c r="V27" s="56">
        <v>9.5175440483835487</v>
      </c>
      <c r="W27" s="56">
        <v>9.5175440483835487</v>
      </c>
      <c r="X27" s="136">
        <f t="shared" si="6"/>
        <v>94.991231667990917</v>
      </c>
      <c r="Y27" s="47">
        <v>1</v>
      </c>
      <c r="Z27" s="57" t="s">
        <v>264</v>
      </c>
      <c r="AA27" s="119"/>
    </row>
    <row r="28" spans="2:27" ht="38.25" x14ac:dyDescent="0.25">
      <c r="B28" s="531"/>
      <c r="C28" s="2" t="s">
        <v>34</v>
      </c>
      <c r="D28" s="8" t="s">
        <v>66</v>
      </c>
      <c r="E28" s="54">
        <f>556*4</f>
        <v>2224</v>
      </c>
      <c r="F28" s="12">
        <v>10000</v>
      </c>
      <c r="G28" s="13">
        <f t="shared" si="14"/>
        <v>22240000</v>
      </c>
      <c r="H28" s="53">
        <f t="shared" si="0"/>
        <v>559.3206869182336</v>
      </c>
      <c r="I28" s="65"/>
      <c r="J28" s="66"/>
      <c r="K28" s="66"/>
      <c r="L28" s="53">
        <f t="shared" si="1"/>
        <v>0</v>
      </c>
      <c r="M28" s="65">
        <f t="shared" si="11"/>
        <v>2224</v>
      </c>
      <c r="N28" s="66">
        <f t="shared" si="12"/>
        <v>10000</v>
      </c>
      <c r="O28" s="66">
        <f t="shared" si="13"/>
        <v>22240000</v>
      </c>
      <c r="P28" s="53">
        <f t="shared" si="2"/>
        <v>559.3206869182336</v>
      </c>
      <c r="Q28" s="53">
        <v>562.95260541502694</v>
      </c>
      <c r="R28" s="56">
        <v>0</v>
      </c>
      <c r="S28" s="56">
        <v>562.95260541502694</v>
      </c>
      <c r="T28" s="53">
        <v>562.95260541502694</v>
      </c>
      <c r="U28" s="56">
        <v>0</v>
      </c>
      <c r="V28" s="56">
        <v>562.95260541502694</v>
      </c>
      <c r="W28" s="56">
        <v>562.95260541502694</v>
      </c>
      <c r="X28" s="136">
        <f t="shared" si="6"/>
        <v>3933.4044009116019</v>
      </c>
      <c r="Y28" s="47">
        <v>2</v>
      </c>
      <c r="Z28" s="57" t="s">
        <v>264</v>
      </c>
      <c r="AA28" s="119"/>
    </row>
    <row r="29" spans="2:27" ht="38.25" x14ac:dyDescent="0.25">
      <c r="B29" s="531"/>
      <c r="C29" s="2" t="s">
        <v>35</v>
      </c>
      <c r="D29" s="3" t="s">
        <v>70</v>
      </c>
      <c r="E29" s="54">
        <v>1750</v>
      </c>
      <c r="F29" s="12">
        <v>1100</v>
      </c>
      <c r="G29" s="11">
        <f t="shared" si="14"/>
        <v>1925000</v>
      </c>
      <c r="H29" s="53">
        <f t="shared" si="0"/>
        <v>48.412424564640276</v>
      </c>
      <c r="I29" s="65"/>
      <c r="J29" s="66"/>
      <c r="K29" s="66"/>
      <c r="L29" s="53">
        <f t="shared" si="1"/>
        <v>0</v>
      </c>
      <c r="M29" s="65">
        <f t="shared" si="11"/>
        <v>1750</v>
      </c>
      <c r="N29" s="66">
        <f t="shared" si="12"/>
        <v>1100</v>
      </c>
      <c r="O29" s="66">
        <f t="shared" si="13"/>
        <v>1925000</v>
      </c>
      <c r="P29" s="53">
        <f t="shared" si="2"/>
        <v>48.412424564640276</v>
      </c>
      <c r="Q29" s="53">
        <v>48.726788013665775</v>
      </c>
      <c r="R29" s="53">
        <v>0</v>
      </c>
      <c r="S29" s="53">
        <v>48.726788013665775</v>
      </c>
      <c r="T29" s="53">
        <v>48.726788013665775</v>
      </c>
      <c r="U29" s="53">
        <v>0</v>
      </c>
      <c r="V29" s="53">
        <v>48.726788013665775</v>
      </c>
      <c r="W29" s="53">
        <v>48.726788013665775</v>
      </c>
      <c r="X29" s="136">
        <f t="shared" si="6"/>
        <v>340.45878919760946</v>
      </c>
      <c r="Y29" s="47">
        <v>2</v>
      </c>
      <c r="Z29" s="57" t="s">
        <v>264</v>
      </c>
      <c r="AA29" s="119"/>
    </row>
    <row r="30" spans="2:27" ht="38.25" x14ac:dyDescent="0.25">
      <c r="B30" s="531"/>
      <c r="C30" s="2" t="s">
        <v>237</v>
      </c>
      <c r="D30" s="3" t="s">
        <v>70</v>
      </c>
      <c r="E30" s="54">
        <v>3500</v>
      </c>
      <c r="F30" s="12">
        <v>1100</v>
      </c>
      <c r="G30" s="11">
        <f t="shared" si="14"/>
        <v>3850000</v>
      </c>
      <c r="H30" s="53">
        <f t="shared" si="0"/>
        <v>96.824849129280551</v>
      </c>
      <c r="I30" s="65">
        <f t="shared" ref="I30:K32" si="16">+E30</f>
        <v>3500</v>
      </c>
      <c r="J30" s="66">
        <f t="shared" si="16"/>
        <v>1100</v>
      </c>
      <c r="K30" s="66">
        <f t="shared" si="16"/>
        <v>3850000</v>
      </c>
      <c r="L30" s="53">
        <f t="shared" si="1"/>
        <v>96.824849129280551</v>
      </c>
      <c r="M30" s="65">
        <f t="shared" si="11"/>
        <v>3500</v>
      </c>
      <c r="N30" s="66">
        <f t="shared" si="12"/>
        <v>1100</v>
      </c>
      <c r="O30" s="66">
        <f t="shared" si="13"/>
        <v>3850000</v>
      </c>
      <c r="P30" s="53">
        <f t="shared" si="2"/>
        <v>96.824849129280551</v>
      </c>
      <c r="Q30" s="53">
        <v>97.45357602733155</v>
      </c>
      <c r="R30" s="53">
        <v>97.45357602733155</v>
      </c>
      <c r="S30" s="53">
        <v>97.45357602733155</v>
      </c>
      <c r="T30" s="53">
        <v>97.45357602733155</v>
      </c>
      <c r="U30" s="53">
        <v>97.45357602733155</v>
      </c>
      <c r="V30" s="53">
        <v>97.45357602733155</v>
      </c>
      <c r="W30" s="53">
        <v>97.45357602733155</v>
      </c>
      <c r="X30" s="136">
        <f t="shared" si="6"/>
        <v>972.64957957916261</v>
      </c>
      <c r="Y30" s="47">
        <v>1</v>
      </c>
      <c r="Z30" s="57" t="s">
        <v>264</v>
      </c>
      <c r="AA30" s="119"/>
    </row>
    <row r="31" spans="2:27" ht="63.75" x14ac:dyDescent="0.25">
      <c r="B31" s="531"/>
      <c r="C31" s="2" t="s">
        <v>206</v>
      </c>
      <c r="D31" s="8" t="s">
        <v>72</v>
      </c>
      <c r="E31" s="54">
        <v>1</v>
      </c>
      <c r="F31" s="13">
        <v>850000</v>
      </c>
      <c r="G31" s="13">
        <f t="shared" si="14"/>
        <v>850000</v>
      </c>
      <c r="H31" s="53">
        <f t="shared" si="0"/>
        <v>21.376914742828173</v>
      </c>
      <c r="I31" s="65">
        <f t="shared" si="16"/>
        <v>1</v>
      </c>
      <c r="J31" s="66">
        <f t="shared" si="16"/>
        <v>850000</v>
      </c>
      <c r="K31" s="66">
        <f t="shared" si="16"/>
        <v>850000</v>
      </c>
      <c r="L31" s="53">
        <f t="shared" si="1"/>
        <v>21.376914742828173</v>
      </c>
      <c r="M31" s="65">
        <f t="shared" si="11"/>
        <v>1</v>
      </c>
      <c r="N31" s="66">
        <f t="shared" si="12"/>
        <v>850000</v>
      </c>
      <c r="O31" s="66">
        <f t="shared" si="13"/>
        <v>850000</v>
      </c>
      <c r="P31" s="53">
        <f t="shared" si="2"/>
        <v>21.376914742828173</v>
      </c>
      <c r="Q31" s="53">
        <v>21.515724577462812</v>
      </c>
      <c r="R31" s="56">
        <v>21.515724577462812</v>
      </c>
      <c r="S31" s="56">
        <v>21.515724577462812</v>
      </c>
      <c r="T31" s="53">
        <v>21.515724577462812</v>
      </c>
      <c r="U31" s="56">
        <v>21.515724577462812</v>
      </c>
      <c r="V31" s="56">
        <v>21.515724577462812</v>
      </c>
      <c r="W31" s="56">
        <v>21.515724577462812</v>
      </c>
      <c r="X31" s="136">
        <f t="shared" si="6"/>
        <v>214.74081627072417</v>
      </c>
      <c r="Y31" s="47">
        <v>1</v>
      </c>
      <c r="Z31" s="57" t="s">
        <v>264</v>
      </c>
      <c r="AA31" s="119"/>
    </row>
    <row r="32" spans="2:27" ht="38.25" x14ac:dyDescent="0.25">
      <c r="B32" s="531"/>
      <c r="C32" s="2" t="s">
        <v>36</v>
      </c>
      <c r="D32" s="3" t="s">
        <v>70</v>
      </c>
      <c r="E32" s="54">
        <v>4200</v>
      </c>
      <c r="F32" s="12">
        <v>1100</v>
      </c>
      <c r="G32" s="11">
        <f t="shared" si="14"/>
        <v>4620000</v>
      </c>
      <c r="H32" s="53">
        <f t="shared" si="0"/>
        <v>116.18981895513666</v>
      </c>
      <c r="I32" s="65">
        <f t="shared" si="16"/>
        <v>4200</v>
      </c>
      <c r="J32" s="66">
        <f t="shared" si="16"/>
        <v>1100</v>
      </c>
      <c r="K32" s="66">
        <f t="shared" si="16"/>
        <v>4620000</v>
      </c>
      <c r="L32" s="53">
        <f t="shared" si="1"/>
        <v>116.18981895513666</v>
      </c>
      <c r="M32" s="65">
        <f t="shared" si="11"/>
        <v>4200</v>
      </c>
      <c r="N32" s="66">
        <f t="shared" si="12"/>
        <v>1100</v>
      </c>
      <c r="O32" s="66">
        <f t="shared" si="13"/>
        <v>4620000</v>
      </c>
      <c r="P32" s="53">
        <f t="shared" si="2"/>
        <v>116.18981895513666</v>
      </c>
      <c r="Q32" s="53">
        <v>116.94429123279787</v>
      </c>
      <c r="R32" s="53">
        <v>116.94429123279787</v>
      </c>
      <c r="S32" s="53">
        <v>116.94429123279787</v>
      </c>
      <c r="T32" s="53">
        <v>116.94429123279787</v>
      </c>
      <c r="U32" s="53">
        <v>116.94429123279787</v>
      </c>
      <c r="V32" s="53">
        <v>116.94429123279787</v>
      </c>
      <c r="W32" s="53">
        <v>116.94429123279787</v>
      </c>
      <c r="X32" s="136">
        <f t="shared" si="6"/>
        <v>1167.1794954949953</v>
      </c>
      <c r="Y32" s="47">
        <v>1</v>
      </c>
      <c r="Z32" s="57" t="s">
        <v>264</v>
      </c>
      <c r="AA32" s="119"/>
    </row>
    <row r="33" spans="2:27" ht="38.25" x14ac:dyDescent="0.25">
      <c r="B33" s="531"/>
      <c r="C33" s="2" t="s">
        <v>37</v>
      </c>
      <c r="D33" s="3" t="s">
        <v>70</v>
      </c>
      <c r="E33" s="57">
        <v>3500</v>
      </c>
      <c r="F33" s="12">
        <v>1100</v>
      </c>
      <c r="G33" s="13">
        <f t="shared" si="14"/>
        <v>3850000</v>
      </c>
      <c r="H33" s="53">
        <f t="shared" si="0"/>
        <v>96.824849129280551</v>
      </c>
      <c r="I33" s="65"/>
      <c r="J33" s="66"/>
      <c r="K33" s="66"/>
      <c r="L33" s="53">
        <f t="shared" si="1"/>
        <v>0</v>
      </c>
      <c r="M33" s="65">
        <f t="shared" si="11"/>
        <v>3500</v>
      </c>
      <c r="N33" s="66">
        <f t="shared" si="12"/>
        <v>1100</v>
      </c>
      <c r="O33" s="66">
        <f t="shared" si="13"/>
        <v>3850000</v>
      </c>
      <c r="P33" s="53">
        <f t="shared" si="2"/>
        <v>96.824849129280551</v>
      </c>
      <c r="Q33" s="53">
        <v>97.45357602733155</v>
      </c>
      <c r="R33" s="56">
        <v>0</v>
      </c>
      <c r="S33" s="56">
        <v>97.45357602733155</v>
      </c>
      <c r="T33" s="53">
        <v>97.45357602733155</v>
      </c>
      <c r="U33" s="56">
        <v>0</v>
      </c>
      <c r="V33" s="56">
        <v>97.45357602733155</v>
      </c>
      <c r="W33" s="56">
        <v>97.45357602733155</v>
      </c>
      <c r="X33" s="136">
        <f t="shared" si="6"/>
        <v>680.91757839521892</v>
      </c>
      <c r="Y33" s="47">
        <v>2</v>
      </c>
      <c r="Z33" s="57" t="s">
        <v>264</v>
      </c>
      <c r="AA33" s="119"/>
    </row>
    <row r="34" spans="2:27" ht="76.5" x14ac:dyDescent="0.25">
      <c r="B34" s="531"/>
      <c r="C34" s="2" t="s">
        <v>68</v>
      </c>
      <c r="D34" s="3" t="s">
        <v>69</v>
      </c>
      <c r="E34" s="55">
        <v>1</v>
      </c>
      <c r="F34" s="13">
        <v>8766000</v>
      </c>
      <c r="G34" s="13">
        <f t="shared" si="14"/>
        <v>8766000</v>
      </c>
      <c r="H34" s="53">
        <f t="shared" si="0"/>
        <v>220.45886427721385</v>
      </c>
      <c r="I34" s="65">
        <f t="shared" ref="I34:K36" si="17">+E34</f>
        <v>1</v>
      </c>
      <c r="J34" s="66">
        <f t="shared" si="17"/>
        <v>8766000</v>
      </c>
      <c r="K34" s="66">
        <f t="shared" si="17"/>
        <v>8766000</v>
      </c>
      <c r="L34" s="53">
        <f t="shared" si="1"/>
        <v>220.45886427721385</v>
      </c>
      <c r="M34" s="65">
        <f t="shared" si="11"/>
        <v>1</v>
      </c>
      <c r="N34" s="66">
        <f t="shared" si="12"/>
        <v>8766000</v>
      </c>
      <c r="O34" s="66">
        <f t="shared" si="13"/>
        <v>8766000</v>
      </c>
      <c r="P34" s="53">
        <f t="shared" si="2"/>
        <v>220.45886427721385</v>
      </c>
      <c r="Q34" s="53">
        <v>221.89040193651647</v>
      </c>
      <c r="R34" s="56">
        <v>221.89040193651647</v>
      </c>
      <c r="S34" s="56">
        <v>221.89040193651647</v>
      </c>
      <c r="T34" s="53">
        <v>221.89040193651647</v>
      </c>
      <c r="U34" s="56">
        <v>221.89040193651647</v>
      </c>
      <c r="V34" s="56">
        <v>221.89040193651647</v>
      </c>
      <c r="W34" s="56">
        <v>221.89040193651647</v>
      </c>
      <c r="X34" s="136">
        <f t="shared" si="6"/>
        <v>2214.6094063872565</v>
      </c>
      <c r="Y34" s="47">
        <v>1</v>
      </c>
      <c r="Z34" s="57" t="s">
        <v>264</v>
      </c>
      <c r="AA34" s="119"/>
    </row>
    <row r="35" spans="2:27" ht="38.25" x14ac:dyDescent="0.25">
      <c r="B35" s="531"/>
      <c r="C35" s="2" t="s">
        <v>38</v>
      </c>
      <c r="D35" s="3" t="s">
        <v>73</v>
      </c>
      <c r="E35" s="57">
        <v>60</v>
      </c>
      <c r="F35" s="5">
        <v>1100</v>
      </c>
      <c r="G35" s="5">
        <f t="shared" si="14"/>
        <v>66000</v>
      </c>
      <c r="H35" s="53">
        <f t="shared" si="0"/>
        <v>1.6598545565019522</v>
      </c>
      <c r="I35" s="65">
        <f t="shared" si="17"/>
        <v>60</v>
      </c>
      <c r="J35" s="66">
        <f t="shared" si="17"/>
        <v>1100</v>
      </c>
      <c r="K35" s="66">
        <f t="shared" si="17"/>
        <v>66000</v>
      </c>
      <c r="L35" s="53">
        <f t="shared" si="1"/>
        <v>1.6598545565019522</v>
      </c>
      <c r="M35" s="65">
        <f t="shared" si="11"/>
        <v>60</v>
      </c>
      <c r="N35" s="66">
        <f t="shared" si="12"/>
        <v>1100</v>
      </c>
      <c r="O35" s="66">
        <f t="shared" si="13"/>
        <v>66000</v>
      </c>
      <c r="P35" s="53">
        <f t="shared" si="2"/>
        <v>1.6598545565019522</v>
      </c>
      <c r="Q35" s="53">
        <v>1.6706327318971124</v>
      </c>
      <c r="R35" s="89">
        <v>1.6706327318971124</v>
      </c>
      <c r="S35" s="89">
        <v>1.6706327318971124</v>
      </c>
      <c r="T35" s="53">
        <v>1.6706327318971124</v>
      </c>
      <c r="U35" s="89">
        <v>1.6706327318971124</v>
      </c>
      <c r="V35" s="89">
        <v>1.6706327318971124</v>
      </c>
      <c r="W35" s="89">
        <v>1.6706327318971124</v>
      </c>
      <c r="X35" s="136">
        <f t="shared" si="6"/>
        <v>16.673992792785647</v>
      </c>
      <c r="Y35" s="47">
        <v>1</v>
      </c>
      <c r="Z35" s="57" t="s">
        <v>264</v>
      </c>
      <c r="AA35" s="119"/>
    </row>
    <row r="36" spans="2:27" ht="38.25" x14ac:dyDescent="0.25">
      <c r="B36" s="531"/>
      <c r="C36" s="2" t="s">
        <v>39</v>
      </c>
      <c r="D36" s="3" t="s">
        <v>70</v>
      </c>
      <c r="E36" s="57">
        <v>880</v>
      </c>
      <c r="F36" s="5">
        <v>1100</v>
      </c>
      <c r="G36" s="5">
        <f t="shared" si="14"/>
        <v>968000</v>
      </c>
      <c r="H36" s="53">
        <f t="shared" si="0"/>
        <v>24.344533495361965</v>
      </c>
      <c r="I36" s="65">
        <f t="shared" si="17"/>
        <v>880</v>
      </c>
      <c r="J36" s="66">
        <f t="shared" si="17"/>
        <v>1100</v>
      </c>
      <c r="K36" s="66">
        <f t="shared" si="17"/>
        <v>968000</v>
      </c>
      <c r="L36" s="53">
        <f t="shared" si="1"/>
        <v>24.344533495361965</v>
      </c>
      <c r="M36" s="65">
        <f t="shared" si="11"/>
        <v>880</v>
      </c>
      <c r="N36" s="66">
        <f t="shared" si="12"/>
        <v>1100</v>
      </c>
      <c r="O36" s="66">
        <f t="shared" si="13"/>
        <v>968000</v>
      </c>
      <c r="P36" s="53">
        <f t="shared" si="2"/>
        <v>24.344533495361965</v>
      </c>
      <c r="Q36" s="53">
        <v>24.50261340115765</v>
      </c>
      <c r="R36" s="89">
        <v>24.50261340115765</v>
      </c>
      <c r="S36" s="89">
        <v>24.50261340115765</v>
      </c>
      <c r="T36" s="53">
        <v>24.50261340115765</v>
      </c>
      <c r="U36" s="89">
        <v>24.50261340115765</v>
      </c>
      <c r="V36" s="89">
        <v>24.50261340115765</v>
      </c>
      <c r="W36" s="89">
        <v>24.50261340115765</v>
      </c>
      <c r="X36" s="136">
        <f t="shared" si="6"/>
        <v>244.55189429418942</v>
      </c>
      <c r="Y36" s="47">
        <v>1</v>
      </c>
      <c r="Z36" s="57" t="s">
        <v>264</v>
      </c>
      <c r="AA36" s="119"/>
    </row>
    <row r="37" spans="2:27" ht="39" thickBot="1" x14ac:dyDescent="0.3">
      <c r="B37" s="532"/>
      <c r="C37" s="6" t="s">
        <v>40</v>
      </c>
      <c r="D37" s="34" t="s">
        <v>70</v>
      </c>
      <c r="E37" s="92">
        <v>3200</v>
      </c>
      <c r="F37" s="58">
        <v>1100</v>
      </c>
      <c r="G37" s="58">
        <f t="shared" si="14"/>
        <v>3520000</v>
      </c>
      <c r="H37" s="86">
        <f t="shared" si="0"/>
        <v>88.525576346770791</v>
      </c>
      <c r="I37" s="87"/>
      <c r="J37" s="69"/>
      <c r="K37" s="69"/>
      <c r="L37" s="86">
        <f t="shared" si="1"/>
        <v>0</v>
      </c>
      <c r="M37" s="87">
        <f t="shared" si="11"/>
        <v>3200</v>
      </c>
      <c r="N37" s="69">
        <f t="shared" si="12"/>
        <v>1100</v>
      </c>
      <c r="O37" s="69">
        <f t="shared" si="13"/>
        <v>3520000</v>
      </c>
      <c r="P37" s="86">
        <f t="shared" si="2"/>
        <v>88.525576346770791</v>
      </c>
      <c r="Q37" s="86">
        <v>89.100412367845991</v>
      </c>
      <c r="R37" s="93">
        <v>0</v>
      </c>
      <c r="S37" s="93">
        <v>89.100412367845991</v>
      </c>
      <c r="T37" s="86">
        <v>89.100412367845991</v>
      </c>
      <c r="U37" s="93">
        <v>0</v>
      </c>
      <c r="V37" s="93">
        <v>89.100412367845991</v>
      </c>
      <c r="W37" s="93">
        <v>89.100412367845991</v>
      </c>
      <c r="X37" s="137">
        <f t="shared" si="6"/>
        <v>622.55321453277156</v>
      </c>
      <c r="Y37" s="48">
        <v>2</v>
      </c>
      <c r="Z37" s="92" t="s">
        <v>264</v>
      </c>
      <c r="AA37" s="145"/>
    </row>
    <row r="38" spans="2:27" ht="60" x14ac:dyDescent="0.25">
      <c r="B38" s="533" t="s">
        <v>6</v>
      </c>
      <c r="C38" s="20" t="s">
        <v>28</v>
      </c>
      <c r="D38" s="32" t="s">
        <v>62</v>
      </c>
      <c r="E38" s="83">
        <v>823</v>
      </c>
      <c r="F38" s="10">
        <v>800</v>
      </c>
      <c r="G38" s="10">
        <f t="shared" si="14"/>
        <v>658400</v>
      </c>
      <c r="H38" s="75">
        <f t="shared" si="0"/>
        <v>16.558306666680082</v>
      </c>
      <c r="I38" s="76">
        <f>+E38</f>
        <v>823</v>
      </c>
      <c r="J38" s="67">
        <f>+F38</f>
        <v>800</v>
      </c>
      <c r="K38" s="67">
        <f>+G38</f>
        <v>658400</v>
      </c>
      <c r="L38" s="75">
        <f t="shared" si="1"/>
        <v>16.558306666680082</v>
      </c>
      <c r="M38" s="76">
        <f t="shared" si="11"/>
        <v>823</v>
      </c>
      <c r="N38" s="67">
        <f t="shared" si="12"/>
        <v>800</v>
      </c>
      <c r="O38" s="67">
        <f t="shared" si="13"/>
        <v>658400</v>
      </c>
      <c r="P38" s="75">
        <f t="shared" si="2"/>
        <v>16.558306666680082</v>
      </c>
      <c r="Q38" s="75">
        <v>16.665827131531195</v>
      </c>
      <c r="R38" s="75">
        <v>16.665827131531195</v>
      </c>
      <c r="S38" s="75">
        <v>16.665827131531195</v>
      </c>
      <c r="T38" s="75">
        <v>16.665827131531195</v>
      </c>
      <c r="U38" s="75">
        <v>16.665827131531195</v>
      </c>
      <c r="V38" s="75">
        <v>16.665827131531195</v>
      </c>
      <c r="W38" s="75">
        <v>16.665827131531195</v>
      </c>
      <c r="X38" s="138">
        <f t="shared" si="6"/>
        <v>166.33570992075857</v>
      </c>
      <c r="Y38" s="49">
        <v>1</v>
      </c>
      <c r="Z38" s="95" t="s">
        <v>262</v>
      </c>
      <c r="AA38" s="120" t="s">
        <v>269</v>
      </c>
    </row>
    <row r="39" spans="2:27" ht="75" x14ac:dyDescent="0.25">
      <c r="B39" s="531"/>
      <c r="C39" s="2" t="s">
        <v>214</v>
      </c>
      <c r="D39" s="3" t="s">
        <v>211</v>
      </c>
      <c r="E39" s="52">
        <v>1950</v>
      </c>
      <c r="F39" s="9">
        <v>29347.055974290299</v>
      </c>
      <c r="G39" s="9">
        <f>F39*E39</f>
        <v>57226759.149866082</v>
      </c>
      <c r="H39" s="53">
        <f t="shared" si="0"/>
        <v>1439.2135898294698</v>
      </c>
      <c r="I39" s="65"/>
      <c r="J39" s="66"/>
      <c r="K39" s="66"/>
      <c r="L39" s="53">
        <f t="shared" si="1"/>
        <v>0</v>
      </c>
      <c r="M39" s="65"/>
      <c r="N39" s="66"/>
      <c r="O39" s="66"/>
      <c r="P39" s="53">
        <f t="shared" si="2"/>
        <v>0</v>
      </c>
      <c r="Q39" s="53">
        <v>1448.5590450933159</v>
      </c>
      <c r="R39" s="53">
        <v>0</v>
      </c>
      <c r="S39" s="53">
        <v>0</v>
      </c>
      <c r="T39" s="53">
        <v>1448.5590450933159</v>
      </c>
      <c r="U39" s="53">
        <v>0</v>
      </c>
      <c r="V39" s="53">
        <v>0</v>
      </c>
      <c r="W39" s="53">
        <v>1448.5590450933159</v>
      </c>
      <c r="X39" s="136">
        <f t="shared" si="6"/>
        <v>5784.8907251094179</v>
      </c>
      <c r="Y39" s="47">
        <v>3</v>
      </c>
      <c r="Z39" s="57" t="s">
        <v>261</v>
      </c>
      <c r="AA39" s="119" t="s">
        <v>270</v>
      </c>
    </row>
    <row r="40" spans="2:27" ht="38.25" x14ac:dyDescent="0.25">
      <c r="B40" s="531"/>
      <c r="C40" s="2" t="s">
        <v>212</v>
      </c>
      <c r="D40" s="3" t="s">
        <v>182</v>
      </c>
      <c r="E40" s="52">
        <v>12</v>
      </c>
      <c r="F40" s="9">
        <v>120000</v>
      </c>
      <c r="G40" s="9">
        <f>F40*E40</f>
        <v>1440000</v>
      </c>
      <c r="H40" s="53">
        <f t="shared" si="0"/>
        <v>36.215008505497138</v>
      </c>
      <c r="I40" s="65">
        <f t="shared" ref="I40:K43" si="18">+E40</f>
        <v>12</v>
      </c>
      <c r="J40" s="66">
        <f t="shared" si="18"/>
        <v>120000</v>
      </c>
      <c r="K40" s="66">
        <f t="shared" si="18"/>
        <v>1440000</v>
      </c>
      <c r="L40" s="53">
        <f t="shared" si="1"/>
        <v>36.215008505497138</v>
      </c>
      <c r="M40" s="65">
        <f t="shared" ref="M40:M56" si="19">+E40</f>
        <v>12</v>
      </c>
      <c r="N40" s="66">
        <f t="shared" ref="N40:N56" si="20">+F40</f>
        <v>120000</v>
      </c>
      <c r="O40" s="66">
        <f t="shared" ref="O40:O56" si="21">+G40</f>
        <v>1440000</v>
      </c>
      <c r="P40" s="53">
        <f t="shared" si="2"/>
        <v>36.215008505497138</v>
      </c>
      <c r="Q40" s="53">
        <v>36.450168695936995</v>
      </c>
      <c r="R40" s="53">
        <v>36.450168695936995</v>
      </c>
      <c r="S40" s="53">
        <v>36.450168695936995</v>
      </c>
      <c r="T40" s="53">
        <v>36.450168695936995</v>
      </c>
      <c r="U40" s="53">
        <v>36.450168695936995</v>
      </c>
      <c r="V40" s="53">
        <v>36.450168695936995</v>
      </c>
      <c r="W40" s="53">
        <v>36.450168695936995</v>
      </c>
      <c r="X40" s="136">
        <f t="shared" si="6"/>
        <v>363.79620638805045</v>
      </c>
      <c r="Y40" s="47">
        <v>1</v>
      </c>
      <c r="Z40" s="57" t="s">
        <v>264</v>
      </c>
      <c r="AA40" s="119"/>
    </row>
    <row r="41" spans="2:27" ht="76.5" x14ac:dyDescent="0.25">
      <c r="B41" s="531"/>
      <c r="C41" s="2" t="s">
        <v>68</v>
      </c>
      <c r="D41" s="3" t="s">
        <v>78</v>
      </c>
      <c r="E41" s="55">
        <v>1</v>
      </c>
      <c r="F41" s="13">
        <v>10200000</v>
      </c>
      <c r="G41" s="13">
        <f t="shared" ref="G41:G56" si="22">+F41*E41</f>
        <v>10200000</v>
      </c>
      <c r="H41" s="53">
        <f t="shared" si="0"/>
        <v>256.52297691393807</v>
      </c>
      <c r="I41" s="65">
        <f t="shared" si="18"/>
        <v>1</v>
      </c>
      <c r="J41" s="66">
        <f t="shared" si="18"/>
        <v>10200000</v>
      </c>
      <c r="K41" s="66">
        <f t="shared" si="18"/>
        <v>10200000</v>
      </c>
      <c r="L41" s="53">
        <f t="shared" si="1"/>
        <v>256.52297691393807</v>
      </c>
      <c r="M41" s="65">
        <f t="shared" si="19"/>
        <v>1</v>
      </c>
      <c r="N41" s="66">
        <f t="shared" si="20"/>
        <v>10200000</v>
      </c>
      <c r="O41" s="66">
        <f t="shared" si="21"/>
        <v>10200000</v>
      </c>
      <c r="P41" s="53">
        <f t="shared" si="2"/>
        <v>256.52297691393807</v>
      </c>
      <c r="Q41" s="53">
        <v>258.18869492955372</v>
      </c>
      <c r="R41" s="56">
        <v>258.18869492955372</v>
      </c>
      <c r="S41" s="56">
        <v>258.18869492955372</v>
      </c>
      <c r="T41" s="53">
        <v>258.18869492955372</v>
      </c>
      <c r="U41" s="56">
        <v>258.18869492955372</v>
      </c>
      <c r="V41" s="56">
        <v>258.18869492955372</v>
      </c>
      <c r="W41" s="56">
        <v>258.18869492955372</v>
      </c>
      <c r="X41" s="136">
        <f t="shared" si="6"/>
        <v>2576.88979524869</v>
      </c>
      <c r="Y41" s="47">
        <v>1</v>
      </c>
      <c r="Z41" s="57" t="s">
        <v>264</v>
      </c>
      <c r="AA41" s="119"/>
    </row>
    <row r="42" spans="2:27" ht="52.5" customHeight="1" x14ac:dyDescent="0.25">
      <c r="B42" s="531"/>
      <c r="C42" s="2" t="s">
        <v>205</v>
      </c>
      <c r="D42" s="3" t="s">
        <v>202</v>
      </c>
      <c r="E42" s="52">
        <v>1</v>
      </c>
      <c r="F42" s="11">
        <v>680000</v>
      </c>
      <c r="G42" s="11">
        <f t="shared" si="22"/>
        <v>680000</v>
      </c>
      <c r="H42" s="53">
        <f t="shared" si="0"/>
        <v>17.101531794262538</v>
      </c>
      <c r="I42" s="65">
        <f t="shared" si="18"/>
        <v>1</v>
      </c>
      <c r="J42" s="66">
        <f t="shared" si="18"/>
        <v>680000</v>
      </c>
      <c r="K42" s="66">
        <f t="shared" si="18"/>
        <v>680000</v>
      </c>
      <c r="L42" s="53">
        <f t="shared" si="1"/>
        <v>17.101531794262538</v>
      </c>
      <c r="M42" s="65">
        <f t="shared" si="19"/>
        <v>1</v>
      </c>
      <c r="N42" s="66">
        <f t="shared" si="20"/>
        <v>680000</v>
      </c>
      <c r="O42" s="66">
        <f t="shared" si="21"/>
        <v>680000</v>
      </c>
      <c r="P42" s="53">
        <f t="shared" si="2"/>
        <v>17.101531794262538</v>
      </c>
      <c r="Q42" s="53">
        <v>17.212579661970249</v>
      </c>
      <c r="R42" s="53">
        <v>17.212579661970249</v>
      </c>
      <c r="S42" s="53">
        <v>17.212579661970249</v>
      </c>
      <c r="T42" s="53">
        <v>17.212579661970249</v>
      </c>
      <c r="U42" s="53">
        <v>17.212579661970249</v>
      </c>
      <c r="V42" s="53">
        <v>17.212579661970249</v>
      </c>
      <c r="W42" s="53">
        <v>17.212579661970249</v>
      </c>
      <c r="X42" s="136">
        <f t="shared" si="6"/>
        <v>171.79265301657935</v>
      </c>
      <c r="Y42" s="47">
        <v>1</v>
      </c>
      <c r="Z42" s="57" t="s">
        <v>264</v>
      </c>
      <c r="AA42" s="119"/>
    </row>
    <row r="43" spans="2:27" ht="51" x14ac:dyDescent="0.25">
      <c r="B43" s="531"/>
      <c r="C43" s="2" t="s">
        <v>206</v>
      </c>
      <c r="D43" s="8" t="s">
        <v>79</v>
      </c>
      <c r="E43" s="54">
        <v>1</v>
      </c>
      <c r="F43" s="13">
        <v>850000</v>
      </c>
      <c r="G43" s="13">
        <f t="shared" si="22"/>
        <v>850000</v>
      </c>
      <c r="H43" s="53">
        <f t="shared" si="0"/>
        <v>21.376914742828173</v>
      </c>
      <c r="I43" s="65">
        <f t="shared" si="18"/>
        <v>1</v>
      </c>
      <c r="J43" s="66">
        <f t="shared" si="18"/>
        <v>850000</v>
      </c>
      <c r="K43" s="66">
        <f t="shared" si="18"/>
        <v>850000</v>
      </c>
      <c r="L43" s="53">
        <f t="shared" si="1"/>
        <v>21.376914742828173</v>
      </c>
      <c r="M43" s="65">
        <f t="shared" si="19"/>
        <v>1</v>
      </c>
      <c r="N43" s="66">
        <f t="shared" si="20"/>
        <v>850000</v>
      </c>
      <c r="O43" s="66">
        <f t="shared" si="21"/>
        <v>850000</v>
      </c>
      <c r="P43" s="53">
        <f t="shared" si="2"/>
        <v>21.376914742828173</v>
      </c>
      <c r="Q43" s="53">
        <v>21.515724577462812</v>
      </c>
      <c r="R43" s="56">
        <v>21.515724577462812</v>
      </c>
      <c r="S43" s="56">
        <v>21.515724577462812</v>
      </c>
      <c r="T43" s="53">
        <v>21.515724577462812</v>
      </c>
      <c r="U43" s="56">
        <v>21.515724577462812</v>
      </c>
      <c r="V43" s="56">
        <v>21.515724577462812</v>
      </c>
      <c r="W43" s="56">
        <v>21.515724577462812</v>
      </c>
      <c r="X43" s="136">
        <f t="shared" si="6"/>
        <v>214.74081627072417</v>
      </c>
      <c r="Y43" s="47">
        <v>1</v>
      </c>
      <c r="Z43" s="57" t="s">
        <v>264</v>
      </c>
      <c r="AA43" s="119"/>
    </row>
    <row r="44" spans="2:27" ht="38.25" x14ac:dyDescent="0.25">
      <c r="B44" s="531"/>
      <c r="C44" s="2" t="s">
        <v>41</v>
      </c>
      <c r="D44" s="3" t="s">
        <v>84</v>
      </c>
      <c r="E44" s="54">
        <v>2200</v>
      </c>
      <c r="F44" s="12">
        <v>1100</v>
      </c>
      <c r="G44" s="13">
        <f t="shared" si="22"/>
        <v>2420000</v>
      </c>
      <c r="H44" s="53">
        <f t="shared" si="0"/>
        <v>60.861333738404916</v>
      </c>
      <c r="I44" s="65"/>
      <c r="J44" s="66"/>
      <c r="K44" s="66"/>
      <c r="L44" s="53">
        <f t="shared" si="1"/>
        <v>0</v>
      </c>
      <c r="M44" s="65">
        <f t="shared" si="19"/>
        <v>2200</v>
      </c>
      <c r="N44" s="66">
        <f t="shared" si="20"/>
        <v>1100</v>
      </c>
      <c r="O44" s="66">
        <f t="shared" si="21"/>
        <v>2420000</v>
      </c>
      <c r="P44" s="53">
        <f t="shared" si="2"/>
        <v>60.861333738404916</v>
      </c>
      <c r="Q44" s="53">
        <v>61.256533502894122</v>
      </c>
      <c r="R44" s="56">
        <v>0</v>
      </c>
      <c r="S44" s="56">
        <v>61.256533502894122</v>
      </c>
      <c r="T44" s="53">
        <v>61.256533502894122</v>
      </c>
      <c r="U44" s="56">
        <v>0</v>
      </c>
      <c r="V44" s="56">
        <v>61.256533502894122</v>
      </c>
      <c r="W44" s="56">
        <v>61.256533502894122</v>
      </c>
      <c r="X44" s="136">
        <f t="shared" si="6"/>
        <v>428.00533499128045</v>
      </c>
      <c r="Y44" s="47">
        <v>2</v>
      </c>
      <c r="Z44" s="57" t="s">
        <v>264</v>
      </c>
      <c r="AA44" s="119"/>
    </row>
    <row r="45" spans="2:27" ht="51" x14ac:dyDescent="0.25">
      <c r="B45" s="531"/>
      <c r="C45" s="2" t="s">
        <v>80</v>
      </c>
      <c r="D45" s="3" t="s">
        <v>81</v>
      </c>
      <c r="E45" s="57">
        <v>300</v>
      </c>
      <c r="F45" s="12">
        <v>1100</v>
      </c>
      <c r="G45" s="13">
        <f t="shared" si="22"/>
        <v>330000</v>
      </c>
      <c r="H45" s="53">
        <f t="shared" si="0"/>
        <v>8.2992727825097603</v>
      </c>
      <c r="I45" s="65">
        <f>+E45</f>
        <v>300</v>
      </c>
      <c r="J45" s="66">
        <f>+F45</f>
        <v>1100</v>
      </c>
      <c r="K45" s="66">
        <f>+G45</f>
        <v>330000</v>
      </c>
      <c r="L45" s="53">
        <f t="shared" si="1"/>
        <v>8.2992727825097603</v>
      </c>
      <c r="M45" s="65">
        <f t="shared" si="19"/>
        <v>300</v>
      </c>
      <c r="N45" s="66">
        <f t="shared" si="20"/>
        <v>1100</v>
      </c>
      <c r="O45" s="66">
        <f t="shared" si="21"/>
        <v>330000</v>
      </c>
      <c r="P45" s="53">
        <f t="shared" si="2"/>
        <v>8.2992727825097603</v>
      </c>
      <c r="Q45" s="53">
        <v>8.3531636594855616</v>
      </c>
      <c r="R45" s="56">
        <v>8.3531636594855616</v>
      </c>
      <c r="S45" s="56">
        <v>8.3531636594855616</v>
      </c>
      <c r="T45" s="53">
        <v>8.3531636594855616</v>
      </c>
      <c r="U45" s="56">
        <v>8.3531636594855616</v>
      </c>
      <c r="V45" s="56">
        <v>8.3531636594855616</v>
      </c>
      <c r="W45" s="56">
        <v>8.3531636594855616</v>
      </c>
      <c r="X45" s="136">
        <f t="shared" si="6"/>
        <v>83.3699639639282</v>
      </c>
      <c r="Y45" s="47">
        <v>1</v>
      </c>
      <c r="Z45" s="57" t="s">
        <v>264</v>
      </c>
      <c r="AA45" s="119"/>
    </row>
    <row r="46" spans="2:27" ht="38.25" x14ac:dyDescent="0.25">
      <c r="B46" s="531"/>
      <c r="C46" s="2" t="s">
        <v>85</v>
      </c>
      <c r="D46" s="3" t="s">
        <v>84</v>
      </c>
      <c r="E46" s="57">
        <v>1700</v>
      </c>
      <c r="F46" s="13">
        <v>1100</v>
      </c>
      <c r="G46" s="13">
        <f t="shared" si="22"/>
        <v>1870000</v>
      </c>
      <c r="H46" s="53">
        <f t="shared" si="0"/>
        <v>47.029212434221982</v>
      </c>
      <c r="I46" s="65"/>
      <c r="J46" s="66"/>
      <c r="K46" s="66"/>
      <c r="L46" s="53">
        <f t="shared" si="1"/>
        <v>0</v>
      </c>
      <c r="M46" s="65">
        <f t="shared" si="19"/>
        <v>1700</v>
      </c>
      <c r="N46" s="66">
        <f t="shared" si="20"/>
        <v>1100</v>
      </c>
      <c r="O46" s="66">
        <f t="shared" si="21"/>
        <v>1870000</v>
      </c>
      <c r="P46" s="53">
        <f t="shared" si="2"/>
        <v>47.029212434221982</v>
      </c>
      <c r="Q46" s="53">
        <v>47.334594070418184</v>
      </c>
      <c r="R46" s="56">
        <v>0</v>
      </c>
      <c r="S46" s="56">
        <v>47.334594070418184</v>
      </c>
      <c r="T46" s="53">
        <v>47.334594070418184</v>
      </c>
      <c r="U46" s="56">
        <v>0</v>
      </c>
      <c r="V46" s="56">
        <v>47.334594070418184</v>
      </c>
      <c r="W46" s="56">
        <v>47.334594070418184</v>
      </c>
      <c r="X46" s="136">
        <f t="shared" si="6"/>
        <v>330.73139522053486</v>
      </c>
      <c r="Y46" s="47">
        <v>2</v>
      </c>
      <c r="Z46" s="57" t="s">
        <v>264</v>
      </c>
      <c r="AA46" s="119"/>
    </row>
    <row r="47" spans="2:27" ht="38.25" x14ac:dyDescent="0.25">
      <c r="B47" s="531"/>
      <c r="C47" s="2" t="s">
        <v>42</v>
      </c>
      <c r="D47" s="3" t="s">
        <v>81</v>
      </c>
      <c r="E47" s="57">
        <v>180</v>
      </c>
      <c r="F47" s="13">
        <v>1100</v>
      </c>
      <c r="G47" s="13">
        <f t="shared" si="22"/>
        <v>198000</v>
      </c>
      <c r="H47" s="53">
        <f t="shared" si="0"/>
        <v>4.9795636695058567</v>
      </c>
      <c r="I47" s="65">
        <f t="shared" ref="I47:K48" si="23">+E47</f>
        <v>180</v>
      </c>
      <c r="J47" s="66">
        <f t="shared" si="23"/>
        <v>1100</v>
      </c>
      <c r="K47" s="66">
        <f t="shared" si="23"/>
        <v>198000</v>
      </c>
      <c r="L47" s="53">
        <f t="shared" si="1"/>
        <v>4.9795636695058567</v>
      </c>
      <c r="M47" s="65">
        <f t="shared" si="19"/>
        <v>180</v>
      </c>
      <c r="N47" s="66">
        <f t="shared" si="20"/>
        <v>1100</v>
      </c>
      <c r="O47" s="66">
        <f t="shared" si="21"/>
        <v>198000</v>
      </c>
      <c r="P47" s="53">
        <f t="shared" si="2"/>
        <v>4.9795636695058567</v>
      </c>
      <c r="Q47" s="53">
        <v>5.0118981956913373</v>
      </c>
      <c r="R47" s="56">
        <v>5.0118981956913373</v>
      </c>
      <c r="S47" s="56">
        <v>5.0118981956913373</v>
      </c>
      <c r="T47" s="53">
        <v>5.0118981956913373</v>
      </c>
      <c r="U47" s="56">
        <v>5.0118981956913373</v>
      </c>
      <c r="V47" s="56">
        <v>5.0118981956913373</v>
      </c>
      <c r="W47" s="56">
        <v>5.0118981956913373</v>
      </c>
      <c r="X47" s="136">
        <f t="shared" si="6"/>
        <v>50.021978378356927</v>
      </c>
      <c r="Y47" s="47">
        <v>1</v>
      </c>
      <c r="Z47" s="57" t="s">
        <v>264</v>
      </c>
      <c r="AA47" s="119"/>
    </row>
    <row r="48" spans="2:27" ht="38.25" x14ac:dyDescent="0.25">
      <c r="B48" s="531"/>
      <c r="C48" s="2" t="s">
        <v>82</v>
      </c>
      <c r="D48" s="3" t="s">
        <v>81</v>
      </c>
      <c r="E48" s="57">
        <v>180</v>
      </c>
      <c r="F48" s="13">
        <v>1100</v>
      </c>
      <c r="G48" s="13">
        <f t="shared" si="22"/>
        <v>198000</v>
      </c>
      <c r="H48" s="53">
        <f t="shared" si="0"/>
        <v>4.9795636695058567</v>
      </c>
      <c r="I48" s="65">
        <f t="shared" si="23"/>
        <v>180</v>
      </c>
      <c r="J48" s="66">
        <f t="shared" si="23"/>
        <v>1100</v>
      </c>
      <c r="K48" s="66">
        <f t="shared" si="23"/>
        <v>198000</v>
      </c>
      <c r="L48" s="53">
        <f t="shared" si="1"/>
        <v>4.9795636695058567</v>
      </c>
      <c r="M48" s="65">
        <f t="shared" si="19"/>
        <v>180</v>
      </c>
      <c r="N48" s="66">
        <f t="shared" si="20"/>
        <v>1100</v>
      </c>
      <c r="O48" s="66">
        <f t="shared" si="21"/>
        <v>198000</v>
      </c>
      <c r="P48" s="53">
        <f t="shared" si="2"/>
        <v>4.9795636695058567</v>
      </c>
      <c r="Q48" s="53">
        <v>5.0118981956913373</v>
      </c>
      <c r="R48" s="56">
        <v>5.0118981956913373</v>
      </c>
      <c r="S48" s="56">
        <v>5.0118981956913373</v>
      </c>
      <c r="T48" s="53">
        <v>5.0118981956913373</v>
      </c>
      <c r="U48" s="56">
        <v>5.0118981956913373</v>
      </c>
      <c r="V48" s="56">
        <v>5.0118981956913373</v>
      </c>
      <c r="W48" s="56">
        <v>5.0118981956913373</v>
      </c>
      <c r="X48" s="136">
        <f t="shared" si="6"/>
        <v>50.021978378356927</v>
      </c>
      <c r="Y48" s="47">
        <v>1</v>
      </c>
      <c r="Z48" s="57" t="s">
        <v>264</v>
      </c>
      <c r="AA48" s="119"/>
    </row>
    <row r="49" spans="2:27" ht="38.25" x14ac:dyDescent="0.25">
      <c r="B49" s="531"/>
      <c r="C49" s="2" t="s">
        <v>83</v>
      </c>
      <c r="D49" s="3" t="s">
        <v>148</v>
      </c>
      <c r="E49" s="57">
        <v>900</v>
      </c>
      <c r="F49" s="13">
        <v>1100</v>
      </c>
      <c r="G49" s="13">
        <f t="shared" si="22"/>
        <v>990000</v>
      </c>
      <c r="H49" s="53">
        <f t="shared" si="0"/>
        <v>24.897818347529284</v>
      </c>
      <c r="I49" s="65"/>
      <c r="J49" s="66"/>
      <c r="K49" s="66"/>
      <c r="L49" s="53">
        <f t="shared" si="1"/>
        <v>0</v>
      </c>
      <c r="M49" s="65">
        <f t="shared" si="19"/>
        <v>900</v>
      </c>
      <c r="N49" s="66">
        <f t="shared" si="20"/>
        <v>1100</v>
      </c>
      <c r="O49" s="66">
        <f t="shared" si="21"/>
        <v>990000</v>
      </c>
      <c r="P49" s="53">
        <f t="shared" si="2"/>
        <v>24.897818347529284</v>
      </c>
      <c r="Q49" s="53">
        <v>25.059490978456687</v>
      </c>
      <c r="R49" s="56">
        <v>0</v>
      </c>
      <c r="S49" s="56">
        <v>25.059490978456687</v>
      </c>
      <c r="T49" s="53">
        <v>25.059490978456687</v>
      </c>
      <c r="U49" s="56">
        <v>0</v>
      </c>
      <c r="V49" s="56">
        <v>25.059490978456687</v>
      </c>
      <c r="W49" s="56">
        <v>25.059490978456687</v>
      </c>
      <c r="X49" s="136">
        <f t="shared" si="6"/>
        <v>175.09309158734203</v>
      </c>
      <c r="Y49" s="47">
        <v>2</v>
      </c>
      <c r="Z49" s="57" t="s">
        <v>264</v>
      </c>
      <c r="AA49" s="119"/>
    </row>
    <row r="50" spans="2:27" ht="38.25" x14ac:dyDescent="0.25">
      <c r="B50" s="531"/>
      <c r="C50" s="2" t="s">
        <v>43</v>
      </c>
      <c r="D50" s="3" t="s">
        <v>148</v>
      </c>
      <c r="E50" s="57">
        <v>800</v>
      </c>
      <c r="F50" s="13">
        <v>1100</v>
      </c>
      <c r="G50" s="13">
        <f t="shared" si="22"/>
        <v>880000</v>
      </c>
      <c r="H50" s="53">
        <f t="shared" si="0"/>
        <v>22.131394086692698</v>
      </c>
      <c r="I50" s="65"/>
      <c r="J50" s="66"/>
      <c r="K50" s="66"/>
      <c r="L50" s="53">
        <f t="shared" si="1"/>
        <v>0</v>
      </c>
      <c r="M50" s="65">
        <f t="shared" si="19"/>
        <v>800</v>
      </c>
      <c r="N50" s="66">
        <f t="shared" si="20"/>
        <v>1100</v>
      </c>
      <c r="O50" s="66">
        <f t="shared" si="21"/>
        <v>880000</v>
      </c>
      <c r="P50" s="53">
        <f t="shared" si="2"/>
        <v>22.131394086692698</v>
      </c>
      <c r="Q50" s="53">
        <v>22.275103091961498</v>
      </c>
      <c r="R50" s="56">
        <v>0</v>
      </c>
      <c r="S50" s="56">
        <v>22.275103091961498</v>
      </c>
      <c r="T50" s="53">
        <v>22.275103091961498</v>
      </c>
      <c r="U50" s="56">
        <v>0</v>
      </c>
      <c r="V50" s="56">
        <v>22.275103091961498</v>
      </c>
      <c r="W50" s="56">
        <v>22.275103091961498</v>
      </c>
      <c r="X50" s="136">
        <f t="shared" si="6"/>
        <v>155.63830363319289</v>
      </c>
      <c r="Y50" s="47">
        <v>2</v>
      </c>
      <c r="Z50" s="57" t="s">
        <v>264</v>
      </c>
      <c r="AA50" s="119"/>
    </row>
    <row r="51" spans="2:27" ht="25.5" x14ac:dyDescent="0.25">
      <c r="B51" s="531"/>
      <c r="C51" s="2" t="s">
        <v>44</v>
      </c>
      <c r="D51" s="3" t="s">
        <v>81</v>
      </c>
      <c r="E51" s="57">
        <v>800</v>
      </c>
      <c r="F51" s="13">
        <v>1100</v>
      </c>
      <c r="G51" s="13">
        <f t="shared" si="22"/>
        <v>880000</v>
      </c>
      <c r="H51" s="53">
        <f t="shared" si="0"/>
        <v>22.131394086692698</v>
      </c>
      <c r="I51" s="65">
        <f>+E51</f>
        <v>800</v>
      </c>
      <c r="J51" s="66">
        <f>+F51</f>
        <v>1100</v>
      </c>
      <c r="K51" s="66">
        <f>+G51</f>
        <v>880000</v>
      </c>
      <c r="L51" s="53">
        <f t="shared" si="1"/>
        <v>22.131394086692698</v>
      </c>
      <c r="M51" s="65">
        <f t="shared" si="19"/>
        <v>800</v>
      </c>
      <c r="N51" s="66">
        <f t="shared" si="20"/>
        <v>1100</v>
      </c>
      <c r="O51" s="66">
        <f t="shared" si="21"/>
        <v>880000</v>
      </c>
      <c r="P51" s="53">
        <f t="shared" si="2"/>
        <v>22.131394086692698</v>
      </c>
      <c r="Q51" s="53">
        <v>22.275103091961498</v>
      </c>
      <c r="R51" s="56">
        <v>22.275103091961498</v>
      </c>
      <c r="S51" s="56">
        <v>22.275103091961498</v>
      </c>
      <c r="T51" s="53">
        <v>22.275103091961498</v>
      </c>
      <c r="U51" s="56">
        <v>22.275103091961498</v>
      </c>
      <c r="V51" s="56">
        <v>22.275103091961498</v>
      </c>
      <c r="W51" s="56">
        <v>22.275103091961498</v>
      </c>
      <c r="X51" s="136">
        <f t="shared" si="6"/>
        <v>222.31990390380861</v>
      </c>
      <c r="Y51" s="47">
        <v>1</v>
      </c>
      <c r="Z51" s="57" t="s">
        <v>264</v>
      </c>
      <c r="AA51" s="119"/>
    </row>
    <row r="52" spans="2:27" ht="38.25" x14ac:dyDescent="0.25">
      <c r="B52" s="531"/>
      <c r="C52" s="2" t="s">
        <v>45</v>
      </c>
      <c r="D52" s="3" t="s">
        <v>148</v>
      </c>
      <c r="E52" s="57">
        <v>1700</v>
      </c>
      <c r="F52" s="13">
        <v>1100</v>
      </c>
      <c r="G52" s="13">
        <f t="shared" si="22"/>
        <v>1870000</v>
      </c>
      <c r="H52" s="53">
        <f t="shared" si="0"/>
        <v>47.029212434221982</v>
      </c>
      <c r="I52" s="65"/>
      <c r="J52" s="66"/>
      <c r="K52" s="66"/>
      <c r="L52" s="53">
        <f t="shared" si="1"/>
        <v>0</v>
      </c>
      <c r="M52" s="65">
        <f t="shared" si="19"/>
        <v>1700</v>
      </c>
      <c r="N52" s="66">
        <f t="shared" si="20"/>
        <v>1100</v>
      </c>
      <c r="O52" s="66">
        <f t="shared" si="21"/>
        <v>1870000</v>
      </c>
      <c r="P52" s="53">
        <f t="shared" si="2"/>
        <v>47.029212434221982</v>
      </c>
      <c r="Q52" s="53">
        <v>47.334594070418184</v>
      </c>
      <c r="R52" s="56">
        <v>0</v>
      </c>
      <c r="S52" s="56">
        <v>47.334594070418184</v>
      </c>
      <c r="T52" s="53">
        <v>47.334594070418184</v>
      </c>
      <c r="U52" s="56">
        <v>0</v>
      </c>
      <c r="V52" s="56">
        <v>47.334594070418184</v>
      </c>
      <c r="W52" s="56">
        <v>47.334594070418184</v>
      </c>
      <c r="X52" s="136">
        <f t="shared" si="6"/>
        <v>330.73139522053486</v>
      </c>
      <c r="Y52" s="47">
        <v>2</v>
      </c>
      <c r="Z52" s="57" t="s">
        <v>264</v>
      </c>
      <c r="AA52" s="119"/>
    </row>
    <row r="53" spans="2:27" ht="38.25" x14ac:dyDescent="0.25">
      <c r="B53" s="531"/>
      <c r="C53" s="2" t="s">
        <v>46</v>
      </c>
      <c r="D53" s="3" t="s">
        <v>81</v>
      </c>
      <c r="E53" s="57">
        <v>1700</v>
      </c>
      <c r="F53" s="13">
        <v>1100</v>
      </c>
      <c r="G53" s="13">
        <f t="shared" si="22"/>
        <v>1870000</v>
      </c>
      <c r="H53" s="53">
        <f t="shared" si="0"/>
        <v>47.029212434221982</v>
      </c>
      <c r="I53" s="65">
        <f>+E53</f>
        <v>1700</v>
      </c>
      <c r="J53" s="66">
        <f>+F53</f>
        <v>1100</v>
      </c>
      <c r="K53" s="66">
        <f>+G53</f>
        <v>1870000</v>
      </c>
      <c r="L53" s="53">
        <f t="shared" si="1"/>
        <v>47.029212434221982</v>
      </c>
      <c r="M53" s="65">
        <f t="shared" si="19"/>
        <v>1700</v>
      </c>
      <c r="N53" s="66">
        <f t="shared" si="20"/>
        <v>1100</v>
      </c>
      <c r="O53" s="66">
        <f t="shared" si="21"/>
        <v>1870000</v>
      </c>
      <c r="P53" s="53">
        <f t="shared" si="2"/>
        <v>47.029212434221982</v>
      </c>
      <c r="Q53" s="53">
        <v>47.334594070418184</v>
      </c>
      <c r="R53" s="56">
        <v>47.334594070418184</v>
      </c>
      <c r="S53" s="56">
        <v>47.334594070418184</v>
      </c>
      <c r="T53" s="53">
        <v>47.334594070418184</v>
      </c>
      <c r="U53" s="56">
        <v>47.334594070418184</v>
      </c>
      <c r="V53" s="56">
        <v>47.334594070418184</v>
      </c>
      <c r="W53" s="56">
        <v>47.334594070418184</v>
      </c>
      <c r="X53" s="136">
        <f t="shared" si="6"/>
        <v>472.42979579559318</v>
      </c>
      <c r="Y53" s="47">
        <v>1</v>
      </c>
      <c r="Z53" s="57" t="s">
        <v>264</v>
      </c>
      <c r="AA53" s="119"/>
    </row>
    <row r="54" spans="2:27" ht="38.25" x14ac:dyDescent="0.25">
      <c r="B54" s="531"/>
      <c r="C54" s="2" t="s">
        <v>47</v>
      </c>
      <c r="D54" s="3" t="s">
        <v>81</v>
      </c>
      <c r="E54" s="57">
        <v>720</v>
      </c>
      <c r="F54" s="5">
        <v>1100</v>
      </c>
      <c r="G54" s="5">
        <f t="shared" si="22"/>
        <v>792000</v>
      </c>
      <c r="H54" s="53">
        <f t="shared" si="0"/>
        <v>19.918254678023427</v>
      </c>
      <c r="I54" s="65"/>
      <c r="J54" s="66"/>
      <c r="K54" s="66"/>
      <c r="L54" s="53">
        <f t="shared" si="1"/>
        <v>0</v>
      </c>
      <c r="M54" s="65">
        <f t="shared" si="19"/>
        <v>720</v>
      </c>
      <c r="N54" s="66">
        <f t="shared" si="20"/>
        <v>1100</v>
      </c>
      <c r="O54" s="66">
        <f t="shared" si="21"/>
        <v>792000</v>
      </c>
      <c r="P54" s="53">
        <f t="shared" si="2"/>
        <v>19.918254678023427</v>
      </c>
      <c r="Q54" s="53">
        <v>20.047592782765349</v>
      </c>
      <c r="R54" s="89">
        <v>0</v>
      </c>
      <c r="S54" s="89">
        <v>20.047592782765349</v>
      </c>
      <c r="T54" s="53">
        <v>20.047592782765349</v>
      </c>
      <c r="U54" s="89">
        <v>0</v>
      </c>
      <c r="V54" s="89">
        <v>20.047592782765349</v>
      </c>
      <c r="W54" s="89">
        <v>20.047592782765349</v>
      </c>
      <c r="X54" s="136">
        <f t="shared" si="6"/>
        <v>140.07447326987361</v>
      </c>
      <c r="Y54" s="47">
        <v>2</v>
      </c>
      <c r="Z54" s="57" t="s">
        <v>264</v>
      </c>
      <c r="AA54" s="119"/>
    </row>
    <row r="55" spans="2:27" ht="39" thickBot="1" x14ac:dyDescent="0.3">
      <c r="B55" s="534"/>
      <c r="C55" s="21" t="s">
        <v>48</v>
      </c>
      <c r="D55" s="23" t="s">
        <v>86</v>
      </c>
      <c r="E55" s="90">
        <v>750</v>
      </c>
      <c r="F55" s="22">
        <v>1100</v>
      </c>
      <c r="G55" s="22">
        <f t="shared" si="22"/>
        <v>825000</v>
      </c>
      <c r="H55" s="77">
        <f t="shared" si="0"/>
        <v>20.748181956274404</v>
      </c>
      <c r="I55" s="78"/>
      <c r="J55" s="68"/>
      <c r="K55" s="68"/>
      <c r="L55" s="77">
        <f t="shared" si="1"/>
        <v>0</v>
      </c>
      <c r="M55" s="78">
        <f t="shared" si="19"/>
        <v>750</v>
      </c>
      <c r="N55" s="68">
        <f t="shared" si="20"/>
        <v>1100</v>
      </c>
      <c r="O55" s="68">
        <f t="shared" si="21"/>
        <v>825000</v>
      </c>
      <c r="P55" s="77">
        <f t="shared" si="2"/>
        <v>20.748181956274404</v>
      </c>
      <c r="Q55" s="77">
        <v>20.882909148713907</v>
      </c>
      <c r="R55" s="91">
        <v>0</v>
      </c>
      <c r="S55" s="91">
        <v>20.882909148713907</v>
      </c>
      <c r="T55" s="77">
        <v>20.882909148713907</v>
      </c>
      <c r="U55" s="91">
        <v>0</v>
      </c>
      <c r="V55" s="91">
        <v>20.882909148713907</v>
      </c>
      <c r="W55" s="91">
        <v>20.882909148713907</v>
      </c>
      <c r="X55" s="139">
        <f t="shared" si="6"/>
        <v>145.91090965611835</v>
      </c>
      <c r="Y55" s="50">
        <v>2</v>
      </c>
      <c r="Z55" s="90" t="s">
        <v>264</v>
      </c>
      <c r="AA55" s="117"/>
    </row>
    <row r="56" spans="2:27" ht="25.5" x14ac:dyDescent="0.25">
      <c r="B56" s="530" t="s">
        <v>7</v>
      </c>
      <c r="C56" s="19" t="s">
        <v>28</v>
      </c>
      <c r="D56" s="31" t="s">
        <v>62</v>
      </c>
      <c r="E56" s="112">
        <v>300</v>
      </c>
      <c r="F56" s="18">
        <v>800</v>
      </c>
      <c r="G56" s="18">
        <f t="shared" si="22"/>
        <v>240000</v>
      </c>
      <c r="H56" s="81">
        <f t="shared" si="0"/>
        <v>6.03583475091619</v>
      </c>
      <c r="I56" s="82">
        <f>+E56</f>
        <v>300</v>
      </c>
      <c r="J56" s="74">
        <f>+F56</f>
        <v>800</v>
      </c>
      <c r="K56" s="74">
        <f>+G56</f>
        <v>240000</v>
      </c>
      <c r="L56" s="81">
        <f t="shared" si="1"/>
        <v>6.03583475091619</v>
      </c>
      <c r="M56" s="82">
        <f t="shared" si="19"/>
        <v>300</v>
      </c>
      <c r="N56" s="74">
        <f t="shared" si="20"/>
        <v>800</v>
      </c>
      <c r="O56" s="74">
        <f t="shared" si="21"/>
        <v>240000</v>
      </c>
      <c r="P56" s="81">
        <f t="shared" si="2"/>
        <v>6.03583475091619</v>
      </c>
      <c r="Q56" s="81">
        <v>6.0750281159894994</v>
      </c>
      <c r="R56" s="81">
        <v>6.0750281159894994</v>
      </c>
      <c r="S56" s="81">
        <v>6.0750281159894994</v>
      </c>
      <c r="T56" s="81">
        <v>6.0750281159894994</v>
      </c>
      <c r="U56" s="81">
        <v>6.0750281159894994</v>
      </c>
      <c r="V56" s="81">
        <v>6.0750281159894994</v>
      </c>
      <c r="W56" s="81">
        <v>6.0750281159894994</v>
      </c>
      <c r="X56" s="135">
        <f t="shared" si="6"/>
        <v>60.632701064675054</v>
      </c>
      <c r="Y56" s="46">
        <v>1</v>
      </c>
      <c r="Z56" s="103" t="s">
        <v>264</v>
      </c>
      <c r="AA56" s="118"/>
    </row>
    <row r="57" spans="2:27" ht="38.25" x14ac:dyDescent="0.25">
      <c r="B57" s="531"/>
      <c r="C57" s="2" t="s">
        <v>214</v>
      </c>
      <c r="D57" s="3" t="s">
        <v>70</v>
      </c>
      <c r="E57" s="52">
        <v>20</v>
      </c>
      <c r="F57" s="9">
        <v>1100</v>
      </c>
      <c r="G57" s="9">
        <f>F57*E57</f>
        <v>22000</v>
      </c>
      <c r="H57" s="53">
        <f t="shared" si="0"/>
        <v>0.55328485216731738</v>
      </c>
      <c r="I57" s="65"/>
      <c r="J57" s="66"/>
      <c r="K57" s="66"/>
      <c r="L57" s="53">
        <f t="shared" si="1"/>
        <v>0</v>
      </c>
      <c r="M57" s="65"/>
      <c r="N57" s="66"/>
      <c r="O57" s="66"/>
      <c r="P57" s="53">
        <f t="shared" si="2"/>
        <v>0</v>
      </c>
      <c r="Q57" s="53">
        <v>0.55687757729903742</v>
      </c>
      <c r="R57" s="53">
        <v>0</v>
      </c>
      <c r="S57" s="53">
        <v>0</v>
      </c>
      <c r="T57" s="53">
        <v>0.55687757729903742</v>
      </c>
      <c r="U57" s="53">
        <v>0</v>
      </c>
      <c r="V57" s="53">
        <v>0</v>
      </c>
      <c r="W57" s="53">
        <v>0.55687757729903742</v>
      </c>
      <c r="X57" s="136">
        <f t="shared" si="6"/>
        <v>2.2239175840644299</v>
      </c>
      <c r="Y57" s="47">
        <v>3</v>
      </c>
      <c r="Z57" s="57" t="s">
        <v>264</v>
      </c>
      <c r="AA57" s="119"/>
    </row>
    <row r="58" spans="2:27" ht="51" x14ac:dyDescent="0.25">
      <c r="B58" s="531"/>
      <c r="C58" s="2" t="s">
        <v>71</v>
      </c>
      <c r="D58" s="8" t="s">
        <v>79</v>
      </c>
      <c r="E58" s="57">
        <v>1</v>
      </c>
      <c r="F58" s="13">
        <v>25000</v>
      </c>
      <c r="G58" s="13">
        <f>+F58*E58</f>
        <v>25000</v>
      </c>
      <c r="H58" s="53">
        <f t="shared" si="0"/>
        <v>0.62873278655376974</v>
      </c>
      <c r="I58" s="65">
        <f>+E58</f>
        <v>1</v>
      </c>
      <c r="J58" s="66">
        <f>+F58</f>
        <v>25000</v>
      </c>
      <c r="K58" s="66">
        <f>+G58</f>
        <v>25000</v>
      </c>
      <c r="L58" s="53">
        <f t="shared" si="1"/>
        <v>0.62873278655376974</v>
      </c>
      <c r="M58" s="65">
        <f t="shared" ref="M58:O62" si="24">+E58</f>
        <v>1</v>
      </c>
      <c r="N58" s="66">
        <f t="shared" si="24"/>
        <v>25000</v>
      </c>
      <c r="O58" s="66">
        <f t="shared" si="24"/>
        <v>25000</v>
      </c>
      <c r="P58" s="53">
        <f t="shared" si="2"/>
        <v>0.62873278655376974</v>
      </c>
      <c r="Q58" s="53">
        <v>0.63281542874890617</v>
      </c>
      <c r="R58" s="56">
        <v>0.63281542874890617</v>
      </c>
      <c r="S58" s="56">
        <v>0.63281542874890617</v>
      </c>
      <c r="T58" s="53">
        <v>0.63281542874890617</v>
      </c>
      <c r="U58" s="56">
        <v>0.63281542874890617</v>
      </c>
      <c r="V58" s="56">
        <v>0.63281542874890617</v>
      </c>
      <c r="W58" s="56">
        <v>0.63281542874890617</v>
      </c>
      <c r="X58" s="136">
        <f t="shared" si="6"/>
        <v>6.3159063609036536</v>
      </c>
      <c r="Y58" s="47">
        <v>1</v>
      </c>
      <c r="Z58" s="57" t="s">
        <v>264</v>
      </c>
      <c r="AA58" s="119"/>
    </row>
    <row r="59" spans="2:27" ht="38.25" x14ac:dyDescent="0.25">
      <c r="B59" s="531"/>
      <c r="C59" s="2" t="s">
        <v>87</v>
      </c>
      <c r="D59" s="3" t="s">
        <v>149</v>
      </c>
      <c r="E59" s="57">
        <v>170</v>
      </c>
      <c r="F59" s="13">
        <v>1100</v>
      </c>
      <c r="G59" s="13">
        <f>+F59*E59</f>
        <v>187000</v>
      </c>
      <c r="H59" s="53">
        <f t="shared" si="0"/>
        <v>4.7029212434221979</v>
      </c>
      <c r="I59" s="65"/>
      <c r="J59" s="66"/>
      <c r="K59" s="66"/>
      <c r="L59" s="53">
        <f t="shared" si="1"/>
        <v>0</v>
      </c>
      <c r="M59" s="65">
        <f t="shared" si="24"/>
        <v>170</v>
      </c>
      <c r="N59" s="66">
        <f t="shared" si="24"/>
        <v>1100</v>
      </c>
      <c r="O59" s="66">
        <f t="shared" si="24"/>
        <v>187000</v>
      </c>
      <c r="P59" s="53">
        <f t="shared" si="2"/>
        <v>4.7029212434221979</v>
      </c>
      <c r="Q59" s="53">
        <v>4.7334594070418188</v>
      </c>
      <c r="R59" s="56">
        <v>0</v>
      </c>
      <c r="S59" s="56">
        <v>4.7334594070418188</v>
      </c>
      <c r="T59" s="53">
        <v>4.7334594070418188</v>
      </c>
      <c r="U59" s="56">
        <v>0</v>
      </c>
      <c r="V59" s="56">
        <v>4.7334594070418188</v>
      </c>
      <c r="W59" s="56">
        <v>4.7334594070418188</v>
      </c>
      <c r="X59" s="136">
        <f t="shared" si="6"/>
        <v>33.073139522053495</v>
      </c>
      <c r="Y59" s="47">
        <v>2</v>
      </c>
      <c r="Z59" s="57" t="s">
        <v>264</v>
      </c>
      <c r="AA59" s="119"/>
    </row>
    <row r="60" spans="2:27" ht="25.5" x14ac:dyDescent="0.25">
      <c r="B60" s="531"/>
      <c r="C60" s="2" t="s">
        <v>49</v>
      </c>
      <c r="D60" s="3" t="s">
        <v>103</v>
      </c>
      <c r="E60" s="57">
        <v>300</v>
      </c>
      <c r="F60" s="13">
        <v>1100</v>
      </c>
      <c r="G60" s="13">
        <f>+F60*E60</f>
        <v>330000</v>
      </c>
      <c r="H60" s="53">
        <f t="shared" si="0"/>
        <v>8.2992727825097603</v>
      </c>
      <c r="I60" s="65">
        <f t="shared" ref="I60:K62" si="25">+E60</f>
        <v>300</v>
      </c>
      <c r="J60" s="66">
        <f t="shared" si="25"/>
        <v>1100</v>
      </c>
      <c r="K60" s="66">
        <f t="shared" si="25"/>
        <v>330000</v>
      </c>
      <c r="L60" s="53">
        <f t="shared" si="1"/>
        <v>8.2992727825097603</v>
      </c>
      <c r="M60" s="65">
        <f t="shared" si="24"/>
        <v>300</v>
      </c>
      <c r="N60" s="66">
        <f t="shared" si="24"/>
        <v>1100</v>
      </c>
      <c r="O60" s="66">
        <f t="shared" si="24"/>
        <v>330000</v>
      </c>
      <c r="P60" s="53">
        <f t="shared" si="2"/>
        <v>8.2992727825097603</v>
      </c>
      <c r="Q60" s="53">
        <v>8.3531636594855616</v>
      </c>
      <c r="R60" s="56">
        <v>8.3531636594855616</v>
      </c>
      <c r="S60" s="56">
        <v>8.3531636594855616</v>
      </c>
      <c r="T60" s="53">
        <v>8.3531636594855616</v>
      </c>
      <c r="U60" s="56">
        <v>8.3531636594855616</v>
      </c>
      <c r="V60" s="56">
        <v>8.3531636594855616</v>
      </c>
      <c r="W60" s="56">
        <v>8.3531636594855616</v>
      </c>
      <c r="X60" s="136">
        <f t="shared" si="6"/>
        <v>83.3699639639282</v>
      </c>
      <c r="Y60" s="47">
        <v>1</v>
      </c>
      <c r="Z60" s="57" t="s">
        <v>264</v>
      </c>
      <c r="AA60" s="119"/>
    </row>
    <row r="61" spans="2:27" ht="15.75" thickBot="1" x14ac:dyDescent="0.3">
      <c r="B61" s="532"/>
      <c r="C61" s="6" t="s">
        <v>50</v>
      </c>
      <c r="D61" s="35" t="s">
        <v>88</v>
      </c>
      <c r="E61" s="92">
        <v>200</v>
      </c>
      <c r="F61" s="26">
        <v>800</v>
      </c>
      <c r="G61" s="26">
        <f>+F61*E61</f>
        <v>160000</v>
      </c>
      <c r="H61" s="86">
        <f t="shared" si="0"/>
        <v>4.0238898339441267</v>
      </c>
      <c r="I61" s="87">
        <f t="shared" si="25"/>
        <v>200</v>
      </c>
      <c r="J61" s="69">
        <f t="shared" si="25"/>
        <v>800</v>
      </c>
      <c r="K61" s="69">
        <f t="shared" si="25"/>
        <v>160000</v>
      </c>
      <c r="L61" s="86">
        <f t="shared" si="1"/>
        <v>4.0238898339441267</v>
      </c>
      <c r="M61" s="87">
        <f t="shared" si="24"/>
        <v>200</v>
      </c>
      <c r="N61" s="69">
        <f t="shared" si="24"/>
        <v>800</v>
      </c>
      <c r="O61" s="69">
        <f t="shared" si="24"/>
        <v>160000</v>
      </c>
      <c r="P61" s="86">
        <f t="shared" si="2"/>
        <v>4.0238898339441267</v>
      </c>
      <c r="Q61" s="86">
        <v>4.0500187439929993</v>
      </c>
      <c r="R61" s="88">
        <v>4.0500187439929993</v>
      </c>
      <c r="S61" s="88">
        <v>4.0500187439929993</v>
      </c>
      <c r="T61" s="86">
        <v>4.0500187439929993</v>
      </c>
      <c r="U61" s="88">
        <v>4.0500187439929993</v>
      </c>
      <c r="V61" s="88">
        <v>4.0500187439929993</v>
      </c>
      <c r="W61" s="88">
        <v>4.0500187439929993</v>
      </c>
      <c r="X61" s="137">
        <f t="shared" si="6"/>
        <v>40.421800709783376</v>
      </c>
      <c r="Y61" s="48">
        <v>1</v>
      </c>
      <c r="Z61" s="92" t="s">
        <v>264</v>
      </c>
      <c r="AA61" s="145"/>
    </row>
    <row r="62" spans="2:27" ht="45" x14ac:dyDescent="0.25">
      <c r="B62" s="533" t="s">
        <v>8</v>
      </c>
      <c r="C62" s="20" t="s">
        <v>150</v>
      </c>
      <c r="D62" s="32" t="s">
        <v>62</v>
      </c>
      <c r="E62" s="83">
        <v>210</v>
      </c>
      <c r="F62" s="10">
        <v>800</v>
      </c>
      <c r="G62" s="10">
        <f>+F62*E62</f>
        <v>168000</v>
      </c>
      <c r="H62" s="75">
        <f t="shared" si="0"/>
        <v>4.2250843256413333</v>
      </c>
      <c r="I62" s="76">
        <f t="shared" si="25"/>
        <v>210</v>
      </c>
      <c r="J62" s="67">
        <f t="shared" si="25"/>
        <v>800</v>
      </c>
      <c r="K62" s="67">
        <f t="shared" si="25"/>
        <v>168000</v>
      </c>
      <c r="L62" s="75">
        <f t="shared" si="1"/>
        <v>4.2250843256413333</v>
      </c>
      <c r="M62" s="76">
        <f t="shared" si="24"/>
        <v>210</v>
      </c>
      <c r="N62" s="67">
        <f t="shared" si="24"/>
        <v>800</v>
      </c>
      <c r="O62" s="67">
        <f t="shared" si="24"/>
        <v>168000</v>
      </c>
      <c r="P62" s="75">
        <f t="shared" si="2"/>
        <v>4.2250843256413333</v>
      </c>
      <c r="Q62" s="75">
        <v>4.2525196811926493</v>
      </c>
      <c r="R62" s="75">
        <v>4.2525196811926493</v>
      </c>
      <c r="S62" s="75">
        <v>4.2525196811926493</v>
      </c>
      <c r="T62" s="75">
        <v>4.2525196811926493</v>
      </c>
      <c r="U62" s="75">
        <v>4.2525196811926493</v>
      </c>
      <c r="V62" s="75">
        <v>4.2525196811926493</v>
      </c>
      <c r="W62" s="75">
        <v>4.2525196811926493</v>
      </c>
      <c r="X62" s="138">
        <f t="shared" si="6"/>
        <v>42.44289074527255</v>
      </c>
      <c r="Y62" s="49">
        <v>1</v>
      </c>
      <c r="Z62" s="95" t="s">
        <v>261</v>
      </c>
      <c r="AA62" s="120" t="s">
        <v>271</v>
      </c>
    </row>
    <row r="63" spans="2:27" ht="25.5" x14ac:dyDescent="0.25">
      <c r="B63" s="531"/>
      <c r="C63" s="2" t="s">
        <v>214</v>
      </c>
      <c r="D63" s="3" t="s">
        <v>89</v>
      </c>
      <c r="E63" s="52">
        <v>112</v>
      </c>
      <c r="F63" s="9">
        <v>1100</v>
      </c>
      <c r="G63" s="9">
        <f>F63*E63</f>
        <v>123200</v>
      </c>
      <c r="H63" s="53">
        <f t="shared" si="0"/>
        <v>3.0983951721369776</v>
      </c>
      <c r="I63" s="65"/>
      <c r="J63" s="66"/>
      <c r="K63" s="66"/>
      <c r="L63" s="53">
        <f t="shared" si="1"/>
        <v>0</v>
      </c>
      <c r="M63" s="65"/>
      <c r="N63" s="66"/>
      <c r="O63" s="66"/>
      <c r="P63" s="53">
        <f t="shared" si="2"/>
        <v>0</v>
      </c>
      <c r="Q63" s="53">
        <v>3.1185144328746097</v>
      </c>
      <c r="R63" s="53">
        <v>0</v>
      </c>
      <c r="S63" s="53">
        <v>0</v>
      </c>
      <c r="T63" s="53">
        <v>3.1185144328746097</v>
      </c>
      <c r="U63" s="53">
        <v>0</v>
      </c>
      <c r="V63" s="53">
        <v>0</v>
      </c>
      <c r="W63" s="53">
        <v>3.1185144328746097</v>
      </c>
      <c r="X63" s="136">
        <f t="shared" si="6"/>
        <v>12.453938470760807</v>
      </c>
      <c r="Y63" s="47">
        <v>3</v>
      </c>
      <c r="Z63" s="57" t="s">
        <v>264</v>
      </c>
      <c r="AA63" s="119"/>
    </row>
    <row r="64" spans="2:27" ht="51" x14ac:dyDescent="0.25">
      <c r="B64" s="531"/>
      <c r="C64" s="2" t="s">
        <v>206</v>
      </c>
      <c r="D64" s="8" t="s">
        <v>79</v>
      </c>
      <c r="E64" s="57">
        <v>1</v>
      </c>
      <c r="F64" s="13">
        <v>300000</v>
      </c>
      <c r="G64" s="13">
        <f t="shared" ref="G64:G95" si="26">+F64*E64</f>
        <v>300000</v>
      </c>
      <c r="H64" s="53">
        <f t="shared" si="0"/>
        <v>7.5447934386452378</v>
      </c>
      <c r="I64" s="65">
        <f>+E64</f>
        <v>1</v>
      </c>
      <c r="J64" s="66">
        <f>+F64</f>
        <v>300000</v>
      </c>
      <c r="K64" s="66">
        <f>+G64</f>
        <v>300000</v>
      </c>
      <c r="L64" s="53">
        <f t="shared" si="1"/>
        <v>7.5447934386452378</v>
      </c>
      <c r="M64" s="65">
        <f t="shared" ref="M64:O70" si="27">+E64</f>
        <v>1</v>
      </c>
      <c r="N64" s="66">
        <f t="shared" si="27"/>
        <v>300000</v>
      </c>
      <c r="O64" s="66">
        <f t="shared" si="27"/>
        <v>300000</v>
      </c>
      <c r="P64" s="53">
        <f t="shared" si="2"/>
        <v>7.5447934386452378</v>
      </c>
      <c r="Q64" s="53">
        <v>7.5937851449868745</v>
      </c>
      <c r="R64" s="56">
        <v>7.5937851449868745</v>
      </c>
      <c r="S64" s="56">
        <v>7.5937851449868745</v>
      </c>
      <c r="T64" s="53">
        <v>7.5937851449868745</v>
      </c>
      <c r="U64" s="56">
        <v>7.5937851449868745</v>
      </c>
      <c r="V64" s="56">
        <v>7.5937851449868745</v>
      </c>
      <c r="W64" s="56">
        <v>7.5937851449868745</v>
      </c>
      <c r="X64" s="136">
        <f t="shared" si="6"/>
        <v>75.790876330843844</v>
      </c>
      <c r="Y64" s="47">
        <v>1</v>
      </c>
      <c r="Z64" s="57" t="s">
        <v>264</v>
      </c>
      <c r="AA64" s="119"/>
    </row>
    <row r="65" spans="2:27" ht="38.25" x14ac:dyDescent="0.25">
      <c r="B65" s="531"/>
      <c r="C65" s="2" t="s">
        <v>87</v>
      </c>
      <c r="D65" s="3" t="s">
        <v>90</v>
      </c>
      <c r="E65" s="57">
        <v>182</v>
      </c>
      <c r="F65" s="13">
        <v>1100</v>
      </c>
      <c r="G65" s="13">
        <f t="shared" si="26"/>
        <v>200200</v>
      </c>
      <c r="H65" s="53">
        <f t="shared" si="0"/>
        <v>5.0348921547225887</v>
      </c>
      <c r="I65" s="65"/>
      <c r="J65" s="66"/>
      <c r="K65" s="66"/>
      <c r="L65" s="53">
        <f t="shared" si="1"/>
        <v>0</v>
      </c>
      <c r="M65" s="65">
        <f t="shared" si="27"/>
        <v>182</v>
      </c>
      <c r="N65" s="66">
        <f t="shared" si="27"/>
        <v>1100</v>
      </c>
      <c r="O65" s="66">
        <f t="shared" si="27"/>
        <v>200200</v>
      </c>
      <c r="P65" s="53">
        <f t="shared" si="2"/>
        <v>5.0348921547225887</v>
      </c>
      <c r="Q65" s="53">
        <v>5.0675859534212409</v>
      </c>
      <c r="R65" s="56">
        <v>0</v>
      </c>
      <c r="S65" s="56">
        <v>5.0675859534212409</v>
      </c>
      <c r="T65" s="53">
        <v>5.0675859534212409</v>
      </c>
      <c r="U65" s="56">
        <v>0</v>
      </c>
      <c r="V65" s="56">
        <v>5.0675859534212409</v>
      </c>
      <c r="W65" s="56">
        <v>5.0675859534212409</v>
      </c>
      <c r="X65" s="136">
        <f t="shared" si="6"/>
        <v>35.407714076551379</v>
      </c>
      <c r="Y65" s="47">
        <v>2</v>
      </c>
      <c r="Z65" s="57" t="s">
        <v>264</v>
      </c>
      <c r="AA65" s="119"/>
    </row>
    <row r="66" spans="2:27" ht="25.5" x14ac:dyDescent="0.25">
      <c r="B66" s="531"/>
      <c r="C66" s="2" t="s">
        <v>49</v>
      </c>
      <c r="D66" s="3" t="s">
        <v>81</v>
      </c>
      <c r="E66" s="57">
        <v>62</v>
      </c>
      <c r="F66" s="13">
        <v>1100</v>
      </c>
      <c r="G66" s="13">
        <f t="shared" si="26"/>
        <v>68200</v>
      </c>
      <c r="H66" s="53">
        <f t="shared" si="0"/>
        <v>1.715183041718684</v>
      </c>
      <c r="I66" s="65">
        <f t="shared" ref="I66:K70" si="28">+E66</f>
        <v>62</v>
      </c>
      <c r="J66" s="66">
        <f t="shared" si="28"/>
        <v>1100</v>
      </c>
      <c r="K66" s="66">
        <f t="shared" si="28"/>
        <v>68200</v>
      </c>
      <c r="L66" s="53">
        <f t="shared" si="1"/>
        <v>1.715183041718684</v>
      </c>
      <c r="M66" s="65">
        <f t="shared" si="27"/>
        <v>62</v>
      </c>
      <c r="N66" s="66">
        <f t="shared" si="27"/>
        <v>1100</v>
      </c>
      <c r="O66" s="66">
        <f t="shared" si="27"/>
        <v>68200</v>
      </c>
      <c r="P66" s="53">
        <f t="shared" si="2"/>
        <v>1.715183041718684</v>
      </c>
      <c r="Q66" s="53">
        <v>1.7263204896270161</v>
      </c>
      <c r="R66" s="56">
        <v>1.7263204896270161</v>
      </c>
      <c r="S66" s="56">
        <v>1.7263204896270161</v>
      </c>
      <c r="T66" s="53">
        <v>1.7263204896270161</v>
      </c>
      <c r="U66" s="56">
        <v>1.7263204896270161</v>
      </c>
      <c r="V66" s="56">
        <v>1.7263204896270161</v>
      </c>
      <c r="W66" s="56">
        <v>1.7263204896270161</v>
      </c>
      <c r="X66" s="136">
        <f t="shared" si="6"/>
        <v>17.229792552545163</v>
      </c>
      <c r="Y66" s="47">
        <v>1</v>
      </c>
      <c r="Z66" s="57" t="s">
        <v>264</v>
      </c>
      <c r="AA66" s="119"/>
    </row>
    <row r="67" spans="2:27" ht="76.5" x14ac:dyDescent="0.25">
      <c r="B67" s="531"/>
      <c r="C67" s="2" t="s">
        <v>68</v>
      </c>
      <c r="D67" s="3" t="s">
        <v>69</v>
      </c>
      <c r="E67" s="57">
        <v>1</v>
      </c>
      <c r="F67" s="13">
        <v>100000</v>
      </c>
      <c r="G67" s="13">
        <f t="shared" si="26"/>
        <v>100000</v>
      </c>
      <c r="H67" s="53">
        <f t="shared" si="0"/>
        <v>2.514931146215079</v>
      </c>
      <c r="I67" s="65">
        <f t="shared" si="28"/>
        <v>1</v>
      </c>
      <c r="J67" s="66">
        <f t="shared" si="28"/>
        <v>100000</v>
      </c>
      <c r="K67" s="66">
        <f t="shared" si="28"/>
        <v>100000</v>
      </c>
      <c r="L67" s="53">
        <f t="shared" si="1"/>
        <v>2.514931146215079</v>
      </c>
      <c r="M67" s="65">
        <f t="shared" si="27"/>
        <v>1</v>
      </c>
      <c r="N67" s="66">
        <f t="shared" si="27"/>
        <v>100000</v>
      </c>
      <c r="O67" s="66">
        <f t="shared" si="27"/>
        <v>100000</v>
      </c>
      <c r="P67" s="53">
        <f t="shared" si="2"/>
        <v>2.514931146215079</v>
      </c>
      <c r="Q67" s="53">
        <v>2.5312617149956247</v>
      </c>
      <c r="R67" s="56">
        <v>2.5312617149956247</v>
      </c>
      <c r="S67" s="56">
        <v>2.5312617149956247</v>
      </c>
      <c r="T67" s="53">
        <v>2.5312617149956247</v>
      </c>
      <c r="U67" s="56">
        <v>2.5312617149956247</v>
      </c>
      <c r="V67" s="56">
        <v>2.5312617149956247</v>
      </c>
      <c r="W67" s="56">
        <v>2.5312617149956247</v>
      </c>
      <c r="X67" s="136">
        <f t="shared" si="6"/>
        <v>25.263625443614615</v>
      </c>
      <c r="Y67" s="47">
        <v>1</v>
      </c>
      <c r="Z67" s="57" t="s">
        <v>264</v>
      </c>
      <c r="AA67" s="119"/>
    </row>
    <row r="68" spans="2:27" ht="25.5" x14ac:dyDescent="0.25">
      <c r="B68" s="531"/>
      <c r="C68" s="2" t="s">
        <v>97</v>
      </c>
      <c r="D68" s="3" t="s">
        <v>81</v>
      </c>
      <c r="E68" s="57">
        <v>6</v>
      </c>
      <c r="F68" s="13">
        <v>1100</v>
      </c>
      <c r="G68" s="13">
        <f t="shared" si="26"/>
        <v>6600</v>
      </c>
      <c r="H68" s="53">
        <f t="shared" si="0"/>
        <v>0.16598545565019523</v>
      </c>
      <c r="I68" s="65">
        <f t="shared" si="28"/>
        <v>6</v>
      </c>
      <c r="J68" s="66">
        <f t="shared" si="28"/>
        <v>1100</v>
      </c>
      <c r="K68" s="66">
        <f t="shared" si="28"/>
        <v>6600</v>
      </c>
      <c r="L68" s="53">
        <f t="shared" si="1"/>
        <v>0.16598545565019523</v>
      </c>
      <c r="M68" s="65">
        <f t="shared" si="27"/>
        <v>6</v>
      </c>
      <c r="N68" s="66">
        <f t="shared" si="27"/>
        <v>1100</v>
      </c>
      <c r="O68" s="66">
        <f t="shared" si="27"/>
        <v>6600</v>
      </c>
      <c r="P68" s="53">
        <f t="shared" si="2"/>
        <v>0.16598545565019523</v>
      </c>
      <c r="Q68" s="53">
        <v>0.16706327318971123</v>
      </c>
      <c r="R68" s="56">
        <v>0.16706327318971123</v>
      </c>
      <c r="S68" s="56">
        <v>0.16706327318971123</v>
      </c>
      <c r="T68" s="53">
        <v>0.16706327318971123</v>
      </c>
      <c r="U68" s="56">
        <v>0.16706327318971123</v>
      </c>
      <c r="V68" s="56">
        <v>0.16706327318971123</v>
      </c>
      <c r="W68" s="56">
        <v>0.16706327318971123</v>
      </c>
      <c r="X68" s="136">
        <f t="shared" si="6"/>
        <v>1.6673992792785644</v>
      </c>
      <c r="Y68" s="94" t="s">
        <v>0</v>
      </c>
      <c r="Z68" s="57" t="s">
        <v>264</v>
      </c>
      <c r="AA68" s="119"/>
    </row>
    <row r="69" spans="2:27" ht="15.75" thickBot="1" x14ac:dyDescent="0.3">
      <c r="B69" s="534"/>
      <c r="C69" s="21" t="s">
        <v>189</v>
      </c>
      <c r="D69" s="33" t="s">
        <v>88</v>
      </c>
      <c r="E69" s="90">
        <v>120</v>
      </c>
      <c r="F69" s="16">
        <v>800</v>
      </c>
      <c r="G69" s="16">
        <f t="shared" si="26"/>
        <v>96000</v>
      </c>
      <c r="H69" s="77">
        <f t="shared" si="0"/>
        <v>2.4143339003664761</v>
      </c>
      <c r="I69" s="78">
        <f t="shared" si="28"/>
        <v>120</v>
      </c>
      <c r="J69" s="68">
        <f t="shared" si="28"/>
        <v>800</v>
      </c>
      <c r="K69" s="68">
        <f t="shared" si="28"/>
        <v>96000</v>
      </c>
      <c r="L69" s="77">
        <f t="shared" si="1"/>
        <v>2.4143339003664761</v>
      </c>
      <c r="M69" s="78">
        <f t="shared" si="27"/>
        <v>120</v>
      </c>
      <c r="N69" s="68">
        <f t="shared" si="27"/>
        <v>800</v>
      </c>
      <c r="O69" s="68">
        <f t="shared" si="27"/>
        <v>96000</v>
      </c>
      <c r="P69" s="77">
        <f t="shared" si="2"/>
        <v>2.4143339003664761</v>
      </c>
      <c r="Q69" s="77">
        <v>2.4300112463957997</v>
      </c>
      <c r="R69" s="84">
        <v>2.4300112463957997</v>
      </c>
      <c r="S69" s="84">
        <v>2.4300112463957997</v>
      </c>
      <c r="T69" s="77">
        <v>2.4300112463957997</v>
      </c>
      <c r="U69" s="84">
        <v>2.4300112463957997</v>
      </c>
      <c r="V69" s="84">
        <v>2.4300112463957997</v>
      </c>
      <c r="W69" s="84">
        <v>2.4300112463957997</v>
      </c>
      <c r="X69" s="139">
        <f t="shared" si="6"/>
        <v>24.253080425870028</v>
      </c>
      <c r="Y69" s="50">
        <v>1</v>
      </c>
      <c r="Z69" s="90" t="s">
        <v>264</v>
      </c>
      <c r="AA69" s="117"/>
    </row>
    <row r="70" spans="2:27" ht="26.25" x14ac:dyDescent="0.25">
      <c r="B70" s="530" t="s">
        <v>9</v>
      </c>
      <c r="C70" s="123" t="s">
        <v>28</v>
      </c>
      <c r="D70" s="124" t="s">
        <v>62</v>
      </c>
      <c r="E70" s="116">
        <v>20</v>
      </c>
      <c r="F70" s="125">
        <v>800</v>
      </c>
      <c r="G70" s="125">
        <f t="shared" si="26"/>
        <v>16000</v>
      </c>
      <c r="H70" s="126">
        <f t="shared" si="0"/>
        <v>0.40238898339441265</v>
      </c>
      <c r="I70" s="127">
        <f t="shared" si="28"/>
        <v>20</v>
      </c>
      <c r="J70" s="128">
        <f t="shared" si="28"/>
        <v>800</v>
      </c>
      <c r="K70" s="128">
        <f t="shared" si="28"/>
        <v>16000</v>
      </c>
      <c r="L70" s="126">
        <f t="shared" si="1"/>
        <v>0.40238898339441265</v>
      </c>
      <c r="M70" s="127">
        <f t="shared" si="27"/>
        <v>20</v>
      </c>
      <c r="N70" s="128">
        <f t="shared" si="27"/>
        <v>800</v>
      </c>
      <c r="O70" s="128">
        <f t="shared" si="27"/>
        <v>16000</v>
      </c>
      <c r="P70" s="126">
        <f t="shared" si="2"/>
        <v>0.40238898339441265</v>
      </c>
      <c r="Q70" s="126">
        <v>0.40500187439929997</v>
      </c>
      <c r="R70" s="129">
        <v>0.40500187439929997</v>
      </c>
      <c r="S70" s="129">
        <v>0.40500187439929997</v>
      </c>
      <c r="T70" s="126">
        <v>0.40500187439929997</v>
      </c>
      <c r="U70" s="129">
        <v>0.40500187439929997</v>
      </c>
      <c r="V70" s="129">
        <v>0.40500187439929997</v>
      </c>
      <c r="W70" s="129">
        <v>0.40500187439929997</v>
      </c>
      <c r="X70" s="135">
        <f t="shared" si="6"/>
        <v>4.042180070978338</v>
      </c>
      <c r="Y70" s="130">
        <v>1</v>
      </c>
      <c r="Z70" s="103" t="s">
        <v>264</v>
      </c>
      <c r="AA70" s="118"/>
    </row>
    <row r="71" spans="2:27" s="4" customFormat="1" ht="38.25" x14ac:dyDescent="0.25">
      <c r="B71" s="531"/>
      <c r="C71" s="2" t="s">
        <v>214</v>
      </c>
      <c r="D71" s="3" t="s">
        <v>91</v>
      </c>
      <c r="E71" s="57">
        <v>150</v>
      </c>
      <c r="F71" s="13">
        <v>1100</v>
      </c>
      <c r="G71" s="13">
        <f t="shared" si="26"/>
        <v>165000</v>
      </c>
      <c r="H71" s="53">
        <f t="shared" ref="H71:H134" si="29">+G71/$C$4</f>
        <v>4.1496363912548802</v>
      </c>
      <c r="I71" s="65"/>
      <c r="J71" s="66"/>
      <c r="K71" s="66"/>
      <c r="L71" s="53">
        <f t="shared" ref="L71:L134" si="30">+K71/$C$4</f>
        <v>0</v>
      </c>
      <c r="M71" s="65"/>
      <c r="N71" s="66"/>
      <c r="O71" s="66"/>
      <c r="P71" s="53">
        <f t="shared" ref="P71:P134" si="31">+O71/$C$4</f>
        <v>0</v>
      </c>
      <c r="Q71" s="53">
        <v>4.1765818297427808</v>
      </c>
      <c r="R71" s="56">
        <v>0</v>
      </c>
      <c r="S71" s="56">
        <v>0</v>
      </c>
      <c r="T71" s="53">
        <v>4.1765818297427808</v>
      </c>
      <c r="U71" s="56">
        <v>0</v>
      </c>
      <c r="V71" s="56">
        <v>0</v>
      </c>
      <c r="W71" s="56">
        <v>4.1765818297427808</v>
      </c>
      <c r="X71" s="136">
        <f t="shared" si="6"/>
        <v>16.67938188048322</v>
      </c>
      <c r="Y71" s="47">
        <v>3</v>
      </c>
      <c r="Z71" s="57" t="s">
        <v>264</v>
      </c>
      <c r="AA71" s="146"/>
    </row>
    <row r="72" spans="2:27" s="4" customFormat="1" ht="15.75" thickBot="1" x14ac:dyDescent="0.3">
      <c r="B72" s="532"/>
      <c r="C72" s="6" t="s">
        <v>189</v>
      </c>
      <c r="D72" s="35" t="s">
        <v>88</v>
      </c>
      <c r="E72" s="92">
        <v>195</v>
      </c>
      <c r="F72" s="26">
        <v>800</v>
      </c>
      <c r="G72" s="58">
        <f t="shared" si="26"/>
        <v>156000</v>
      </c>
      <c r="H72" s="86">
        <f t="shared" si="29"/>
        <v>3.9232925880955234</v>
      </c>
      <c r="I72" s="87">
        <f t="shared" ref="I72:K74" si="32">+E72</f>
        <v>195</v>
      </c>
      <c r="J72" s="69">
        <f t="shared" si="32"/>
        <v>800</v>
      </c>
      <c r="K72" s="69">
        <f t="shared" si="32"/>
        <v>156000</v>
      </c>
      <c r="L72" s="86">
        <f t="shared" si="30"/>
        <v>3.9232925880955234</v>
      </c>
      <c r="M72" s="87">
        <f t="shared" ref="M72:O74" si="33">+E72</f>
        <v>195</v>
      </c>
      <c r="N72" s="69">
        <f t="shared" si="33"/>
        <v>800</v>
      </c>
      <c r="O72" s="69">
        <f t="shared" si="33"/>
        <v>156000</v>
      </c>
      <c r="P72" s="86">
        <f t="shared" si="31"/>
        <v>3.9232925880955234</v>
      </c>
      <c r="Q72" s="86">
        <v>3.9487682753931748</v>
      </c>
      <c r="R72" s="93">
        <v>3.9487682753931748</v>
      </c>
      <c r="S72" s="93">
        <v>3.9487682753931748</v>
      </c>
      <c r="T72" s="86">
        <v>3.9487682753931748</v>
      </c>
      <c r="U72" s="93">
        <v>3.9487682753931748</v>
      </c>
      <c r="V72" s="93">
        <v>3.9487682753931748</v>
      </c>
      <c r="W72" s="93">
        <v>3.9487682753931699</v>
      </c>
      <c r="X72" s="137">
        <f t="shared" si="6"/>
        <v>39.411255692038786</v>
      </c>
      <c r="Y72" s="48">
        <v>1</v>
      </c>
      <c r="Z72" s="92" t="s">
        <v>264</v>
      </c>
      <c r="AA72" s="131"/>
    </row>
    <row r="73" spans="2:27" ht="25.5" x14ac:dyDescent="0.25">
      <c r="B73" s="533" t="s">
        <v>10</v>
      </c>
      <c r="C73" s="20" t="s">
        <v>28</v>
      </c>
      <c r="D73" s="32" t="s">
        <v>76</v>
      </c>
      <c r="E73" s="95">
        <v>22</v>
      </c>
      <c r="F73" s="25">
        <v>800</v>
      </c>
      <c r="G73" s="64">
        <f t="shared" si="26"/>
        <v>17600</v>
      </c>
      <c r="H73" s="75">
        <f t="shared" si="29"/>
        <v>0.44262788173385392</v>
      </c>
      <c r="I73" s="76">
        <f t="shared" si="32"/>
        <v>22</v>
      </c>
      <c r="J73" s="67">
        <f t="shared" si="32"/>
        <v>800</v>
      </c>
      <c r="K73" s="67">
        <f t="shared" si="32"/>
        <v>17600</v>
      </c>
      <c r="L73" s="75">
        <f t="shared" si="30"/>
        <v>0.44262788173385392</v>
      </c>
      <c r="M73" s="76">
        <f t="shared" si="33"/>
        <v>22</v>
      </c>
      <c r="N73" s="67">
        <f t="shared" si="33"/>
        <v>800</v>
      </c>
      <c r="O73" s="67">
        <f t="shared" si="33"/>
        <v>17600</v>
      </c>
      <c r="P73" s="75">
        <f t="shared" si="31"/>
        <v>0.44262788173385392</v>
      </c>
      <c r="Q73" s="75">
        <v>0.44550206183922997</v>
      </c>
      <c r="R73" s="97">
        <v>0.44550206183922997</v>
      </c>
      <c r="S73" s="97">
        <v>0.44550206183922997</v>
      </c>
      <c r="T73" s="75">
        <v>0.44550206183922997</v>
      </c>
      <c r="U73" s="97">
        <v>0.44550206183922997</v>
      </c>
      <c r="V73" s="97">
        <v>0.44550206183922997</v>
      </c>
      <c r="W73" s="97">
        <v>0.44550206183922997</v>
      </c>
      <c r="X73" s="138">
        <f t="shared" ref="X73:X136" si="34">+H73+L73+P73+Q73+R73+S73+T73+U73+V73+W73</f>
        <v>4.4463980780761716</v>
      </c>
      <c r="Y73" s="49">
        <v>1</v>
      </c>
      <c r="Z73" s="95" t="s">
        <v>264</v>
      </c>
      <c r="AA73" s="120"/>
    </row>
    <row r="74" spans="2:27" ht="45" x14ac:dyDescent="0.25">
      <c r="B74" s="531"/>
      <c r="C74" s="2" t="s">
        <v>75</v>
      </c>
      <c r="D74" s="3" t="s">
        <v>77</v>
      </c>
      <c r="E74" s="57">
        <v>350</v>
      </c>
      <c r="F74" s="13">
        <v>800</v>
      </c>
      <c r="G74" s="5">
        <f t="shared" si="26"/>
        <v>280000</v>
      </c>
      <c r="H74" s="53">
        <f t="shared" si="29"/>
        <v>7.0418072094022213</v>
      </c>
      <c r="I74" s="65">
        <f t="shared" si="32"/>
        <v>350</v>
      </c>
      <c r="J74" s="66">
        <f t="shared" si="32"/>
        <v>800</v>
      </c>
      <c r="K74" s="66">
        <f t="shared" si="32"/>
        <v>280000</v>
      </c>
      <c r="L74" s="53">
        <f t="shared" si="30"/>
        <v>7.0418072094022213</v>
      </c>
      <c r="M74" s="65">
        <f t="shared" si="33"/>
        <v>350</v>
      </c>
      <c r="N74" s="66">
        <f t="shared" si="33"/>
        <v>800</v>
      </c>
      <c r="O74" s="66">
        <f t="shared" si="33"/>
        <v>280000</v>
      </c>
      <c r="P74" s="53">
        <f t="shared" si="31"/>
        <v>7.0418072094022213</v>
      </c>
      <c r="Q74" s="53">
        <v>7.0875328019877495</v>
      </c>
      <c r="R74" s="89">
        <v>7.0875328019877495</v>
      </c>
      <c r="S74" s="89">
        <v>7.0875328019877495</v>
      </c>
      <c r="T74" s="53">
        <v>7.0875328019877495</v>
      </c>
      <c r="U74" s="89">
        <v>7.0875328019877495</v>
      </c>
      <c r="V74" s="89">
        <v>7.0875328019877495</v>
      </c>
      <c r="W74" s="89">
        <v>7.0875328019877495</v>
      </c>
      <c r="X74" s="136">
        <f t="shared" si="34"/>
        <v>70.738151242120907</v>
      </c>
      <c r="Y74" s="47">
        <v>1</v>
      </c>
      <c r="Z74" s="57" t="s">
        <v>262</v>
      </c>
      <c r="AA74" s="119" t="s">
        <v>271</v>
      </c>
    </row>
    <row r="75" spans="2:27" ht="51" x14ac:dyDescent="0.25">
      <c r="B75" s="531"/>
      <c r="C75" s="2" t="s">
        <v>214</v>
      </c>
      <c r="D75" s="3" t="s">
        <v>92</v>
      </c>
      <c r="E75" s="56">
        <v>1500</v>
      </c>
      <c r="F75" s="13">
        <v>59572.987999999998</v>
      </c>
      <c r="G75" s="13">
        <f t="shared" si="26"/>
        <v>89359482</v>
      </c>
      <c r="H75" s="53">
        <f t="shared" si="29"/>
        <v>2247.3294449144573</v>
      </c>
      <c r="I75" s="65"/>
      <c r="J75" s="66"/>
      <c r="K75" s="66"/>
      <c r="L75" s="53">
        <f t="shared" si="30"/>
        <v>0</v>
      </c>
      <c r="M75" s="65"/>
      <c r="N75" s="66"/>
      <c r="O75" s="66"/>
      <c r="P75" s="53">
        <f t="shared" si="31"/>
        <v>0</v>
      </c>
      <c r="Q75" s="53">
        <v>2261.9223565844068</v>
      </c>
      <c r="R75" s="56">
        <v>0</v>
      </c>
      <c r="S75" s="56">
        <v>0</v>
      </c>
      <c r="T75" s="53">
        <v>2261.9223565844068</v>
      </c>
      <c r="U75" s="56">
        <v>0</v>
      </c>
      <c r="V75" s="56">
        <v>0</v>
      </c>
      <c r="W75" s="56">
        <v>2261.9223565844068</v>
      </c>
      <c r="X75" s="136">
        <f t="shared" si="34"/>
        <v>9033.0965146676772</v>
      </c>
      <c r="Y75" s="47">
        <v>3</v>
      </c>
      <c r="Z75" s="57" t="s">
        <v>264</v>
      </c>
      <c r="AA75" s="119"/>
    </row>
    <row r="76" spans="2:27" ht="38.25" x14ac:dyDescent="0.25">
      <c r="B76" s="531"/>
      <c r="C76" s="2" t="s">
        <v>240</v>
      </c>
      <c r="D76" s="3" t="s">
        <v>182</v>
      </c>
      <c r="E76" s="56">
        <v>12</v>
      </c>
      <c r="F76" s="13">
        <v>380000</v>
      </c>
      <c r="G76" s="13">
        <f t="shared" si="26"/>
        <v>4560000</v>
      </c>
      <c r="H76" s="53">
        <f t="shared" si="29"/>
        <v>114.68086026740761</v>
      </c>
      <c r="I76" s="70">
        <f t="shared" ref="I76:K79" si="35">+E76</f>
        <v>12</v>
      </c>
      <c r="J76" s="66">
        <f t="shared" si="35"/>
        <v>380000</v>
      </c>
      <c r="K76" s="66">
        <f t="shared" si="35"/>
        <v>4560000</v>
      </c>
      <c r="L76" s="53">
        <f t="shared" si="30"/>
        <v>114.68086026740761</v>
      </c>
      <c r="M76" s="65">
        <f t="shared" ref="M76:M88" si="36">+E76</f>
        <v>12</v>
      </c>
      <c r="N76" s="66">
        <f t="shared" ref="N76:N88" si="37">+F76</f>
        <v>380000</v>
      </c>
      <c r="O76" s="66">
        <f t="shared" ref="O76:O88" si="38">+G76</f>
        <v>4560000</v>
      </c>
      <c r="P76" s="53">
        <f t="shared" si="31"/>
        <v>114.68086026740761</v>
      </c>
      <c r="Q76" s="53">
        <v>115.4255342038005</v>
      </c>
      <c r="R76" s="56">
        <v>115.4255342038005</v>
      </c>
      <c r="S76" s="56">
        <v>115.4255342038005</v>
      </c>
      <c r="T76" s="53">
        <v>115.4255342038005</v>
      </c>
      <c r="U76" s="56">
        <v>115.4255342038005</v>
      </c>
      <c r="V76" s="56">
        <v>115.4255342038005</v>
      </c>
      <c r="W76" s="56">
        <v>115.4255342038005</v>
      </c>
      <c r="X76" s="136">
        <f t="shared" si="34"/>
        <v>1152.0213202288262</v>
      </c>
      <c r="Y76" s="47">
        <v>1</v>
      </c>
      <c r="Z76" s="57" t="s">
        <v>264</v>
      </c>
      <c r="AA76" s="119"/>
    </row>
    <row r="77" spans="2:27" x14ac:dyDescent="0.25">
      <c r="B77" s="531"/>
      <c r="C77" s="2" t="s">
        <v>239</v>
      </c>
      <c r="D77" s="3" t="s">
        <v>241</v>
      </c>
      <c r="E77" s="56">
        <v>1</v>
      </c>
      <c r="F77" s="13">
        <v>623649</v>
      </c>
      <c r="G77" s="13">
        <f t="shared" si="26"/>
        <v>623649</v>
      </c>
      <c r="H77" s="53">
        <f t="shared" si="29"/>
        <v>15.684342944058878</v>
      </c>
      <c r="I77" s="70">
        <f t="shared" si="35"/>
        <v>1</v>
      </c>
      <c r="J77" s="66">
        <f t="shared" si="35"/>
        <v>623649</v>
      </c>
      <c r="K77" s="66">
        <f t="shared" si="35"/>
        <v>623649</v>
      </c>
      <c r="L77" s="53">
        <f t="shared" si="30"/>
        <v>15.684342944058878</v>
      </c>
      <c r="M77" s="65">
        <f t="shared" si="36"/>
        <v>1</v>
      </c>
      <c r="N77" s="66">
        <f t="shared" si="37"/>
        <v>623649</v>
      </c>
      <c r="O77" s="66">
        <f t="shared" si="38"/>
        <v>623649</v>
      </c>
      <c r="P77" s="53">
        <f t="shared" si="31"/>
        <v>15.684342944058878</v>
      </c>
      <c r="Q77" s="53">
        <v>15.786188372953065</v>
      </c>
      <c r="R77" s="56">
        <v>15.786188372953065</v>
      </c>
      <c r="S77" s="56">
        <v>15.786188372953065</v>
      </c>
      <c r="T77" s="53">
        <v>15.786188372953065</v>
      </c>
      <c r="U77" s="56">
        <v>15.786188372953065</v>
      </c>
      <c r="V77" s="56">
        <v>15.786188372953065</v>
      </c>
      <c r="W77" s="56">
        <v>15.786188372953065</v>
      </c>
      <c r="X77" s="136">
        <f t="shared" si="34"/>
        <v>157.55634744284808</v>
      </c>
      <c r="Y77" s="47">
        <v>1</v>
      </c>
      <c r="Z77" s="57" t="s">
        <v>264</v>
      </c>
      <c r="AA77" s="119"/>
    </row>
    <row r="78" spans="2:27" s="4" customFormat="1" ht="105" x14ac:dyDescent="0.25">
      <c r="B78" s="531"/>
      <c r="C78" s="2" t="s">
        <v>206</v>
      </c>
      <c r="D78" s="8" t="s">
        <v>79</v>
      </c>
      <c r="E78" s="57">
        <v>1</v>
      </c>
      <c r="F78" s="13">
        <v>6000000</v>
      </c>
      <c r="G78" s="13">
        <f t="shared" si="26"/>
        <v>6000000</v>
      </c>
      <c r="H78" s="53">
        <f t="shared" si="29"/>
        <v>150.89586877290475</v>
      </c>
      <c r="I78" s="70">
        <f t="shared" si="35"/>
        <v>1</v>
      </c>
      <c r="J78" s="66">
        <f t="shared" si="35"/>
        <v>6000000</v>
      </c>
      <c r="K78" s="66">
        <f t="shared" si="35"/>
        <v>6000000</v>
      </c>
      <c r="L78" s="53">
        <f t="shared" si="30"/>
        <v>150.89586877290475</v>
      </c>
      <c r="M78" s="65">
        <f t="shared" si="36"/>
        <v>1</v>
      </c>
      <c r="N78" s="66">
        <f t="shared" si="37"/>
        <v>6000000</v>
      </c>
      <c r="O78" s="66">
        <f t="shared" si="38"/>
        <v>6000000</v>
      </c>
      <c r="P78" s="53">
        <f t="shared" si="31"/>
        <v>150.89586877290475</v>
      </c>
      <c r="Q78" s="53">
        <v>151.87570289973749</v>
      </c>
      <c r="R78" s="56">
        <v>151.87570289973749</v>
      </c>
      <c r="S78" s="56">
        <v>151.87570289973749</v>
      </c>
      <c r="T78" s="53">
        <v>151.87570289973749</v>
      </c>
      <c r="U78" s="56">
        <v>151.87570289973749</v>
      </c>
      <c r="V78" s="56">
        <v>151.87570289973749</v>
      </c>
      <c r="W78" s="56">
        <v>151.87570289973749</v>
      </c>
      <c r="X78" s="136">
        <f t="shared" si="34"/>
        <v>1515.8175266168766</v>
      </c>
      <c r="Y78" s="47">
        <v>1</v>
      </c>
      <c r="Z78" s="57" t="s">
        <v>262</v>
      </c>
      <c r="AA78" s="146" t="s">
        <v>287</v>
      </c>
    </row>
    <row r="79" spans="2:27" ht="84.75" customHeight="1" x14ac:dyDescent="0.25">
      <c r="B79" s="531"/>
      <c r="C79" s="2" t="s">
        <v>68</v>
      </c>
      <c r="D79" s="3" t="s">
        <v>69</v>
      </c>
      <c r="E79" s="57">
        <v>1</v>
      </c>
      <c r="F79" s="13">
        <v>250000</v>
      </c>
      <c r="G79" s="13">
        <f t="shared" si="26"/>
        <v>250000</v>
      </c>
      <c r="H79" s="53">
        <f t="shared" si="29"/>
        <v>6.2873278655376978</v>
      </c>
      <c r="I79" s="65">
        <f t="shared" si="35"/>
        <v>1</v>
      </c>
      <c r="J79" s="66">
        <f t="shared" si="35"/>
        <v>250000</v>
      </c>
      <c r="K79" s="66">
        <f t="shared" si="35"/>
        <v>250000</v>
      </c>
      <c r="L79" s="53">
        <f t="shared" si="30"/>
        <v>6.2873278655376978</v>
      </c>
      <c r="M79" s="65">
        <f t="shared" si="36"/>
        <v>1</v>
      </c>
      <c r="N79" s="66">
        <f t="shared" si="37"/>
        <v>250000</v>
      </c>
      <c r="O79" s="66">
        <f t="shared" si="38"/>
        <v>250000</v>
      </c>
      <c r="P79" s="53">
        <f t="shared" si="31"/>
        <v>6.2873278655376978</v>
      </c>
      <c r="Q79" s="53">
        <v>6.3281542874890624</v>
      </c>
      <c r="R79" s="56">
        <v>6.3281542874890624</v>
      </c>
      <c r="S79" s="56">
        <v>6.3281542874890624</v>
      </c>
      <c r="T79" s="53">
        <v>6.3281542874890624</v>
      </c>
      <c r="U79" s="56">
        <v>6.3281542874890624</v>
      </c>
      <c r="V79" s="56">
        <v>6.3281542874890624</v>
      </c>
      <c r="W79" s="56">
        <v>6.3281542874890624</v>
      </c>
      <c r="X79" s="136">
        <f t="shared" si="34"/>
        <v>63.159063609036536</v>
      </c>
      <c r="Y79" s="47">
        <v>1</v>
      </c>
      <c r="Z79" s="57" t="s">
        <v>264</v>
      </c>
      <c r="AA79" s="119"/>
    </row>
    <row r="80" spans="2:27" ht="38.25" x14ac:dyDescent="0.25">
      <c r="B80" s="531"/>
      <c r="C80" s="2" t="s">
        <v>94</v>
      </c>
      <c r="D80" s="3" t="s">
        <v>96</v>
      </c>
      <c r="E80" s="57">
        <v>2750</v>
      </c>
      <c r="F80" s="13">
        <v>1100</v>
      </c>
      <c r="G80" s="13">
        <f t="shared" si="26"/>
        <v>3025000</v>
      </c>
      <c r="H80" s="53">
        <f t="shared" si="29"/>
        <v>76.076667173006143</v>
      </c>
      <c r="I80" s="65"/>
      <c r="J80" s="66"/>
      <c r="K80" s="66"/>
      <c r="L80" s="53">
        <f t="shared" si="30"/>
        <v>0</v>
      </c>
      <c r="M80" s="65">
        <f t="shared" si="36"/>
        <v>2750</v>
      </c>
      <c r="N80" s="66">
        <f t="shared" si="37"/>
        <v>1100</v>
      </c>
      <c r="O80" s="66">
        <f t="shared" si="38"/>
        <v>3025000</v>
      </c>
      <c r="P80" s="53">
        <f t="shared" si="31"/>
        <v>76.076667173006143</v>
      </c>
      <c r="Q80" s="53">
        <v>76.570666878617658</v>
      </c>
      <c r="R80" s="56">
        <v>0</v>
      </c>
      <c r="S80" s="56">
        <v>76.570666878617658</v>
      </c>
      <c r="T80" s="53">
        <v>76.570666878617658</v>
      </c>
      <c r="U80" s="56">
        <v>0</v>
      </c>
      <c r="V80" s="56">
        <v>76.570666878617658</v>
      </c>
      <c r="W80" s="56">
        <v>76.570666878617658</v>
      </c>
      <c r="X80" s="136">
        <f t="shared" si="34"/>
        <v>535.00666873910063</v>
      </c>
      <c r="Y80" s="47">
        <v>2</v>
      </c>
      <c r="Z80" s="57" t="s">
        <v>264</v>
      </c>
      <c r="AA80" s="119"/>
    </row>
    <row r="81" spans="2:27" ht="25.5" x14ac:dyDescent="0.25">
      <c r="B81" s="531"/>
      <c r="C81" s="2" t="s">
        <v>188</v>
      </c>
      <c r="D81" s="3" t="s">
        <v>81</v>
      </c>
      <c r="E81" s="57">
        <v>4270</v>
      </c>
      <c r="F81" s="13">
        <v>1100</v>
      </c>
      <c r="G81" s="13">
        <f t="shared" si="26"/>
        <v>4697000</v>
      </c>
      <c r="H81" s="53">
        <f t="shared" si="29"/>
        <v>118.12631593772227</v>
      </c>
      <c r="I81" s="65">
        <f>+E81</f>
        <v>4270</v>
      </c>
      <c r="J81" s="66">
        <f>+F81</f>
        <v>1100</v>
      </c>
      <c r="K81" s="66">
        <f>+G81</f>
        <v>4697000</v>
      </c>
      <c r="L81" s="53">
        <f t="shared" si="30"/>
        <v>118.12631593772227</v>
      </c>
      <c r="M81" s="65">
        <f t="shared" si="36"/>
        <v>4270</v>
      </c>
      <c r="N81" s="66">
        <f t="shared" si="37"/>
        <v>1100</v>
      </c>
      <c r="O81" s="66">
        <f t="shared" si="38"/>
        <v>4697000</v>
      </c>
      <c r="P81" s="53">
        <f t="shared" si="31"/>
        <v>118.12631593772227</v>
      </c>
      <c r="Q81" s="53">
        <v>118.8933627533445</v>
      </c>
      <c r="R81" s="56">
        <v>118.8933627533445</v>
      </c>
      <c r="S81" s="56">
        <v>118.8933627533445</v>
      </c>
      <c r="T81" s="53">
        <v>118.8933627533445</v>
      </c>
      <c r="U81" s="56">
        <v>118.8933627533445</v>
      </c>
      <c r="V81" s="56">
        <v>118.8933627533445</v>
      </c>
      <c r="W81" s="56">
        <v>118.8933627533445</v>
      </c>
      <c r="X81" s="136">
        <f t="shared" si="34"/>
        <v>1186.6324870865783</v>
      </c>
      <c r="Y81" s="47">
        <v>1</v>
      </c>
      <c r="Z81" s="57" t="s">
        <v>264</v>
      </c>
      <c r="AA81" s="119"/>
    </row>
    <row r="82" spans="2:27" ht="38.25" x14ac:dyDescent="0.25">
      <c r="B82" s="531"/>
      <c r="C82" s="2" t="s">
        <v>93</v>
      </c>
      <c r="D82" s="3" t="s">
        <v>158</v>
      </c>
      <c r="E82" s="57">
        <v>640</v>
      </c>
      <c r="F82" s="13">
        <v>1100</v>
      </c>
      <c r="G82" s="13">
        <f t="shared" si="26"/>
        <v>704000</v>
      </c>
      <c r="H82" s="53">
        <f t="shared" si="29"/>
        <v>17.705115269354156</v>
      </c>
      <c r="I82" s="65"/>
      <c r="J82" s="66"/>
      <c r="K82" s="66"/>
      <c r="L82" s="53">
        <f t="shared" si="30"/>
        <v>0</v>
      </c>
      <c r="M82" s="65">
        <f t="shared" si="36"/>
        <v>640</v>
      </c>
      <c r="N82" s="66">
        <f t="shared" si="37"/>
        <v>1100</v>
      </c>
      <c r="O82" s="66">
        <f t="shared" si="38"/>
        <v>704000</v>
      </c>
      <c r="P82" s="53">
        <f t="shared" si="31"/>
        <v>17.705115269354156</v>
      </c>
      <c r="Q82" s="53">
        <v>17.820082473569197</v>
      </c>
      <c r="R82" s="56">
        <v>0</v>
      </c>
      <c r="S82" s="56">
        <v>17.820082473569197</v>
      </c>
      <c r="T82" s="53">
        <v>17.820082473569197</v>
      </c>
      <c r="U82" s="56">
        <v>0</v>
      </c>
      <c r="V82" s="56">
        <v>17.820082473569197</v>
      </c>
      <c r="W82" s="56">
        <v>17.820082473569197</v>
      </c>
      <c r="X82" s="136">
        <f t="shared" si="34"/>
        <v>124.51064290655431</v>
      </c>
      <c r="Y82" s="47">
        <v>2</v>
      </c>
      <c r="Z82" s="57" t="s">
        <v>264</v>
      </c>
      <c r="AA82" s="119"/>
    </row>
    <row r="83" spans="2:27" ht="25.5" x14ac:dyDescent="0.25">
      <c r="B83" s="531"/>
      <c r="C83" s="2" t="s">
        <v>97</v>
      </c>
      <c r="D83" s="3" t="s">
        <v>81</v>
      </c>
      <c r="E83" s="57">
        <v>60</v>
      </c>
      <c r="F83" s="13">
        <v>1100</v>
      </c>
      <c r="G83" s="13">
        <f t="shared" si="26"/>
        <v>66000</v>
      </c>
      <c r="H83" s="53">
        <f t="shared" si="29"/>
        <v>1.6598545565019522</v>
      </c>
      <c r="I83" s="65">
        <f>+E83</f>
        <v>60</v>
      </c>
      <c r="J83" s="66">
        <f>+F83</f>
        <v>1100</v>
      </c>
      <c r="K83" s="66">
        <f>+G83</f>
        <v>66000</v>
      </c>
      <c r="L83" s="53">
        <f t="shared" si="30"/>
        <v>1.6598545565019522</v>
      </c>
      <c r="M83" s="65">
        <f t="shared" si="36"/>
        <v>60</v>
      </c>
      <c r="N83" s="66">
        <f t="shared" si="37"/>
        <v>1100</v>
      </c>
      <c r="O83" s="66">
        <f t="shared" si="38"/>
        <v>66000</v>
      </c>
      <c r="P83" s="53">
        <f t="shared" si="31"/>
        <v>1.6598545565019522</v>
      </c>
      <c r="Q83" s="53">
        <v>1.6706327318971124</v>
      </c>
      <c r="R83" s="56">
        <v>1.6706327318971124</v>
      </c>
      <c r="S83" s="56">
        <v>1.6706327318971124</v>
      </c>
      <c r="T83" s="53">
        <v>1.6706327318971124</v>
      </c>
      <c r="U83" s="56">
        <v>1.6706327318971124</v>
      </c>
      <c r="V83" s="56">
        <v>1.6706327318971124</v>
      </c>
      <c r="W83" s="56">
        <v>1.6706327318971124</v>
      </c>
      <c r="X83" s="136">
        <f t="shared" si="34"/>
        <v>16.673992792785647</v>
      </c>
      <c r="Y83" s="94" t="s">
        <v>0</v>
      </c>
      <c r="Z83" s="57" t="s">
        <v>264</v>
      </c>
      <c r="AA83" s="119"/>
    </row>
    <row r="84" spans="2:27" ht="38.25" x14ac:dyDescent="0.25">
      <c r="B84" s="531"/>
      <c r="C84" s="2" t="s">
        <v>95</v>
      </c>
      <c r="D84" s="3" t="s">
        <v>96</v>
      </c>
      <c r="E84" s="57">
        <v>420</v>
      </c>
      <c r="F84" s="13">
        <v>1100</v>
      </c>
      <c r="G84" s="13">
        <f t="shared" si="26"/>
        <v>462000</v>
      </c>
      <c r="H84" s="53">
        <f t="shared" si="29"/>
        <v>11.618981895513665</v>
      </c>
      <c r="I84" s="65"/>
      <c r="J84" s="66"/>
      <c r="K84" s="66"/>
      <c r="L84" s="53">
        <f t="shared" si="30"/>
        <v>0</v>
      </c>
      <c r="M84" s="65">
        <f t="shared" si="36"/>
        <v>420</v>
      </c>
      <c r="N84" s="66">
        <f t="shared" si="37"/>
        <v>1100</v>
      </c>
      <c r="O84" s="66">
        <f t="shared" si="38"/>
        <v>462000</v>
      </c>
      <c r="P84" s="53">
        <f t="shared" si="31"/>
        <v>11.618981895513665</v>
      </c>
      <c r="Q84" s="53">
        <v>11.694429123279786</v>
      </c>
      <c r="R84" s="56">
        <v>0</v>
      </c>
      <c r="S84" s="56">
        <v>11.694429123279786</v>
      </c>
      <c r="T84" s="53">
        <v>11.694429123279786</v>
      </c>
      <c r="U84" s="56">
        <v>0</v>
      </c>
      <c r="V84" s="56">
        <v>11.694429123279786</v>
      </c>
      <c r="W84" s="56">
        <v>11.694429123279786</v>
      </c>
      <c r="X84" s="136">
        <f t="shared" si="34"/>
        <v>81.710109407426273</v>
      </c>
      <c r="Y84" s="47">
        <v>2</v>
      </c>
      <c r="Z84" s="57" t="s">
        <v>264</v>
      </c>
      <c r="AA84" s="119"/>
    </row>
    <row r="85" spans="2:27" ht="25.5" x14ac:dyDescent="0.25">
      <c r="B85" s="531"/>
      <c r="C85" s="2" t="s">
        <v>97</v>
      </c>
      <c r="D85" s="3" t="s">
        <v>81</v>
      </c>
      <c r="E85" s="57">
        <v>22</v>
      </c>
      <c r="F85" s="13">
        <v>1100</v>
      </c>
      <c r="G85" s="13">
        <f t="shared" si="26"/>
        <v>24200</v>
      </c>
      <c r="H85" s="53">
        <f t="shared" si="29"/>
        <v>0.6086133373840491</v>
      </c>
      <c r="I85" s="65">
        <f t="shared" ref="I85:K86" si="39">+E85</f>
        <v>22</v>
      </c>
      <c r="J85" s="66">
        <f t="shared" si="39"/>
        <v>1100</v>
      </c>
      <c r="K85" s="66">
        <f t="shared" si="39"/>
        <v>24200</v>
      </c>
      <c r="L85" s="53">
        <f t="shared" si="30"/>
        <v>0.6086133373840491</v>
      </c>
      <c r="M85" s="65">
        <f t="shared" si="36"/>
        <v>22</v>
      </c>
      <c r="N85" s="66">
        <f t="shared" si="37"/>
        <v>1100</v>
      </c>
      <c r="O85" s="66">
        <f t="shared" si="38"/>
        <v>24200</v>
      </c>
      <c r="P85" s="53">
        <f t="shared" si="31"/>
        <v>0.6086133373840491</v>
      </c>
      <c r="Q85" s="53">
        <v>0.61256533502894117</v>
      </c>
      <c r="R85" s="56">
        <v>0.61256533502894117</v>
      </c>
      <c r="S85" s="56">
        <v>0.61256533502894117</v>
      </c>
      <c r="T85" s="53">
        <v>0.61256533502894117</v>
      </c>
      <c r="U85" s="56">
        <v>0.61256533502894117</v>
      </c>
      <c r="V85" s="56">
        <v>0.61256533502894117</v>
      </c>
      <c r="W85" s="56">
        <v>0.61256533502894117</v>
      </c>
      <c r="X85" s="136">
        <f t="shared" si="34"/>
        <v>6.113797357354736</v>
      </c>
      <c r="Y85" s="94" t="s">
        <v>0</v>
      </c>
      <c r="Z85" s="57" t="s">
        <v>264</v>
      </c>
      <c r="AA85" s="119"/>
    </row>
    <row r="86" spans="2:27" x14ac:dyDescent="0.25">
      <c r="B86" s="531"/>
      <c r="C86" s="2" t="s">
        <v>189</v>
      </c>
      <c r="D86" s="14" t="s">
        <v>88</v>
      </c>
      <c r="E86" s="56">
        <v>15</v>
      </c>
      <c r="F86" s="13">
        <v>800</v>
      </c>
      <c r="G86" s="13">
        <f t="shared" si="26"/>
        <v>12000</v>
      </c>
      <c r="H86" s="53">
        <f t="shared" si="29"/>
        <v>0.30179173754580951</v>
      </c>
      <c r="I86" s="65">
        <f t="shared" si="39"/>
        <v>15</v>
      </c>
      <c r="J86" s="66">
        <f t="shared" si="39"/>
        <v>800</v>
      </c>
      <c r="K86" s="66">
        <f t="shared" si="39"/>
        <v>12000</v>
      </c>
      <c r="L86" s="53">
        <f t="shared" si="30"/>
        <v>0.30179173754580951</v>
      </c>
      <c r="M86" s="65">
        <f t="shared" si="36"/>
        <v>15</v>
      </c>
      <c r="N86" s="66">
        <f t="shared" si="37"/>
        <v>800</v>
      </c>
      <c r="O86" s="66">
        <f t="shared" si="38"/>
        <v>12000</v>
      </c>
      <c r="P86" s="53">
        <f t="shared" si="31"/>
        <v>0.30179173754580951</v>
      </c>
      <c r="Q86" s="53">
        <v>0.30375140579947496</v>
      </c>
      <c r="R86" s="56">
        <v>0.30375140579947496</v>
      </c>
      <c r="S86" s="56">
        <v>0.30375140579947496</v>
      </c>
      <c r="T86" s="53">
        <v>0.30375140579947496</v>
      </c>
      <c r="U86" s="56">
        <v>0.30375140579947496</v>
      </c>
      <c r="V86" s="56">
        <v>0.30375140579947496</v>
      </c>
      <c r="W86" s="56">
        <v>0.30375140579947496</v>
      </c>
      <c r="X86" s="136">
        <f t="shared" si="34"/>
        <v>3.0316350532337535</v>
      </c>
      <c r="Y86" s="47">
        <v>1</v>
      </c>
      <c r="Z86" s="57" t="s">
        <v>264</v>
      </c>
      <c r="AA86" s="119"/>
    </row>
    <row r="87" spans="2:27" ht="39" thickBot="1" x14ac:dyDescent="0.3">
      <c r="B87" s="534"/>
      <c r="C87" s="21" t="s">
        <v>51</v>
      </c>
      <c r="D87" s="23" t="s">
        <v>96</v>
      </c>
      <c r="E87" s="98">
        <v>350</v>
      </c>
      <c r="F87" s="16">
        <v>1100</v>
      </c>
      <c r="G87" s="16">
        <f t="shared" si="26"/>
        <v>385000</v>
      </c>
      <c r="H87" s="77">
        <f t="shared" si="29"/>
        <v>9.6824849129280555</v>
      </c>
      <c r="I87" s="78"/>
      <c r="J87" s="68"/>
      <c r="K87" s="68"/>
      <c r="L87" s="77">
        <f t="shared" si="30"/>
        <v>0</v>
      </c>
      <c r="M87" s="78">
        <f t="shared" si="36"/>
        <v>350</v>
      </c>
      <c r="N87" s="68">
        <f t="shared" si="37"/>
        <v>1100</v>
      </c>
      <c r="O87" s="68">
        <f t="shared" si="38"/>
        <v>385000</v>
      </c>
      <c r="P87" s="77">
        <f t="shared" si="31"/>
        <v>9.6824849129280555</v>
      </c>
      <c r="Q87" s="77">
        <v>9.7453576027331561</v>
      </c>
      <c r="R87" s="84">
        <v>0</v>
      </c>
      <c r="S87" s="84">
        <v>9.7453576027331561</v>
      </c>
      <c r="T87" s="77">
        <v>9.7453576027331561</v>
      </c>
      <c r="U87" s="84">
        <v>0</v>
      </c>
      <c r="V87" s="84">
        <v>9.7453576027331561</v>
      </c>
      <c r="W87" s="84">
        <v>9.7453576027331561</v>
      </c>
      <c r="X87" s="139">
        <f t="shared" si="34"/>
        <v>68.09175783952189</v>
      </c>
      <c r="Y87" s="50">
        <v>2</v>
      </c>
      <c r="Z87" s="90" t="s">
        <v>264</v>
      </c>
      <c r="AA87" s="117"/>
    </row>
    <row r="88" spans="2:27" ht="25.5" x14ac:dyDescent="0.25">
      <c r="B88" s="530" t="s">
        <v>11</v>
      </c>
      <c r="C88" s="19" t="s">
        <v>52</v>
      </c>
      <c r="D88" s="31" t="s">
        <v>62</v>
      </c>
      <c r="E88" s="132">
        <v>1780</v>
      </c>
      <c r="F88" s="24">
        <v>800</v>
      </c>
      <c r="G88" s="24">
        <f t="shared" si="26"/>
        <v>1424000</v>
      </c>
      <c r="H88" s="81">
        <f t="shared" si="29"/>
        <v>35.812619522102729</v>
      </c>
      <c r="I88" s="82">
        <f>+E88</f>
        <v>1780</v>
      </c>
      <c r="J88" s="74">
        <f>+F88</f>
        <v>800</v>
      </c>
      <c r="K88" s="74">
        <f>+G88</f>
        <v>1424000</v>
      </c>
      <c r="L88" s="81">
        <f t="shared" si="30"/>
        <v>35.812619522102729</v>
      </c>
      <c r="M88" s="82">
        <f t="shared" si="36"/>
        <v>1780</v>
      </c>
      <c r="N88" s="74">
        <f t="shared" si="37"/>
        <v>800</v>
      </c>
      <c r="O88" s="74">
        <f t="shared" si="38"/>
        <v>1424000</v>
      </c>
      <c r="P88" s="81">
        <f t="shared" si="31"/>
        <v>35.812619522102729</v>
      </c>
      <c r="Q88" s="81">
        <v>36.045166821537698</v>
      </c>
      <c r="R88" s="102">
        <v>36.045166821537698</v>
      </c>
      <c r="S88" s="102">
        <v>36.045166821537698</v>
      </c>
      <c r="T88" s="81">
        <v>36.045166821537698</v>
      </c>
      <c r="U88" s="102">
        <v>36.045166821537698</v>
      </c>
      <c r="V88" s="102">
        <v>36.045166821537698</v>
      </c>
      <c r="W88" s="102">
        <v>36.045166821537698</v>
      </c>
      <c r="X88" s="135">
        <f t="shared" si="34"/>
        <v>359.75402631707203</v>
      </c>
      <c r="Y88" s="46">
        <v>1</v>
      </c>
      <c r="Z88" s="103" t="s">
        <v>264</v>
      </c>
      <c r="AA88" s="118"/>
    </row>
    <row r="89" spans="2:27" ht="38.25" x14ac:dyDescent="0.25">
      <c r="B89" s="531"/>
      <c r="C89" s="2" t="s">
        <v>214</v>
      </c>
      <c r="D89" s="3" t="s">
        <v>98</v>
      </c>
      <c r="E89" s="12">
        <v>400</v>
      </c>
      <c r="F89" s="13">
        <v>1100</v>
      </c>
      <c r="G89" s="13">
        <f t="shared" si="26"/>
        <v>440000</v>
      </c>
      <c r="H89" s="53">
        <f t="shared" si="29"/>
        <v>11.065697043346349</v>
      </c>
      <c r="I89" s="65"/>
      <c r="J89" s="66"/>
      <c r="K89" s="66"/>
      <c r="L89" s="53">
        <f t="shared" si="30"/>
        <v>0</v>
      </c>
      <c r="M89" s="65"/>
      <c r="N89" s="66"/>
      <c r="O89" s="66"/>
      <c r="P89" s="53">
        <f t="shared" si="31"/>
        <v>0</v>
      </c>
      <c r="Q89" s="53">
        <v>11.137551545980749</v>
      </c>
      <c r="R89" s="56">
        <v>0</v>
      </c>
      <c r="S89" s="56">
        <v>0</v>
      </c>
      <c r="T89" s="53">
        <v>11.137551545980749</v>
      </c>
      <c r="U89" s="56">
        <v>0</v>
      </c>
      <c r="V89" s="56">
        <v>0</v>
      </c>
      <c r="W89" s="56">
        <v>11.137551545980749</v>
      </c>
      <c r="X89" s="136">
        <f t="shared" si="34"/>
        <v>44.478351681288594</v>
      </c>
      <c r="Y89" s="47">
        <v>3</v>
      </c>
      <c r="Z89" s="57" t="s">
        <v>264</v>
      </c>
      <c r="AA89" s="119"/>
    </row>
    <row r="90" spans="2:27" x14ac:dyDescent="0.25">
      <c r="B90" s="531"/>
      <c r="C90" s="2" t="s">
        <v>160</v>
      </c>
      <c r="D90" s="3" t="s">
        <v>159</v>
      </c>
      <c r="E90" s="57">
        <v>1780</v>
      </c>
      <c r="F90" s="13">
        <v>1100</v>
      </c>
      <c r="G90" s="13">
        <f t="shared" si="26"/>
        <v>1958000</v>
      </c>
      <c r="H90" s="53">
        <f t="shared" si="29"/>
        <v>49.242351842891246</v>
      </c>
      <c r="I90" s="65">
        <f t="shared" ref="I90:K91" si="40">+E90</f>
        <v>1780</v>
      </c>
      <c r="J90" s="66">
        <f t="shared" si="40"/>
        <v>1100</v>
      </c>
      <c r="K90" s="66">
        <f t="shared" si="40"/>
        <v>1958000</v>
      </c>
      <c r="L90" s="53">
        <f t="shared" si="30"/>
        <v>49.242351842891246</v>
      </c>
      <c r="M90" s="65">
        <f t="shared" ref="M90:O94" si="41">+E90</f>
        <v>1780</v>
      </c>
      <c r="N90" s="66">
        <f t="shared" si="41"/>
        <v>1100</v>
      </c>
      <c r="O90" s="66">
        <f t="shared" si="41"/>
        <v>1958000</v>
      </c>
      <c r="P90" s="53">
        <f t="shared" si="31"/>
        <v>49.242351842891246</v>
      </c>
      <c r="Q90" s="53">
        <v>49.562104379614333</v>
      </c>
      <c r="R90" s="56">
        <v>49.562104379614333</v>
      </c>
      <c r="S90" s="56">
        <v>49.562104379614333</v>
      </c>
      <c r="T90" s="53">
        <v>49.562104379614333</v>
      </c>
      <c r="U90" s="56">
        <v>49.562104379614333</v>
      </c>
      <c r="V90" s="56">
        <v>49.562104379614333</v>
      </c>
      <c r="W90" s="56">
        <v>49.562104379614333</v>
      </c>
      <c r="X90" s="136">
        <f t="shared" si="34"/>
        <v>494.66178618597399</v>
      </c>
      <c r="Y90" s="47">
        <v>1</v>
      </c>
      <c r="Z90" s="57" t="s">
        <v>264</v>
      </c>
      <c r="AA90" s="119"/>
    </row>
    <row r="91" spans="2:27" ht="51" x14ac:dyDescent="0.25">
      <c r="B91" s="531"/>
      <c r="C91" s="2" t="s">
        <v>71</v>
      </c>
      <c r="D91" s="8" t="s">
        <v>79</v>
      </c>
      <c r="E91" s="57">
        <v>1</v>
      </c>
      <c r="F91" s="13">
        <v>300000</v>
      </c>
      <c r="G91" s="13">
        <f t="shared" si="26"/>
        <v>300000</v>
      </c>
      <c r="H91" s="53">
        <f t="shared" si="29"/>
        <v>7.5447934386452378</v>
      </c>
      <c r="I91" s="65">
        <f t="shared" si="40"/>
        <v>1</v>
      </c>
      <c r="J91" s="66">
        <f t="shared" si="40"/>
        <v>300000</v>
      </c>
      <c r="K91" s="66">
        <f t="shared" si="40"/>
        <v>300000</v>
      </c>
      <c r="L91" s="53">
        <f t="shared" si="30"/>
        <v>7.5447934386452378</v>
      </c>
      <c r="M91" s="65">
        <f t="shared" si="41"/>
        <v>1</v>
      </c>
      <c r="N91" s="66">
        <f t="shared" si="41"/>
        <v>300000</v>
      </c>
      <c r="O91" s="66">
        <f t="shared" si="41"/>
        <v>300000</v>
      </c>
      <c r="P91" s="53">
        <f t="shared" si="31"/>
        <v>7.5447934386452378</v>
      </c>
      <c r="Q91" s="53">
        <v>7.5937851449868745</v>
      </c>
      <c r="R91" s="56">
        <v>7.5937851449868745</v>
      </c>
      <c r="S91" s="56">
        <v>7.5937851449868745</v>
      </c>
      <c r="T91" s="53">
        <v>7.5937851449868745</v>
      </c>
      <c r="U91" s="56">
        <v>7.5937851449868745</v>
      </c>
      <c r="V91" s="56">
        <v>7.5937851449868745</v>
      </c>
      <c r="W91" s="56">
        <v>7.5937851449868745</v>
      </c>
      <c r="X91" s="136">
        <f t="shared" si="34"/>
        <v>75.790876330843844</v>
      </c>
      <c r="Y91" s="47">
        <v>1</v>
      </c>
      <c r="Z91" s="57" t="s">
        <v>264</v>
      </c>
      <c r="AA91" s="119"/>
    </row>
    <row r="92" spans="2:27" ht="38.25" x14ac:dyDescent="0.25">
      <c r="B92" s="531"/>
      <c r="C92" s="2" t="s">
        <v>53</v>
      </c>
      <c r="D92" s="3" t="s">
        <v>99</v>
      </c>
      <c r="E92" s="57">
        <v>320</v>
      </c>
      <c r="F92" s="13">
        <v>1100</v>
      </c>
      <c r="G92" s="13">
        <f t="shared" si="26"/>
        <v>352000</v>
      </c>
      <c r="H92" s="53">
        <f t="shared" si="29"/>
        <v>8.852557634677078</v>
      </c>
      <c r="I92" s="65"/>
      <c r="J92" s="66"/>
      <c r="K92" s="66"/>
      <c r="L92" s="53">
        <f t="shared" si="30"/>
        <v>0</v>
      </c>
      <c r="M92" s="65">
        <f t="shared" si="41"/>
        <v>320</v>
      </c>
      <c r="N92" s="66">
        <f t="shared" si="41"/>
        <v>1100</v>
      </c>
      <c r="O92" s="66">
        <f t="shared" si="41"/>
        <v>352000</v>
      </c>
      <c r="P92" s="53">
        <f t="shared" si="31"/>
        <v>8.852557634677078</v>
      </c>
      <c r="Q92" s="53">
        <v>8.9100412367845987</v>
      </c>
      <c r="R92" s="56">
        <v>0</v>
      </c>
      <c r="S92" s="56">
        <v>8.9100412367845987</v>
      </c>
      <c r="T92" s="53">
        <v>8.9100412367845987</v>
      </c>
      <c r="U92" s="56">
        <v>0</v>
      </c>
      <c r="V92" s="56">
        <v>8.9100412367845987</v>
      </c>
      <c r="W92" s="56">
        <v>8.9100412367845987</v>
      </c>
      <c r="X92" s="136">
        <f t="shared" si="34"/>
        <v>62.255321453277155</v>
      </c>
      <c r="Y92" s="47">
        <v>2</v>
      </c>
      <c r="Z92" s="57" t="s">
        <v>264</v>
      </c>
      <c r="AA92" s="119"/>
    </row>
    <row r="93" spans="2:27" ht="15.75" thickBot="1" x14ac:dyDescent="0.3">
      <c r="B93" s="532"/>
      <c r="C93" s="6" t="s">
        <v>189</v>
      </c>
      <c r="D93" s="35" t="s">
        <v>88</v>
      </c>
      <c r="E93" s="92">
        <v>1370</v>
      </c>
      <c r="F93" s="26">
        <v>800</v>
      </c>
      <c r="G93" s="26">
        <f t="shared" si="26"/>
        <v>1096000</v>
      </c>
      <c r="H93" s="86">
        <f t="shared" si="29"/>
        <v>27.563645362517267</v>
      </c>
      <c r="I93" s="87">
        <f t="shared" ref="I93:K94" si="42">+E93</f>
        <v>1370</v>
      </c>
      <c r="J93" s="69">
        <f t="shared" si="42"/>
        <v>800</v>
      </c>
      <c r="K93" s="69">
        <f t="shared" si="42"/>
        <v>1096000</v>
      </c>
      <c r="L93" s="86">
        <f t="shared" si="30"/>
        <v>27.563645362517267</v>
      </c>
      <c r="M93" s="87">
        <f t="shared" si="41"/>
        <v>1370</v>
      </c>
      <c r="N93" s="69">
        <f t="shared" si="41"/>
        <v>800</v>
      </c>
      <c r="O93" s="69">
        <f t="shared" si="41"/>
        <v>1096000</v>
      </c>
      <c r="P93" s="86">
        <f t="shared" si="31"/>
        <v>27.563645362517267</v>
      </c>
      <c r="Q93" s="86">
        <v>27.74262839635205</v>
      </c>
      <c r="R93" s="88">
        <v>27.74262839635205</v>
      </c>
      <c r="S93" s="88">
        <v>27.74262839635205</v>
      </c>
      <c r="T93" s="86">
        <v>27.74262839635205</v>
      </c>
      <c r="U93" s="88">
        <v>27.74262839635205</v>
      </c>
      <c r="V93" s="88">
        <v>27.74262839635205</v>
      </c>
      <c r="W93" s="88">
        <v>27.74262839635205</v>
      </c>
      <c r="X93" s="137">
        <f t="shared" si="34"/>
        <v>276.88933486201614</v>
      </c>
      <c r="Y93" s="48">
        <v>1</v>
      </c>
      <c r="Z93" s="92" t="s">
        <v>264</v>
      </c>
      <c r="AA93" s="145"/>
    </row>
    <row r="94" spans="2:27" ht="38.25" x14ac:dyDescent="0.25">
      <c r="B94" s="533" t="s">
        <v>12</v>
      </c>
      <c r="C94" s="20" t="s">
        <v>75</v>
      </c>
      <c r="D94" s="32" t="s">
        <v>77</v>
      </c>
      <c r="E94" s="95">
        <v>500</v>
      </c>
      <c r="F94" s="25">
        <v>800</v>
      </c>
      <c r="G94" s="25">
        <f t="shared" si="26"/>
        <v>400000</v>
      </c>
      <c r="H94" s="75">
        <f t="shared" si="29"/>
        <v>10.059724584860316</v>
      </c>
      <c r="I94" s="76">
        <f t="shared" si="42"/>
        <v>500</v>
      </c>
      <c r="J94" s="67">
        <f t="shared" si="42"/>
        <v>800</v>
      </c>
      <c r="K94" s="67">
        <f t="shared" si="42"/>
        <v>400000</v>
      </c>
      <c r="L94" s="75">
        <f t="shared" si="30"/>
        <v>10.059724584860316</v>
      </c>
      <c r="M94" s="76">
        <f t="shared" si="41"/>
        <v>500</v>
      </c>
      <c r="N94" s="67">
        <f t="shared" si="41"/>
        <v>800</v>
      </c>
      <c r="O94" s="67">
        <f t="shared" si="41"/>
        <v>400000</v>
      </c>
      <c r="P94" s="75">
        <f t="shared" si="31"/>
        <v>10.059724584860316</v>
      </c>
      <c r="Q94" s="75">
        <v>10.125046859982499</v>
      </c>
      <c r="R94" s="96">
        <v>10.125046859982499</v>
      </c>
      <c r="S94" s="96">
        <v>10.125046859982499</v>
      </c>
      <c r="T94" s="75">
        <v>10.125046859982499</v>
      </c>
      <c r="U94" s="96">
        <v>10.125046859982499</v>
      </c>
      <c r="V94" s="96">
        <v>10.125046859982499</v>
      </c>
      <c r="W94" s="96">
        <v>10.125046859982499</v>
      </c>
      <c r="X94" s="138">
        <f t="shared" si="34"/>
        <v>101.05450177445846</v>
      </c>
      <c r="Y94" s="49">
        <v>1</v>
      </c>
      <c r="Z94" s="95" t="s">
        <v>261</v>
      </c>
      <c r="AA94" s="121" t="s">
        <v>284</v>
      </c>
    </row>
    <row r="95" spans="2:27" ht="30" x14ac:dyDescent="0.25">
      <c r="B95" s="531"/>
      <c r="C95" s="2" t="s">
        <v>214</v>
      </c>
      <c r="D95" s="3" t="s">
        <v>100</v>
      </c>
      <c r="E95" s="57">
        <v>720</v>
      </c>
      <c r="F95" s="13">
        <v>1100</v>
      </c>
      <c r="G95" s="13">
        <f t="shared" si="26"/>
        <v>792000</v>
      </c>
      <c r="H95" s="53">
        <f t="shared" si="29"/>
        <v>19.918254678023427</v>
      </c>
      <c r="I95" s="65"/>
      <c r="J95" s="66"/>
      <c r="K95" s="66"/>
      <c r="L95" s="53">
        <f t="shared" si="30"/>
        <v>0</v>
      </c>
      <c r="M95" s="65"/>
      <c r="N95" s="66"/>
      <c r="O95" s="66"/>
      <c r="P95" s="53">
        <f t="shared" si="31"/>
        <v>0</v>
      </c>
      <c r="Q95" s="53">
        <v>20.047592782765349</v>
      </c>
      <c r="R95" s="56">
        <v>0</v>
      </c>
      <c r="S95" s="56">
        <v>0</v>
      </c>
      <c r="T95" s="53">
        <v>20.047592782765349</v>
      </c>
      <c r="U95" s="56">
        <v>0</v>
      </c>
      <c r="V95" s="56">
        <v>0</v>
      </c>
      <c r="W95" s="56">
        <v>20.047592782765349</v>
      </c>
      <c r="X95" s="136">
        <f t="shared" si="34"/>
        <v>80.061033026319478</v>
      </c>
      <c r="Y95" s="47">
        <v>3</v>
      </c>
      <c r="Z95" s="57" t="s">
        <v>261</v>
      </c>
      <c r="AA95" s="147" t="s">
        <v>272</v>
      </c>
    </row>
    <row r="96" spans="2:27" ht="38.25" x14ac:dyDescent="0.25">
      <c r="B96" s="531"/>
      <c r="C96" s="2" t="s">
        <v>53</v>
      </c>
      <c r="D96" s="3" t="s">
        <v>74</v>
      </c>
      <c r="E96" s="57">
        <v>2180</v>
      </c>
      <c r="F96" s="13">
        <v>4200</v>
      </c>
      <c r="G96" s="13">
        <f t="shared" ref="G96:G127" si="43">+F96*E96</f>
        <v>9156000</v>
      </c>
      <c r="H96" s="53">
        <f t="shared" si="29"/>
        <v>230.26709574745266</v>
      </c>
      <c r="I96" s="65"/>
      <c r="J96" s="66"/>
      <c r="K96" s="66"/>
      <c r="L96" s="53">
        <f t="shared" si="30"/>
        <v>0</v>
      </c>
      <c r="M96" s="65">
        <f t="shared" ref="M96:O102" si="44">+E96</f>
        <v>2180</v>
      </c>
      <c r="N96" s="66">
        <f t="shared" si="44"/>
        <v>4200</v>
      </c>
      <c r="O96" s="66">
        <f t="shared" si="44"/>
        <v>9156000</v>
      </c>
      <c r="P96" s="53">
        <f t="shared" si="31"/>
        <v>230.26709574745266</v>
      </c>
      <c r="Q96" s="53">
        <v>231.7623226249994</v>
      </c>
      <c r="R96" s="56">
        <v>0</v>
      </c>
      <c r="S96" s="56">
        <v>231.7623226249994</v>
      </c>
      <c r="T96" s="53">
        <v>231.7623226249994</v>
      </c>
      <c r="U96" s="56">
        <v>0</v>
      </c>
      <c r="V96" s="56">
        <v>231.7623226249994</v>
      </c>
      <c r="W96" s="56">
        <v>231.7623226249994</v>
      </c>
      <c r="X96" s="136">
        <f t="shared" si="34"/>
        <v>1619.3458046199021</v>
      </c>
      <c r="Y96" s="47">
        <v>2</v>
      </c>
      <c r="Z96" s="57" t="s">
        <v>262</v>
      </c>
      <c r="AA96" s="119" t="s">
        <v>285</v>
      </c>
    </row>
    <row r="97" spans="2:27" ht="25.5" x14ac:dyDescent="0.25">
      <c r="B97" s="531"/>
      <c r="C97" s="2" t="s">
        <v>188</v>
      </c>
      <c r="D97" s="3" t="s">
        <v>81</v>
      </c>
      <c r="E97" s="57">
        <v>500</v>
      </c>
      <c r="F97" s="13">
        <v>4200</v>
      </c>
      <c r="G97" s="13">
        <f t="shared" si="43"/>
        <v>2100000</v>
      </c>
      <c r="H97" s="53">
        <f t="shared" si="29"/>
        <v>52.813554070516659</v>
      </c>
      <c r="I97" s="65">
        <f t="shared" ref="I97:K102" si="45">+E97</f>
        <v>500</v>
      </c>
      <c r="J97" s="66">
        <f t="shared" si="45"/>
        <v>4200</v>
      </c>
      <c r="K97" s="66">
        <f t="shared" si="45"/>
        <v>2100000</v>
      </c>
      <c r="L97" s="53">
        <f t="shared" si="30"/>
        <v>52.813554070516659</v>
      </c>
      <c r="M97" s="65">
        <f t="shared" si="44"/>
        <v>500</v>
      </c>
      <c r="N97" s="66">
        <f t="shared" si="44"/>
        <v>4200</v>
      </c>
      <c r="O97" s="66">
        <f t="shared" si="44"/>
        <v>2100000</v>
      </c>
      <c r="P97" s="53">
        <f t="shared" si="31"/>
        <v>52.813554070516659</v>
      </c>
      <c r="Q97" s="53">
        <v>53.156496014908122</v>
      </c>
      <c r="R97" s="56">
        <v>53.156496014908122</v>
      </c>
      <c r="S97" s="56">
        <v>53.156496014908122</v>
      </c>
      <c r="T97" s="53">
        <v>53.156496014908122</v>
      </c>
      <c r="U97" s="56">
        <v>53.156496014908122</v>
      </c>
      <c r="V97" s="56">
        <v>53.156496014908122</v>
      </c>
      <c r="W97" s="56">
        <v>53.156496014908122</v>
      </c>
      <c r="X97" s="136">
        <f t="shared" si="34"/>
        <v>530.53613431590679</v>
      </c>
      <c r="Y97" s="47">
        <v>1</v>
      </c>
      <c r="Z97" s="57" t="s">
        <v>262</v>
      </c>
      <c r="AA97" s="119" t="s">
        <v>285</v>
      </c>
    </row>
    <row r="98" spans="2:27" ht="51" x14ac:dyDescent="0.25">
      <c r="B98" s="531"/>
      <c r="C98" s="2" t="s">
        <v>236</v>
      </c>
      <c r="D98" s="8" t="s">
        <v>79</v>
      </c>
      <c r="E98" s="57">
        <v>1</v>
      </c>
      <c r="F98" s="13">
        <v>350000</v>
      </c>
      <c r="G98" s="13">
        <f t="shared" si="43"/>
        <v>350000</v>
      </c>
      <c r="H98" s="53">
        <f t="shared" si="29"/>
        <v>8.8022590117527777</v>
      </c>
      <c r="I98" s="65">
        <f t="shared" si="45"/>
        <v>1</v>
      </c>
      <c r="J98" s="66">
        <f t="shared" si="45"/>
        <v>350000</v>
      </c>
      <c r="K98" s="66">
        <f t="shared" si="45"/>
        <v>350000</v>
      </c>
      <c r="L98" s="53">
        <f t="shared" si="30"/>
        <v>8.8022590117527777</v>
      </c>
      <c r="M98" s="65">
        <f t="shared" si="44"/>
        <v>1</v>
      </c>
      <c r="N98" s="66">
        <f t="shared" si="44"/>
        <v>350000</v>
      </c>
      <c r="O98" s="66">
        <f t="shared" si="44"/>
        <v>350000</v>
      </c>
      <c r="P98" s="53">
        <f t="shared" si="31"/>
        <v>8.8022590117527777</v>
      </c>
      <c r="Q98" s="53">
        <v>8.8594160024846875</v>
      </c>
      <c r="R98" s="56">
        <v>8.8594160024846875</v>
      </c>
      <c r="S98" s="56">
        <v>8.8594160024846875</v>
      </c>
      <c r="T98" s="53">
        <v>8.8594160024846875</v>
      </c>
      <c r="U98" s="56">
        <v>8.8594160024846875</v>
      </c>
      <c r="V98" s="56">
        <v>8.8594160024846875</v>
      </c>
      <c r="W98" s="56">
        <v>8.8594160024846875</v>
      </c>
      <c r="X98" s="136">
        <f t="shared" si="34"/>
        <v>88.422689052651151</v>
      </c>
      <c r="Y98" s="47">
        <v>1</v>
      </c>
      <c r="Z98" s="57" t="s">
        <v>264</v>
      </c>
      <c r="AA98" s="146"/>
    </row>
    <row r="99" spans="2:27" x14ac:dyDescent="0.25">
      <c r="B99" s="531"/>
      <c r="C99" s="2" t="s">
        <v>189</v>
      </c>
      <c r="D99" s="14" t="s">
        <v>88</v>
      </c>
      <c r="E99" s="57">
        <v>1850</v>
      </c>
      <c r="F99" s="13">
        <v>800</v>
      </c>
      <c r="G99" s="13">
        <f t="shared" si="43"/>
        <v>1480000</v>
      </c>
      <c r="H99" s="53">
        <f t="shared" si="29"/>
        <v>37.220980963983173</v>
      </c>
      <c r="I99" s="65">
        <f t="shared" si="45"/>
        <v>1850</v>
      </c>
      <c r="J99" s="66">
        <f t="shared" si="45"/>
        <v>800</v>
      </c>
      <c r="K99" s="66">
        <f t="shared" si="45"/>
        <v>1480000</v>
      </c>
      <c r="L99" s="53">
        <f t="shared" si="30"/>
        <v>37.220980963983173</v>
      </c>
      <c r="M99" s="65">
        <f t="shared" si="44"/>
        <v>1850</v>
      </c>
      <c r="N99" s="66">
        <f t="shared" si="44"/>
        <v>800</v>
      </c>
      <c r="O99" s="66">
        <f t="shared" si="44"/>
        <v>1480000</v>
      </c>
      <c r="P99" s="53">
        <f t="shared" si="31"/>
        <v>37.220980963983173</v>
      </c>
      <c r="Q99" s="53">
        <v>37.462673381935247</v>
      </c>
      <c r="R99" s="56">
        <v>37.462673381935247</v>
      </c>
      <c r="S99" s="56">
        <v>37.462673381935247</v>
      </c>
      <c r="T99" s="53">
        <v>37.462673381935247</v>
      </c>
      <c r="U99" s="56">
        <v>37.462673381935247</v>
      </c>
      <c r="V99" s="56">
        <v>37.462673381935247</v>
      </c>
      <c r="W99" s="56">
        <v>37.462673381935247</v>
      </c>
      <c r="X99" s="136">
        <f t="shared" si="34"/>
        <v>373.90165656549624</v>
      </c>
      <c r="Y99" s="47">
        <v>1</v>
      </c>
      <c r="Z99" s="57" t="s">
        <v>262</v>
      </c>
      <c r="AA99" s="119" t="s">
        <v>286</v>
      </c>
    </row>
    <row r="100" spans="2:27" ht="25.5" x14ac:dyDescent="0.25">
      <c r="B100" s="531"/>
      <c r="C100" s="2" t="s">
        <v>97</v>
      </c>
      <c r="D100" s="3" t="s">
        <v>81</v>
      </c>
      <c r="E100" s="57">
        <v>28</v>
      </c>
      <c r="F100" s="13">
        <v>1100</v>
      </c>
      <c r="G100" s="13">
        <f t="shared" si="43"/>
        <v>30800</v>
      </c>
      <c r="H100" s="53">
        <f t="shared" si="29"/>
        <v>0.77459879303424439</v>
      </c>
      <c r="I100" s="65">
        <f t="shared" si="45"/>
        <v>28</v>
      </c>
      <c r="J100" s="66">
        <f t="shared" si="45"/>
        <v>1100</v>
      </c>
      <c r="K100" s="66">
        <f t="shared" si="45"/>
        <v>30800</v>
      </c>
      <c r="L100" s="53">
        <f t="shared" si="30"/>
        <v>0.77459879303424439</v>
      </c>
      <c r="M100" s="65">
        <f t="shared" si="44"/>
        <v>28</v>
      </c>
      <c r="N100" s="66">
        <f t="shared" si="44"/>
        <v>1100</v>
      </c>
      <c r="O100" s="66">
        <f t="shared" si="44"/>
        <v>30800</v>
      </c>
      <c r="P100" s="53">
        <f t="shared" si="31"/>
        <v>0.77459879303424439</v>
      </c>
      <c r="Q100" s="53">
        <v>0.77962860821865243</v>
      </c>
      <c r="R100" s="56">
        <v>0.77962860821865243</v>
      </c>
      <c r="S100" s="56">
        <v>0.77962860821865243</v>
      </c>
      <c r="T100" s="53">
        <v>0.77962860821865243</v>
      </c>
      <c r="U100" s="56">
        <v>0.77962860821865243</v>
      </c>
      <c r="V100" s="56">
        <v>0.77962860821865243</v>
      </c>
      <c r="W100" s="56">
        <v>0.77962860821865243</v>
      </c>
      <c r="X100" s="136">
        <f t="shared" si="34"/>
        <v>7.7811966366332985</v>
      </c>
      <c r="Y100" s="47">
        <v>1</v>
      </c>
      <c r="Z100" s="57" t="s">
        <v>264</v>
      </c>
      <c r="AA100" s="119" t="s">
        <v>285</v>
      </c>
    </row>
    <row r="101" spans="2:27" ht="82.5" customHeight="1" thickBot="1" x14ac:dyDescent="0.3">
      <c r="B101" s="534"/>
      <c r="C101" s="21" t="s">
        <v>68</v>
      </c>
      <c r="D101" s="23" t="s">
        <v>69</v>
      </c>
      <c r="E101" s="90">
        <v>1</v>
      </c>
      <c r="F101" s="16">
        <v>200000</v>
      </c>
      <c r="G101" s="16">
        <f t="shared" si="43"/>
        <v>200000</v>
      </c>
      <c r="H101" s="77">
        <f t="shared" si="29"/>
        <v>5.0298622924301579</v>
      </c>
      <c r="I101" s="78">
        <f t="shared" si="45"/>
        <v>1</v>
      </c>
      <c r="J101" s="68">
        <f t="shared" si="45"/>
        <v>200000</v>
      </c>
      <c r="K101" s="68">
        <f t="shared" si="45"/>
        <v>200000</v>
      </c>
      <c r="L101" s="77">
        <f t="shared" si="30"/>
        <v>5.0298622924301579</v>
      </c>
      <c r="M101" s="78">
        <f t="shared" si="44"/>
        <v>1</v>
      </c>
      <c r="N101" s="68">
        <f t="shared" si="44"/>
        <v>200000</v>
      </c>
      <c r="O101" s="68">
        <f t="shared" si="44"/>
        <v>200000</v>
      </c>
      <c r="P101" s="77">
        <f t="shared" si="31"/>
        <v>5.0298622924301579</v>
      </c>
      <c r="Q101" s="77">
        <v>5.0625234299912494</v>
      </c>
      <c r="R101" s="84">
        <v>5.0625234299912494</v>
      </c>
      <c r="S101" s="84">
        <v>5.0625234299912494</v>
      </c>
      <c r="T101" s="77">
        <v>5.0625234299912494</v>
      </c>
      <c r="U101" s="84">
        <v>5.0625234299912494</v>
      </c>
      <c r="V101" s="84">
        <v>5.0625234299912494</v>
      </c>
      <c r="W101" s="84">
        <v>5.0625234299912494</v>
      </c>
      <c r="X101" s="139">
        <f t="shared" si="34"/>
        <v>50.527250887229229</v>
      </c>
      <c r="Y101" s="50">
        <v>1</v>
      </c>
      <c r="Z101" s="90" t="s">
        <v>264</v>
      </c>
      <c r="AA101" s="117"/>
    </row>
    <row r="102" spans="2:27" ht="38.25" x14ac:dyDescent="0.25">
      <c r="B102" s="530" t="s">
        <v>13</v>
      </c>
      <c r="C102" s="19" t="s">
        <v>75</v>
      </c>
      <c r="D102" s="31" t="s">
        <v>77</v>
      </c>
      <c r="E102" s="103">
        <v>500</v>
      </c>
      <c r="F102" s="24">
        <v>800</v>
      </c>
      <c r="G102" s="24">
        <f t="shared" si="43"/>
        <v>400000</v>
      </c>
      <c r="H102" s="81">
        <f t="shared" si="29"/>
        <v>10.059724584860316</v>
      </c>
      <c r="I102" s="82">
        <f t="shared" si="45"/>
        <v>500</v>
      </c>
      <c r="J102" s="74">
        <f t="shared" si="45"/>
        <v>800</v>
      </c>
      <c r="K102" s="74">
        <f t="shared" si="45"/>
        <v>400000</v>
      </c>
      <c r="L102" s="81">
        <f t="shared" si="30"/>
        <v>10.059724584860316</v>
      </c>
      <c r="M102" s="82">
        <f t="shared" si="44"/>
        <v>500</v>
      </c>
      <c r="N102" s="74">
        <f t="shared" si="44"/>
        <v>800</v>
      </c>
      <c r="O102" s="74">
        <f t="shared" si="44"/>
        <v>400000</v>
      </c>
      <c r="P102" s="81">
        <f t="shared" si="31"/>
        <v>10.059724584860316</v>
      </c>
      <c r="Q102" s="81">
        <v>10.125046859982499</v>
      </c>
      <c r="R102" s="102">
        <v>10.125046859982499</v>
      </c>
      <c r="S102" s="102">
        <v>10.125046859982499</v>
      </c>
      <c r="T102" s="81">
        <v>10.125046859982499</v>
      </c>
      <c r="U102" s="102">
        <v>10.125046859982499</v>
      </c>
      <c r="V102" s="102">
        <v>10.125046859982499</v>
      </c>
      <c r="W102" s="102">
        <v>10.125046859982499</v>
      </c>
      <c r="X102" s="135">
        <f t="shared" si="34"/>
        <v>101.05450177445846</v>
      </c>
      <c r="Y102" s="46">
        <v>1</v>
      </c>
      <c r="Z102" s="103" t="s">
        <v>261</v>
      </c>
      <c r="AA102" s="133" t="s">
        <v>284</v>
      </c>
    </row>
    <row r="103" spans="2:27" ht="30" x14ac:dyDescent="0.25">
      <c r="B103" s="531"/>
      <c r="C103" s="2" t="s">
        <v>214</v>
      </c>
      <c r="D103" s="3" t="s">
        <v>100</v>
      </c>
      <c r="E103" s="57">
        <v>720</v>
      </c>
      <c r="F103" s="13">
        <v>1100</v>
      </c>
      <c r="G103" s="13">
        <f t="shared" si="43"/>
        <v>792000</v>
      </c>
      <c r="H103" s="53">
        <f t="shared" si="29"/>
        <v>19.918254678023427</v>
      </c>
      <c r="I103" s="65"/>
      <c r="J103" s="66"/>
      <c r="K103" s="66"/>
      <c r="L103" s="53">
        <f t="shared" si="30"/>
        <v>0</v>
      </c>
      <c r="M103" s="65"/>
      <c r="N103" s="66"/>
      <c r="O103" s="66"/>
      <c r="P103" s="53">
        <f t="shared" si="31"/>
        <v>0</v>
      </c>
      <c r="Q103" s="53">
        <v>20.047592782765349</v>
      </c>
      <c r="R103" s="56">
        <v>0</v>
      </c>
      <c r="S103" s="56">
        <v>0</v>
      </c>
      <c r="T103" s="53">
        <v>20.047592782765349</v>
      </c>
      <c r="U103" s="56">
        <v>0</v>
      </c>
      <c r="V103" s="56">
        <v>0</v>
      </c>
      <c r="W103" s="56">
        <v>20.047592782765349</v>
      </c>
      <c r="X103" s="136">
        <f t="shared" si="34"/>
        <v>80.061033026319478</v>
      </c>
      <c r="Y103" s="47">
        <v>3</v>
      </c>
      <c r="Z103" s="57" t="s">
        <v>261</v>
      </c>
      <c r="AA103" s="147" t="s">
        <v>272</v>
      </c>
    </row>
    <row r="104" spans="2:27" ht="38.25" x14ac:dyDescent="0.25">
      <c r="B104" s="531"/>
      <c r="C104" s="2" t="s">
        <v>53</v>
      </c>
      <c r="D104" s="3" t="s">
        <v>74</v>
      </c>
      <c r="E104" s="57">
        <v>2180</v>
      </c>
      <c r="F104" s="13">
        <v>4200</v>
      </c>
      <c r="G104" s="13">
        <f t="shared" si="43"/>
        <v>9156000</v>
      </c>
      <c r="H104" s="53">
        <f t="shared" si="29"/>
        <v>230.26709574745266</v>
      </c>
      <c r="I104" s="65"/>
      <c r="J104" s="66"/>
      <c r="K104" s="66"/>
      <c r="L104" s="53">
        <f t="shared" si="30"/>
        <v>0</v>
      </c>
      <c r="M104" s="65">
        <f t="shared" ref="M104:O110" si="46">+E104</f>
        <v>2180</v>
      </c>
      <c r="N104" s="66">
        <f t="shared" si="46"/>
        <v>4200</v>
      </c>
      <c r="O104" s="66">
        <f t="shared" si="46"/>
        <v>9156000</v>
      </c>
      <c r="P104" s="53">
        <f t="shared" si="31"/>
        <v>230.26709574745266</v>
      </c>
      <c r="Q104" s="53">
        <v>231.7623226249994</v>
      </c>
      <c r="R104" s="56">
        <v>0</v>
      </c>
      <c r="S104" s="56">
        <v>231.7623226249994</v>
      </c>
      <c r="T104" s="53">
        <v>231.7623226249994</v>
      </c>
      <c r="U104" s="56">
        <v>0</v>
      </c>
      <c r="V104" s="56">
        <v>231.7623226249994</v>
      </c>
      <c r="W104" s="56">
        <v>231.7623226249994</v>
      </c>
      <c r="X104" s="136">
        <f t="shared" si="34"/>
        <v>1619.3458046199021</v>
      </c>
      <c r="Y104" s="47">
        <v>2</v>
      </c>
      <c r="Z104" s="57" t="s">
        <v>262</v>
      </c>
      <c r="AA104" s="119" t="s">
        <v>285</v>
      </c>
    </row>
    <row r="105" spans="2:27" ht="30" customHeight="1" x14ac:dyDescent="0.25">
      <c r="B105" s="531"/>
      <c r="C105" s="2" t="s">
        <v>188</v>
      </c>
      <c r="D105" s="3" t="s">
        <v>81</v>
      </c>
      <c r="E105" s="57">
        <v>500</v>
      </c>
      <c r="F105" s="13">
        <v>4200</v>
      </c>
      <c r="G105" s="13">
        <f t="shared" si="43"/>
        <v>2100000</v>
      </c>
      <c r="H105" s="53">
        <f t="shared" si="29"/>
        <v>52.813554070516659</v>
      </c>
      <c r="I105" s="65">
        <f t="shared" ref="I105:K110" si="47">+E105</f>
        <v>500</v>
      </c>
      <c r="J105" s="66">
        <f t="shared" si="47"/>
        <v>4200</v>
      </c>
      <c r="K105" s="66">
        <f t="shared" si="47"/>
        <v>2100000</v>
      </c>
      <c r="L105" s="53">
        <f t="shared" si="30"/>
        <v>52.813554070516659</v>
      </c>
      <c r="M105" s="65">
        <f t="shared" si="46"/>
        <v>500</v>
      </c>
      <c r="N105" s="66">
        <f t="shared" si="46"/>
        <v>4200</v>
      </c>
      <c r="O105" s="66">
        <f t="shared" si="46"/>
        <v>2100000</v>
      </c>
      <c r="P105" s="53">
        <f t="shared" si="31"/>
        <v>52.813554070516659</v>
      </c>
      <c r="Q105" s="53">
        <v>53.156496014908122</v>
      </c>
      <c r="R105" s="56">
        <v>53.156496014908122</v>
      </c>
      <c r="S105" s="56">
        <v>53.156496014908122</v>
      </c>
      <c r="T105" s="53">
        <v>53.156496014908122</v>
      </c>
      <c r="U105" s="56">
        <v>53.156496014908122</v>
      </c>
      <c r="V105" s="56">
        <v>53.156496014908122</v>
      </c>
      <c r="W105" s="56">
        <v>53.156496014908122</v>
      </c>
      <c r="X105" s="136">
        <f t="shared" si="34"/>
        <v>530.53613431590679</v>
      </c>
      <c r="Y105" s="47">
        <v>1</v>
      </c>
      <c r="Z105" s="57" t="s">
        <v>262</v>
      </c>
      <c r="AA105" s="119" t="s">
        <v>285</v>
      </c>
    </row>
    <row r="106" spans="2:27" ht="51" x14ac:dyDescent="0.25">
      <c r="B106" s="531"/>
      <c r="C106" s="2" t="s">
        <v>236</v>
      </c>
      <c r="D106" s="8" t="s">
        <v>79</v>
      </c>
      <c r="E106" s="57">
        <v>1</v>
      </c>
      <c r="F106" s="13">
        <v>350000</v>
      </c>
      <c r="G106" s="13">
        <f t="shared" si="43"/>
        <v>350000</v>
      </c>
      <c r="H106" s="53">
        <f t="shared" si="29"/>
        <v>8.8022590117527777</v>
      </c>
      <c r="I106" s="65">
        <f t="shared" si="47"/>
        <v>1</v>
      </c>
      <c r="J106" s="66">
        <f t="shared" si="47"/>
        <v>350000</v>
      </c>
      <c r="K106" s="66">
        <f t="shared" si="47"/>
        <v>350000</v>
      </c>
      <c r="L106" s="53">
        <f t="shared" si="30"/>
        <v>8.8022590117527777</v>
      </c>
      <c r="M106" s="65">
        <f t="shared" si="46"/>
        <v>1</v>
      </c>
      <c r="N106" s="66">
        <f t="shared" si="46"/>
        <v>350000</v>
      </c>
      <c r="O106" s="66">
        <f t="shared" si="46"/>
        <v>350000</v>
      </c>
      <c r="P106" s="53">
        <f t="shared" si="31"/>
        <v>8.8022590117527777</v>
      </c>
      <c r="Q106" s="53">
        <v>8.8594160024846875</v>
      </c>
      <c r="R106" s="56">
        <v>8.8594160024846875</v>
      </c>
      <c r="S106" s="56">
        <v>8.8594160024846875</v>
      </c>
      <c r="T106" s="53">
        <v>8.8594160024846875</v>
      </c>
      <c r="U106" s="56">
        <v>8.8594160024846875</v>
      </c>
      <c r="V106" s="56">
        <v>8.8594160024846875</v>
      </c>
      <c r="W106" s="56">
        <v>8.8594160024846875</v>
      </c>
      <c r="X106" s="136">
        <f t="shared" si="34"/>
        <v>88.422689052651151</v>
      </c>
      <c r="Y106" s="47">
        <v>1</v>
      </c>
      <c r="Z106" s="57" t="s">
        <v>264</v>
      </c>
      <c r="AA106" s="146"/>
    </row>
    <row r="107" spans="2:27" x14ac:dyDescent="0.25">
      <c r="B107" s="531"/>
      <c r="C107" s="2" t="s">
        <v>189</v>
      </c>
      <c r="D107" s="14" t="s">
        <v>88</v>
      </c>
      <c r="E107" s="57">
        <v>1850</v>
      </c>
      <c r="F107" s="13">
        <v>800</v>
      </c>
      <c r="G107" s="13">
        <f t="shared" si="43"/>
        <v>1480000</v>
      </c>
      <c r="H107" s="53">
        <f t="shared" si="29"/>
        <v>37.220980963983173</v>
      </c>
      <c r="I107" s="65">
        <f t="shared" si="47"/>
        <v>1850</v>
      </c>
      <c r="J107" s="66">
        <f t="shared" si="47"/>
        <v>800</v>
      </c>
      <c r="K107" s="66">
        <f t="shared" si="47"/>
        <v>1480000</v>
      </c>
      <c r="L107" s="53">
        <f t="shared" si="30"/>
        <v>37.220980963983173</v>
      </c>
      <c r="M107" s="65">
        <f t="shared" si="46"/>
        <v>1850</v>
      </c>
      <c r="N107" s="66">
        <f t="shared" si="46"/>
        <v>800</v>
      </c>
      <c r="O107" s="66">
        <f t="shared" si="46"/>
        <v>1480000</v>
      </c>
      <c r="P107" s="53">
        <f t="shared" si="31"/>
        <v>37.220980963983173</v>
      </c>
      <c r="Q107" s="53">
        <v>37.462673381935247</v>
      </c>
      <c r="R107" s="56">
        <v>37.462673381935247</v>
      </c>
      <c r="S107" s="56">
        <v>37.462673381935247</v>
      </c>
      <c r="T107" s="53">
        <v>37.462673381935247</v>
      </c>
      <c r="U107" s="56">
        <v>37.462673381935247</v>
      </c>
      <c r="V107" s="56">
        <v>37.462673381935247</v>
      </c>
      <c r="W107" s="56">
        <v>37.462673381935247</v>
      </c>
      <c r="X107" s="136">
        <f t="shared" si="34"/>
        <v>373.90165656549624</v>
      </c>
      <c r="Y107" s="47">
        <v>1</v>
      </c>
      <c r="Z107" s="57" t="s">
        <v>262</v>
      </c>
      <c r="AA107" s="119" t="s">
        <v>273</v>
      </c>
    </row>
    <row r="108" spans="2:27" ht="25.5" x14ac:dyDescent="0.25">
      <c r="B108" s="531"/>
      <c r="C108" s="2" t="s">
        <v>97</v>
      </c>
      <c r="D108" s="3" t="s">
        <v>81</v>
      </c>
      <c r="E108" s="57">
        <v>28</v>
      </c>
      <c r="F108" s="13">
        <v>1100</v>
      </c>
      <c r="G108" s="13">
        <f t="shared" si="43"/>
        <v>30800</v>
      </c>
      <c r="H108" s="53">
        <f t="shared" si="29"/>
        <v>0.77459879303424439</v>
      </c>
      <c r="I108" s="65">
        <f t="shared" si="47"/>
        <v>28</v>
      </c>
      <c r="J108" s="66">
        <f t="shared" si="47"/>
        <v>1100</v>
      </c>
      <c r="K108" s="66">
        <f t="shared" si="47"/>
        <v>30800</v>
      </c>
      <c r="L108" s="53">
        <f t="shared" si="30"/>
        <v>0.77459879303424439</v>
      </c>
      <c r="M108" s="65">
        <f t="shared" si="46"/>
        <v>28</v>
      </c>
      <c r="N108" s="66">
        <f t="shared" si="46"/>
        <v>1100</v>
      </c>
      <c r="O108" s="66">
        <f t="shared" si="46"/>
        <v>30800</v>
      </c>
      <c r="P108" s="53">
        <f t="shared" si="31"/>
        <v>0.77459879303424439</v>
      </c>
      <c r="Q108" s="53">
        <v>0.77962860821865243</v>
      </c>
      <c r="R108" s="56">
        <v>0.77962860821865243</v>
      </c>
      <c r="S108" s="56">
        <v>0.77962860821865243</v>
      </c>
      <c r="T108" s="53">
        <v>0.77962860821865243</v>
      </c>
      <c r="U108" s="56">
        <v>0.77962860821865243</v>
      </c>
      <c r="V108" s="56">
        <v>0.77962860821865243</v>
      </c>
      <c r="W108" s="56">
        <v>0.77962860821865243</v>
      </c>
      <c r="X108" s="136">
        <f t="shared" si="34"/>
        <v>7.7811966366332985</v>
      </c>
      <c r="Y108" s="47">
        <v>1</v>
      </c>
      <c r="Z108" s="57" t="s">
        <v>264</v>
      </c>
      <c r="AA108" s="119" t="s">
        <v>285</v>
      </c>
    </row>
    <row r="109" spans="2:27" ht="82.5" customHeight="1" thickBot="1" x14ac:dyDescent="0.3">
      <c r="B109" s="532"/>
      <c r="C109" s="6" t="s">
        <v>68</v>
      </c>
      <c r="D109" s="34" t="s">
        <v>69</v>
      </c>
      <c r="E109" s="92">
        <v>1</v>
      </c>
      <c r="F109" s="26">
        <v>250000</v>
      </c>
      <c r="G109" s="26">
        <f t="shared" si="43"/>
        <v>250000</v>
      </c>
      <c r="H109" s="86">
        <f t="shared" si="29"/>
        <v>6.2873278655376978</v>
      </c>
      <c r="I109" s="87">
        <f t="shared" si="47"/>
        <v>1</v>
      </c>
      <c r="J109" s="69">
        <f t="shared" si="47"/>
        <v>250000</v>
      </c>
      <c r="K109" s="69">
        <f t="shared" si="47"/>
        <v>250000</v>
      </c>
      <c r="L109" s="86">
        <f t="shared" si="30"/>
        <v>6.2873278655376978</v>
      </c>
      <c r="M109" s="87">
        <f t="shared" si="46"/>
        <v>1</v>
      </c>
      <c r="N109" s="69">
        <f t="shared" si="46"/>
        <v>250000</v>
      </c>
      <c r="O109" s="69">
        <f t="shared" si="46"/>
        <v>250000</v>
      </c>
      <c r="P109" s="86">
        <f t="shared" si="31"/>
        <v>6.2873278655376978</v>
      </c>
      <c r="Q109" s="86">
        <v>6.3281542874890624</v>
      </c>
      <c r="R109" s="88">
        <v>6.3281542874890624</v>
      </c>
      <c r="S109" s="88">
        <v>6.3281542874890624</v>
      </c>
      <c r="T109" s="86">
        <v>6.3281542874890624</v>
      </c>
      <c r="U109" s="88">
        <v>6.3281542874890624</v>
      </c>
      <c r="V109" s="88">
        <v>6.3281542874890624</v>
      </c>
      <c r="W109" s="88">
        <v>6.3281542874890624</v>
      </c>
      <c r="X109" s="137">
        <f t="shared" si="34"/>
        <v>63.159063609036536</v>
      </c>
      <c r="Y109" s="48">
        <v>1</v>
      </c>
      <c r="Z109" s="92" t="s">
        <v>264</v>
      </c>
      <c r="AA109" s="145"/>
    </row>
    <row r="110" spans="2:27" ht="38.25" x14ac:dyDescent="0.25">
      <c r="B110" s="533" t="s">
        <v>14</v>
      </c>
      <c r="C110" s="20" t="s">
        <v>75</v>
      </c>
      <c r="D110" s="32" t="s">
        <v>77</v>
      </c>
      <c r="E110" s="95">
        <v>500</v>
      </c>
      <c r="F110" s="25">
        <v>800</v>
      </c>
      <c r="G110" s="25">
        <f t="shared" si="43"/>
        <v>400000</v>
      </c>
      <c r="H110" s="75">
        <f t="shared" si="29"/>
        <v>10.059724584860316</v>
      </c>
      <c r="I110" s="76">
        <f t="shared" si="47"/>
        <v>500</v>
      </c>
      <c r="J110" s="67">
        <f t="shared" si="47"/>
        <v>800</v>
      </c>
      <c r="K110" s="67">
        <f t="shared" si="47"/>
        <v>400000</v>
      </c>
      <c r="L110" s="75">
        <f t="shared" si="30"/>
        <v>10.059724584860316</v>
      </c>
      <c r="M110" s="76">
        <f t="shared" si="46"/>
        <v>500</v>
      </c>
      <c r="N110" s="67">
        <f t="shared" si="46"/>
        <v>800</v>
      </c>
      <c r="O110" s="67">
        <f t="shared" si="46"/>
        <v>400000</v>
      </c>
      <c r="P110" s="75">
        <f t="shared" si="31"/>
        <v>10.059724584860316</v>
      </c>
      <c r="Q110" s="75">
        <v>10.125046859982499</v>
      </c>
      <c r="R110" s="96">
        <v>10.125046859982499</v>
      </c>
      <c r="S110" s="96">
        <v>10.125046859982499</v>
      </c>
      <c r="T110" s="75">
        <v>10.125046859982499</v>
      </c>
      <c r="U110" s="96">
        <v>10.125046859982499</v>
      </c>
      <c r="V110" s="96">
        <v>10.125046859982499</v>
      </c>
      <c r="W110" s="96">
        <v>10.125046859982499</v>
      </c>
      <c r="X110" s="138">
        <f t="shared" si="34"/>
        <v>101.05450177445846</v>
      </c>
      <c r="Y110" s="49">
        <v>1</v>
      </c>
      <c r="Z110" s="95" t="s">
        <v>261</v>
      </c>
      <c r="AA110" s="121" t="s">
        <v>284</v>
      </c>
    </row>
    <row r="111" spans="2:27" ht="30" x14ac:dyDescent="0.25">
      <c r="B111" s="531"/>
      <c r="C111" s="2" t="s">
        <v>214</v>
      </c>
      <c r="D111" s="3" t="s">
        <v>100</v>
      </c>
      <c r="E111" s="57">
        <v>720</v>
      </c>
      <c r="F111" s="13">
        <v>1100</v>
      </c>
      <c r="G111" s="13">
        <f t="shared" si="43"/>
        <v>792000</v>
      </c>
      <c r="H111" s="53">
        <f t="shared" si="29"/>
        <v>19.918254678023427</v>
      </c>
      <c r="I111" s="65"/>
      <c r="J111" s="66"/>
      <c r="K111" s="66"/>
      <c r="L111" s="53">
        <f t="shared" si="30"/>
        <v>0</v>
      </c>
      <c r="M111" s="65"/>
      <c r="N111" s="66"/>
      <c r="O111" s="66"/>
      <c r="P111" s="53">
        <f t="shared" si="31"/>
        <v>0</v>
      </c>
      <c r="Q111" s="53">
        <v>20.047592782765349</v>
      </c>
      <c r="R111" s="56">
        <v>0</v>
      </c>
      <c r="S111" s="56">
        <v>0</v>
      </c>
      <c r="T111" s="53">
        <v>20.047592782765349</v>
      </c>
      <c r="U111" s="56">
        <v>0</v>
      </c>
      <c r="V111" s="56">
        <v>0</v>
      </c>
      <c r="W111" s="56">
        <v>20.047592782765349</v>
      </c>
      <c r="X111" s="136">
        <f t="shared" si="34"/>
        <v>80.061033026319478</v>
      </c>
      <c r="Y111" s="47">
        <v>3</v>
      </c>
      <c r="Z111" s="57" t="s">
        <v>261</v>
      </c>
      <c r="AA111" s="147" t="s">
        <v>272</v>
      </c>
    </row>
    <row r="112" spans="2:27" ht="38.25" x14ac:dyDescent="0.25">
      <c r="B112" s="531"/>
      <c r="C112" s="2" t="s">
        <v>53</v>
      </c>
      <c r="D112" s="3" t="s">
        <v>74</v>
      </c>
      <c r="E112" s="57">
        <v>2180</v>
      </c>
      <c r="F112" s="13">
        <v>4200</v>
      </c>
      <c r="G112" s="13">
        <f t="shared" si="43"/>
        <v>9156000</v>
      </c>
      <c r="H112" s="53">
        <f t="shared" si="29"/>
        <v>230.26709574745266</v>
      </c>
      <c r="I112" s="65"/>
      <c r="J112" s="66"/>
      <c r="K112" s="66"/>
      <c r="L112" s="53">
        <f t="shared" si="30"/>
        <v>0</v>
      </c>
      <c r="M112" s="65">
        <f t="shared" ref="M112:O118" si="48">+E112</f>
        <v>2180</v>
      </c>
      <c r="N112" s="66">
        <f t="shared" si="48"/>
        <v>4200</v>
      </c>
      <c r="O112" s="66">
        <f t="shared" si="48"/>
        <v>9156000</v>
      </c>
      <c r="P112" s="53">
        <f t="shared" si="31"/>
        <v>230.26709574745266</v>
      </c>
      <c r="Q112" s="53">
        <v>231.7623226249994</v>
      </c>
      <c r="R112" s="56">
        <v>0</v>
      </c>
      <c r="S112" s="56">
        <v>231.7623226249994</v>
      </c>
      <c r="T112" s="53">
        <v>231.7623226249994</v>
      </c>
      <c r="U112" s="56">
        <v>0</v>
      </c>
      <c r="V112" s="56">
        <v>231.7623226249994</v>
      </c>
      <c r="W112" s="56">
        <v>231.7623226249994</v>
      </c>
      <c r="X112" s="136">
        <f t="shared" si="34"/>
        <v>1619.3458046199021</v>
      </c>
      <c r="Y112" s="47">
        <v>2</v>
      </c>
      <c r="Z112" s="57" t="s">
        <v>262</v>
      </c>
      <c r="AA112" s="119" t="s">
        <v>285</v>
      </c>
    </row>
    <row r="113" spans="2:27" ht="25.5" x14ac:dyDescent="0.25">
      <c r="B113" s="531"/>
      <c r="C113" s="2" t="s">
        <v>188</v>
      </c>
      <c r="D113" s="3" t="s">
        <v>81</v>
      </c>
      <c r="E113" s="57">
        <v>500</v>
      </c>
      <c r="F113" s="13">
        <v>4200</v>
      </c>
      <c r="G113" s="13">
        <f t="shared" si="43"/>
        <v>2100000</v>
      </c>
      <c r="H113" s="53">
        <f t="shared" si="29"/>
        <v>52.813554070516659</v>
      </c>
      <c r="I113" s="65">
        <f t="shared" ref="I113:K118" si="49">+E113</f>
        <v>500</v>
      </c>
      <c r="J113" s="66">
        <f t="shared" si="49"/>
        <v>4200</v>
      </c>
      <c r="K113" s="66">
        <f t="shared" si="49"/>
        <v>2100000</v>
      </c>
      <c r="L113" s="53">
        <f t="shared" si="30"/>
        <v>52.813554070516659</v>
      </c>
      <c r="M113" s="65">
        <f t="shared" si="48"/>
        <v>500</v>
      </c>
      <c r="N113" s="66">
        <f t="shared" si="48"/>
        <v>4200</v>
      </c>
      <c r="O113" s="66">
        <f t="shared" si="48"/>
        <v>2100000</v>
      </c>
      <c r="P113" s="53">
        <f t="shared" si="31"/>
        <v>52.813554070516659</v>
      </c>
      <c r="Q113" s="53">
        <v>53.156496014908122</v>
      </c>
      <c r="R113" s="56">
        <v>53.156496014908122</v>
      </c>
      <c r="S113" s="56">
        <v>53.156496014908122</v>
      </c>
      <c r="T113" s="53">
        <v>53.156496014908122</v>
      </c>
      <c r="U113" s="56">
        <v>53.156496014908122</v>
      </c>
      <c r="V113" s="56">
        <v>53.156496014908122</v>
      </c>
      <c r="W113" s="56">
        <v>53.156496014908122</v>
      </c>
      <c r="X113" s="136">
        <f t="shared" si="34"/>
        <v>530.53613431590679</v>
      </c>
      <c r="Y113" s="47">
        <v>1</v>
      </c>
      <c r="Z113" s="57" t="s">
        <v>262</v>
      </c>
      <c r="AA113" s="119" t="s">
        <v>285</v>
      </c>
    </row>
    <row r="114" spans="2:27" ht="57.75" customHeight="1" x14ac:dyDescent="0.25">
      <c r="B114" s="531"/>
      <c r="C114" s="2" t="s">
        <v>71</v>
      </c>
      <c r="D114" s="8" t="s">
        <v>79</v>
      </c>
      <c r="E114" s="57">
        <v>1</v>
      </c>
      <c r="F114" s="13">
        <v>350000</v>
      </c>
      <c r="G114" s="13">
        <f t="shared" si="43"/>
        <v>350000</v>
      </c>
      <c r="H114" s="53">
        <f t="shared" si="29"/>
        <v>8.8022590117527777</v>
      </c>
      <c r="I114" s="65">
        <f t="shared" si="49"/>
        <v>1</v>
      </c>
      <c r="J114" s="66">
        <f t="shared" si="49"/>
        <v>350000</v>
      </c>
      <c r="K114" s="66">
        <f t="shared" si="49"/>
        <v>350000</v>
      </c>
      <c r="L114" s="53">
        <f t="shared" si="30"/>
        <v>8.8022590117527777</v>
      </c>
      <c r="M114" s="65">
        <f t="shared" si="48"/>
        <v>1</v>
      </c>
      <c r="N114" s="66">
        <f t="shared" si="48"/>
        <v>350000</v>
      </c>
      <c r="O114" s="66">
        <f t="shared" si="48"/>
        <v>350000</v>
      </c>
      <c r="P114" s="53">
        <f t="shared" si="31"/>
        <v>8.8022590117527777</v>
      </c>
      <c r="Q114" s="53">
        <v>8.8594160024846875</v>
      </c>
      <c r="R114" s="56">
        <v>8.8594160024846875</v>
      </c>
      <c r="S114" s="56">
        <v>8.8594160024846875</v>
      </c>
      <c r="T114" s="53">
        <v>8.8594160024846875</v>
      </c>
      <c r="U114" s="56">
        <v>8.8594160024846875</v>
      </c>
      <c r="V114" s="56">
        <v>8.8594160024846875</v>
      </c>
      <c r="W114" s="56">
        <v>8.8594160024846875</v>
      </c>
      <c r="X114" s="136">
        <f t="shared" si="34"/>
        <v>88.422689052651151</v>
      </c>
      <c r="Y114" s="47">
        <v>1</v>
      </c>
      <c r="Z114" s="57" t="s">
        <v>264</v>
      </c>
      <c r="AA114" s="146"/>
    </row>
    <row r="115" spans="2:27" x14ac:dyDescent="0.25">
      <c r="B115" s="531"/>
      <c r="C115" s="2" t="s">
        <v>189</v>
      </c>
      <c r="D115" s="14" t="s">
        <v>88</v>
      </c>
      <c r="E115" s="57">
        <v>1850</v>
      </c>
      <c r="F115" s="13">
        <v>800</v>
      </c>
      <c r="G115" s="13">
        <f t="shared" si="43"/>
        <v>1480000</v>
      </c>
      <c r="H115" s="53">
        <f t="shared" si="29"/>
        <v>37.220980963983173</v>
      </c>
      <c r="I115" s="65">
        <f t="shared" si="49"/>
        <v>1850</v>
      </c>
      <c r="J115" s="66">
        <f t="shared" si="49"/>
        <v>800</v>
      </c>
      <c r="K115" s="66">
        <f t="shared" si="49"/>
        <v>1480000</v>
      </c>
      <c r="L115" s="53">
        <f t="shared" si="30"/>
        <v>37.220980963983173</v>
      </c>
      <c r="M115" s="65">
        <f t="shared" si="48"/>
        <v>1850</v>
      </c>
      <c r="N115" s="66">
        <f t="shared" si="48"/>
        <v>800</v>
      </c>
      <c r="O115" s="66">
        <f t="shared" si="48"/>
        <v>1480000</v>
      </c>
      <c r="P115" s="53">
        <f t="shared" si="31"/>
        <v>37.220980963983173</v>
      </c>
      <c r="Q115" s="53">
        <v>37.462673381935247</v>
      </c>
      <c r="R115" s="56">
        <v>37.462673381935247</v>
      </c>
      <c r="S115" s="56">
        <v>37.462673381935247</v>
      </c>
      <c r="T115" s="53">
        <v>37.462673381935247</v>
      </c>
      <c r="U115" s="56">
        <v>37.462673381935247</v>
      </c>
      <c r="V115" s="56">
        <v>37.462673381935247</v>
      </c>
      <c r="W115" s="56">
        <v>37.462673381935247</v>
      </c>
      <c r="X115" s="136">
        <f t="shared" si="34"/>
        <v>373.90165656549624</v>
      </c>
      <c r="Y115" s="47">
        <v>1</v>
      </c>
      <c r="Z115" s="57" t="s">
        <v>262</v>
      </c>
      <c r="AA115" s="119" t="s">
        <v>273</v>
      </c>
    </row>
    <row r="116" spans="2:27" ht="25.5" x14ac:dyDescent="0.25">
      <c r="B116" s="531"/>
      <c r="C116" s="2" t="s">
        <v>97</v>
      </c>
      <c r="D116" s="3" t="s">
        <v>81</v>
      </c>
      <c r="E116" s="57">
        <v>28</v>
      </c>
      <c r="F116" s="13">
        <v>1100</v>
      </c>
      <c r="G116" s="13">
        <f t="shared" si="43"/>
        <v>30800</v>
      </c>
      <c r="H116" s="53">
        <f t="shared" si="29"/>
        <v>0.77459879303424439</v>
      </c>
      <c r="I116" s="65">
        <f t="shared" si="49"/>
        <v>28</v>
      </c>
      <c r="J116" s="66">
        <f t="shared" si="49"/>
        <v>1100</v>
      </c>
      <c r="K116" s="66">
        <f t="shared" si="49"/>
        <v>30800</v>
      </c>
      <c r="L116" s="53">
        <f t="shared" si="30"/>
        <v>0.77459879303424439</v>
      </c>
      <c r="M116" s="65">
        <f t="shared" si="48"/>
        <v>28</v>
      </c>
      <c r="N116" s="66">
        <f t="shared" si="48"/>
        <v>1100</v>
      </c>
      <c r="O116" s="66">
        <f t="shared" si="48"/>
        <v>30800</v>
      </c>
      <c r="P116" s="53">
        <f t="shared" si="31"/>
        <v>0.77459879303424439</v>
      </c>
      <c r="Q116" s="53">
        <v>0.77962860821865243</v>
      </c>
      <c r="R116" s="56">
        <v>0.77962860821865243</v>
      </c>
      <c r="S116" s="56">
        <v>0.77962860821865243</v>
      </c>
      <c r="T116" s="53">
        <v>0.77962860821865243</v>
      </c>
      <c r="U116" s="56">
        <v>0.77962860821865243</v>
      </c>
      <c r="V116" s="56">
        <v>0.77962860821865243</v>
      </c>
      <c r="W116" s="56">
        <v>0.77962860821865243</v>
      </c>
      <c r="X116" s="136">
        <f t="shared" si="34"/>
        <v>7.7811966366332985</v>
      </c>
      <c r="Y116" s="47">
        <v>1</v>
      </c>
      <c r="Z116" s="57" t="s">
        <v>264</v>
      </c>
      <c r="AA116" s="119" t="s">
        <v>285</v>
      </c>
    </row>
    <row r="117" spans="2:27" ht="87.75" customHeight="1" thickBot="1" x14ac:dyDescent="0.3">
      <c r="B117" s="534"/>
      <c r="C117" s="21" t="s">
        <v>68</v>
      </c>
      <c r="D117" s="23" t="s">
        <v>69</v>
      </c>
      <c r="E117" s="90">
        <v>1</v>
      </c>
      <c r="F117" s="16">
        <v>200000</v>
      </c>
      <c r="G117" s="16">
        <f t="shared" si="43"/>
        <v>200000</v>
      </c>
      <c r="H117" s="77">
        <f t="shared" si="29"/>
        <v>5.0298622924301579</v>
      </c>
      <c r="I117" s="78">
        <f t="shared" si="49"/>
        <v>1</v>
      </c>
      <c r="J117" s="68">
        <f t="shared" si="49"/>
        <v>200000</v>
      </c>
      <c r="K117" s="68">
        <f t="shared" si="49"/>
        <v>200000</v>
      </c>
      <c r="L117" s="77">
        <f t="shared" si="30"/>
        <v>5.0298622924301579</v>
      </c>
      <c r="M117" s="78">
        <f t="shared" si="48"/>
        <v>1</v>
      </c>
      <c r="N117" s="68">
        <f t="shared" si="48"/>
        <v>200000</v>
      </c>
      <c r="O117" s="68">
        <f t="shared" si="48"/>
        <v>200000</v>
      </c>
      <c r="P117" s="77">
        <f t="shared" si="31"/>
        <v>5.0298622924301579</v>
      </c>
      <c r="Q117" s="77">
        <v>5.0625234299912494</v>
      </c>
      <c r="R117" s="84">
        <v>5.0625234299912494</v>
      </c>
      <c r="S117" s="84">
        <v>5.0625234299912494</v>
      </c>
      <c r="T117" s="77">
        <v>5.0625234299912494</v>
      </c>
      <c r="U117" s="84">
        <v>5.0625234299912494</v>
      </c>
      <c r="V117" s="84">
        <v>5.0625234299912494</v>
      </c>
      <c r="W117" s="84">
        <v>5.0625234299912494</v>
      </c>
      <c r="X117" s="139">
        <f t="shared" si="34"/>
        <v>50.527250887229229</v>
      </c>
      <c r="Y117" s="50">
        <v>1</v>
      </c>
      <c r="Z117" s="90" t="s">
        <v>264</v>
      </c>
      <c r="AA117" s="117"/>
    </row>
    <row r="118" spans="2:27" ht="38.25" x14ac:dyDescent="0.25">
      <c r="B118" s="530" t="s">
        <v>177</v>
      </c>
      <c r="C118" s="19" t="s">
        <v>75</v>
      </c>
      <c r="D118" s="31" t="s">
        <v>77</v>
      </c>
      <c r="E118" s="103">
        <f>230*4</f>
        <v>920</v>
      </c>
      <c r="F118" s="24">
        <v>800</v>
      </c>
      <c r="G118" s="24">
        <f t="shared" si="43"/>
        <v>736000</v>
      </c>
      <c r="H118" s="81">
        <f t="shared" si="29"/>
        <v>18.509893236142982</v>
      </c>
      <c r="I118" s="82">
        <f t="shared" si="49"/>
        <v>920</v>
      </c>
      <c r="J118" s="74">
        <f t="shared" si="49"/>
        <v>800</v>
      </c>
      <c r="K118" s="74">
        <f t="shared" si="49"/>
        <v>736000</v>
      </c>
      <c r="L118" s="81">
        <f t="shared" si="30"/>
        <v>18.509893236142982</v>
      </c>
      <c r="M118" s="82">
        <f t="shared" si="48"/>
        <v>920</v>
      </c>
      <c r="N118" s="74">
        <f t="shared" si="48"/>
        <v>800</v>
      </c>
      <c r="O118" s="74">
        <f t="shared" si="48"/>
        <v>736000</v>
      </c>
      <c r="P118" s="81">
        <f t="shared" si="31"/>
        <v>18.509893236142982</v>
      </c>
      <c r="Q118" s="81">
        <v>18.630086222367797</v>
      </c>
      <c r="R118" s="102">
        <v>18.630086222367797</v>
      </c>
      <c r="S118" s="102">
        <v>18.630086222367797</v>
      </c>
      <c r="T118" s="81">
        <v>18.630086222367797</v>
      </c>
      <c r="U118" s="102">
        <v>18.630086222367797</v>
      </c>
      <c r="V118" s="102">
        <v>18.630086222367797</v>
      </c>
      <c r="W118" s="102">
        <v>18.630086222367797</v>
      </c>
      <c r="X118" s="135">
        <f t="shared" si="34"/>
        <v>185.9402832650035</v>
      </c>
      <c r="Y118" s="46">
        <v>1</v>
      </c>
      <c r="Z118" s="103" t="s">
        <v>263</v>
      </c>
      <c r="AA118" s="118" t="s">
        <v>276</v>
      </c>
    </row>
    <row r="119" spans="2:27" ht="25.5" x14ac:dyDescent="0.25">
      <c r="B119" s="531"/>
      <c r="C119" s="2" t="s">
        <v>214</v>
      </c>
      <c r="D119" s="3" t="s">
        <v>100</v>
      </c>
      <c r="E119" s="57">
        <f>66*6*4</f>
        <v>1584</v>
      </c>
      <c r="F119" s="13">
        <v>4200</v>
      </c>
      <c r="G119" s="13">
        <f t="shared" si="43"/>
        <v>6652800</v>
      </c>
      <c r="H119" s="53">
        <f t="shared" si="29"/>
        <v>167.31333929539679</v>
      </c>
      <c r="I119" s="65"/>
      <c r="J119" s="66"/>
      <c r="K119" s="66"/>
      <c r="L119" s="53">
        <f t="shared" si="30"/>
        <v>0</v>
      </c>
      <c r="M119" s="65"/>
      <c r="N119" s="66"/>
      <c r="O119" s="66"/>
      <c r="P119" s="53">
        <f t="shared" si="31"/>
        <v>0</v>
      </c>
      <c r="Q119" s="53">
        <v>168.39977937522892</v>
      </c>
      <c r="R119" s="56">
        <v>0</v>
      </c>
      <c r="S119" s="56">
        <v>0</v>
      </c>
      <c r="T119" s="53">
        <v>168.39977937522892</v>
      </c>
      <c r="U119" s="56">
        <v>0</v>
      </c>
      <c r="V119" s="56">
        <v>0</v>
      </c>
      <c r="W119" s="56">
        <v>168.39977937522892</v>
      </c>
      <c r="X119" s="136">
        <f t="shared" si="34"/>
        <v>672.51267742108359</v>
      </c>
      <c r="Y119" s="47">
        <v>3</v>
      </c>
      <c r="Z119" s="57" t="s">
        <v>264</v>
      </c>
      <c r="AA119" s="119"/>
    </row>
    <row r="120" spans="2:27" ht="38.25" x14ac:dyDescent="0.25">
      <c r="B120" s="531"/>
      <c r="C120" s="2" t="s">
        <v>53</v>
      </c>
      <c r="D120" s="3" t="s">
        <v>74</v>
      </c>
      <c r="E120" s="57">
        <v>1584</v>
      </c>
      <c r="F120" s="13">
        <v>4200</v>
      </c>
      <c r="G120" s="13">
        <f t="shared" si="43"/>
        <v>6652800</v>
      </c>
      <c r="H120" s="53">
        <f t="shared" si="29"/>
        <v>167.31333929539679</v>
      </c>
      <c r="I120" s="65"/>
      <c r="J120" s="66"/>
      <c r="K120" s="66"/>
      <c r="L120" s="53">
        <f t="shared" si="30"/>
        <v>0</v>
      </c>
      <c r="M120" s="65">
        <f t="shared" ref="M120:O127" si="50">+E120</f>
        <v>1584</v>
      </c>
      <c r="N120" s="66">
        <f t="shared" si="50"/>
        <v>4200</v>
      </c>
      <c r="O120" s="66">
        <f t="shared" si="50"/>
        <v>6652800</v>
      </c>
      <c r="P120" s="53">
        <f t="shared" si="31"/>
        <v>167.31333929539679</v>
      </c>
      <c r="Q120" s="53">
        <v>168.39977937522892</v>
      </c>
      <c r="R120" s="56">
        <v>0</v>
      </c>
      <c r="S120" s="56">
        <v>168.39977937522892</v>
      </c>
      <c r="T120" s="53">
        <v>168.39977937522892</v>
      </c>
      <c r="U120" s="56">
        <v>0</v>
      </c>
      <c r="V120" s="56">
        <v>168.39977937522892</v>
      </c>
      <c r="W120" s="56">
        <v>168.39977937522892</v>
      </c>
      <c r="X120" s="136">
        <f t="shared" si="34"/>
        <v>1176.6255754669382</v>
      </c>
      <c r="Y120" s="47">
        <v>2</v>
      </c>
      <c r="Z120" s="57" t="s">
        <v>264</v>
      </c>
      <c r="AA120" s="119"/>
    </row>
    <row r="121" spans="2:27" ht="25.5" x14ac:dyDescent="0.25">
      <c r="B121" s="531"/>
      <c r="C121" s="2" t="s">
        <v>49</v>
      </c>
      <c r="D121" s="3" t="s">
        <v>81</v>
      </c>
      <c r="E121" s="57">
        <v>1840</v>
      </c>
      <c r="F121" s="13">
        <v>4200</v>
      </c>
      <c r="G121" s="13">
        <f t="shared" si="43"/>
        <v>7728000</v>
      </c>
      <c r="H121" s="53">
        <f t="shared" si="29"/>
        <v>194.3538789795013</v>
      </c>
      <c r="I121" s="65">
        <f t="shared" ref="I121:K127" si="51">+E121</f>
        <v>1840</v>
      </c>
      <c r="J121" s="66">
        <f t="shared" si="51"/>
        <v>4200</v>
      </c>
      <c r="K121" s="66">
        <f t="shared" si="51"/>
        <v>7728000</v>
      </c>
      <c r="L121" s="53">
        <f t="shared" si="30"/>
        <v>194.3538789795013</v>
      </c>
      <c r="M121" s="65">
        <f t="shared" si="50"/>
        <v>1840</v>
      </c>
      <c r="N121" s="66">
        <f t="shared" si="50"/>
        <v>4200</v>
      </c>
      <c r="O121" s="66">
        <f t="shared" si="50"/>
        <v>7728000</v>
      </c>
      <c r="P121" s="53">
        <f t="shared" si="31"/>
        <v>194.3538789795013</v>
      </c>
      <c r="Q121" s="53">
        <v>195.61590533486188</v>
      </c>
      <c r="R121" s="56">
        <v>195.61590533486188</v>
      </c>
      <c r="S121" s="56">
        <v>195.61590533486188</v>
      </c>
      <c r="T121" s="53">
        <v>195.61590533486188</v>
      </c>
      <c r="U121" s="56">
        <v>195.61590533486188</v>
      </c>
      <c r="V121" s="56">
        <v>195.61590533486188</v>
      </c>
      <c r="W121" s="56">
        <v>195.61590533486188</v>
      </c>
      <c r="X121" s="136">
        <f t="shared" si="34"/>
        <v>1952.3729742825374</v>
      </c>
      <c r="Y121" s="47">
        <v>1</v>
      </c>
      <c r="Z121" s="57" t="s">
        <v>264</v>
      </c>
      <c r="AA121" s="119"/>
    </row>
    <row r="122" spans="2:27" ht="56.25" customHeight="1" x14ac:dyDescent="0.25">
      <c r="B122" s="531"/>
      <c r="C122" s="2" t="s">
        <v>71</v>
      </c>
      <c r="D122" s="8" t="s">
        <v>79</v>
      </c>
      <c r="E122" s="57">
        <v>1</v>
      </c>
      <c r="F122" s="13">
        <v>450000</v>
      </c>
      <c r="G122" s="13">
        <f t="shared" si="43"/>
        <v>450000</v>
      </c>
      <c r="H122" s="53">
        <f t="shared" si="29"/>
        <v>11.317190157967856</v>
      </c>
      <c r="I122" s="65">
        <f t="shared" si="51"/>
        <v>1</v>
      </c>
      <c r="J122" s="66">
        <f t="shared" si="51"/>
        <v>450000</v>
      </c>
      <c r="K122" s="66">
        <f t="shared" si="51"/>
        <v>450000</v>
      </c>
      <c r="L122" s="53">
        <f t="shared" si="30"/>
        <v>11.317190157967856</v>
      </c>
      <c r="M122" s="65">
        <f t="shared" si="50"/>
        <v>1</v>
      </c>
      <c r="N122" s="66">
        <f t="shared" si="50"/>
        <v>450000</v>
      </c>
      <c r="O122" s="66">
        <f t="shared" si="50"/>
        <v>450000</v>
      </c>
      <c r="P122" s="53">
        <f t="shared" si="31"/>
        <v>11.317190157967856</v>
      </c>
      <c r="Q122" s="53">
        <v>11.390677717480312</v>
      </c>
      <c r="R122" s="56">
        <v>11.390677717480312</v>
      </c>
      <c r="S122" s="56">
        <v>11.390677717480312</v>
      </c>
      <c r="T122" s="53">
        <v>11.390677717480312</v>
      </c>
      <c r="U122" s="56">
        <v>11.390677717480312</v>
      </c>
      <c r="V122" s="56">
        <v>11.390677717480312</v>
      </c>
      <c r="W122" s="56">
        <v>11.390677717480312</v>
      </c>
      <c r="X122" s="136">
        <f t="shared" si="34"/>
        <v>113.68631449626577</v>
      </c>
      <c r="Y122" s="47">
        <v>1</v>
      </c>
      <c r="Z122" s="57" t="s">
        <v>264</v>
      </c>
      <c r="AA122" s="119"/>
    </row>
    <row r="123" spans="2:27" x14ac:dyDescent="0.25">
      <c r="B123" s="531"/>
      <c r="C123" s="2" t="s">
        <v>50</v>
      </c>
      <c r="D123" s="14" t="s">
        <v>88</v>
      </c>
      <c r="E123" s="57">
        <v>1840</v>
      </c>
      <c r="F123" s="13">
        <v>800</v>
      </c>
      <c r="G123" s="13">
        <f t="shared" si="43"/>
        <v>1472000</v>
      </c>
      <c r="H123" s="53">
        <f t="shared" si="29"/>
        <v>37.019786472285965</v>
      </c>
      <c r="I123" s="65">
        <f t="shared" si="51"/>
        <v>1840</v>
      </c>
      <c r="J123" s="66">
        <f t="shared" si="51"/>
        <v>800</v>
      </c>
      <c r="K123" s="66">
        <f t="shared" si="51"/>
        <v>1472000</v>
      </c>
      <c r="L123" s="53">
        <f t="shared" si="30"/>
        <v>37.019786472285965</v>
      </c>
      <c r="M123" s="65">
        <f t="shared" si="50"/>
        <v>1840</v>
      </c>
      <c r="N123" s="66">
        <f t="shared" si="50"/>
        <v>800</v>
      </c>
      <c r="O123" s="66">
        <f t="shared" si="50"/>
        <v>1472000</v>
      </c>
      <c r="P123" s="53">
        <f t="shared" si="31"/>
        <v>37.019786472285965</v>
      </c>
      <c r="Q123" s="53">
        <v>37.260172444735595</v>
      </c>
      <c r="R123" s="56">
        <v>37.260172444735595</v>
      </c>
      <c r="S123" s="56">
        <v>37.260172444735595</v>
      </c>
      <c r="T123" s="53">
        <v>37.260172444735595</v>
      </c>
      <c r="U123" s="56">
        <v>37.260172444735595</v>
      </c>
      <c r="V123" s="56">
        <v>37.260172444735595</v>
      </c>
      <c r="W123" s="56">
        <v>37.260172444735595</v>
      </c>
      <c r="X123" s="136">
        <f t="shared" si="34"/>
        <v>371.880566530007</v>
      </c>
      <c r="Y123" s="47">
        <v>1</v>
      </c>
      <c r="Z123" s="57" t="s">
        <v>264</v>
      </c>
      <c r="AA123" s="119"/>
    </row>
    <row r="124" spans="2:27" ht="25.5" x14ac:dyDescent="0.25">
      <c r="B124" s="531"/>
      <c r="C124" s="2" t="s">
        <v>97</v>
      </c>
      <c r="D124" s="3" t="s">
        <v>81</v>
      </c>
      <c r="E124" s="57">
        <v>35</v>
      </c>
      <c r="F124" s="13">
        <v>1100</v>
      </c>
      <c r="G124" s="13">
        <f t="shared" si="43"/>
        <v>38500</v>
      </c>
      <c r="H124" s="53">
        <f t="shared" si="29"/>
        <v>0.96824849129280544</v>
      </c>
      <c r="I124" s="65">
        <f t="shared" si="51"/>
        <v>35</v>
      </c>
      <c r="J124" s="66">
        <f t="shared" si="51"/>
        <v>1100</v>
      </c>
      <c r="K124" s="66">
        <f t="shared" si="51"/>
        <v>38500</v>
      </c>
      <c r="L124" s="53">
        <f t="shared" si="30"/>
        <v>0.96824849129280544</v>
      </c>
      <c r="M124" s="65">
        <f t="shared" si="50"/>
        <v>35</v>
      </c>
      <c r="N124" s="66">
        <f t="shared" si="50"/>
        <v>1100</v>
      </c>
      <c r="O124" s="66">
        <f t="shared" si="50"/>
        <v>38500</v>
      </c>
      <c r="P124" s="53">
        <f t="shared" si="31"/>
        <v>0.96824849129280544</v>
      </c>
      <c r="Q124" s="53">
        <v>0.97453576027331557</v>
      </c>
      <c r="R124" s="56">
        <v>0.97453576027331557</v>
      </c>
      <c r="S124" s="56">
        <v>0.97453576027331557</v>
      </c>
      <c r="T124" s="53">
        <v>0.97453576027331557</v>
      </c>
      <c r="U124" s="56">
        <v>0.97453576027331557</v>
      </c>
      <c r="V124" s="56">
        <v>0.97453576027331557</v>
      </c>
      <c r="W124" s="56">
        <v>0.97453576027331557</v>
      </c>
      <c r="X124" s="136">
        <f t="shared" si="34"/>
        <v>9.7264957957916263</v>
      </c>
      <c r="Y124" s="47">
        <v>1</v>
      </c>
      <c r="Z124" s="57" t="s">
        <v>264</v>
      </c>
      <c r="AA124" s="119"/>
    </row>
    <row r="125" spans="2:27" ht="69" customHeight="1" thickBot="1" x14ac:dyDescent="0.3">
      <c r="B125" s="532"/>
      <c r="C125" s="6" t="s">
        <v>68</v>
      </c>
      <c r="D125" s="34" t="s">
        <v>69</v>
      </c>
      <c r="E125" s="92">
        <v>1</v>
      </c>
      <c r="F125" s="26">
        <v>200000</v>
      </c>
      <c r="G125" s="26">
        <f t="shared" si="43"/>
        <v>200000</v>
      </c>
      <c r="H125" s="86">
        <f t="shared" si="29"/>
        <v>5.0298622924301579</v>
      </c>
      <c r="I125" s="87">
        <f t="shared" si="51"/>
        <v>1</v>
      </c>
      <c r="J125" s="69">
        <f t="shared" si="51"/>
        <v>200000</v>
      </c>
      <c r="K125" s="69">
        <f t="shared" si="51"/>
        <v>200000</v>
      </c>
      <c r="L125" s="86">
        <f t="shared" si="30"/>
        <v>5.0298622924301579</v>
      </c>
      <c r="M125" s="87">
        <f t="shared" si="50"/>
        <v>1</v>
      </c>
      <c r="N125" s="69">
        <f t="shared" si="50"/>
        <v>200000</v>
      </c>
      <c r="O125" s="69">
        <f t="shared" si="50"/>
        <v>200000</v>
      </c>
      <c r="P125" s="86">
        <f t="shared" si="31"/>
        <v>5.0298622924301579</v>
      </c>
      <c r="Q125" s="86">
        <v>5.0625234299912494</v>
      </c>
      <c r="R125" s="88">
        <v>5.0625234299912494</v>
      </c>
      <c r="S125" s="88">
        <v>5.0625234299912494</v>
      </c>
      <c r="T125" s="86">
        <v>5.0625234299912494</v>
      </c>
      <c r="U125" s="88">
        <v>5.0625234299912494</v>
      </c>
      <c r="V125" s="88">
        <v>5.0625234299912494</v>
      </c>
      <c r="W125" s="88">
        <v>5.0625234299912494</v>
      </c>
      <c r="X125" s="137">
        <f t="shared" si="34"/>
        <v>50.527250887229229</v>
      </c>
      <c r="Y125" s="48">
        <v>1</v>
      </c>
      <c r="Z125" s="92" t="s">
        <v>264</v>
      </c>
      <c r="AA125" s="145"/>
    </row>
    <row r="126" spans="2:27" ht="25.5" customHeight="1" x14ac:dyDescent="0.25">
      <c r="B126" s="533" t="s">
        <v>161</v>
      </c>
      <c r="C126" s="20" t="s">
        <v>52</v>
      </c>
      <c r="D126" s="32" t="s">
        <v>76</v>
      </c>
      <c r="E126" s="95">
        <v>1440</v>
      </c>
      <c r="F126" s="25">
        <v>800</v>
      </c>
      <c r="G126" s="25">
        <f t="shared" si="43"/>
        <v>1152000</v>
      </c>
      <c r="H126" s="75">
        <f t="shared" si="29"/>
        <v>28.972006804397711</v>
      </c>
      <c r="I126" s="76">
        <f t="shared" si="51"/>
        <v>1440</v>
      </c>
      <c r="J126" s="67">
        <f t="shared" si="51"/>
        <v>800</v>
      </c>
      <c r="K126" s="67">
        <f t="shared" si="51"/>
        <v>1152000</v>
      </c>
      <c r="L126" s="75">
        <f t="shared" si="30"/>
        <v>28.972006804397711</v>
      </c>
      <c r="M126" s="76">
        <f t="shared" si="50"/>
        <v>1440</v>
      </c>
      <c r="N126" s="67">
        <f t="shared" si="50"/>
        <v>800</v>
      </c>
      <c r="O126" s="67">
        <f t="shared" si="50"/>
        <v>1152000</v>
      </c>
      <c r="P126" s="75">
        <f t="shared" si="31"/>
        <v>28.972006804397711</v>
      </c>
      <c r="Q126" s="75">
        <v>29.160134956749598</v>
      </c>
      <c r="R126" s="96">
        <v>29.160134956749598</v>
      </c>
      <c r="S126" s="96">
        <v>29.160134956749598</v>
      </c>
      <c r="T126" s="75">
        <v>29.160134956749598</v>
      </c>
      <c r="U126" s="96">
        <v>29.160134956749598</v>
      </c>
      <c r="V126" s="96">
        <v>29.160134956749598</v>
      </c>
      <c r="W126" s="96">
        <v>29.160134956749598</v>
      </c>
      <c r="X126" s="138">
        <f t="shared" si="34"/>
        <v>291.03696511044029</v>
      </c>
      <c r="Y126" s="49">
        <v>1</v>
      </c>
      <c r="Z126" s="95" t="s">
        <v>264</v>
      </c>
      <c r="AA126" s="120"/>
    </row>
    <row r="127" spans="2:27" ht="38.25" x14ac:dyDescent="0.25">
      <c r="B127" s="531"/>
      <c r="C127" s="2" t="s">
        <v>75</v>
      </c>
      <c r="D127" s="3" t="s">
        <v>77</v>
      </c>
      <c r="E127" s="57">
        <v>1100</v>
      </c>
      <c r="F127" s="13">
        <v>800</v>
      </c>
      <c r="G127" s="13">
        <f t="shared" si="43"/>
        <v>880000</v>
      </c>
      <c r="H127" s="53">
        <f t="shared" si="29"/>
        <v>22.131394086692698</v>
      </c>
      <c r="I127" s="65">
        <f t="shared" si="51"/>
        <v>1100</v>
      </c>
      <c r="J127" s="66">
        <f t="shared" si="51"/>
        <v>800</v>
      </c>
      <c r="K127" s="66">
        <f t="shared" si="51"/>
        <v>880000</v>
      </c>
      <c r="L127" s="53">
        <f t="shared" si="30"/>
        <v>22.131394086692698</v>
      </c>
      <c r="M127" s="65">
        <f t="shared" si="50"/>
        <v>1100</v>
      </c>
      <c r="N127" s="66">
        <f t="shared" si="50"/>
        <v>800</v>
      </c>
      <c r="O127" s="66">
        <f t="shared" si="50"/>
        <v>880000</v>
      </c>
      <c r="P127" s="53">
        <f t="shared" si="31"/>
        <v>22.131394086692698</v>
      </c>
      <c r="Q127" s="53">
        <v>22.275103091961498</v>
      </c>
      <c r="R127" s="56">
        <v>22.275103091961498</v>
      </c>
      <c r="S127" s="56">
        <v>22.275103091961498</v>
      </c>
      <c r="T127" s="53">
        <v>22.275103091961498</v>
      </c>
      <c r="U127" s="56">
        <v>22.275103091961498</v>
      </c>
      <c r="V127" s="56">
        <v>22.275103091961498</v>
      </c>
      <c r="W127" s="56">
        <v>22.275103091961498</v>
      </c>
      <c r="X127" s="136">
        <f t="shared" si="34"/>
        <v>222.31990390380861</v>
      </c>
      <c r="Y127" s="47">
        <v>1</v>
      </c>
      <c r="Z127" s="57" t="s">
        <v>264</v>
      </c>
      <c r="AA127" s="119"/>
    </row>
    <row r="128" spans="2:27" ht="25.5" x14ac:dyDescent="0.25">
      <c r="B128" s="531"/>
      <c r="C128" s="2" t="s">
        <v>214</v>
      </c>
      <c r="D128" s="3" t="s">
        <v>100</v>
      </c>
      <c r="E128" s="57">
        <v>3500</v>
      </c>
      <c r="F128" s="13">
        <v>7900</v>
      </c>
      <c r="G128" s="13">
        <f t="shared" ref="G128:G159" si="52">+F128*E128</f>
        <v>27650000</v>
      </c>
      <c r="H128" s="53">
        <f t="shared" si="29"/>
        <v>695.37846192846939</v>
      </c>
      <c r="I128" s="65"/>
      <c r="J128" s="66"/>
      <c r="K128" s="66"/>
      <c r="L128" s="53">
        <f t="shared" si="30"/>
        <v>0</v>
      </c>
      <c r="M128" s="65"/>
      <c r="N128" s="66"/>
      <c r="O128" s="66"/>
      <c r="P128" s="53">
        <f t="shared" si="31"/>
        <v>0</v>
      </c>
      <c r="Q128" s="53">
        <v>699.89386419629022</v>
      </c>
      <c r="R128" s="56">
        <v>0</v>
      </c>
      <c r="S128" s="56">
        <v>0</v>
      </c>
      <c r="T128" s="53">
        <v>699.89386419629022</v>
      </c>
      <c r="U128" s="56">
        <v>0</v>
      </c>
      <c r="V128" s="56">
        <v>0</v>
      </c>
      <c r="W128" s="56">
        <v>699.89386419629022</v>
      </c>
      <c r="X128" s="136">
        <f t="shared" si="34"/>
        <v>2795.0600545173402</v>
      </c>
      <c r="Y128" s="47">
        <v>3</v>
      </c>
      <c r="Z128" s="57" t="s">
        <v>264</v>
      </c>
      <c r="AA128" s="119"/>
    </row>
    <row r="129" spans="2:27" ht="38.25" x14ac:dyDescent="0.25">
      <c r="B129" s="531"/>
      <c r="C129" s="2" t="s">
        <v>53</v>
      </c>
      <c r="D129" s="3" t="s">
        <v>74</v>
      </c>
      <c r="E129" s="57">
        <v>4200</v>
      </c>
      <c r="F129" s="13">
        <v>1100</v>
      </c>
      <c r="G129" s="13">
        <f t="shared" si="52"/>
        <v>4620000</v>
      </c>
      <c r="H129" s="53">
        <f t="shared" si="29"/>
        <v>116.18981895513666</v>
      </c>
      <c r="I129" s="65"/>
      <c r="J129" s="66"/>
      <c r="K129" s="66"/>
      <c r="L129" s="53">
        <f t="shared" si="30"/>
        <v>0</v>
      </c>
      <c r="M129" s="65">
        <f t="shared" ref="M129:M137" si="53">+E129</f>
        <v>4200</v>
      </c>
      <c r="N129" s="66">
        <f t="shared" ref="N129:N137" si="54">+F129</f>
        <v>1100</v>
      </c>
      <c r="O129" s="66">
        <f t="shared" ref="O129:O137" si="55">+G129</f>
        <v>4620000</v>
      </c>
      <c r="P129" s="53">
        <f t="shared" si="31"/>
        <v>116.18981895513666</v>
      </c>
      <c r="Q129" s="53">
        <v>116.94429123279787</v>
      </c>
      <c r="R129" s="56">
        <v>0</v>
      </c>
      <c r="S129" s="56">
        <v>116.94429123279787</v>
      </c>
      <c r="T129" s="53">
        <v>116.94429123279787</v>
      </c>
      <c r="U129" s="56">
        <v>0</v>
      </c>
      <c r="V129" s="56">
        <v>116.94429123279787</v>
      </c>
      <c r="W129" s="56">
        <v>116.94429123279787</v>
      </c>
      <c r="X129" s="136">
        <f t="shared" si="34"/>
        <v>817.10109407426262</v>
      </c>
      <c r="Y129" s="47">
        <v>2</v>
      </c>
      <c r="Z129" s="57" t="s">
        <v>264</v>
      </c>
      <c r="AA129" s="119"/>
    </row>
    <row r="130" spans="2:27" ht="25.5" x14ac:dyDescent="0.25">
      <c r="B130" s="531"/>
      <c r="C130" s="2" t="s">
        <v>49</v>
      </c>
      <c r="D130" s="3" t="s">
        <v>178</v>
      </c>
      <c r="E130" s="57">
        <v>6132</v>
      </c>
      <c r="F130" s="13">
        <v>1100</v>
      </c>
      <c r="G130" s="13">
        <f t="shared" si="52"/>
        <v>6745200</v>
      </c>
      <c r="H130" s="53">
        <f t="shared" si="29"/>
        <v>169.63713567449952</v>
      </c>
      <c r="I130" s="65">
        <f t="shared" ref="I130:K134" si="56">+E130</f>
        <v>6132</v>
      </c>
      <c r="J130" s="66">
        <f t="shared" si="56"/>
        <v>1100</v>
      </c>
      <c r="K130" s="66">
        <f t="shared" si="56"/>
        <v>6745200</v>
      </c>
      <c r="L130" s="53">
        <f t="shared" si="30"/>
        <v>169.63713567449952</v>
      </c>
      <c r="M130" s="65">
        <f t="shared" si="53"/>
        <v>6132</v>
      </c>
      <c r="N130" s="66">
        <f t="shared" si="54"/>
        <v>1100</v>
      </c>
      <c r="O130" s="66">
        <f t="shared" si="55"/>
        <v>6745200</v>
      </c>
      <c r="P130" s="53">
        <f t="shared" si="31"/>
        <v>169.63713567449952</v>
      </c>
      <c r="Q130" s="53">
        <v>170.73866519988488</v>
      </c>
      <c r="R130" s="56">
        <v>170.73866519988488</v>
      </c>
      <c r="S130" s="56">
        <v>170.73866519988488</v>
      </c>
      <c r="T130" s="53">
        <v>170.73866519988488</v>
      </c>
      <c r="U130" s="56">
        <v>170.73866519988488</v>
      </c>
      <c r="V130" s="56">
        <v>170.73866519988488</v>
      </c>
      <c r="W130" s="56">
        <v>170.73866519988488</v>
      </c>
      <c r="X130" s="136">
        <f t="shared" si="34"/>
        <v>1704.082063422693</v>
      </c>
      <c r="Y130" s="47">
        <v>1</v>
      </c>
      <c r="Z130" s="57" t="s">
        <v>264</v>
      </c>
      <c r="AA130" s="119"/>
    </row>
    <row r="131" spans="2:27" ht="51" x14ac:dyDescent="0.25">
      <c r="B131" s="531"/>
      <c r="C131" s="2" t="s">
        <v>71</v>
      </c>
      <c r="D131" s="8" t="s">
        <v>79</v>
      </c>
      <c r="E131" s="57">
        <v>1</v>
      </c>
      <c r="F131" s="13">
        <v>650000</v>
      </c>
      <c r="G131" s="13">
        <f t="shared" si="52"/>
        <v>650000</v>
      </c>
      <c r="H131" s="53">
        <f t="shared" si="29"/>
        <v>16.347052450398014</v>
      </c>
      <c r="I131" s="65">
        <f t="shared" si="56"/>
        <v>1</v>
      </c>
      <c r="J131" s="66">
        <f t="shared" si="56"/>
        <v>650000</v>
      </c>
      <c r="K131" s="66">
        <f t="shared" si="56"/>
        <v>650000</v>
      </c>
      <c r="L131" s="53">
        <f t="shared" si="30"/>
        <v>16.347052450398014</v>
      </c>
      <c r="M131" s="65">
        <f t="shared" si="53"/>
        <v>1</v>
      </c>
      <c r="N131" s="66">
        <f t="shared" si="54"/>
        <v>650000</v>
      </c>
      <c r="O131" s="66">
        <f t="shared" si="55"/>
        <v>650000</v>
      </c>
      <c r="P131" s="53">
        <f t="shared" si="31"/>
        <v>16.347052450398014</v>
      </c>
      <c r="Q131" s="53">
        <v>16.45320114747156</v>
      </c>
      <c r="R131" s="56">
        <v>16.45320114747156</v>
      </c>
      <c r="S131" s="56">
        <v>16.45320114747156</v>
      </c>
      <c r="T131" s="53">
        <v>16.45320114747156</v>
      </c>
      <c r="U131" s="56">
        <v>16.45320114747156</v>
      </c>
      <c r="V131" s="56">
        <v>16.45320114747156</v>
      </c>
      <c r="W131" s="56">
        <v>16.45320114747156</v>
      </c>
      <c r="X131" s="136">
        <f t="shared" si="34"/>
        <v>164.21356538349497</v>
      </c>
      <c r="Y131" s="47">
        <v>1</v>
      </c>
      <c r="Z131" s="57" t="s">
        <v>264</v>
      </c>
      <c r="AA131" s="119"/>
    </row>
    <row r="132" spans="2:27" x14ac:dyDescent="0.25">
      <c r="B132" s="531"/>
      <c r="C132" s="2" t="s">
        <v>50</v>
      </c>
      <c r="D132" s="14" t="s">
        <v>88</v>
      </c>
      <c r="E132" s="57">
        <v>6132</v>
      </c>
      <c r="F132" s="13">
        <v>800</v>
      </c>
      <c r="G132" s="13">
        <f t="shared" si="52"/>
        <v>4905600</v>
      </c>
      <c r="H132" s="53">
        <f t="shared" si="29"/>
        <v>123.37246230872692</v>
      </c>
      <c r="I132" s="65">
        <f t="shared" si="56"/>
        <v>6132</v>
      </c>
      <c r="J132" s="66">
        <f t="shared" si="56"/>
        <v>800</v>
      </c>
      <c r="K132" s="66">
        <f t="shared" si="56"/>
        <v>4905600</v>
      </c>
      <c r="L132" s="53">
        <f t="shared" si="30"/>
        <v>123.37246230872692</v>
      </c>
      <c r="M132" s="65">
        <f t="shared" si="53"/>
        <v>6132</v>
      </c>
      <c r="N132" s="66">
        <f t="shared" si="54"/>
        <v>800</v>
      </c>
      <c r="O132" s="66">
        <f t="shared" si="55"/>
        <v>4905600</v>
      </c>
      <c r="P132" s="53">
        <f t="shared" si="31"/>
        <v>123.37246230872692</v>
      </c>
      <c r="Q132" s="53">
        <v>124.17357469082538</v>
      </c>
      <c r="R132" s="56">
        <v>124.17357469082538</v>
      </c>
      <c r="S132" s="56">
        <v>124.17357469082538</v>
      </c>
      <c r="T132" s="53">
        <v>124.17357469082538</v>
      </c>
      <c r="U132" s="56">
        <v>124.17357469082538</v>
      </c>
      <c r="V132" s="56">
        <v>124.17357469082538</v>
      </c>
      <c r="W132" s="56">
        <v>124.17357469082538</v>
      </c>
      <c r="X132" s="136">
        <f t="shared" si="34"/>
        <v>1239.3324097619584</v>
      </c>
      <c r="Y132" s="47">
        <v>1</v>
      </c>
      <c r="Z132" s="57" t="s">
        <v>264</v>
      </c>
      <c r="AA132" s="119"/>
    </row>
    <row r="133" spans="2:27" ht="25.5" x14ac:dyDescent="0.25">
      <c r="B133" s="531"/>
      <c r="C133" s="2" t="s">
        <v>97</v>
      </c>
      <c r="D133" s="3" t="s">
        <v>81</v>
      </c>
      <c r="E133" s="57">
        <v>8</v>
      </c>
      <c r="F133" s="13">
        <v>1100</v>
      </c>
      <c r="G133" s="13">
        <f t="shared" si="52"/>
        <v>8800</v>
      </c>
      <c r="H133" s="53">
        <f t="shared" si="29"/>
        <v>0.22131394086692696</v>
      </c>
      <c r="I133" s="65">
        <f t="shared" si="56"/>
        <v>8</v>
      </c>
      <c r="J133" s="66">
        <f t="shared" si="56"/>
        <v>1100</v>
      </c>
      <c r="K133" s="66">
        <f t="shared" si="56"/>
        <v>8800</v>
      </c>
      <c r="L133" s="53">
        <f t="shared" si="30"/>
        <v>0.22131394086692696</v>
      </c>
      <c r="M133" s="65">
        <f t="shared" si="53"/>
        <v>8</v>
      </c>
      <c r="N133" s="66">
        <f t="shared" si="54"/>
        <v>1100</v>
      </c>
      <c r="O133" s="66">
        <f t="shared" si="55"/>
        <v>8800</v>
      </c>
      <c r="P133" s="53">
        <f t="shared" si="31"/>
        <v>0.22131394086692696</v>
      </c>
      <c r="Q133" s="53">
        <v>0.22275103091961498</v>
      </c>
      <c r="R133" s="56">
        <v>0.22275103091961498</v>
      </c>
      <c r="S133" s="56">
        <v>0.22275103091961498</v>
      </c>
      <c r="T133" s="53">
        <v>0.22275103091961498</v>
      </c>
      <c r="U133" s="56">
        <v>0.22275103091961498</v>
      </c>
      <c r="V133" s="56">
        <v>0.22275103091961498</v>
      </c>
      <c r="W133" s="56">
        <v>0.22275103091961498</v>
      </c>
      <c r="X133" s="136">
        <f t="shared" si="34"/>
        <v>2.2231990390380858</v>
      </c>
      <c r="Y133" s="47">
        <v>1</v>
      </c>
      <c r="Z133" s="57" t="s">
        <v>264</v>
      </c>
      <c r="AA133" s="119"/>
    </row>
    <row r="134" spans="2:27" ht="76.5" x14ac:dyDescent="0.25">
      <c r="B134" s="531"/>
      <c r="C134" s="2" t="s">
        <v>68</v>
      </c>
      <c r="D134" s="3" t="s">
        <v>69</v>
      </c>
      <c r="E134" s="57">
        <v>1</v>
      </c>
      <c r="F134" s="13">
        <v>120000</v>
      </c>
      <c r="G134" s="13">
        <f t="shared" si="52"/>
        <v>120000</v>
      </c>
      <c r="H134" s="53">
        <f t="shared" si="29"/>
        <v>3.017917375458095</v>
      </c>
      <c r="I134" s="65">
        <f t="shared" si="56"/>
        <v>1</v>
      </c>
      <c r="J134" s="66">
        <f t="shared" si="56"/>
        <v>120000</v>
      </c>
      <c r="K134" s="66">
        <f t="shared" si="56"/>
        <v>120000</v>
      </c>
      <c r="L134" s="53">
        <f t="shared" si="30"/>
        <v>3.017917375458095</v>
      </c>
      <c r="M134" s="65">
        <f t="shared" si="53"/>
        <v>1</v>
      </c>
      <c r="N134" s="66">
        <f t="shared" si="54"/>
        <v>120000</v>
      </c>
      <c r="O134" s="66">
        <f t="shared" si="55"/>
        <v>120000</v>
      </c>
      <c r="P134" s="53">
        <f t="shared" si="31"/>
        <v>3.017917375458095</v>
      </c>
      <c r="Q134" s="53">
        <v>3.0375140579947497</v>
      </c>
      <c r="R134" s="56">
        <v>3.0375140579947497</v>
      </c>
      <c r="S134" s="56">
        <v>3.0375140579947497</v>
      </c>
      <c r="T134" s="53">
        <v>3.0375140579947497</v>
      </c>
      <c r="U134" s="56">
        <v>3.0375140579947497</v>
      </c>
      <c r="V134" s="56">
        <v>3.0375140579947497</v>
      </c>
      <c r="W134" s="56">
        <v>3.0375140579947497</v>
      </c>
      <c r="X134" s="136">
        <f t="shared" si="34"/>
        <v>30.316350532337527</v>
      </c>
      <c r="Y134" s="47">
        <v>1</v>
      </c>
      <c r="Z134" s="57" t="s">
        <v>264</v>
      </c>
      <c r="AA134" s="119"/>
    </row>
    <row r="135" spans="2:27" ht="39" thickBot="1" x14ac:dyDescent="0.3">
      <c r="B135" s="534"/>
      <c r="C135" s="21" t="s">
        <v>54</v>
      </c>
      <c r="D135" s="23" t="s">
        <v>101</v>
      </c>
      <c r="E135" s="90">
        <v>350</v>
      </c>
      <c r="F135" s="16">
        <v>1100</v>
      </c>
      <c r="G135" s="16">
        <f t="shared" si="52"/>
        <v>385000</v>
      </c>
      <c r="H135" s="77">
        <f t="shared" ref="H135:H198" si="57">+G135/$C$4</f>
        <v>9.6824849129280555</v>
      </c>
      <c r="I135" s="78"/>
      <c r="J135" s="68"/>
      <c r="K135" s="68"/>
      <c r="L135" s="77">
        <f t="shared" ref="L135:L198" si="58">+K135/$C$4</f>
        <v>0</v>
      </c>
      <c r="M135" s="78">
        <f t="shared" si="53"/>
        <v>350</v>
      </c>
      <c r="N135" s="68">
        <f t="shared" si="54"/>
        <v>1100</v>
      </c>
      <c r="O135" s="68">
        <f t="shared" si="55"/>
        <v>385000</v>
      </c>
      <c r="P135" s="77">
        <f t="shared" ref="P135:P198" si="59">+O135/$C$4</f>
        <v>9.6824849129280555</v>
      </c>
      <c r="Q135" s="77">
        <v>9.7453576027331561</v>
      </c>
      <c r="R135" s="84">
        <v>0</v>
      </c>
      <c r="S135" s="84">
        <v>9.7453576027331561</v>
      </c>
      <c r="T135" s="77">
        <v>9.7453576027331561</v>
      </c>
      <c r="U135" s="84">
        <v>0</v>
      </c>
      <c r="V135" s="84">
        <v>9.7453576027331561</v>
      </c>
      <c r="W135" s="84">
        <v>9.7453576027331561</v>
      </c>
      <c r="X135" s="139">
        <f t="shared" si="34"/>
        <v>68.09175783952189</v>
      </c>
      <c r="Y135" s="50">
        <v>2</v>
      </c>
      <c r="Z135" s="90" t="s">
        <v>264</v>
      </c>
      <c r="AA135" s="117"/>
    </row>
    <row r="136" spans="2:27" ht="25.5" x14ac:dyDescent="0.25">
      <c r="B136" s="533" t="s">
        <v>15</v>
      </c>
      <c r="C136" s="20" t="s">
        <v>52</v>
      </c>
      <c r="D136" s="32" t="s">
        <v>76</v>
      </c>
      <c r="E136" s="95">
        <v>300</v>
      </c>
      <c r="F136" s="25">
        <v>800</v>
      </c>
      <c r="G136" s="25">
        <f t="shared" si="52"/>
        <v>240000</v>
      </c>
      <c r="H136" s="75">
        <f t="shared" si="57"/>
        <v>6.03583475091619</v>
      </c>
      <c r="I136" s="76">
        <f t="shared" ref="I136:K137" si="60">+E136</f>
        <v>300</v>
      </c>
      <c r="J136" s="67">
        <f t="shared" si="60"/>
        <v>800</v>
      </c>
      <c r="K136" s="67">
        <f t="shared" si="60"/>
        <v>240000</v>
      </c>
      <c r="L136" s="75">
        <f t="shared" si="58"/>
        <v>6.03583475091619</v>
      </c>
      <c r="M136" s="76">
        <f t="shared" si="53"/>
        <v>300</v>
      </c>
      <c r="N136" s="67">
        <f t="shared" si="54"/>
        <v>800</v>
      </c>
      <c r="O136" s="67">
        <f t="shared" si="55"/>
        <v>240000</v>
      </c>
      <c r="P136" s="75">
        <f t="shared" si="59"/>
        <v>6.03583475091619</v>
      </c>
      <c r="Q136" s="75">
        <v>6.0750281159894994</v>
      </c>
      <c r="R136" s="96">
        <v>6.0750281159894994</v>
      </c>
      <c r="S136" s="96">
        <v>6.0750281159894994</v>
      </c>
      <c r="T136" s="75">
        <v>6.0750281159894994</v>
      </c>
      <c r="U136" s="96">
        <v>6.0750281159894994</v>
      </c>
      <c r="V136" s="96">
        <v>6.0750281159894994</v>
      </c>
      <c r="W136" s="96">
        <v>6.0750281159894994</v>
      </c>
      <c r="X136" s="138">
        <f t="shared" si="34"/>
        <v>60.632701064675054</v>
      </c>
      <c r="Y136" s="49">
        <v>1</v>
      </c>
      <c r="Z136" s="95" t="s">
        <v>264</v>
      </c>
      <c r="AA136" s="120"/>
    </row>
    <row r="137" spans="2:27" ht="38.25" x14ac:dyDescent="0.25">
      <c r="B137" s="531"/>
      <c r="C137" s="2" t="s">
        <v>75</v>
      </c>
      <c r="D137" s="3" t="s">
        <v>77</v>
      </c>
      <c r="E137" s="57">
        <v>200</v>
      </c>
      <c r="F137" s="13">
        <v>800</v>
      </c>
      <c r="G137" s="13">
        <f t="shared" si="52"/>
        <v>160000</v>
      </c>
      <c r="H137" s="53">
        <f t="shared" si="57"/>
        <v>4.0238898339441267</v>
      </c>
      <c r="I137" s="65">
        <f t="shared" si="60"/>
        <v>200</v>
      </c>
      <c r="J137" s="66">
        <f t="shared" si="60"/>
        <v>800</v>
      </c>
      <c r="K137" s="66">
        <f t="shared" si="60"/>
        <v>160000</v>
      </c>
      <c r="L137" s="53">
        <f t="shared" si="58"/>
        <v>4.0238898339441267</v>
      </c>
      <c r="M137" s="65">
        <f t="shared" si="53"/>
        <v>200</v>
      </c>
      <c r="N137" s="66">
        <f t="shared" si="54"/>
        <v>800</v>
      </c>
      <c r="O137" s="66">
        <f t="shared" si="55"/>
        <v>160000</v>
      </c>
      <c r="P137" s="53">
        <f t="shared" si="59"/>
        <v>4.0238898339441267</v>
      </c>
      <c r="Q137" s="53">
        <v>4.0500187439929993</v>
      </c>
      <c r="R137" s="56">
        <v>4.0500187439929993</v>
      </c>
      <c r="S137" s="56">
        <v>4.0500187439929993</v>
      </c>
      <c r="T137" s="53">
        <v>4.0500187439929993</v>
      </c>
      <c r="U137" s="56">
        <v>4.0500187439929993</v>
      </c>
      <c r="V137" s="56">
        <v>4.0500187439929993</v>
      </c>
      <c r="W137" s="56">
        <v>4.0500187439929993</v>
      </c>
      <c r="X137" s="136">
        <f t="shared" ref="X137:X200" si="61">+H137+L137+P137+Q137+R137+S137+T137+U137+V137+W137</f>
        <v>40.421800709783376</v>
      </c>
      <c r="Y137" s="47">
        <v>1</v>
      </c>
      <c r="Z137" s="57" t="s">
        <v>264</v>
      </c>
      <c r="AA137" s="119"/>
    </row>
    <row r="138" spans="2:27" ht="25.5" x14ac:dyDescent="0.25">
      <c r="B138" s="531"/>
      <c r="C138" s="2" t="s">
        <v>214</v>
      </c>
      <c r="D138" s="3" t="s">
        <v>100</v>
      </c>
      <c r="E138" s="57">
        <v>950</v>
      </c>
      <c r="F138" s="13">
        <v>1100</v>
      </c>
      <c r="G138" s="13">
        <f t="shared" si="52"/>
        <v>1045000</v>
      </c>
      <c r="H138" s="53">
        <f t="shared" si="57"/>
        <v>26.281030477947578</v>
      </c>
      <c r="I138" s="65"/>
      <c r="J138" s="66"/>
      <c r="K138" s="66"/>
      <c r="L138" s="53">
        <f t="shared" si="58"/>
        <v>0</v>
      </c>
      <c r="M138" s="65"/>
      <c r="N138" s="66"/>
      <c r="O138" s="66"/>
      <c r="P138" s="53">
        <f t="shared" si="59"/>
        <v>0</v>
      </c>
      <c r="Q138" s="53">
        <v>26.451684921704281</v>
      </c>
      <c r="R138" s="56">
        <v>0</v>
      </c>
      <c r="S138" s="56">
        <v>0</v>
      </c>
      <c r="T138" s="53">
        <v>26.451684921704281</v>
      </c>
      <c r="U138" s="56">
        <v>0</v>
      </c>
      <c r="V138" s="56">
        <v>0</v>
      </c>
      <c r="W138" s="56">
        <v>26.451684921704281</v>
      </c>
      <c r="X138" s="136">
        <f t="shared" si="61"/>
        <v>105.63608524306042</v>
      </c>
      <c r="Y138" s="47">
        <v>3</v>
      </c>
      <c r="Z138" s="57" t="s">
        <v>264</v>
      </c>
      <c r="AA138" s="119"/>
    </row>
    <row r="139" spans="2:27" ht="38.25" x14ac:dyDescent="0.25">
      <c r="B139" s="531"/>
      <c r="C139" s="2" t="s">
        <v>53</v>
      </c>
      <c r="D139" s="3" t="s">
        <v>74</v>
      </c>
      <c r="E139" s="57">
        <v>1800</v>
      </c>
      <c r="F139" s="13">
        <v>4200</v>
      </c>
      <c r="G139" s="13">
        <f t="shared" si="52"/>
        <v>7560000</v>
      </c>
      <c r="H139" s="53">
        <f t="shared" si="57"/>
        <v>190.12879465385998</v>
      </c>
      <c r="I139" s="65"/>
      <c r="J139" s="66"/>
      <c r="K139" s="66"/>
      <c r="L139" s="53">
        <f t="shared" si="58"/>
        <v>0</v>
      </c>
      <c r="M139" s="65">
        <f t="shared" ref="M139:M166" si="62">+E139</f>
        <v>1800</v>
      </c>
      <c r="N139" s="66">
        <f t="shared" ref="N139:N166" si="63">+F139</f>
        <v>4200</v>
      </c>
      <c r="O139" s="66">
        <f t="shared" ref="O139:O166" si="64">+G139</f>
        <v>7560000</v>
      </c>
      <c r="P139" s="53">
        <f t="shared" si="59"/>
        <v>190.12879465385998</v>
      </c>
      <c r="Q139" s="53">
        <v>191.36338565366924</v>
      </c>
      <c r="R139" s="56">
        <v>0</v>
      </c>
      <c r="S139" s="56">
        <v>191.36338565366924</v>
      </c>
      <c r="T139" s="53">
        <v>191.36338565366924</v>
      </c>
      <c r="U139" s="56">
        <v>0</v>
      </c>
      <c r="V139" s="56">
        <v>191.36338565366924</v>
      </c>
      <c r="W139" s="56">
        <v>191.36338565366924</v>
      </c>
      <c r="X139" s="136">
        <f t="shared" si="61"/>
        <v>1337.074517576066</v>
      </c>
      <c r="Y139" s="47">
        <v>2</v>
      </c>
      <c r="Z139" s="57" t="s">
        <v>264</v>
      </c>
      <c r="AA139" s="119"/>
    </row>
    <row r="140" spans="2:27" x14ac:dyDescent="0.25">
      <c r="B140" s="531"/>
      <c r="C140" s="2" t="s">
        <v>188</v>
      </c>
      <c r="D140" s="3" t="s">
        <v>159</v>
      </c>
      <c r="E140" s="57">
        <v>1134</v>
      </c>
      <c r="F140" s="13">
        <v>1100</v>
      </c>
      <c r="G140" s="13">
        <f t="shared" si="52"/>
        <v>1247400</v>
      </c>
      <c r="H140" s="53">
        <f t="shared" si="57"/>
        <v>31.371251117886896</v>
      </c>
      <c r="I140" s="65">
        <f t="shared" ref="I140:K146" si="65">+E140</f>
        <v>1134</v>
      </c>
      <c r="J140" s="66">
        <f t="shared" si="65"/>
        <v>1100</v>
      </c>
      <c r="K140" s="66">
        <f t="shared" si="65"/>
        <v>1247400</v>
      </c>
      <c r="L140" s="53">
        <f t="shared" si="58"/>
        <v>31.371251117886896</v>
      </c>
      <c r="M140" s="65">
        <f t="shared" si="62"/>
        <v>1134</v>
      </c>
      <c r="N140" s="66">
        <f t="shared" si="63"/>
        <v>1100</v>
      </c>
      <c r="O140" s="66">
        <f t="shared" si="64"/>
        <v>1247400</v>
      </c>
      <c r="P140" s="53">
        <f t="shared" si="59"/>
        <v>31.371251117886896</v>
      </c>
      <c r="Q140" s="53">
        <v>31.574958632855424</v>
      </c>
      <c r="R140" s="56">
        <v>31.574958632855424</v>
      </c>
      <c r="S140" s="56">
        <v>31.574958632855424</v>
      </c>
      <c r="T140" s="53">
        <v>31.574958632855424</v>
      </c>
      <c r="U140" s="56">
        <v>31.574958632855424</v>
      </c>
      <c r="V140" s="56">
        <v>31.574958632855424</v>
      </c>
      <c r="W140" s="56">
        <v>31.574958632855424</v>
      </c>
      <c r="X140" s="136">
        <f t="shared" si="61"/>
        <v>315.13846378364866</v>
      </c>
      <c r="Y140" s="47">
        <v>1</v>
      </c>
      <c r="Z140" s="57" t="s">
        <v>264</v>
      </c>
      <c r="AA140" s="119"/>
    </row>
    <row r="141" spans="2:27" ht="51" x14ac:dyDescent="0.25">
      <c r="B141" s="531"/>
      <c r="C141" s="2" t="s">
        <v>71</v>
      </c>
      <c r="D141" s="8" t="s">
        <v>79</v>
      </c>
      <c r="E141" s="57">
        <v>1</v>
      </c>
      <c r="F141" s="13">
        <v>350000</v>
      </c>
      <c r="G141" s="13">
        <f t="shared" si="52"/>
        <v>350000</v>
      </c>
      <c r="H141" s="53">
        <f t="shared" si="57"/>
        <v>8.8022590117527777</v>
      </c>
      <c r="I141" s="65">
        <f t="shared" si="65"/>
        <v>1</v>
      </c>
      <c r="J141" s="66">
        <f t="shared" si="65"/>
        <v>350000</v>
      </c>
      <c r="K141" s="66">
        <f t="shared" si="65"/>
        <v>350000</v>
      </c>
      <c r="L141" s="53">
        <f t="shared" si="58"/>
        <v>8.8022590117527777</v>
      </c>
      <c r="M141" s="65">
        <f t="shared" si="62"/>
        <v>1</v>
      </c>
      <c r="N141" s="66">
        <f t="shared" si="63"/>
        <v>350000</v>
      </c>
      <c r="O141" s="66">
        <f t="shared" si="64"/>
        <v>350000</v>
      </c>
      <c r="P141" s="53">
        <f t="shared" si="59"/>
        <v>8.8022590117527777</v>
      </c>
      <c r="Q141" s="53">
        <v>8.8594160024846875</v>
      </c>
      <c r="R141" s="56">
        <v>8.8594160024846875</v>
      </c>
      <c r="S141" s="56">
        <v>8.8594160024846875</v>
      </c>
      <c r="T141" s="53">
        <v>8.8594160024846875</v>
      </c>
      <c r="U141" s="56">
        <v>8.8594160024846875</v>
      </c>
      <c r="V141" s="56">
        <v>8.8594160024846875</v>
      </c>
      <c r="W141" s="56">
        <v>8.8594160024846875</v>
      </c>
      <c r="X141" s="136">
        <f t="shared" si="61"/>
        <v>88.422689052651151</v>
      </c>
      <c r="Y141" s="47">
        <v>1</v>
      </c>
      <c r="Z141" s="57" t="s">
        <v>264</v>
      </c>
      <c r="AA141" s="119"/>
    </row>
    <row r="142" spans="2:27" x14ac:dyDescent="0.25">
      <c r="B142" s="531"/>
      <c r="C142" s="2" t="s">
        <v>189</v>
      </c>
      <c r="D142" s="14" t="s">
        <v>88</v>
      </c>
      <c r="E142" s="57">
        <v>1134</v>
      </c>
      <c r="F142" s="13">
        <v>800</v>
      </c>
      <c r="G142" s="13">
        <f t="shared" si="52"/>
        <v>907200</v>
      </c>
      <c r="H142" s="53">
        <f t="shared" si="57"/>
        <v>22.815455358463197</v>
      </c>
      <c r="I142" s="65">
        <f t="shared" si="65"/>
        <v>1134</v>
      </c>
      <c r="J142" s="66">
        <f t="shared" si="65"/>
        <v>800</v>
      </c>
      <c r="K142" s="66">
        <f t="shared" si="65"/>
        <v>907200</v>
      </c>
      <c r="L142" s="53">
        <f t="shared" si="58"/>
        <v>22.815455358463197</v>
      </c>
      <c r="M142" s="65">
        <f t="shared" si="62"/>
        <v>1134</v>
      </c>
      <c r="N142" s="66">
        <f t="shared" si="63"/>
        <v>800</v>
      </c>
      <c r="O142" s="66">
        <f t="shared" si="64"/>
        <v>907200</v>
      </c>
      <c r="P142" s="53">
        <f t="shared" si="59"/>
        <v>22.815455358463197</v>
      </c>
      <c r="Q142" s="53">
        <v>22.963606278440309</v>
      </c>
      <c r="R142" s="56">
        <v>22.963606278440309</v>
      </c>
      <c r="S142" s="56">
        <v>22.963606278440309</v>
      </c>
      <c r="T142" s="53">
        <v>22.963606278440309</v>
      </c>
      <c r="U142" s="56">
        <v>22.963606278440309</v>
      </c>
      <c r="V142" s="56">
        <v>22.963606278440309</v>
      </c>
      <c r="W142" s="56">
        <v>22.963606278440309</v>
      </c>
      <c r="X142" s="136">
        <f t="shared" si="61"/>
        <v>229.19161002447169</v>
      </c>
      <c r="Y142" s="47">
        <v>1</v>
      </c>
      <c r="Z142" s="57" t="s">
        <v>264</v>
      </c>
      <c r="AA142" s="119"/>
    </row>
    <row r="143" spans="2:27" ht="25.5" x14ac:dyDescent="0.25">
      <c r="B143" s="531"/>
      <c r="C143" s="2" t="s">
        <v>97</v>
      </c>
      <c r="D143" s="3" t="s">
        <v>81</v>
      </c>
      <c r="E143" s="57">
        <v>90</v>
      </c>
      <c r="F143" s="13">
        <v>1100</v>
      </c>
      <c r="G143" s="13">
        <f t="shared" si="52"/>
        <v>99000</v>
      </c>
      <c r="H143" s="53">
        <f t="shared" si="57"/>
        <v>2.4897818347529284</v>
      </c>
      <c r="I143" s="65">
        <f t="shared" si="65"/>
        <v>90</v>
      </c>
      <c r="J143" s="66">
        <f t="shared" si="65"/>
        <v>1100</v>
      </c>
      <c r="K143" s="66">
        <f t="shared" si="65"/>
        <v>99000</v>
      </c>
      <c r="L143" s="53">
        <f t="shared" si="58"/>
        <v>2.4897818347529284</v>
      </c>
      <c r="M143" s="65">
        <f t="shared" si="62"/>
        <v>90</v>
      </c>
      <c r="N143" s="66">
        <f t="shared" si="63"/>
        <v>1100</v>
      </c>
      <c r="O143" s="66">
        <f t="shared" si="64"/>
        <v>99000</v>
      </c>
      <c r="P143" s="53">
        <f t="shared" si="59"/>
        <v>2.4897818347529284</v>
      </c>
      <c r="Q143" s="53">
        <v>2.5059490978456687</v>
      </c>
      <c r="R143" s="56">
        <v>2.5059490978456687</v>
      </c>
      <c r="S143" s="56">
        <v>2.5059490978456687</v>
      </c>
      <c r="T143" s="53">
        <v>2.5059490978456687</v>
      </c>
      <c r="U143" s="56">
        <v>2.5059490978456687</v>
      </c>
      <c r="V143" s="56">
        <v>2.5059490978456687</v>
      </c>
      <c r="W143" s="56">
        <v>2.5059490978456687</v>
      </c>
      <c r="X143" s="136">
        <f t="shared" si="61"/>
        <v>25.010989189178463</v>
      </c>
      <c r="Y143" s="47">
        <v>1</v>
      </c>
      <c r="Z143" s="57" t="s">
        <v>264</v>
      </c>
      <c r="AA143" s="119"/>
    </row>
    <row r="144" spans="2:27" ht="77.25" thickBot="1" x14ac:dyDescent="0.3">
      <c r="B144" s="534"/>
      <c r="C144" s="21" t="s">
        <v>68</v>
      </c>
      <c r="D144" s="23" t="s">
        <v>69</v>
      </c>
      <c r="E144" s="90">
        <v>1</v>
      </c>
      <c r="F144" s="16">
        <v>230000</v>
      </c>
      <c r="G144" s="16">
        <f t="shared" si="52"/>
        <v>230000</v>
      </c>
      <c r="H144" s="77">
        <f t="shared" si="57"/>
        <v>5.7843416362946822</v>
      </c>
      <c r="I144" s="78">
        <f t="shared" si="65"/>
        <v>1</v>
      </c>
      <c r="J144" s="68">
        <f t="shared" si="65"/>
        <v>230000</v>
      </c>
      <c r="K144" s="68">
        <f t="shared" si="65"/>
        <v>230000</v>
      </c>
      <c r="L144" s="77">
        <f t="shared" si="58"/>
        <v>5.7843416362946822</v>
      </c>
      <c r="M144" s="78">
        <f t="shared" si="62"/>
        <v>1</v>
      </c>
      <c r="N144" s="68">
        <f t="shared" si="63"/>
        <v>230000</v>
      </c>
      <c r="O144" s="68">
        <f t="shared" si="64"/>
        <v>230000</v>
      </c>
      <c r="P144" s="77">
        <f t="shared" si="59"/>
        <v>5.7843416362946822</v>
      </c>
      <c r="Q144" s="77">
        <v>5.8219019444899374</v>
      </c>
      <c r="R144" s="84">
        <v>5.8219019444899374</v>
      </c>
      <c r="S144" s="84">
        <v>5.8219019444899374</v>
      </c>
      <c r="T144" s="77">
        <v>5.8219019444899374</v>
      </c>
      <c r="U144" s="84">
        <v>5.8219019444899374</v>
      </c>
      <c r="V144" s="84">
        <v>5.8219019444899374</v>
      </c>
      <c r="W144" s="84">
        <v>5.8219019444899374</v>
      </c>
      <c r="X144" s="139">
        <f t="shared" si="61"/>
        <v>58.106338520313606</v>
      </c>
      <c r="Y144" s="50">
        <v>1</v>
      </c>
      <c r="Z144" s="90" t="s">
        <v>264</v>
      </c>
      <c r="AA144" s="117"/>
    </row>
    <row r="145" spans="2:27" ht="81" customHeight="1" x14ac:dyDescent="0.25">
      <c r="B145" s="530" t="s">
        <v>16</v>
      </c>
      <c r="C145" s="19" t="s">
        <v>52</v>
      </c>
      <c r="D145" s="31" t="s">
        <v>112</v>
      </c>
      <c r="E145" s="103">
        <v>4930</v>
      </c>
      <c r="F145" s="24">
        <v>800</v>
      </c>
      <c r="G145" s="24">
        <f t="shared" si="52"/>
        <v>3944000</v>
      </c>
      <c r="H145" s="81">
        <f t="shared" si="57"/>
        <v>99.188884406722721</v>
      </c>
      <c r="I145" s="82">
        <f t="shared" si="65"/>
        <v>4930</v>
      </c>
      <c r="J145" s="74">
        <f t="shared" si="65"/>
        <v>800</v>
      </c>
      <c r="K145" s="74">
        <f t="shared" si="65"/>
        <v>3944000</v>
      </c>
      <c r="L145" s="81">
        <f t="shared" si="58"/>
        <v>99.188884406722721</v>
      </c>
      <c r="M145" s="82">
        <f t="shared" si="62"/>
        <v>4930</v>
      </c>
      <c r="N145" s="74">
        <f t="shared" si="63"/>
        <v>800</v>
      </c>
      <c r="O145" s="74">
        <f t="shared" si="64"/>
        <v>3944000</v>
      </c>
      <c r="P145" s="81">
        <f t="shared" si="59"/>
        <v>99.188884406722721</v>
      </c>
      <c r="Q145" s="81">
        <v>99.832962039427443</v>
      </c>
      <c r="R145" s="102">
        <v>99.832962039427443</v>
      </c>
      <c r="S145" s="102">
        <v>99.832962039427443</v>
      </c>
      <c r="T145" s="81">
        <v>99.832962039427443</v>
      </c>
      <c r="U145" s="102">
        <v>99.832962039427443</v>
      </c>
      <c r="V145" s="102">
        <v>99.832962039427443</v>
      </c>
      <c r="W145" s="102">
        <v>99.832962039427443</v>
      </c>
      <c r="X145" s="135">
        <f t="shared" si="61"/>
        <v>996.39738749616038</v>
      </c>
      <c r="Y145" s="46">
        <v>1</v>
      </c>
      <c r="Z145" s="103" t="s">
        <v>261</v>
      </c>
      <c r="AA145" s="118" t="s">
        <v>274</v>
      </c>
    </row>
    <row r="146" spans="2:27" s="4" customFormat="1" ht="60" x14ac:dyDescent="0.25">
      <c r="B146" s="531"/>
      <c r="C146" s="2" t="s">
        <v>113</v>
      </c>
      <c r="D146" s="3" t="s">
        <v>114</v>
      </c>
      <c r="E146" s="57">
        <v>3550</v>
      </c>
      <c r="F146" s="13">
        <v>800</v>
      </c>
      <c r="G146" s="13">
        <f t="shared" si="52"/>
        <v>2840000</v>
      </c>
      <c r="H146" s="53">
        <f t="shared" si="57"/>
        <v>71.424044552508249</v>
      </c>
      <c r="I146" s="65">
        <f t="shared" si="65"/>
        <v>3550</v>
      </c>
      <c r="J146" s="66">
        <f t="shared" si="65"/>
        <v>800</v>
      </c>
      <c r="K146" s="66">
        <f t="shared" si="65"/>
        <v>2840000</v>
      </c>
      <c r="L146" s="53">
        <f t="shared" si="58"/>
        <v>71.424044552508249</v>
      </c>
      <c r="M146" s="65">
        <f t="shared" si="62"/>
        <v>3550</v>
      </c>
      <c r="N146" s="66">
        <f t="shared" si="63"/>
        <v>800</v>
      </c>
      <c r="O146" s="66">
        <f t="shared" si="64"/>
        <v>2840000</v>
      </c>
      <c r="P146" s="53">
        <f t="shared" si="59"/>
        <v>71.424044552508249</v>
      </c>
      <c r="Q146" s="53">
        <v>71.887832705875752</v>
      </c>
      <c r="R146" s="56">
        <v>71.887832705875752</v>
      </c>
      <c r="S146" s="56">
        <v>71.887832705875752</v>
      </c>
      <c r="T146" s="53">
        <v>71.887832705875752</v>
      </c>
      <c r="U146" s="56">
        <v>71.887832705875752</v>
      </c>
      <c r="V146" s="56">
        <v>71.887832705875752</v>
      </c>
      <c r="W146" s="56">
        <v>71.887832705875752</v>
      </c>
      <c r="X146" s="136">
        <f t="shared" si="61"/>
        <v>717.48696259865517</v>
      </c>
      <c r="Y146" s="47">
        <v>1</v>
      </c>
      <c r="Z146" s="57" t="s">
        <v>261</v>
      </c>
      <c r="AA146" s="119" t="s">
        <v>275</v>
      </c>
    </row>
    <row r="147" spans="2:27" ht="38.25" x14ac:dyDescent="0.25">
      <c r="B147" s="531"/>
      <c r="C147" s="2" t="s">
        <v>116</v>
      </c>
      <c r="D147" s="3" t="s">
        <v>74</v>
      </c>
      <c r="E147" s="57">
        <v>120</v>
      </c>
      <c r="F147" s="13">
        <v>1100</v>
      </c>
      <c r="G147" s="13">
        <f t="shared" si="52"/>
        <v>132000</v>
      </c>
      <c r="H147" s="53">
        <f t="shared" si="57"/>
        <v>3.3197091130039045</v>
      </c>
      <c r="I147" s="65"/>
      <c r="J147" s="66"/>
      <c r="K147" s="66"/>
      <c r="L147" s="53">
        <f t="shared" si="58"/>
        <v>0</v>
      </c>
      <c r="M147" s="65">
        <f t="shared" si="62"/>
        <v>120</v>
      </c>
      <c r="N147" s="66">
        <f t="shared" si="63"/>
        <v>1100</v>
      </c>
      <c r="O147" s="66">
        <f t="shared" si="64"/>
        <v>132000</v>
      </c>
      <c r="P147" s="53">
        <f t="shared" si="59"/>
        <v>3.3197091130039045</v>
      </c>
      <c r="Q147" s="53">
        <v>3.3412654637942247</v>
      </c>
      <c r="R147" s="56">
        <v>0</v>
      </c>
      <c r="S147" s="56">
        <v>3.3412654637942247</v>
      </c>
      <c r="T147" s="53">
        <v>3.3412654637942247</v>
      </c>
      <c r="U147" s="56">
        <v>0</v>
      </c>
      <c r="V147" s="56">
        <v>3.3412654637942247</v>
      </c>
      <c r="W147" s="56">
        <v>3.3412654637942247</v>
      </c>
      <c r="X147" s="136">
        <f t="shared" si="61"/>
        <v>23.345745544978936</v>
      </c>
      <c r="Y147" s="47">
        <v>2</v>
      </c>
      <c r="Z147" s="57" t="s">
        <v>264</v>
      </c>
      <c r="AA147" s="119"/>
    </row>
    <row r="148" spans="2:27" x14ac:dyDescent="0.25">
      <c r="B148" s="531"/>
      <c r="C148" s="2" t="s">
        <v>188</v>
      </c>
      <c r="D148" s="3" t="s">
        <v>159</v>
      </c>
      <c r="E148" s="57">
        <v>1200</v>
      </c>
      <c r="F148" s="13">
        <v>1100</v>
      </c>
      <c r="G148" s="13">
        <f t="shared" si="52"/>
        <v>1320000</v>
      </c>
      <c r="H148" s="53">
        <f t="shared" si="57"/>
        <v>33.197091130039041</v>
      </c>
      <c r="I148" s="65">
        <f t="shared" ref="I148:K152" si="66">+E148</f>
        <v>1200</v>
      </c>
      <c r="J148" s="66">
        <f t="shared" si="66"/>
        <v>1100</v>
      </c>
      <c r="K148" s="66">
        <f t="shared" si="66"/>
        <v>1320000</v>
      </c>
      <c r="L148" s="53">
        <f t="shared" si="58"/>
        <v>33.197091130039041</v>
      </c>
      <c r="M148" s="65">
        <f t="shared" si="62"/>
        <v>1200</v>
      </c>
      <c r="N148" s="66">
        <f t="shared" si="63"/>
        <v>1100</v>
      </c>
      <c r="O148" s="66">
        <f t="shared" si="64"/>
        <v>1320000</v>
      </c>
      <c r="P148" s="53">
        <f t="shared" si="59"/>
        <v>33.197091130039041</v>
      </c>
      <c r="Q148" s="53">
        <v>33.412654637942246</v>
      </c>
      <c r="R148" s="56">
        <v>33.412654637942246</v>
      </c>
      <c r="S148" s="56">
        <v>33.412654637942246</v>
      </c>
      <c r="T148" s="53">
        <v>33.412654637942246</v>
      </c>
      <c r="U148" s="56">
        <v>33.412654637942246</v>
      </c>
      <c r="V148" s="56">
        <v>33.412654637942246</v>
      </c>
      <c r="W148" s="56">
        <v>33.412654637942246</v>
      </c>
      <c r="X148" s="136">
        <f t="shared" si="61"/>
        <v>333.4798558557128</v>
      </c>
      <c r="Y148" s="47">
        <v>1</v>
      </c>
      <c r="Z148" s="57" t="s">
        <v>264</v>
      </c>
      <c r="AA148" s="119"/>
    </row>
    <row r="149" spans="2:27" ht="51" x14ac:dyDescent="0.25">
      <c r="B149" s="531"/>
      <c r="C149" s="2" t="s">
        <v>71</v>
      </c>
      <c r="D149" s="8" t="s">
        <v>79</v>
      </c>
      <c r="E149" s="57">
        <v>1</v>
      </c>
      <c r="F149" s="13">
        <v>450000</v>
      </c>
      <c r="G149" s="13">
        <f t="shared" si="52"/>
        <v>450000</v>
      </c>
      <c r="H149" s="53">
        <f t="shared" si="57"/>
        <v>11.317190157967856</v>
      </c>
      <c r="I149" s="65">
        <f t="shared" si="66"/>
        <v>1</v>
      </c>
      <c r="J149" s="66">
        <f t="shared" si="66"/>
        <v>450000</v>
      </c>
      <c r="K149" s="66">
        <f t="shared" si="66"/>
        <v>450000</v>
      </c>
      <c r="L149" s="53">
        <f t="shared" si="58"/>
        <v>11.317190157967856</v>
      </c>
      <c r="M149" s="65">
        <f t="shared" si="62"/>
        <v>1</v>
      </c>
      <c r="N149" s="66">
        <f t="shared" si="63"/>
        <v>450000</v>
      </c>
      <c r="O149" s="66">
        <f t="shared" si="64"/>
        <v>450000</v>
      </c>
      <c r="P149" s="53">
        <f t="shared" si="59"/>
        <v>11.317190157967856</v>
      </c>
      <c r="Q149" s="53">
        <v>11.390677717480312</v>
      </c>
      <c r="R149" s="56">
        <v>11.390677717480312</v>
      </c>
      <c r="S149" s="56">
        <v>11.390677717480312</v>
      </c>
      <c r="T149" s="53">
        <v>11.390677717480312</v>
      </c>
      <c r="U149" s="56">
        <v>11.390677717480312</v>
      </c>
      <c r="V149" s="56">
        <v>11.390677717480312</v>
      </c>
      <c r="W149" s="56">
        <v>11.390677717480312</v>
      </c>
      <c r="X149" s="136">
        <f t="shared" si="61"/>
        <v>113.68631449626577</v>
      </c>
      <c r="Y149" s="47">
        <v>1</v>
      </c>
      <c r="Z149" s="57" t="s">
        <v>264</v>
      </c>
      <c r="AA149" s="119"/>
    </row>
    <row r="150" spans="2:27" x14ac:dyDescent="0.25">
      <c r="B150" s="531"/>
      <c r="C150" s="2" t="s">
        <v>189</v>
      </c>
      <c r="D150" s="14" t="s">
        <v>88</v>
      </c>
      <c r="E150" s="57">
        <v>3680</v>
      </c>
      <c r="F150" s="13">
        <v>800</v>
      </c>
      <c r="G150" s="13">
        <f t="shared" si="52"/>
        <v>2944000</v>
      </c>
      <c r="H150" s="53">
        <f t="shared" si="57"/>
        <v>74.03957294457193</v>
      </c>
      <c r="I150" s="65">
        <f t="shared" si="66"/>
        <v>3680</v>
      </c>
      <c r="J150" s="66">
        <f t="shared" si="66"/>
        <v>800</v>
      </c>
      <c r="K150" s="66">
        <f t="shared" si="66"/>
        <v>2944000</v>
      </c>
      <c r="L150" s="53">
        <f t="shared" si="58"/>
        <v>74.03957294457193</v>
      </c>
      <c r="M150" s="65">
        <f t="shared" si="62"/>
        <v>3680</v>
      </c>
      <c r="N150" s="66">
        <f t="shared" si="63"/>
        <v>800</v>
      </c>
      <c r="O150" s="66">
        <f t="shared" si="64"/>
        <v>2944000</v>
      </c>
      <c r="P150" s="53">
        <f t="shared" si="59"/>
        <v>74.03957294457193</v>
      </c>
      <c r="Q150" s="53">
        <v>74.52034488947119</v>
      </c>
      <c r="R150" s="56">
        <v>74.52034488947119</v>
      </c>
      <c r="S150" s="56">
        <v>74.52034488947119</v>
      </c>
      <c r="T150" s="53">
        <v>74.52034488947119</v>
      </c>
      <c r="U150" s="56">
        <v>74.52034488947119</v>
      </c>
      <c r="V150" s="56">
        <v>74.52034488947119</v>
      </c>
      <c r="W150" s="56">
        <v>74.52034488947119</v>
      </c>
      <c r="X150" s="136">
        <f t="shared" si="61"/>
        <v>743.761133060014</v>
      </c>
      <c r="Y150" s="47">
        <v>1</v>
      </c>
      <c r="Z150" s="57" t="s">
        <v>264</v>
      </c>
      <c r="AA150" s="119"/>
    </row>
    <row r="151" spans="2:27" ht="25.5" x14ac:dyDescent="0.25">
      <c r="B151" s="531"/>
      <c r="C151" s="2" t="s">
        <v>115</v>
      </c>
      <c r="D151" s="3" t="s">
        <v>81</v>
      </c>
      <c r="E151" s="57">
        <v>720</v>
      </c>
      <c r="F151" s="13">
        <v>1100</v>
      </c>
      <c r="G151" s="13">
        <f t="shared" si="52"/>
        <v>792000</v>
      </c>
      <c r="H151" s="53">
        <f t="shared" si="57"/>
        <v>19.918254678023427</v>
      </c>
      <c r="I151" s="65">
        <f t="shared" si="66"/>
        <v>720</v>
      </c>
      <c r="J151" s="66">
        <f t="shared" si="66"/>
        <v>1100</v>
      </c>
      <c r="K151" s="66">
        <f t="shared" si="66"/>
        <v>792000</v>
      </c>
      <c r="L151" s="53">
        <f t="shared" si="58"/>
        <v>19.918254678023427</v>
      </c>
      <c r="M151" s="65">
        <f t="shared" si="62"/>
        <v>720</v>
      </c>
      <c r="N151" s="66">
        <f t="shared" si="63"/>
        <v>1100</v>
      </c>
      <c r="O151" s="66">
        <f t="shared" si="64"/>
        <v>792000</v>
      </c>
      <c r="P151" s="53">
        <f t="shared" si="59"/>
        <v>19.918254678023427</v>
      </c>
      <c r="Q151" s="53">
        <v>20.047592782765349</v>
      </c>
      <c r="R151" s="56">
        <v>20.047592782765349</v>
      </c>
      <c r="S151" s="56">
        <v>20.047592782765349</v>
      </c>
      <c r="T151" s="53">
        <v>20.047592782765349</v>
      </c>
      <c r="U151" s="56">
        <v>20.047592782765349</v>
      </c>
      <c r="V151" s="56">
        <v>20.047592782765349</v>
      </c>
      <c r="W151" s="56">
        <v>20.047592782765349</v>
      </c>
      <c r="X151" s="136">
        <f t="shared" si="61"/>
        <v>200.08791351342771</v>
      </c>
      <c r="Y151" s="47">
        <v>1</v>
      </c>
      <c r="Z151" s="57" t="s">
        <v>264</v>
      </c>
      <c r="AA151" s="119"/>
    </row>
    <row r="152" spans="2:27" ht="76.5" x14ac:dyDescent="0.25">
      <c r="B152" s="531"/>
      <c r="C152" s="2" t="s">
        <v>68</v>
      </c>
      <c r="D152" s="3" t="s">
        <v>69</v>
      </c>
      <c r="E152" s="57">
        <v>1</v>
      </c>
      <c r="F152" s="13">
        <v>450000</v>
      </c>
      <c r="G152" s="13">
        <f t="shared" si="52"/>
        <v>450000</v>
      </c>
      <c r="H152" s="53">
        <f t="shared" si="57"/>
        <v>11.317190157967856</v>
      </c>
      <c r="I152" s="65">
        <f t="shared" si="66"/>
        <v>1</v>
      </c>
      <c r="J152" s="66">
        <f t="shared" si="66"/>
        <v>450000</v>
      </c>
      <c r="K152" s="66">
        <f t="shared" si="66"/>
        <v>450000</v>
      </c>
      <c r="L152" s="53">
        <f t="shared" si="58"/>
        <v>11.317190157967856</v>
      </c>
      <c r="M152" s="65">
        <f t="shared" si="62"/>
        <v>1</v>
      </c>
      <c r="N152" s="66">
        <f t="shared" si="63"/>
        <v>450000</v>
      </c>
      <c r="O152" s="66">
        <f t="shared" si="64"/>
        <v>450000</v>
      </c>
      <c r="P152" s="53">
        <f t="shared" si="59"/>
        <v>11.317190157967856</v>
      </c>
      <c r="Q152" s="53">
        <v>11.390677717480312</v>
      </c>
      <c r="R152" s="56">
        <v>11.390677717480312</v>
      </c>
      <c r="S152" s="56">
        <v>11.390677717480312</v>
      </c>
      <c r="T152" s="53">
        <v>11.390677717480312</v>
      </c>
      <c r="U152" s="56">
        <v>11.390677717480312</v>
      </c>
      <c r="V152" s="56">
        <v>11.390677717480312</v>
      </c>
      <c r="W152" s="56">
        <v>11.390677717480312</v>
      </c>
      <c r="X152" s="136">
        <f t="shared" si="61"/>
        <v>113.68631449626577</v>
      </c>
      <c r="Y152" s="47">
        <v>1</v>
      </c>
      <c r="Z152" s="57" t="s">
        <v>264</v>
      </c>
      <c r="AA152" s="119"/>
    </row>
    <row r="153" spans="2:27" ht="51" x14ac:dyDescent="0.25">
      <c r="B153" s="531"/>
      <c r="C153" s="2" t="s">
        <v>119</v>
      </c>
      <c r="D153" s="3" t="s">
        <v>151</v>
      </c>
      <c r="E153" s="57">
        <f>5350*2</f>
        <v>10700</v>
      </c>
      <c r="F153" s="13">
        <v>1500</v>
      </c>
      <c r="G153" s="13">
        <f t="shared" si="52"/>
        <v>16050000</v>
      </c>
      <c r="H153" s="53">
        <f t="shared" si="57"/>
        <v>403.6464489675202</v>
      </c>
      <c r="I153" s="65"/>
      <c r="J153" s="66"/>
      <c r="K153" s="66"/>
      <c r="L153" s="53">
        <f t="shared" si="58"/>
        <v>0</v>
      </c>
      <c r="M153" s="65">
        <f t="shared" si="62"/>
        <v>10700</v>
      </c>
      <c r="N153" s="66">
        <f t="shared" si="63"/>
        <v>1500</v>
      </c>
      <c r="O153" s="66">
        <f t="shared" si="64"/>
        <v>16050000</v>
      </c>
      <c r="P153" s="53">
        <f t="shared" si="59"/>
        <v>403.6464489675202</v>
      </c>
      <c r="Q153" s="53">
        <v>406.26750525679779</v>
      </c>
      <c r="R153" s="56">
        <v>0</v>
      </c>
      <c r="S153" s="56">
        <v>406.26750525679779</v>
      </c>
      <c r="T153" s="53">
        <v>406.26750525679779</v>
      </c>
      <c r="U153" s="56">
        <v>0</v>
      </c>
      <c r="V153" s="56">
        <v>406.26750525679779</v>
      </c>
      <c r="W153" s="56">
        <v>406.26750525679779</v>
      </c>
      <c r="X153" s="136">
        <f t="shared" si="61"/>
        <v>2838.6304242190299</v>
      </c>
      <c r="Y153" s="47">
        <v>2</v>
      </c>
      <c r="Z153" s="57" t="s">
        <v>264</v>
      </c>
      <c r="AA153" s="119"/>
    </row>
    <row r="154" spans="2:27" ht="38.25" x14ac:dyDescent="0.25">
      <c r="B154" s="531"/>
      <c r="C154" s="2" t="s">
        <v>117</v>
      </c>
      <c r="D154" s="38" t="s">
        <v>118</v>
      </c>
      <c r="E154" s="57">
        <v>1</v>
      </c>
      <c r="F154" s="13">
        <v>500000</v>
      </c>
      <c r="G154" s="13">
        <f t="shared" si="52"/>
        <v>500000</v>
      </c>
      <c r="H154" s="53">
        <f t="shared" si="57"/>
        <v>12.574655731075396</v>
      </c>
      <c r="I154" s="65">
        <f t="shared" ref="I154:K159" si="67">+E154</f>
        <v>1</v>
      </c>
      <c r="J154" s="66">
        <f t="shared" si="67"/>
        <v>500000</v>
      </c>
      <c r="K154" s="66">
        <f t="shared" si="67"/>
        <v>500000</v>
      </c>
      <c r="L154" s="53">
        <f t="shared" si="58"/>
        <v>12.574655731075396</v>
      </c>
      <c r="M154" s="65">
        <f t="shared" si="62"/>
        <v>1</v>
      </c>
      <c r="N154" s="66">
        <f t="shared" si="63"/>
        <v>500000</v>
      </c>
      <c r="O154" s="66">
        <f t="shared" si="64"/>
        <v>500000</v>
      </c>
      <c r="P154" s="53">
        <f t="shared" si="59"/>
        <v>12.574655731075396</v>
      </c>
      <c r="Q154" s="53">
        <v>12.656308574978125</v>
      </c>
      <c r="R154" s="56">
        <v>12.656308574978125</v>
      </c>
      <c r="S154" s="56">
        <v>12.656308574978125</v>
      </c>
      <c r="T154" s="53">
        <v>12.656308574978125</v>
      </c>
      <c r="U154" s="56">
        <v>12.656308574978125</v>
      </c>
      <c r="V154" s="56">
        <v>12.656308574978125</v>
      </c>
      <c r="W154" s="56">
        <v>12.656308574978125</v>
      </c>
      <c r="X154" s="136">
        <f t="shared" si="61"/>
        <v>126.31812721807307</v>
      </c>
      <c r="Y154" s="99" t="s">
        <v>170</v>
      </c>
      <c r="Z154" s="57" t="s">
        <v>264</v>
      </c>
      <c r="AA154" s="119"/>
    </row>
    <row r="155" spans="2:27" ht="76.5" x14ac:dyDescent="0.25">
      <c r="B155" s="531"/>
      <c r="C155" s="2" t="s">
        <v>190</v>
      </c>
      <c r="D155" s="3" t="s">
        <v>199</v>
      </c>
      <c r="E155" s="57">
        <v>1</v>
      </c>
      <c r="F155" s="15">
        <v>200000</v>
      </c>
      <c r="G155" s="15">
        <f t="shared" si="52"/>
        <v>200000</v>
      </c>
      <c r="H155" s="53">
        <f t="shared" si="57"/>
        <v>5.0298622924301579</v>
      </c>
      <c r="I155" s="65">
        <f t="shared" si="67"/>
        <v>1</v>
      </c>
      <c r="J155" s="66">
        <f t="shared" si="67"/>
        <v>200000</v>
      </c>
      <c r="K155" s="66">
        <f t="shared" si="67"/>
        <v>200000</v>
      </c>
      <c r="L155" s="53">
        <f t="shared" si="58"/>
        <v>5.0298622924301579</v>
      </c>
      <c r="M155" s="65">
        <f t="shared" si="62"/>
        <v>1</v>
      </c>
      <c r="N155" s="66">
        <f t="shared" si="63"/>
        <v>200000</v>
      </c>
      <c r="O155" s="66">
        <f t="shared" si="64"/>
        <v>200000</v>
      </c>
      <c r="P155" s="53">
        <f t="shared" si="59"/>
        <v>5.0298622924301579</v>
      </c>
      <c r="Q155" s="53">
        <v>5.0625234299912494</v>
      </c>
      <c r="R155" s="62">
        <v>5.0625234299912494</v>
      </c>
      <c r="S155" s="62">
        <v>5.0625234299912494</v>
      </c>
      <c r="T155" s="53">
        <v>5.0625234299912494</v>
      </c>
      <c r="U155" s="62">
        <v>5.0625234299912494</v>
      </c>
      <c r="V155" s="62">
        <v>5.0625234299912494</v>
      </c>
      <c r="W155" s="62">
        <v>5.0625234299912494</v>
      </c>
      <c r="X155" s="136">
        <f t="shared" si="61"/>
        <v>50.527250887229229</v>
      </c>
      <c r="Y155" s="99" t="s">
        <v>170</v>
      </c>
      <c r="Z155" s="57" t="s">
        <v>264</v>
      </c>
      <c r="AA155" s="119"/>
    </row>
    <row r="156" spans="2:27" ht="25.5" x14ac:dyDescent="0.25">
      <c r="B156" s="531"/>
      <c r="C156" s="2" t="s">
        <v>191</v>
      </c>
      <c r="D156" s="3" t="s">
        <v>184</v>
      </c>
      <c r="E156" s="57">
        <v>1</v>
      </c>
      <c r="F156" s="15">
        <v>3000000</v>
      </c>
      <c r="G156" s="15">
        <f t="shared" si="52"/>
        <v>3000000</v>
      </c>
      <c r="H156" s="53">
        <f t="shared" si="57"/>
        <v>75.447934386452374</v>
      </c>
      <c r="I156" s="65">
        <f t="shared" si="67"/>
        <v>1</v>
      </c>
      <c r="J156" s="66">
        <f t="shared" si="67"/>
        <v>3000000</v>
      </c>
      <c r="K156" s="66">
        <f t="shared" si="67"/>
        <v>3000000</v>
      </c>
      <c r="L156" s="53">
        <f t="shared" si="58"/>
        <v>75.447934386452374</v>
      </c>
      <c r="M156" s="65">
        <f t="shared" si="62"/>
        <v>1</v>
      </c>
      <c r="N156" s="66">
        <f t="shared" si="63"/>
        <v>3000000</v>
      </c>
      <c r="O156" s="66">
        <f t="shared" si="64"/>
        <v>3000000</v>
      </c>
      <c r="P156" s="53">
        <f t="shared" si="59"/>
        <v>75.447934386452374</v>
      </c>
      <c r="Q156" s="53">
        <v>75.937851449868745</v>
      </c>
      <c r="R156" s="62">
        <v>75.937851449868745</v>
      </c>
      <c r="S156" s="62">
        <v>75.937851449868745</v>
      </c>
      <c r="T156" s="53">
        <v>75.937851449868745</v>
      </c>
      <c r="U156" s="62">
        <v>75.937851449868745</v>
      </c>
      <c r="V156" s="62">
        <v>75.937851449868745</v>
      </c>
      <c r="W156" s="62">
        <v>75.937851449868745</v>
      </c>
      <c r="X156" s="136">
        <f t="shared" si="61"/>
        <v>757.90876330843832</v>
      </c>
      <c r="Y156" s="99" t="s">
        <v>170</v>
      </c>
      <c r="Z156" s="57" t="s">
        <v>264</v>
      </c>
      <c r="AA156" s="119"/>
    </row>
    <row r="157" spans="2:27" ht="51" x14ac:dyDescent="0.25">
      <c r="B157" s="531"/>
      <c r="C157" s="2" t="s">
        <v>192</v>
      </c>
      <c r="D157" s="3" t="s">
        <v>185</v>
      </c>
      <c r="E157" s="57">
        <v>1</v>
      </c>
      <c r="F157" s="15">
        <v>600000</v>
      </c>
      <c r="G157" s="15">
        <f t="shared" si="52"/>
        <v>600000</v>
      </c>
      <c r="H157" s="53">
        <f t="shared" si="57"/>
        <v>15.089586877290476</v>
      </c>
      <c r="I157" s="65">
        <f t="shared" si="67"/>
        <v>1</v>
      </c>
      <c r="J157" s="66">
        <f t="shared" si="67"/>
        <v>600000</v>
      </c>
      <c r="K157" s="66">
        <f t="shared" si="67"/>
        <v>600000</v>
      </c>
      <c r="L157" s="53">
        <f t="shared" si="58"/>
        <v>15.089586877290476</v>
      </c>
      <c r="M157" s="65">
        <f t="shared" si="62"/>
        <v>1</v>
      </c>
      <c r="N157" s="66">
        <f t="shared" si="63"/>
        <v>600000</v>
      </c>
      <c r="O157" s="66">
        <f t="shared" si="64"/>
        <v>600000</v>
      </c>
      <c r="P157" s="53">
        <f t="shared" si="59"/>
        <v>15.089586877290476</v>
      </c>
      <c r="Q157" s="53">
        <v>15.187570289973749</v>
      </c>
      <c r="R157" s="62">
        <v>15.187570289973749</v>
      </c>
      <c r="S157" s="62">
        <v>15.187570289973749</v>
      </c>
      <c r="T157" s="53">
        <v>15.187570289973749</v>
      </c>
      <c r="U157" s="62">
        <v>15.187570289973749</v>
      </c>
      <c r="V157" s="62">
        <v>15.187570289973749</v>
      </c>
      <c r="W157" s="62">
        <v>15.187570289973749</v>
      </c>
      <c r="X157" s="136">
        <f t="shared" si="61"/>
        <v>151.58175266168769</v>
      </c>
      <c r="Y157" s="99" t="s">
        <v>170</v>
      </c>
      <c r="Z157" s="57" t="s">
        <v>264</v>
      </c>
      <c r="AA157" s="119"/>
    </row>
    <row r="158" spans="2:27" ht="63.75" x14ac:dyDescent="0.25">
      <c r="B158" s="531"/>
      <c r="C158" s="2" t="s">
        <v>193</v>
      </c>
      <c r="D158" s="3" t="s">
        <v>186</v>
      </c>
      <c r="E158" s="57">
        <v>1</v>
      </c>
      <c r="F158" s="15">
        <v>200000</v>
      </c>
      <c r="G158" s="15">
        <f t="shared" si="52"/>
        <v>200000</v>
      </c>
      <c r="H158" s="53">
        <f t="shared" si="57"/>
        <v>5.0298622924301579</v>
      </c>
      <c r="I158" s="65">
        <f t="shared" si="67"/>
        <v>1</v>
      </c>
      <c r="J158" s="66">
        <f t="shared" si="67"/>
        <v>200000</v>
      </c>
      <c r="K158" s="66">
        <f t="shared" si="67"/>
        <v>200000</v>
      </c>
      <c r="L158" s="53">
        <f t="shared" si="58"/>
        <v>5.0298622924301579</v>
      </c>
      <c r="M158" s="65">
        <f t="shared" si="62"/>
        <v>1</v>
      </c>
      <c r="N158" s="66">
        <f t="shared" si="63"/>
        <v>200000</v>
      </c>
      <c r="O158" s="66">
        <f t="shared" si="64"/>
        <v>200000</v>
      </c>
      <c r="P158" s="53">
        <f t="shared" si="59"/>
        <v>5.0298622924301579</v>
      </c>
      <c r="Q158" s="53">
        <v>5.0625234299912494</v>
      </c>
      <c r="R158" s="62">
        <v>5.0625234299912494</v>
      </c>
      <c r="S158" s="62">
        <v>5.0625234299912494</v>
      </c>
      <c r="T158" s="53">
        <v>5.0625234299912494</v>
      </c>
      <c r="U158" s="62">
        <v>5.0625234299912494</v>
      </c>
      <c r="V158" s="62">
        <v>5.0625234299912494</v>
      </c>
      <c r="W158" s="62">
        <v>5.0625234299912494</v>
      </c>
      <c r="X158" s="136">
        <f t="shared" si="61"/>
        <v>50.527250887229229</v>
      </c>
      <c r="Y158" s="99" t="s">
        <v>170</v>
      </c>
      <c r="Z158" s="57" t="s">
        <v>264</v>
      </c>
      <c r="AA158" s="119"/>
    </row>
    <row r="159" spans="2:27" ht="119.25" customHeight="1" x14ac:dyDescent="0.25">
      <c r="B159" s="531"/>
      <c r="C159" s="2" t="s">
        <v>194</v>
      </c>
      <c r="D159" s="3" t="s">
        <v>198</v>
      </c>
      <c r="E159" s="57">
        <v>1</v>
      </c>
      <c r="F159" s="15">
        <v>30000000</v>
      </c>
      <c r="G159" s="15">
        <f t="shared" si="52"/>
        <v>30000000</v>
      </c>
      <c r="H159" s="53">
        <f t="shared" si="57"/>
        <v>754.47934386452368</v>
      </c>
      <c r="I159" s="65">
        <f t="shared" si="67"/>
        <v>1</v>
      </c>
      <c r="J159" s="66">
        <f t="shared" si="67"/>
        <v>30000000</v>
      </c>
      <c r="K159" s="66">
        <f t="shared" si="67"/>
        <v>30000000</v>
      </c>
      <c r="L159" s="53">
        <f t="shared" si="58"/>
        <v>754.47934386452368</v>
      </c>
      <c r="M159" s="65">
        <f t="shared" si="62"/>
        <v>1</v>
      </c>
      <c r="N159" s="66">
        <f t="shared" si="63"/>
        <v>30000000</v>
      </c>
      <c r="O159" s="66">
        <f t="shared" si="64"/>
        <v>30000000</v>
      </c>
      <c r="P159" s="53">
        <f t="shared" si="59"/>
        <v>754.47934386452368</v>
      </c>
      <c r="Q159" s="53">
        <v>759.37851449868742</v>
      </c>
      <c r="R159" s="62">
        <v>759.37851449868742</v>
      </c>
      <c r="S159" s="62">
        <v>759.37851449868742</v>
      </c>
      <c r="T159" s="53">
        <v>759.37851449868742</v>
      </c>
      <c r="U159" s="62">
        <v>759.37851449868742</v>
      </c>
      <c r="V159" s="62">
        <v>759.37851449868742</v>
      </c>
      <c r="W159" s="62">
        <v>759.37851449868742</v>
      </c>
      <c r="X159" s="136">
        <f t="shared" si="61"/>
        <v>7579.0876330843839</v>
      </c>
      <c r="Y159" s="47">
        <v>1</v>
      </c>
      <c r="Z159" s="57" t="s">
        <v>264</v>
      </c>
      <c r="AA159" s="119"/>
    </row>
    <row r="160" spans="2:27" ht="39" thickBot="1" x14ac:dyDescent="0.3">
      <c r="B160" s="532"/>
      <c r="C160" s="6" t="s">
        <v>195</v>
      </c>
      <c r="D160" s="34" t="s">
        <v>152</v>
      </c>
      <c r="E160" s="92">
        <v>1</v>
      </c>
      <c r="F160" s="26">
        <v>500000</v>
      </c>
      <c r="G160" s="26">
        <f t="shared" ref="G160:G191" si="68">+F160*E160</f>
        <v>500000</v>
      </c>
      <c r="H160" s="86">
        <f t="shared" si="57"/>
        <v>12.574655731075396</v>
      </c>
      <c r="I160" s="87"/>
      <c r="J160" s="69"/>
      <c r="K160" s="69"/>
      <c r="L160" s="86">
        <f t="shared" si="58"/>
        <v>0</v>
      </c>
      <c r="M160" s="87">
        <f t="shared" si="62"/>
        <v>1</v>
      </c>
      <c r="N160" s="69">
        <f t="shared" si="63"/>
        <v>500000</v>
      </c>
      <c r="O160" s="69">
        <f t="shared" si="64"/>
        <v>500000</v>
      </c>
      <c r="P160" s="86">
        <f t="shared" si="59"/>
        <v>12.574655731075396</v>
      </c>
      <c r="Q160" s="86">
        <v>12.656308574978125</v>
      </c>
      <c r="R160" s="88">
        <v>0</v>
      </c>
      <c r="S160" s="88">
        <v>12.656308574978125</v>
      </c>
      <c r="T160" s="86">
        <v>12.656308574978125</v>
      </c>
      <c r="U160" s="88">
        <v>0</v>
      </c>
      <c r="V160" s="88">
        <v>12.656308574978125</v>
      </c>
      <c r="W160" s="88">
        <v>12.656308574978125</v>
      </c>
      <c r="X160" s="137">
        <f t="shared" si="61"/>
        <v>88.430854337041424</v>
      </c>
      <c r="Y160" s="48">
        <v>2</v>
      </c>
      <c r="Z160" s="92" t="s">
        <v>264</v>
      </c>
      <c r="AA160" s="145"/>
    </row>
    <row r="161" spans="2:27" ht="89.25" x14ac:dyDescent="0.25">
      <c r="B161" s="533" t="s">
        <v>17</v>
      </c>
      <c r="C161" s="20" t="s">
        <v>196</v>
      </c>
      <c r="D161" s="32" t="s">
        <v>173</v>
      </c>
      <c r="E161" s="100">
        <v>1</v>
      </c>
      <c r="F161" s="25">
        <v>4200000</v>
      </c>
      <c r="G161" s="25">
        <f t="shared" si="68"/>
        <v>4200000</v>
      </c>
      <c r="H161" s="75">
        <f t="shared" si="57"/>
        <v>105.62710814103332</v>
      </c>
      <c r="I161" s="76">
        <f t="shared" ref="I161:K166" si="69">+E161</f>
        <v>1</v>
      </c>
      <c r="J161" s="67">
        <f t="shared" si="69"/>
        <v>4200000</v>
      </c>
      <c r="K161" s="67">
        <f t="shared" si="69"/>
        <v>4200000</v>
      </c>
      <c r="L161" s="75">
        <f t="shared" si="58"/>
        <v>105.62710814103332</v>
      </c>
      <c r="M161" s="76">
        <f t="shared" si="62"/>
        <v>1</v>
      </c>
      <c r="N161" s="67">
        <f t="shared" si="63"/>
        <v>4200000</v>
      </c>
      <c r="O161" s="67">
        <f t="shared" si="64"/>
        <v>4200000</v>
      </c>
      <c r="P161" s="75">
        <f t="shared" si="59"/>
        <v>105.62710814103332</v>
      </c>
      <c r="Q161" s="75">
        <v>106.31299202981624</v>
      </c>
      <c r="R161" s="96">
        <v>106.31299202981624</v>
      </c>
      <c r="S161" s="96">
        <v>106.31299202981624</v>
      </c>
      <c r="T161" s="75">
        <v>106.31299202981624</v>
      </c>
      <c r="U161" s="96">
        <v>106.31299202981624</v>
      </c>
      <c r="V161" s="96">
        <v>106.31299202981624</v>
      </c>
      <c r="W161" s="96">
        <v>106.31299202981624</v>
      </c>
      <c r="X161" s="138">
        <f t="shared" si="61"/>
        <v>1061.0722686318136</v>
      </c>
      <c r="Y161" s="49">
        <v>1</v>
      </c>
      <c r="Z161" s="95" t="s">
        <v>264</v>
      </c>
      <c r="AA161" s="120"/>
    </row>
    <row r="162" spans="2:27" ht="76.5" x14ac:dyDescent="0.25">
      <c r="B162" s="531"/>
      <c r="C162" s="2" t="s">
        <v>197</v>
      </c>
      <c r="D162" s="3" t="s">
        <v>171</v>
      </c>
      <c r="E162" s="55">
        <v>1</v>
      </c>
      <c r="F162" s="13">
        <v>6200000</v>
      </c>
      <c r="G162" s="13">
        <f t="shared" si="68"/>
        <v>6200000</v>
      </c>
      <c r="H162" s="53">
        <f t="shared" si="57"/>
        <v>155.9257310653349</v>
      </c>
      <c r="I162" s="65">
        <f t="shared" si="69"/>
        <v>1</v>
      </c>
      <c r="J162" s="66">
        <f t="shared" si="69"/>
        <v>6200000</v>
      </c>
      <c r="K162" s="66">
        <f t="shared" si="69"/>
        <v>6200000</v>
      </c>
      <c r="L162" s="53">
        <f t="shared" si="58"/>
        <v>155.9257310653349</v>
      </c>
      <c r="M162" s="65">
        <f t="shared" si="62"/>
        <v>1</v>
      </c>
      <c r="N162" s="66">
        <f t="shared" si="63"/>
        <v>6200000</v>
      </c>
      <c r="O162" s="66">
        <f t="shared" si="64"/>
        <v>6200000</v>
      </c>
      <c r="P162" s="53">
        <f t="shared" si="59"/>
        <v>155.9257310653349</v>
      </c>
      <c r="Q162" s="53">
        <v>156.93822632972874</v>
      </c>
      <c r="R162" s="56">
        <v>156.93822632972874</v>
      </c>
      <c r="S162" s="56">
        <v>156.93822632972874</v>
      </c>
      <c r="T162" s="53">
        <v>156.93822632972874</v>
      </c>
      <c r="U162" s="56">
        <v>156.93822632972874</v>
      </c>
      <c r="V162" s="56">
        <v>156.93822632972874</v>
      </c>
      <c r="W162" s="56">
        <v>156.93822632972874</v>
      </c>
      <c r="X162" s="136">
        <f t="shared" si="61"/>
        <v>1566.3447775041057</v>
      </c>
      <c r="Y162" s="99" t="s">
        <v>170</v>
      </c>
      <c r="Z162" s="57" t="s">
        <v>264</v>
      </c>
      <c r="AA162" s="119"/>
    </row>
    <row r="163" spans="2:27" ht="89.25" x14ac:dyDescent="0.25">
      <c r="B163" s="531"/>
      <c r="C163" s="2" t="s">
        <v>235</v>
      </c>
      <c r="D163" s="3" t="s">
        <v>109</v>
      </c>
      <c r="E163" s="55">
        <v>1</v>
      </c>
      <c r="F163" s="13">
        <v>800000</v>
      </c>
      <c r="G163" s="13">
        <f t="shared" si="68"/>
        <v>800000</v>
      </c>
      <c r="H163" s="53">
        <f t="shared" si="57"/>
        <v>20.119449169720632</v>
      </c>
      <c r="I163" s="65">
        <f t="shared" si="69"/>
        <v>1</v>
      </c>
      <c r="J163" s="66">
        <f t="shared" si="69"/>
        <v>800000</v>
      </c>
      <c r="K163" s="66">
        <f t="shared" si="69"/>
        <v>800000</v>
      </c>
      <c r="L163" s="53">
        <f t="shared" si="58"/>
        <v>20.119449169720632</v>
      </c>
      <c r="M163" s="65">
        <f t="shared" si="62"/>
        <v>1</v>
      </c>
      <c r="N163" s="66">
        <f t="shared" si="63"/>
        <v>800000</v>
      </c>
      <c r="O163" s="66">
        <f t="shared" si="64"/>
        <v>800000</v>
      </c>
      <c r="P163" s="53">
        <f t="shared" si="59"/>
        <v>20.119449169720632</v>
      </c>
      <c r="Q163" s="53">
        <v>20.250093719964998</v>
      </c>
      <c r="R163" s="56">
        <v>20.250093719964998</v>
      </c>
      <c r="S163" s="56">
        <v>20.250093719964998</v>
      </c>
      <c r="T163" s="53">
        <v>20.250093719964998</v>
      </c>
      <c r="U163" s="56">
        <v>20.250093719964998</v>
      </c>
      <c r="V163" s="56">
        <v>20.250093719964998</v>
      </c>
      <c r="W163" s="56">
        <v>20.250093719964998</v>
      </c>
      <c r="X163" s="136">
        <f t="shared" si="61"/>
        <v>202.10900354891692</v>
      </c>
      <c r="Y163" s="99" t="s">
        <v>170</v>
      </c>
      <c r="Z163" s="57" t="s">
        <v>264</v>
      </c>
      <c r="AA163" s="119"/>
    </row>
    <row r="164" spans="2:27" ht="51" x14ac:dyDescent="0.25">
      <c r="B164" s="531"/>
      <c r="C164" s="2" t="s">
        <v>111</v>
      </c>
      <c r="D164" s="38" t="s">
        <v>110</v>
      </c>
      <c r="E164" s="57">
        <v>1</v>
      </c>
      <c r="F164" s="13">
        <v>500000</v>
      </c>
      <c r="G164" s="13">
        <f t="shared" si="68"/>
        <v>500000</v>
      </c>
      <c r="H164" s="53">
        <f t="shared" si="57"/>
        <v>12.574655731075396</v>
      </c>
      <c r="I164" s="65">
        <f t="shared" si="69"/>
        <v>1</v>
      </c>
      <c r="J164" s="66">
        <f t="shared" si="69"/>
        <v>500000</v>
      </c>
      <c r="K164" s="66">
        <f t="shared" si="69"/>
        <v>500000</v>
      </c>
      <c r="L164" s="53">
        <f t="shared" si="58"/>
        <v>12.574655731075396</v>
      </c>
      <c r="M164" s="65">
        <f t="shared" si="62"/>
        <v>1</v>
      </c>
      <c r="N164" s="66">
        <f t="shared" si="63"/>
        <v>500000</v>
      </c>
      <c r="O164" s="66">
        <f t="shared" si="64"/>
        <v>500000</v>
      </c>
      <c r="P164" s="53">
        <f t="shared" si="59"/>
        <v>12.574655731075396</v>
      </c>
      <c r="Q164" s="53">
        <v>12.656308574978125</v>
      </c>
      <c r="R164" s="56">
        <v>12.656308574978125</v>
      </c>
      <c r="S164" s="56">
        <v>12.656308574978125</v>
      </c>
      <c r="T164" s="53">
        <v>12.656308574978125</v>
      </c>
      <c r="U164" s="56">
        <v>12.656308574978125</v>
      </c>
      <c r="V164" s="56">
        <v>12.656308574978125</v>
      </c>
      <c r="W164" s="56">
        <v>12.656308574978125</v>
      </c>
      <c r="X164" s="136">
        <f t="shared" si="61"/>
        <v>126.31812721807307</v>
      </c>
      <c r="Y164" s="99" t="s">
        <v>170</v>
      </c>
      <c r="Z164" s="57" t="s">
        <v>264</v>
      </c>
      <c r="AA164" s="119"/>
    </row>
    <row r="165" spans="2:27" ht="102.75" thickBot="1" x14ac:dyDescent="0.3">
      <c r="B165" s="534"/>
      <c r="C165" s="21" t="s">
        <v>172</v>
      </c>
      <c r="D165" s="39" t="s">
        <v>174</v>
      </c>
      <c r="E165" s="90">
        <v>1</v>
      </c>
      <c r="F165" s="16">
        <v>6000000</v>
      </c>
      <c r="G165" s="16">
        <f t="shared" si="68"/>
        <v>6000000</v>
      </c>
      <c r="H165" s="77">
        <f t="shared" si="57"/>
        <v>150.89586877290475</v>
      </c>
      <c r="I165" s="78">
        <f t="shared" si="69"/>
        <v>1</v>
      </c>
      <c r="J165" s="68">
        <f t="shared" si="69"/>
        <v>6000000</v>
      </c>
      <c r="K165" s="68">
        <f t="shared" si="69"/>
        <v>6000000</v>
      </c>
      <c r="L165" s="77">
        <f t="shared" si="58"/>
        <v>150.89586877290475</v>
      </c>
      <c r="M165" s="78">
        <f t="shared" si="62"/>
        <v>1</v>
      </c>
      <c r="N165" s="68">
        <f t="shared" si="63"/>
        <v>6000000</v>
      </c>
      <c r="O165" s="68">
        <f t="shared" si="64"/>
        <v>6000000</v>
      </c>
      <c r="P165" s="77">
        <f t="shared" si="59"/>
        <v>150.89586877290475</v>
      </c>
      <c r="Q165" s="77">
        <v>151.87570289973749</v>
      </c>
      <c r="R165" s="84">
        <v>151.87570289973749</v>
      </c>
      <c r="S165" s="84">
        <v>151.87570289973749</v>
      </c>
      <c r="T165" s="77">
        <v>151.87570289973749</v>
      </c>
      <c r="U165" s="84">
        <v>151.87570289973749</v>
      </c>
      <c r="V165" s="84">
        <v>151.87570289973749</v>
      </c>
      <c r="W165" s="84">
        <v>151.87570289973749</v>
      </c>
      <c r="X165" s="139">
        <f t="shared" si="61"/>
        <v>1515.8175266168766</v>
      </c>
      <c r="Y165" s="50">
        <v>1</v>
      </c>
      <c r="Z165" s="90" t="s">
        <v>264</v>
      </c>
      <c r="AA165" s="117"/>
    </row>
    <row r="166" spans="2:27" ht="25.5" x14ac:dyDescent="0.25">
      <c r="B166" s="530" t="s">
        <v>18</v>
      </c>
      <c r="C166" s="19" t="s">
        <v>52</v>
      </c>
      <c r="D166" s="31" t="s">
        <v>76</v>
      </c>
      <c r="E166" s="103">
        <v>180</v>
      </c>
      <c r="F166" s="24">
        <v>800</v>
      </c>
      <c r="G166" s="24">
        <f t="shared" si="68"/>
        <v>144000</v>
      </c>
      <c r="H166" s="81">
        <f t="shared" si="57"/>
        <v>3.6215008505497139</v>
      </c>
      <c r="I166" s="82">
        <f t="shared" si="69"/>
        <v>180</v>
      </c>
      <c r="J166" s="74">
        <f t="shared" si="69"/>
        <v>800</v>
      </c>
      <c r="K166" s="74">
        <f t="shared" si="69"/>
        <v>144000</v>
      </c>
      <c r="L166" s="81">
        <f t="shared" si="58"/>
        <v>3.6215008505497139</v>
      </c>
      <c r="M166" s="82">
        <f t="shared" si="62"/>
        <v>180</v>
      </c>
      <c r="N166" s="74">
        <f t="shared" si="63"/>
        <v>800</v>
      </c>
      <c r="O166" s="74">
        <f t="shared" si="64"/>
        <v>144000</v>
      </c>
      <c r="P166" s="81">
        <f t="shared" si="59"/>
        <v>3.6215008505497139</v>
      </c>
      <c r="Q166" s="81">
        <v>3.6450168695936997</v>
      </c>
      <c r="R166" s="102">
        <v>3.6450168695936997</v>
      </c>
      <c r="S166" s="102">
        <v>3.6450168695936997</v>
      </c>
      <c r="T166" s="81">
        <v>3.6450168695936997</v>
      </c>
      <c r="U166" s="102">
        <v>3.6450168695936997</v>
      </c>
      <c r="V166" s="102">
        <v>3.6450168695936997</v>
      </c>
      <c r="W166" s="102">
        <v>3.6450168695936997</v>
      </c>
      <c r="X166" s="135">
        <f t="shared" si="61"/>
        <v>36.379620638805036</v>
      </c>
      <c r="Y166" s="46">
        <v>1</v>
      </c>
      <c r="Z166" s="103" t="s">
        <v>264</v>
      </c>
      <c r="AA166" s="118"/>
    </row>
    <row r="167" spans="2:27" ht="25.5" x14ac:dyDescent="0.25">
      <c r="B167" s="531"/>
      <c r="C167" s="2" t="s">
        <v>214</v>
      </c>
      <c r="D167" s="3" t="s">
        <v>100</v>
      </c>
      <c r="E167" s="57">
        <v>200</v>
      </c>
      <c r="F167" s="13">
        <v>1100</v>
      </c>
      <c r="G167" s="13">
        <f t="shared" si="68"/>
        <v>220000</v>
      </c>
      <c r="H167" s="53">
        <f t="shared" si="57"/>
        <v>5.5328485216731744</v>
      </c>
      <c r="I167" s="65"/>
      <c r="J167" s="66"/>
      <c r="K167" s="66"/>
      <c r="L167" s="53">
        <f t="shared" si="58"/>
        <v>0</v>
      </c>
      <c r="M167" s="65"/>
      <c r="N167" s="66"/>
      <c r="O167" s="66"/>
      <c r="P167" s="53">
        <f t="shared" si="59"/>
        <v>0</v>
      </c>
      <c r="Q167" s="53">
        <v>5.5687757729903744</v>
      </c>
      <c r="R167" s="56">
        <v>0</v>
      </c>
      <c r="S167" s="56">
        <v>0</v>
      </c>
      <c r="T167" s="53">
        <v>5.5687757729903744</v>
      </c>
      <c r="U167" s="56">
        <v>0</v>
      </c>
      <c r="V167" s="56">
        <v>0</v>
      </c>
      <c r="W167" s="56">
        <v>5.5687757729903744</v>
      </c>
      <c r="X167" s="136">
        <f t="shared" si="61"/>
        <v>22.239175840644297</v>
      </c>
      <c r="Y167" s="47">
        <v>3</v>
      </c>
      <c r="Z167" s="57" t="s">
        <v>264</v>
      </c>
      <c r="AA167" s="119"/>
    </row>
    <row r="168" spans="2:27" ht="38.25" x14ac:dyDescent="0.25">
      <c r="B168" s="531"/>
      <c r="C168" s="2" t="s">
        <v>53</v>
      </c>
      <c r="D168" s="3" t="s">
        <v>74</v>
      </c>
      <c r="E168" s="57">
        <v>230</v>
      </c>
      <c r="F168" s="13">
        <v>1100</v>
      </c>
      <c r="G168" s="13">
        <f t="shared" si="68"/>
        <v>253000</v>
      </c>
      <c r="H168" s="53">
        <f t="shared" si="57"/>
        <v>6.3627757999241501</v>
      </c>
      <c r="I168" s="65"/>
      <c r="J168" s="66"/>
      <c r="K168" s="66"/>
      <c r="L168" s="53">
        <f t="shared" si="58"/>
        <v>0</v>
      </c>
      <c r="M168" s="65">
        <f t="shared" ref="M168:M176" si="70">+E168</f>
        <v>230</v>
      </c>
      <c r="N168" s="66">
        <f t="shared" ref="N168:N176" si="71">+F168</f>
        <v>1100</v>
      </c>
      <c r="O168" s="66">
        <f t="shared" ref="O168:O176" si="72">+G168</f>
        <v>253000</v>
      </c>
      <c r="P168" s="53">
        <f t="shared" si="59"/>
        <v>6.3627757999241501</v>
      </c>
      <c r="Q168" s="53">
        <v>6.4040921389389309</v>
      </c>
      <c r="R168" s="56">
        <v>0</v>
      </c>
      <c r="S168" s="56">
        <v>6.4040921389389309</v>
      </c>
      <c r="T168" s="53">
        <v>6.4040921389389309</v>
      </c>
      <c r="U168" s="56">
        <v>0</v>
      </c>
      <c r="V168" s="56">
        <v>6.4040921389389309</v>
      </c>
      <c r="W168" s="56">
        <v>6.4040921389389309</v>
      </c>
      <c r="X168" s="136">
        <f t="shared" si="61"/>
        <v>44.74601229454295</v>
      </c>
      <c r="Y168" s="47">
        <v>2</v>
      </c>
      <c r="Z168" s="57" t="s">
        <v>264</v>
      </c>
      <c r="AA168" s="119"/>
    </row>
    <row r="169" spans="2:27" ht="25.5" x14ac:dyDescent="0.25">
      <c r="B169" s="531"/>
      <c r="C169" s="2" t="s">
        <v>162</v>
      </c>
      <c r="D169" s="3" t="s">
        <v>179</v>
      </c>
      <c r="E169" s="57">
        <v>120</v>
      </c>
      <c r="F169" s="13">
        <v>1100</v>
      </c>
      <c r="G169" s="13">
        <f t="shared" si="68"/>
        <v>132000</v>
      </c>
      <c r="H169" s="53">
        <f t="shared" si="57"/>
        <v>3.3197091130039045</v>
      </c>
      <c r="I169" s="65">
        <f t="shared" ref="I169:K173" si="73">+E169</f>
        <v>120</v>
      </c>
      <c r="J169" s="66">
        <f t="shared" si="73"/>
        <v>1100</v>
      </c>
      <c r="K169" s="66">
        <f t="shared" si="73"/>
        <v>132000</v>
      </c>
      <c r="L169" s="53">
        <f t="shared" si="58"/>
        <v>3.3197091130039045</v>
      </c>
      <c r="M169" s="65">
        <f t="shared" si="70"/>
        <v>120</v>
      </c>
      <c r="N169" s="66">
        <f t="shared" si="71"/>
        <v>1100</v>
      </c>
      <c r="O169" s="66">
        <f t="shared" si="72"/>
        <v>132000</v>
      </c>
      <c r="P169" s="53">
        <f t="shared" si="59"/>
        <v>3.3197091130039045</v>
      </c>
      <c r="Q169" s="53">
        <v>3.3412654637942247</v>
      </c>
      <c r="R169" s="56">
        <v>3.3412654637942247</v>
      </c>
      <c r="S169" s="56">
        <v>3.3412654637942247</v>
      </c>
      <c r="T169" s="53">
        <v>3.3412654637942247</v>
      </c>
      <c r="U169" s="56">
        <v>3.3412654637942247</v>
      </c>
      <c r="V169" s="56">
        <v>3.3412654637942247</v>
      </c>
      <c r="W169" s="56">
        <v>3.3412654637942247</v>
      </c>
      <c r="X169" s="136">
        <f t="shared" si="61"/>
        <v>33.347985585571294</v>
      </c>
      <c r="Y169" s="47">
        <v>1</v>
      </c>
      <c r="Z169" s="57" t="s">
        <v>264</v>
      </c>
      <c r="AA169" s="119"/>
    </row>
    <row r="170" spans="2:27" ht="51" x14ac:dyDescent="0.25">
      <c r="B170" s="531"/>
      <c r="C170" s="2" t="s">
        <v>71</v>
      </c>
      <c r="D170" s="8" t="s">
        <v>79</v>
      </c>
      <c r="E170" s="57">
        <v>1</v>
      </c>
      <c r="F170" s="13">
        <v>200000</v>
      </c>
      <c r="G170" s="13">
        <f t="shared" si="68"/>
        <v>200000</v>
      </c>
      <c r="H170" s="53">
        <f t="shared" si="57"/>
        <v>5.0298622924301579</v>
      </c>
      <c r="I170" s="65">
        <f t="shared" si="73"/>
        <v>1</v>
      </c>
      <c r="J170" s="66">
        <f t="shared" si="73"/>
        <v>200000</v>
      </c>
      <c r="K170" s="66">
        <f t="shared" si="73"/>
        <v>200000</v>
      </c>
      <c r="L170" s="53">
        <f t="shared" si="58"/>
        <v>5.0298622924301579</v>
      </c>
      <c r="M170" s="65">
        <f t="shared" si="70"/>
        <v>1</v>
      </c>
      <c r="N170" s="66">
        <f t="shared" si="71"/>
        <v>200000</v>
      </c>
      <c r="O170" s="66">
        <f t="shared" si="72"/>
        <v>200000</v>
      </c>
      <c r="P170" s="53">
        <f t="shared" si="59"/>
        <v>5.0298622924301579</v>
      </c>
      <c r="Q170" s="53">
        <v>5.0625234299912494</v>
      </c>
      <c r="R170" s="56">
        <v>5.0625234299912494</v>
      </c>
      <c r="S170" s="56">
        <v>5.0625234299912494</v>
      </c>
      <c r="T170" s="53">
        <v>5.0625234299912494</v>
      </c>
      <c r="U170" s="56">
        <v>5.0625234299912494</v>
      </c>
      <c r="V170" s="56">
        <v>5.0625234299912494</v>
      </c>
      <c r="W170" s="56">
        <v>5.0625234299912494</v>
      </c>
      <c r="X170" s="136">
        <f t="shared" si="61"/>
        <v>50.527250887229229</v>
      </c>
      <c r="Y170" s="47">
        <v>1</v>
      </c>
      <c r="Z170" s="57" t="s">
        <v>264</v>
      </c>
      <c r="AA170" s="119"/>
    </row>
    <row r="171" spans="2:27" x14ac:dyDescent="0.25">
      <c r="B171" s="531"/>
      <c r="C171" s="2" t="s">
        <v>50</v>
      </c>
      <c r="D171" s="14" t="s">
        <v>88</v>
      </c>
      <c r="E171" s="57">
        <v>180</v>
      </c>
      <c r="F171" s="13">
        <v>800</v>
      </c>
      <c r="G171" s="13">
        <f t="shared" si="68"/>
        <v>144000</v>
      </c>
      <c r="H171" s="53">
        <f t="shared" si="57"/>
        <v>3.6215008505497139</v>
      </c>
      <c r="I171" s="65">
        <f t="shared" si="73"/>
        <v>180</v>
      </c>
      <c r="J171" s="66">
        <f t="shared" si="73"/>
        <v>800</v>
      </c>
      <c r="K171" s="66">
        <f t="shared" si="73"/>
        <v>144000</v>
      </c>
      <c r="L171" s="53">
        <f t="shared" si="58"/>
        <v>3.6215008505497139</v>
      </c>
      <c r="M171" s="65">
        <f t="shared" si="70"/>
        <v>180</v>
      </c>
      <c r="N171" s="66">
        <f t="shared" si="71"/>
        <v>800</v>
      </c>
      <c r="O171" s="66">
        <f t="shared" si="72"/>
        <v>144000</v>
      </c>
      <c r="P171" s="53">
        <f t="shared" si="59"/>
        <v>3.6215008505497139</v>
      </c>
      <c r="Q171" s="53">
        <v>3.6450168695936997</v>
      </c>
      <c r="R171" s="56">
        <v>3.6450168695936997</v>
      </c>
      <c r="S171" s="56">
        <v>3.6450168695936997</v>
      </c>
      <c r="T171" s="53">
        <v>3.6450168695936997</v>
      </c>
      <c r="U171" s="56">
        <v>3.6450168695936997</v>
      </c>
      <c r="V171" s="56">
        <v>3.6450168695936997</v>
      </c>
      <c r="W171" s="56">
        <v>3.6450168695936997</v>
      </c>
      <c r="X171" s="136">
        <f t="shared" si="61"/>
        <v>36.379620638805036</v>
      </c>
      <c r="Y171" s="47">
        <v>1</v>
      </c>
      <c r="Z171" s="57" t="s">
        <v>264</v>
      </c>
      <c r="AA171" s="119"/>
    </row>
    <row r="172" spans="2:27" ht="25.5" x14ac:dyDescent="0.25">
      <c r="B172" s="531"/>
      <c r="C172" s="2" t="s">
        <v>97</v>
      </c>
      <c r="D172" s="3" t="s">
        <v>81</v>
      </c>
      <c r="E172" s="57">
        <v>20</v>
      </c>
      <c r="F172" s="13">
        <v>1100</v>
      </c>
      <c r="G172" s="13">
        <f t="shared" si="68"/>
        <v>22000</v>
      </c>
      <c r="H172" s="53">
        <f t="shared" si="57"/>
        <v>0.55328485216731738</v>
      </c>
      <c r="I172" s="65">
        <f t="shared" si="73"/>
        <v>20</v>
      </c>
      <c r="J172" s="66">
        <f t="shared" si="73"/>
        <v>1100</v>
      </c>
      <c r="K172" s="66">
        <f t="shared" si="73"/>
        <v>22000</v>
      </c>
      <c r="L172" s="53">
        <f t="shared" si="58"/>
        <v>0.55328485216731738</v>
      </c>
      <c r="M172" s="65">
        <f t="shared" si="70"/>
        <v>20</v>
      </c>
      <c r="N172" s="66">
        <f t="shared" si="71"/>
        <v>1100</v>
      </c>
      <c r="O172" s="66">
        <f t="shared" si="72"/>
        <v>22000</v>
      </c>
      <c r="P172" s="53">
        <f t="shared" si="59"/>
        <v>0.55328485216731738</v>
      </c>
      <c r="Q172" s="53">
        <v>0.55687757729903742</v>
      </c>
      <c r="R172" s="56">
        <v>0.55687757729903742</v>
      </c>
      <c r="S172" s="56">
        <v>0.55687757729903742</v>
      </c>
      <c r="T172" s="53">
        <v>0.55687757729903742</v>
      </c>
      <c r="U172" s="56">
        <v>0.55687757729903742</v>
      </c>
      <c r="V172" s="56">
        <v>0.55687757729903742</v>
      </c>
      <c r="W172" s="56">
        <v>0.55687757729903742</v>
      </c>
      <c r="X172" s="136">
        <f t="shared" si="61"/>
        <v>5.5579975975952136</v>
      </c>
      <c r="Y172" s="47">
        <v>1</v>
      </c>
      <c r="Z172" s="57" t="s">
        <v>264</v>
      </c>
      <c r="AA172" s="119"/>
    </row>
    <row r="173" spans="2:27" ht="76.5" x14ac:dyDescent="0.25">
      <c r="B173" s="531"/>
      <c r="C173" s="2" t="s">
        <v>68</v>
      </c>
      <c r="D173" s="3" t="s">
        <v>69</v>
      </c>
      <c r="E173" s="57">
        <v>1</v>
      </c>
      <c r="F173" s="13">
        <v>400000</v>
      </c>
      <c r="G173" s="13">
        <f t="shared" si="68"/>
        <v>400000</v>
      </c>
      <c r="H173" s="53">
        <f t="shared" si="57"/>
        <v>10.059724584860316</v>
      </c>
      <c r="I173" s="65">
        <f t="shared" si="73"/>
        <v>1</v>
      </c>
      <c r="J173" s="66">
        <f t="shared" si="73"/>
        <v>400000</v>
      </c>
      <c r="K173" s="66">
        <f t="shared" si="73"/>
        <v>400000</v>
      </c>
      <c r="L173" s="53">
        <f t="shared" si="58"/>
        <v>10.059724584860316</v>
      </c>
      <c r="M173" s="65">
        <f t="shared" si="70"/>
        <v>1</v>
      </c>
      <c r="N173" s="66">
        <f t="shared" si="71"/>
        <v>400000</v>
      </c>
      <c r="O173" s="66">
        <f t="shared" si="72"/>
        <v>400000</v>
      </c>
      <c r="P173" s="53">
        <f t="shared" si="59"/>
        <v>10.059724584860316</v>
      </c>
      <c r="Q173" s="53">
        <v>10.125046859982499</v>
      </c>
      <c r="R173" s="56">
        <v>10.125046859982499</v>
      </c>
      <c r="S173" s="56">
        <v>10.125046859982499</v>
      </c>
      <c r="T173" s="53">
        <v>10.125046859982499</v>
      </c>
      <c r="U173" s="56">
        <v>10.125046859982499</v>
      </c>
      <c r="V173" s="56">
        <v>10.125046859982499</v>
      </c>
      <c r="W173" s="56">
        <v>10.125046859982499</v>
      </c>
      <c r="X173" s="136">
        <f t="shared" si="61"/>
        <v>101.05450177445846</v>
      </c>
      <c r="Y173" s="47">
        <v>1</v>
      </c>
      <c r="Z173" s="57" t="s">
        <v>264</v>
      </c>
      <c r="AA173" s="119"/>
    </row>
    <row r="174" spans="2:27" ht="25.5" x14ac:dyDescent="0.25">
      <c r="B174" s="531"/>
      <c r="C174" s="2" t="s">
        <v>106</v>
      </c>
      <c r="D174" s="3" t="s">
        <v>107</v>
      </c>
      <c r="E174" s="55">
        <v>1</v>
      </c>
      <c r="F174" s="13">
        <v>350000</v>
      </c>
      <c r="G174" s="13">
        <f t="shared" si="68"/>
        <v>350000</v>
      </c>
      <c r="H174" s="53">
        <f t="shared" si="57"/>
        <v>8.8022590117527777</v>
      </c>
      <c r="I174" s="65"/>
      <c r="J174" s="66"/>
      <c r="K174" s="66"/>
      <c r="L174" s="53">
        <f t="shared" si="58"/>
        <v>0</v>
      </c>
      <c r="M174" s="65">
        <f t="shared" si="70"/>
        <v>1</v>
      </c>
      <c r="N174" s="66">
        <f t="shared" si="71"/>
        <v>350000</v>
      </c>
      <c r="O174" s="66">
        <f t="shared" si="72"/>
        <v>350000</v>
      </c>
      <c r="P174" s="53">
        <f t="shared" si="59"/>
        <v>8.8022590117527777</v>
      </c>
      <c r="Q174" s="53">
        <v>8.8594160024846875</v>
      </c>
      <c r="R174" s="56">
        <v>0</v>
      </c>
      <c r="S174" s="56">
        <v>8.8594160024846875</v>
      </c>
      <c r="T174" s="53">
        <v>8.8594160024846875</v>
      </c>
      <c r="U174" s="56">
        <v>0</v>
      </c>
      <c r="V174" s="56">
        <v>8.8594160024846875</v>
      </c>
      <c r="W174" s="56">
        <v>8.8594160024846875</v>
      </c>
      <c r="X174" s="136">
        <f t="shared" si="61"/>
        <v>61.901598035928984</v>
      </c>
      <c r="Y174" s="47">
        <v>2</v>
      </c>
      <c r="Z174" s="57" t="s">
        <v>264</v>
      </c>
      <c r="AA174" s="119"/>
    </row>
    <row r="175" spans="2:27" ht="39" thickBot="1" x14ac:dyDescent="0.3">
      <c r="B175" s="532"/>
      <c r="C175" s="6" t="s">
        <v>55</v>
      </c>
      <c r="D175" s="34" t="s">
        <v>108</v>
      </c>
      <c r="E175" s="85">
        <v>1</v>
      </c>
      <c r="F175" s="26">
        <v>850000</v>
      </c>
      <c r="G175" s="26">
        <f t="shared" si="68"/>
        <v>850000</v>
      </c>
      <c r="H175" s="86">
        <f t="shared" si="57"/>
        <v>21.376914742828173</v>
      </c>
      <c r="I175" s="87">
        <f t="shared" ref="I175:K176" si="74">+E175</f>
        <v>1</v>
      </c>
      <c r="J175" s="69">
        <f t="shared" si="74"/>
        <v>850000</v>
      </c>
      <c r="K175" s="69">
        <f t="shared" si="74"/>
        <v>850000</v>
      </c>
      <c r="L175" s="86">
        <f t="shared" si="58"/>
        <v>21.376914742828173</v>
      </c>
      <c r="M175" s="87">
        <f t="shared" si="70"/>
        <v>1</v>
      </c>
      <c r="N175" s="69">
        <f t="shared" si="71"/>
        <v>850000</v>
      </c>
      <c r="O175" s="69">
        <f t="shared" si="72"/>
        <v>850000</v>
      </c>
      <c r="P175" s="86">
        <f t="shared" si="59"/>
        <v>21.376914742828173</v>
      </c>
      <c r="Q175" s="86">
        <v>21.515724577462812</v>
      </c>
      <c r="R175" s="88">
        <v>21.515724577462812</v>
      </c>
      <c r="S175" s="88">
        <v>21.515724577462812</v>
      </c>
      <c r="T175" s="86">
        <v>21.515724577462812</v>
      </c>
      <c r="U175" s="88">
        <v>21.515724577462812</v>
      </c>
      <c r="V175" s="88">
        <v>21.515724577462812</v>
      </c>
      <c r="W175" s="88">
        <v>21.515724577462812</v>
      </c>
      <c r="X175" s="137">
        <f t="shared" si="61"/>
        <v>214.74081627072417</v>
      </c>
      <c r="Y175" s="48">
        <v>1</v>
      </c>
      <c r="Z175" s="92" t="s">
        <v>264</v>
      </c>
      <c r="AA175" s="145"/>
    </row>
    <row r="176" spans="2:27" ht="25.5" x14ac:dyDescent="0.25">
      <c r="B176" s="533" t="s">
        <v>19</v>
      </c>
      <c r="C176" s="20" t="s">
        <v>52</v>
      </c>
      <c r="D176" s="32" t="s">
        <v>76</v>
      </c>
      <c r="E176" s="95">
        <v>650</v>
      </c>
      <c r="F176" s="25">
        <v>800</v>
      </c>
      <c r="G176" s="25">
        <f t="shared" si="68"/>
        <v>520000</v>
      </c>
      <c r="H176" s="75">
        <f t="shared" si="57"/>
        <v>13.077641960318411</v>
      </c>
      <c r="I176" s="76">
        <f t="shared" si="74"/>
        <v>650</v>
      </c>
      <c r="J176" s="67">
        <f t="shared" si="74"/>
        <v>800</v>
      </c>
      <c r="K176" s="67">
        <f t="shared" si="74"/>
        <v>520000</v>
      </c>
      <c r="L176" s="75">
        <f t="shared" si="58"/>
        <v>13.077641960318411</v>
      </c>
      <c r="M176" s="76">
        <f t="shared" si="70"/>
        <v>650</v>
      </c>
      <c r="N176" s="67">
        <f t="shared" si="71"/>
        <v>800</v>
      </c>
      <c r="O176" s="67">
        <f t="shared" si="72"/>
        <v>520000</v>
      </c>
      <c r="P176" s="75">
        <f t="shared" si="59"/>
        <v>13.077641960318411</v>
      </c>
      <c r="Q176" s="75">
        <v>13.162560917977249</v>
      </c>
      <c r="R176" s="96">
        <v>13.162560917977249</v>
      </c>
      <c r="S176" s="96">
        <v>13.162560917977249</v>
      </c>
      <c r="T176" s="75">
        <v>13.162560917977249</v>
      </c>
      <c r="U176" s="96">
        <v>13.162560917977249</v>
      </c>
      <c r="V176" s="96">
        <v>13.162560917977249</v>
      </c>
      <c r="W176" s="96">
        <v>13.162560917977249</v>
      </c>
      <c r="X176" s="138">
        <f t="shared" si="61"/>
        <v>131.37085230679597</v>
      </c>
      <c r="Y176" s="49">
        <v>1</v>
      </c>
      <c r="Z176" s="95" t="s">
        <v>264</v>
      </c>
      <c r="AA176" s="120"/>
    </row>
    <row r="177" spans="2:27" ht="25.5" x14ac:dyDescent="0.25">
      <c r="B177" s="531"/>
      <c r="C177" s="2" t="s">
        <v>214</v>
      </c>
      <c r="D177" s="3" t="s">
        <v>100</v>
      </c>
      <c r="E177" s="57">
        <v>340</v>
      </c>
      <c r="F177" s="13">
        <v>1100</v>
      </c>
      <c r="G177" s="13">
        <f t="shared" si="68"/>
        <v>374000</v>
      </c>
      <c r="H177" s="53">
        <f t="shared" si="57"/>
        <v>9.4058424868443957</v>
      </c>
      <c r="I177" s="65"/>
      <c r="J177" s="66"/>
      <c r="K177" s="66"/>
      <c r="L177" s="53">
        <f t="shared" si="58"/>
        <v>0</v>
      </c>
      <c r="M177" s="65"/>
      <c r="N177" s="66"/>
      <c r="O177" s="66"/>
      <c r="P177" s="53">
        <f t="shared" si="59"/>
        <v>0</v>
      </c>
      <c r="Q177" s="53">
        <v>9.4669188140836376</v>
      </c>
      <c r="R177" s="56">
        <v>0</v>
      </c>
      <c r="S177" s="56">
        <v>0</v>
      </c>
      <c r="T177" s="53">
        <v>9.4669188140836376</v>
      </c>
      <c r="U177" s="56">
        <v>0</v>
      </c>
      <c r="V177" s="56">
        <v>0</v>
      </c>
      <c r="W177" s="56">
        <v>9.4669188140836376</v>
      </c>
      <c r="X177" s="136">
        <f t="shared" si="61"/>
        <v>37.806598929095308</v>
      </c>
      <c r="Y177" s="47">
        <v>3</v>
      </c>
      <c r="Z177" s="57" t="s">
        <v>264</v>
      </c>
      <c r="AA177" s="119"/>
    </row>
    <row r="178" spans="2:27" ht="38.25" x14ac:dyDescent="0.25">
      <c r="B178" s="531"/>
      <c r="C178" s="2" t="s">
        <v>53</v>
      </c>
      <c r="D178" s="3" t="s">
        <v>74</v>
      </c>
      <c r="E178" s="57">
        <v>400</v>
      </c>
      <c r="F178" s="13">
        <v>1100</v>
      </c>
      <c r="G178" s="13">
        <f t="shared" si="68"/>
        <v>440000</v>
      </c>
      <c r="H178" s="53">
        <f t="shared" si="57"/>
        <v>11.065697043346349</v>
      </c>
      <c r="I178" s="65"/>
      <c r="J178" s="66"/>
      <c r="K178" s="66"/>
      <c r="L178" s="53">
        <f t="shared" si="58"/>
        <v>0</v>
      </c>
      <c r="M178" s="65">
        <f t="shared" ref="M178:M186" si="75">+E178</f>
        <v>400</v>
      </c>
      <c r="N178" s="66">
        <f t="shared" ref="N178:N186" si="76">+F178</f>
        <v>1100</v>
      </c>
      <c r="O178" s="66">
        <f t="shared" ref="O178:O186" si="77">+G178</f>
        <v>440000</v>
      </c>
      <c r="P178" s="53">
        <f t="shared" si="59"/>
        <v>11.065697043346349</v>
      </c>
      <c r="Q178" s="53">
        <v>11.137551545980749</v>
      </c>
      <c r="R178" s="56">
        <v>0</v>
      </c>
      <c r="S178" s="56">
        <v>11.137551545980749</v>
      </c>
      <c r="T178" s="53">
        <v>11.137551545980749</v>
      </c>
      <c r="U178" s="56">
        <v>0</v>
      </c>
      <c r="V178" s="56">
        <v>11.137551545980749</v>
      </c>
      <c r="W178" s="56">
        <v>11.137551545980749</v>
      </c>
      <c r="X178" s="136">
        <f t="shared" si="61"/>
        <v>77.819151816596445</v>
      </c>
      <c r="Y178" s="47">
        <v>2</v>
      </c>
      <c r="Z178" s="57" t="s">
        <v>264</v>
      </c>
      <c r="AA178" s="119"/>
    </row>
    <row r="179" spans="2:27" ht="25.5" x14ac:dyDescent="0.25">
      <c r="B179" s="531"/>
      <c r="C179" s="2" t="s">
        <v>234</v>
      </c>
      <c r="D179" s="3" t="s">
        <v>180</v>
      </c>
      <c r="E179" s="57">
        <v>650</v>
      </c>
      <c r="F179" s="13">
        <v>1100</v>
      </c>
      <c r="G179" s="13">
        <f t="shared" si="68"/>
        <v>715000</v>
      </c>
      <c r="H179" s="53">
        <f t="shared" si="57"/>
        <v>17.981757695437814</v>
      </c>
      <c r="I179" s="65">
        <f t="shared" ref="I179:K183" si="78">+E179</f>
        <v>650</v>
      </c>
      <c r="J179" s="66">
        <f t="shared" si="78"/>
        <v>1100</v>
      </c>
      <c r="K179" s="66">
        <f t="shared" si="78"/>
        <v>715000</v>
      </c>
      <c r="L179" s="53">
        <f t="shared" si="58"/>
        <v>17.981757695437814</v>
      </c>
      <c r="M179" s="65">
        <f t="shared" si="75"/>
        <v>650</v>
      </c>
      <c r="N179" s="66">
        <f t="shared" si="76"/>
        <v>1100</v>
      </c>
      <c r="O179" s="66">
        <f t="shared" si="77"/>
        <v>715000</v>
      </c>
      <c r="P179" s="53">
        <f t="shared" si="59"/>
        <v>17.981757695437814</v>
      </c>
      <c r="Q179" s="53">
        <v>18.098521262218718</v>
      </c>
      <c r="R179" s="56">
        <v>18.098521262218718</v>
      </c>
      <c r="S179" s="56">
        <v>18.098521262218718</v>
      </c>
      <c r="T179" s="53">
        <v>18.098521262218718</v>
      </c>
      <c r="U179" s="56">
        <v>18.098521262218718</v>
      </c>
      <c r="V179" s="56">
        <v>18.098521262218718</v>
      </c>
      <c r="W179" s="56">
        <v>18.098521262218718</v>
      </c>
      <c r="X179" s="136">
        <f t="shared" si="61"/>
        <v>180.63492192184449</v>
      </c>
      <c r="Y179" s="47">
        <v>1</v>
      </c>
      <c r="Z179" s="57" t="s">
        <v>264</v>
      </c>
      <c r="AA179" s="119"/>
    </row>
    <row r="180" spans="2:27" ht="51" x14ac:dyDescent="0.25">
      <c r="B180" s="531"/>
      <c r="C180" s="2" t="s">
        <v>71</v>
      </c>
      <c r="D180" s="8" t="s">
        <v>79</v>
      </c>
      <c r="E180" s="57">
        <v>1</v>
      </c>
      <c r="F180" s="13">
        <v>150000</v>
      </c>
      <c r="G180" s="13">
        <f t="shared" si="68"/>
        <v>150000</v>
      </c>
      <c r="H180" s="53">
        <f t="shared" si="57"/>
        <v>3.7723967193226189</v>
      </c>
      <c r="I180" s="65">
        <f t="shared" si="78"/>
        <v>1</v>
      </c>
      <c r="J180" s="66">
        <f t="shared" si="78"/>
        <v>150000</v>
      </c>
      <c r="K180" s="66">
        <f t="shared" si="78"/>
        <v>150000</v>
      </c>
      <c r="L180" s="53">
        <f t="shared" si="58"/>
        <v>3.7723967193226189</v>
      </c>
      <c r="M180" s="65">
        <f t="shared" si="75"/>
        <v>1</v>
      </c>
      <c r="N180" s="66">
        <f t="shared" si="76"/>
        <v>150000</v>
      </c>
      <c r="O180" s="66">
        <f t="shared" si="77"/>
        <v>150000</v>
      </c>
      <c r="P180" s="53">
        <f t="shared" si="59"/>
        <v>3.7723967193226189</v>
      </c>
      <c r="Q180" s="53">
        <v>3.7968925724934373</v>
      </c>
      <c r="R180" s="56">
        <v>3.7968925724934373</v>
      </c>
      <c r="S180" s="56">
        <v>3.7968925724934373</v>
      </c>
      <c r="T180" s="53">
        <v>3.7968925724934373</v>
      </c>
      <c r="U180" s="56">
        <v>3.7968925724934373</v>
      </c>
      <c r="V180" s="56">
        <v>3.7968925724934373</v>
      </c>
      <c r="W180" s="56">
        <v>3.7968925724934373</v>
      </c>
      <c r="X180" s="136">
        <f t="shared" si="61"/>
        <v>37.895438165421922</v>
      </c>
      <c r="Y180" s="47">
        <v>1</v>
      </c>
      <c r="Z180" s="57" t="s">
        <v>264</v>
      </c>
      <c r="AA180" s="119"/>
    </row>
    <row r="181" spans="2:27" x14ac:dyDescent="0.25">
      <c r="B181" s="531"/>
      <c r="C181" s="2" t="s">
        <v>189</v>
      </c>
      <c r="D181" s="14" t="s">
        <v>88</v>
      </c>
      <c r="E181" s="57">
        <v>360</v>
      </c>
      <c r="F181" s="13">
        <v>800</v>
      </c>
      <c r="G181" s="13">
        <f t="shared" si="68"/>
        <v>288000</v>
      </c>
      <c r="H181" s="53">
        <f t="shared" si="57"/>
        <v>7.2430017010994279</v>
      </c>
      <c r="I181" s="65">
        <f t="shared" si="78"/>
        <v>360</v>
      </c>
      <c r="J181" s="66">
        <f t="shared" si="78"/>
        <v>800</v>
      </c>
      <c r="K181" s="66">
        <f t="shared" si="78"/>
        <v>288000</v>
      </c>
      <c r="L181" s="53">
        <f t="shared" si="58"/>
        <v>7.2430017010994279</v>
      </c>
      <c r="M181" s="65">
        <f t="shared" si="75"/>
        <v>360</v>
      </c>
      <c r="N181" s="66">
        <f t="shared" si="76"/>
        <v>800</v>
      </c>
      <c r="O181" s="66">
        <f t="shared" si="77"/>
        <v>288000</v>
      </c>
      <c r="P181" s="53">
        <f t="shared" si="59"/>
        <v>7.2430017010994279</v>
      </c>
      <c r="Q181" s="53">
        <v>7.2900337391873995</v>
      </c>
      <c r="R181" s="56">
        <v>7.2900337391873995</v>
      </c>
      <c r="S181" s="56">
        <v>7.2900337391873995</v>
      </c>
      <c r="T181" s="53">
        <v>7.2900337391873995</v>
      </c>
      <c r="U181" s="56">
        <v>7.2900337391873995</v>
      </c>
      <c r="V181" s="56">
        <v>7.2900337391873995</v>
      </c>
      <c r="W181" s="56">
        <v>7.2900337391873995</v>
      </c>
      <c r="X181" s="136">
        <f t="shared" si="61"/>
        <v>72.759241277610073</v>
      </c>
      <c r="Y181" s="47">
        <v>1</v>
      </c>
      <c r="Z181" s="57" t="s">
        <v>264</v>
      </c>
      <c r="AA181" s="119"/>
    </row>
    <row r="182" spans="2:27" ht="25.5" x14ac:dyDescent="0.25">
      <c r="B182" s="531"/>
      <c r="C182" s="2" t="s">
        <v>97</v>
      </c>
      <c r="D182" s="3" t="s">
        <v>81</v>
      </c>
      <c r="E182" s="57">
        <v>8</v>
      </c>
      <c r="F182" s="13">
        <v>1100</v>
      </c>
      <c r="G182" s="13">
        <f t="shared" si="68"/>
        <v>8800</v>
      </c>
      <c r="H182" s="53">
        <f t="shared" si="57"/>
        <v>0.22131394086692696</v>
      </c>
      <c r="I182" s="65">
        <f t="shared" si="78"/>
        <v>8</v>
      </c>
      <c r="J182" s="66">
        <f t="shared" si="78"/>
        <v>1100</v>
      </c>
      <c r="K182" s="66">
        <f t="shared" si="78"/>
        <v>8800</v>
      </c>
      <c r="L182" s="53">
        <f t="shared" si="58"/>
        <v>0.22131394086692696</v>
      </c>
      <c r="M182" s="65">
        <f t="shared" si="75"/>
        <v>8</v>
      </c>
      <c r="N182" s="66">
        <f t="shared" si="76"/>
        <v>1100</v>
      </c>
      <c r="O182" s="66">
        <f t="shared" si="77"/>
        <v>8800</v>
      </c>
      <c r="P182" s="53">
        <f t="shared" si="59"/>
        <v>0.22131394086692696</v>
      </c>
      <c r="Q182" s="53">
        <v>0.22275103091961498</v>
      </c>
      <c r="R182" s="56">
        <v>0.22275103091961498</v>
      </c>
      <c r="S182" s="56">
        <v>0.22275103091961498</v>
      </c>
      <c r="T182" s="53">
        <v>0.22275103091961498</v>
      </c>
      <c r="U182" s="56">
        <v>0.22275103091961498</v>
      </c>
      <c r="V182" s="56">
        <v>0.22275103091961498</v>
      </c>
      <c r="W182" s="56">
        <v>0.22275103091961498</v>
      </c>
      <c r="X182" s="136">
        <f t="shared" si="61"/>
        <v>2.2231990390380858</v>
      </c>
      <c r="Y182" s="47">
        <v>1</v>
      </c>
      <c r="Z182" s="57" t="s">
        <v>264</v>
      </c>
      <c r="AA182" s="119"/>
    </row>
    <row r="183" spans="2:27" ht="77.25" thickBot="1" x14ac:dyDescent="0.3">
      <c r="B183" s="534"/>
      <c r="C183" s="21" t="s">
        <v>68</v>
      </c>
      <c r="D183" s="23" t="s">
        <v>69</v>
      </c>
      <c r="E183" s="90">
        <v>1</v>
      </c>
      <c r="F183" s="16">
        <v>150000</v>
      </c>
      <c r="G183" s="16">
        <f t="shared" si="68"/>
        <v>150000</v>
      </c>
      <c r="H183" s="77">
        <f t="shared" si="57"/>
        <v>3.7723967193226189</v>
      </c>
      <c r="I183" s="78">
        <f t="shared" si="78"/>
        <v>1</v>
      </c>
      <c r="J183" s="68">
        <f t="shared" si="78"/>
        <v>150000</v>
      </c>
      <c r="K183" s="68">
        <f t="shared" si="78"/>
        <v>150000</v>
      </c>
      <c r="L183" s="77">
        <f t="shared" si="58"/>
        <v>3.7723967193226189</v>
      </c>
      <c r="M183" s="78">
        <f t="shared" si="75"/>
        <v>1</v>
      </c>
      <c r="N183" s="68">
        <f t="shared" si="76"/>
        <v>150000</v>
      </c>
      <c r="O183" s="68">
        <f t="shared" si="77"/>
        <v>150000</v>
      </c>
      <c r="P183" s="77">
        <f t="shared" si="59"/>
        <v>3.7723967193226189</v>
      </c>
      <c r="Q183" s="77">
        <v>3.7968925724934373</v>
      </c>
      <c r="R183" s="84">
        <v>3.7968925724934373</v>
      </c>
      <c r="S183" s="84">
        <v>3.7968925724934373</v>
      </c>
      <c r="T183" s="77">
        <v>3.7968925724934373</v>
      </c>
      <c r="U183" s="84">
        <v>3.7968925724934373</v>
      </c>
      <c r="V183" s="84">
        <v>3.7968925724934373</v>
      </c>
      <c r="W183" s="84">
        <v>3.7968925724934373</v>
      </c>
      <c r="X183" s="139">
        <f t="shared" si="61"/>
        <v>37.895438165421922</v>
      </c>
      <c r="Y183" s="50">
        <v>1</v>
      </c>
      <c r="Z183" s="90" t="s">
        <v>264</v>
      </c>
      <c r="AA183" s="117"/>
    </row>
    <row r="184" spans="2:27" ht="25.5" x14ac:dyDescent="0.25">
      <c r="B184" s="530" t="s">
        <v>20</v>
      </c>
      <c r="C184" s="19" t="s">
        <v>231</v>
      </c>
      <c r="D184" s="31" t="s">
        <v>103</v>
      </c>
      <c r="E184" s="103">
        <v>1</v>
      </c>
      <c r="F184" s="101">
        <v>5000000</v>
      </c>
      <c r="G184" s="24">
        <f t="shared" si="68"/>
        <v>5000000</v>
      </c>
      <c r="H184" s="81">
        <f t="shared" si="57"/>
        <v>125.74655731075396</v>
      </c>
      <c r="I184" s="82"/>
      <c r="J184" s="74"/>
      <c r="K184" s="74"/>
      <c r="L184" s="81">
        <f t="shared" si="58"/>
        <v>0</v>
      </c>
      <c r="M184" s="82">
        <f t="shared" si="75"/>
        <v>1</v>
      </c>
      <c r="N184" s="74">
        <f t="shared" si="76"/>
        <v>5000000</v>
      </c>
      <c r="O184" s="74">
        <f t="shared" si="77"/>
        <v>5000000</v>
      </c>
      <c r="P184" s="81">
        <f t="shared" si="59"/>
        <v>125.74655731075396</v>
      </c>
      <c r="Q184" s="81">
        <v>126.56308574978124</v>
      </c>
      <c r="R184" s="102">
        <v>0</v>
      </c>
      <c r="S184" s="102">
        <v>126.56308574978124</v>
      </c>
      <c r="T184" s="81">
        <v>126.56308574978124</v>
      </c>
      <c r="U184" s="102">
        <v>0</v>
      </c>
      <c r="V184" s="102">
        <v>126.56308574978124</v>
      </c>
      <c r="W184" s="102">
        <v>126.56308574978124</v>
      </c>
      <c r="X184" s="135">
        <f t="shared" si="61"/>
        <v>884.3085433704141</v>
      </c>
      <c r="Y184" s="46">
        <v>2</v>
      </c>
      <c r="Z184" s="103" t="s">
        <v>264</v>
      </c>
      <c r="AA184" s="118"/>
    </row>
    <row r="185" spans="2:27" ht="26.25" thickBot="1" x14ac:dyDescent="0.3">
      <c r="B185" s="532"/>
      <c r="C185" s="6" t="s">
        <v>232</v>
      </c>
      <c r="D185" s="36" t="s">
        <v>233</v>
      </c>
      <c r="E185" s="92">
        <v>1</v>
      </c>
      <c r="F185" s="63">
        <v>450000</v>
      </c>
      <c r="G185" s="26">
        <f t="shared" si="68"/>
        <v>450000</v>
      </c>
      <c r="H185" s="86">
        <f t="shared" si="57"/>
        <v>11.317190157967856</v>
      </c>
      <c r="I185" s="87"/>
      <c r="J185" s="69"/>
      <c r="K185" s="69"/>
      <c r="L185" s="86">
        <f t="shared" si="58"/>
        <v>0</v>
      </c>
      <c r="M185" s="87">
        <f t="shared" si="75"/>
        <v>1</v>
      </c>
      <c r="N185" s="69">
        <f t="shared" si="76"/>
        <v>450000</v>
      </c>
      <c r="O185" s="69">
        <f t="shared" si="77"/>
        <v>450000</v>
      </c>
      <c r="P185" s="86">
        <f t="shared" si="59"/>
        <v>11.317190157967856</v>
      </c>
      <c r="Q185" s="86">
        <v>11.390677717480312</v>
      </c>
      <c r="R185" s="88">
        <v>0</v>
      </c>
      <c r="S185" s="88">
        <v>11.390677717480312</v>
      </c>
      <c r="T185" s="86">
        <v>11.390677717480312</v>
      </c>
      <c r="U185" s="88">
        <v>0</v>
      </c>
      <c r="V185" s="88">
        <v>11.390677717480312</v>
      </c>
      <c r="W185" s="88">
        <v>11.390677717480312</v>
      </c>
      <c r="X185" s="137">
        <f t="shared" si="61"/>
        <v>79.587768903337277</v>
      </c>
      <c r="Y185" s="48">
        <v>2</v>
      </c>
      <c r="Z185" s="92" t="s">
        <v>264</v>
      </c>
      <c r="AA185" s="145"/>
    </row>
    <row r="186" spans="2:27" ht="38.25" x14ac:dyDescent="0.25">
      <c r="B186" s="533" t="s">
        <v>181</v>
      </c>
      <c r="C186" s="20" t="s">
        <v>75</v>
      </c>
      <c r="D186" s="32" t="s">
        <v>77</v>
      </c>
      <c r="E186" s="95">
        <v>1274</v>
      </c>
      <c r="F186" s="25">
        <v>800</v>
      </c>
      <c r="G186" s="25">
        <f t="shared" si="68"/>
        <v>1019200</v>
      </c>
      <c r="H186" s="75">
        <f t="shared" si="57"/>
        <v>25.632178242224086</v>
      </c>
      <c r="I186" s="76">
        <f>+E186</f>
        <v>1274</v>
      </c>
      <c r="J186" s="67">
        <f>+F186</f>
        <v>800</v>
      </c>
      <c r="K186" s="67">
        <f>+G186</f>
        <v>1019200</v>
      </c>
      <c r="L186" s="75">
        <f t="shared" si="58"/>
        <v>25.632178242224086</v>
      </c>
      <c r="M186" s="76">
        <f t="shared" si="75"/>
        <v>1274</v>
      </c>
      <c r="N186" s="67">
        <f t="shared" si="76"/>
        <v>800</v>
      </c>
      <c r="O186" s="67">
        <f t="shared" si="77"/>
        <v>1019200</v>
      </c>
      <c r="P186" s="75">
        <f t="shared" si="59"/>
        <v>25.632178242224086</v>
      </c>
      <c r="Q186" s="75">
        <v>25.79861939923541</v>
      </c>
      <c r="R186" s="96">
        <v>25.79861939923541</v>
      </c>
      <c r="S186" s="96">
        <v>25.79861939923541</v>
      </c>
      <c r="T186" s="75">
        <v>25.79861939923541</v>
      </c>
      <c r="U186" s="96">
        <v>25.79861939923541</v>
      </c>
      <c r="V186" s="96">
        <v>25.79861939923541</v>
      </c>
      <c r="W186" s="96">
        <v>25.79861939923541</v>
      </c>
      <c r="X186" s="138">
        <f t="shared" si="61"/>
        <v>257.4868705213201</v>
      </c>
      <c r="Y186" s="49">
        <v>1</v>
      </c>
      <c r="Z186" s="95" t="s">
        <v>264</v>
      </c>
      <c r="AA186" s="120"/>
    </row>
    <row r="187" spans="2:27" ht="25.5" x14ac:dyDescent="0.25">
      <c r="B187" s="531"/>
      <c r="C187" s="2" t="s">
        <v>214</v>
      </c>
      <c r="D187" s="3" t="s">
        <v>100</v>
      </c>
      <c r="E187" s="57">
        <v>945</v>
      </c>
      <c r="F187" s="13">
        <v>1100</v>
      </c>
      <c r="G187" s="13">
        <f t="shared" si="68"/>
        <v>1039500</v>
      </c>
      <c r="H187" s="53">
        <f t="shared" si="57"/>
        <v>26.142709264905747</v>
      </c>
      <c r="I187" s="65"/>
      <c r="J187" s="66"/>
      <c r="K187" s="66"/>
      <c r="L187" s="53">
        <f t="shared" si="58"/>
        <v>0</v>
      </c>
      <c r="M187" s="65"/>
      <c r="N187" s="66"/>
      <c r="O187" s="66"/>
      <c r="P187" s="53">
        <f t="shared" si="59"/>
        <v>0</v>
      </c>
      <c r="Q187" s="53">
        <v>26.312465527379519</v>
      </c>
      <c r="R187" s="56">
        <v>0</v>
      </c>
      <c r="S187" s="56">
        <v>0</v>
      </c>
      <c r="T187" s="53">
        <v>26.312465527379519</v>
      </c>
      <c r="U187" s="56">
        <v>0</v>
      </c>
      <c r="V187" s="56">
        <v>0</v>
      </c>
      <c r="W187" s="56">
        <v>26.312465527379519</v>
      </c>
      <c r="X187" s="136">
        <f t="shared" si="61"/>
        <v>105.08010584704429</v>
      </c>
      <c r="Y187" s="47">
        <v>3</v>
      </c>
      <c r="Z187" s="57" t="s">
        <v>264</v>
      </c>
      <c r="AA187" s="119"/>
    </row>
    <row r="188" spans="2:27" ht="38.25" x14ac:dyDescent="0.25">
      <c r="B188" s="531"/>
      <c r="C188" s="2" t="s">
        <v>53</v>
      </c>
      <c r="D188" s="3" t="s">
        <v>74</v>
      </c>
      <c r="E188" s="57">
        <v>1400</v>
      </c>
      <c r="F188" s="13">
        <v>1100</v>
      </c>
      <c r="G188" s="13">
        <f t="shared" si="68"/>
        <v>1540000</v>
      </c>
      <c r="H188" s="53">
        <f t="shared" si="57"/>
        <v>38.729939651712222</v>
      </c>
      <c r="I188" s="65"/>
      <c r="J188" s="66"/>
      <c r="K188" s="66"/>
      <c r="L188" s="53">
        <f t="shared" si="58"/>
        <v>0</v>
      </c>
      <c r="M188" s="65">
        <f t="shared" ref="M188:O194" si="79">+E188</f>
        <v>1400</v>
      </c>
      <c r="N188" s="66">
        <f t="shared" si="79"/>
        <v>1100</v>
      </c>
      <c r="O188" s="66">
        <f t="shared" si="79"/>
        <v>1540000</v>
      </c>
      <c r="P188" s="53">
        <f t="shared" si="59"/>
        <v>38.729939651712222</v>
      </c>
      <c r="Q188" s="53">
        <v>38.981430410932624</v>
      </c>
      <c r="R188" s="56">
        <v>0</v>
      </c>
      <c r="S188" s="56">
        <v>38.981430410932624</v>
      </c>
      <c r="T188" s="53">
        <v>38.981430410932624</v>
      </c>
      <c r="U188" s="56">
        <v>0</v>
      </c>
      <c r="V188" s="56">
        <v>38.981430410932624</v>
      </c>
      <c r="W188" s="56">
        <v>38.981430410932624</v>
      </c>
      <c r="X188" s="136">
        <f t="shared" si="61"/>
        <v>272.36703135808756</v>
      </c>
      <c r="Y188" s="47">
        <v>2</v>
      </c>
      <c r="Z188" s="57" t="s">
        <v>264</v>
      </c>
      <c r="AA188" s="119"/>
    </row>
    <row r="189" spans="2:27" x14ac:dyDescent="0.25">
      <c r="B189" s="531"/>
      <c r="C189" s="2" t="s">
        <v>189</v>
      </c>
      <c r="D189" s="14" t="s">
        <v>88</v>
      </c>
      <c r="E189" s="57">
        <v>1274</v>
      </c>
      <c r="F189" s="13">
        <v>800</v>
      </c>
      <c r="G189" s="13">
        <f t="shared" si="68"/>
        <v>1019200</v>
      </c>
      <c r="H189" s="53">
        <f t="shared" si="57"/>
        <v>25.632178242224086</v>
      </c>
      <c r="I189" s="65">
        <f t="shared" ref="I189:K194" si="80">+E189</f>
        <v>1274</v>
      </c>
      <c r="J189" s="66">
        <f t="shared" si="80"/>
        <v>800</v>
      </c>
      <c r="K189" s="66">
        <f t="shared" si="80"/>
        <v>1019200</v>
      </c>
      <c r="L189" s="53">
        <f t="shared" si="58"/>
        <v>25.632178242224086</v>
      </c>
      <c r="M189" s="65">
        <f t="shared" si="79"/>
        <v>1274</v>
      </c>
      <c r="N189" s="66">
        <f t="shared" si="79"/>
        <v>800</v>
      </c>
      <c r="O189" s="66">
        <f t="shared" si="79"/>
        <v>1019200</v>
      </c>
      <c r="P189" s="53">
        <f t="shared" si="59"/>
        <v>25.632178242224086</v>
      </c>
      <c r="Q189" s="53">
        <v>25.79861939923541</v>
      </c>
      <c r="R189" s="56">
        <v>25.79861939923541</v>
      </c>
      <c r="S189" s="56">
        <v>25.79861939923541</v>
      </c>
      <c r="T189" s="53">
        <v>25.79861939923541</v>
      </c>
      <c r="U189" s="56">
        <v>25.79861939923541</v>
      </c>
      <c r="V189" s="56">
        <v>25.79861939923541</v>
      </c>
      <c r="W189" s="56">
        <v>25.79861939923541</v>
      </c>
      <c r="X189" s="136">
        <f t="shared" si="61"/>
        <v>257.4868705213201</v>
      </c>
      <c r="Y189" s="47">
        <v>1</v>
      </c>
      <c r="Z189" s="57" t="s">
        <v>264</v>
      </c>
      <c r="AA189" s="119"/>
    </row>
    <row r="190" spans="2:27" ht="51" x14ac:dyDescent="0.25">
      <c r="B190" s="531"/>
      <c r="C190" s="2" t="s">
        <v>206</v>
      </c>
      <c r="D190" s="8" t="s">
        <v>79</v>
      </c>
      <c r="E190" s="57">
        <v>1</v>
      </c>
      <c r="F190" s="13">
        <v>450000</v>
      </c>
      <c r="G190" s="13">
        <f t="shared" si="68"/>
        <v>450000</v>
      </c>
      <c r="H190" s="53">
        <f t="shared" si="57"/>
        <v>11.317190157967856</v>
      </c>
      <c r="I190" s="65">
        <f t="shared" si="80"/>
        <v>1</v>
      </c>
      <c r="J190" s="66">
        <f t="shared" si="80"/>
        <v>450000</v>
      </c>
      <c r="K190" s="66">
        <f t="shared" si="80"/>
        <v>450000</v>
      </c>
      <c r="L190" s="53">
        <f t="shared" si="58"/>
        <v>11.317190157967856</v>
      </c>
      <c r="M190" s="65">
        <f t="shared" si="79"/>
        <v>1</v>
      </c>
      <c r="N190" s="66">
        <f t="shared" si="79"/>
        <v>450000</v>
      </c>
      <c r="O190" s="66">
        <f t="shared" si="79"/>
        <v>450000</v>
      </c>
      <c r="P190" s="53">
        <f t="shared" si="59"/>
        <v>11.317190157967856</v>
      </c>
      <c r="Q190" s="53">
        <v>11.390677717480312</v>
      </c>
      <c r="R190" s="56">
        <v>11.390677717480312</v>
      </c>
      <c r="S190" s="56">
        <v>11.390677717480312</v>
      </c>
      <c r="T190" s="53">
        <v>11.390677717480312</v>
      </c>
      <c r="U190" s="56">
        <v>11.390677717480312</v>
      </c>
      <c r="V190" s="56">
        <v>11.390677717480312</v>
      </c>
      <c r="W190" s="56">
        <v>11.390677717480312</v>
      </c>
      <c r="X190" s="136">
        <f t="shared" si="61"/>
        <v>113.68631449626577</v>
      </c>
      <c r="Y190" s="47">
        <v>1</v>
      </c>
      <c r="Z190" s="57" t="s">
        <v>264</v>
      </c>
      <c r="AA190" s="119"/>
    </row>
    <row r="191" spans="2:27" x14ac:dyDescent="0.25">
      <c r="B191" s="531"/>
      <c r="C191" s="2" t="s">
        <v>189</v>
      </c>
      <c r="D191" s="14" t="s">
        <v>88</v>
      </c>
      <c r="E191" s="57">
        <v>1274</v>
      </c>
      <c r="F191" s="13">
        <v>800</v>
      </c>
      <c r="G191" s="13">
        <f t="shared" si="68"/>
        <v>1019200</v>
      </c>
      <c r="H191" s="53">
        <f t="shared" si="57"/>
        <v>25.632178242224086</v>
      </c>
      <c r="I191" s="65">
        <f t="shared" si="80"/>
        <v>1274</v>
      </c>
      <c r="J191" s="66">
        <f t="shared" si="80"/>
        <v>800</v>
      </c>
      <c r="K191" s="66">
        <f t="shared" si="80"/>
        <v>1019200</v>
      </c>
      <c r="L191" s="53">
        <f t="shared" si="58"/>
        <v>25.632178242224086</v>
      </c>
      <c r="M191" s="65">
        <f t="shared" si="79"/>
        <v>1274</v>
      </c>
      <c r="N191" s="66">
        <f t="shared" si="79"/>
        <v>800</v>
      </c>
      <c r="O191" s="66">
        <f t="shared" si="79"/>
        <v>1019200</v>
      </c>
      <c r="P191" s="53">
        <f t="shared" si="59"/>
        <v>25.632178242224086</v>
      </c>
      <c r="Q191" s="53">
        <v>25.79861939923541</v>
      </c>
      <c r="R191" s="56">
        <v>25.79861939923541</v>
      </c>
      <c r="S191" s="56">
        <v>25.79861939923541</v>
      </c>
      <c r="T191" s="53">
        <v>25.79861939923541</v>
      </c>
      <c r="U191" s="56">
        <v>25.79861939923541</v>
      </c>
      <c r="V191" s="56">
        <v>25.79861939923541</v>
      </c>
      <c r="W191" s="56">
        <v>25.79861939923541</v>
      </c>
      <c r="X191" s="136">
        <f t="shared" si="61"/>
        <v>257.4868705213201</v>
      </c>
      <c r="Y191" s="47">
        <v>1</v>
      </c>
      <c r="Z191" s="57" t="s">
        <v>264</v>
      </c>
      <c r="AA191" s="119"/>
    </row>
    <row r="192" spans="2:27" ht="25.5" x14ac:dyDescent="0.25">
      <c r="B192" s="531"/>
      <c r="C192" s="2" t="s">
        <v>102</v>
      </c>
      <c r="D192" s="3" t="s">
        <v>81</v>
      </c>
      <c r="E192" s="57">
        <v>40</v>
      </c>
      <c r="F192" s="13">
        <v>1100</v>
      </c>
      <c r="G192" s="13">
        <f t="shared" ref="G192:G223" si="81">+F192*E192</f>
        <v>44000</v>
      </c>
      <c r="H192" s="53">
        <f t="shared" si="57"/>
        <v>1.1065697043346348</v>
      </c>
      <c r="I192" s="65">
        <f t="shared" si="80"/>
        <v>40</v>
      </c>
      <c r="J192" s="66">
        <f t="shared" si="80"/>
        <v>1100</v>
      </c>
      <c r="K192" s="66">
        <f t="shared" si="80"/>
        <v>44000</v>
      </c>
      <c r="L192" s="53">
        <f t="shared" si="58"/>
        <v>1.1065697043346348</v>
      </c>
      <c r="M192" s="65">
        <f t="shared" si="79"/>
        <v>40</v>
      </c>
      <c r="N192" s="66">
        <f t="shared" si="79"/>
        <v>1100</v>
      </c>
      <c r="O192" s="66">
        <f t="shared" si="79"/>
        <v>44000</v>
      </c>
      <c r="P192" s="53">
        <f t="shared" si="59"/>
        <v>1.1065697043346348</v>
      </c>
      <c r="Q192" s="53">
        <v>1.1137551545980748</v>
      </c>
      <c r="R192" s="56">
        <v>1.1137551545980748</v>
      </c>
      <c r="S192" s="56">
        <v>1.1137551545980748</v>
      </c>
      <c r="T192" s="53">
        <v>1.1137551545980748</v>
      </c>
      <c r="U192" s="56">
        <v>1.1137551545980748</v>
      </c>
      <c r="V192" s="56">
        <v>1.1137551545980748</v>
      </c>
      <c r="W192" s="56">
        <v>1.1137551545980748</v>
      </c>
      <c r="X192" s="136">
        <f t="shared" si="61"/>
        <v>11.115995195190427</v>
      </c>
      <c r="Y192" s="47">
        <v>1</v>
      </c>
      <c r="Z192" s="57" t="s">
        <v>264</v>
      </c>
      <c r="AA192" s="119"/>
    </row>
    <row r="193" spans="2:27" ht="77.25" thickBot="1" x14ac:dyDescent="0.3">
      <c r="B193" s="534"/>
      <c r="C193" s="21" t="s">
        <v>68</v>
      </c>
      <c r="D193" s="23" t="s">
        <v>69</v>
      </c>
      <c r="E193" s="90">
        <v>1</v>
      </c>
      <c r="F193" s="16">
        <v>150000</v>
      </c>
      <c r="G193" s="16">
        <f t="shared" si="81"/>
        <v>150000</v>
      </c>
      <c r="H193" s="77">
        <f t="shared" si="57"/>
        <v>3.7723967193226189</v>
      </c>
      <c r="I193" s="78">
        <f t="shared" si="80"/>
        <v>1</v>
      </c>
      <c r="J193" s="68">
        <f t="shared" si="80"/>
        <v>150000</v>
      </c>
      <c r="K193" s="68">
        <f t="shared" si="80"/>
        <v>150000</v>
      </c>
      <c r="L193" s="77">
        <f t="shared" si="58"/>
        <v>3.7723967193226189</v>
      </c>
      <c r="M193" s="78">
        <f t="shared" si="79"/>
        <v>1</v>
      </c>
      <c r="N193" s="68">
        <f t="shared" si="79"/>
        <v>150000</v>
      </c>
      <c r="O193" s="68">
        <f t="shared" si="79"/>
        <v>150000</v>
      </c>
      <c r="P193" s="77">
        <f t="shared" si="59"/>
        <v>3.7723967193226189</v>
      </c>
      <c r="Q193" s="77">
        <v>3.7968925724934373</v>
      </c>
      <c r="R193" s="84">
        <v>3.7968925724934373</v>
      </c>
      <c r="S193" s="84">
        <v>3.7968925724934373</v>
      </c>
      <c r="T193" s="77">
        <v>3.7968925724934373</v>
      </c>
      <c r="U193" s="84">
        <v>3.7968925724934373</v>
      </c>
      <c r="V193" s="84">
        <v>3.7968925724934373</v>
      </c>
      <c r="W193" s="84">
        <v>3.7968925724934373</v>
      </c>
      <c r="X193" s="139">
        <f t="shared" si="61"/>
        <v>37.895438165421922</v>
      </c>
      <c r="Y193" s="50">
        <v>1</v>
      </c>
      <c r="Z193" s="90" t="s">
        <v>264</v>
      </c>
      <c r="AA193" s="117"/>
    </row>
    <row r="194" spans="2:27" ht="38.25" x14ac:dyDescent="0.25">
      <c r="B194" s="530" t="s">
        <v>21</v>
      </c>
      <c r="C194" s="19" t="s">
        <v>75</v>
      </c>
      <c r="D194" s="31" t="s">
        <v>77</v>
      </c>
      <c r="E194" s="103">
        <v>473</v>
      </c>
      <c r="F194" s="24">
        <v>800</v>
      </c>
      <c r="G194" s="24">
        <f t="shared" si="81"/>
        <v>378400</v>
      </c>
      <c r="H194" s="81">
        <f t="shared" si="57"/>
        <v>9.5164994572778596</v>
      </c>
      <c r="I194" s="82">
        <f t="shared" si="80"/>
        <v>473</v>
      </c>
      <c r="J194" s="74">
        <f t="shared" si="80"/>
        <v>800</v>
      </c>
      <c r="K194" s="74">
        <f t="shared" si="80"/>
        <v>378400</v>
      </c>
      <c r="L194" s="81">
        <f t="shared" si="58"/>
        <v>9.5164994572778596</v>
      </c>
      <c r="M194" s="82">
        <f t="shared" si="79"/>
        <v>473</v>
      </c>
      <c r="N194" s="74">
        <f t="shared" si="79"/>
        <v>800</v>
      </c>
      <c r="O194" s="74">
        <f t="shared" si="79"/>
        <v>378400</v>
      </c>
      <c r="P194" s="81">
        <f t="shared" si="59"/>
        <v>9.5164994572778596</v>
      </c>
      <c r="Q194" s="81">
        <v>9.5782943295434446</v>
      </c>
      <c r="R194" s="102">
        <v>9.5782943295434446</v>
      </c>
      <c r="S194" s="102">
        <v>9.5782943295434446</v>
      </c>
      <c r="T194" s="81">
        <v>9.5782943295434446</v>
      </c>
      <c r="U194" s="102">
        <v>9.5782943295434446</v>
      </c>
      <c r="V194" s="102">
        <v>9.5782943295434446</v>
      </c>
      <c r="W194" s="102">
        <v>9.5782943295434446</v>
      </c>
      <c r="X194" s="135">
        <f t="shared" si="61"/>
        <v>95.597558678637682</v>
      </c>
      <c r="Y194" s="46">
        <v>1</v>
      </c>
      <c r="Z194" s="103" t="s">
        <v>264</v>
      </c>
      <c r="AA194" s="118"/>
    </row>
    <row r="195" spans="2:27" ht="25.5" x14ac:dyDescent="0.25">
      <c r="B195" s="531"/>
      <c r="C195" s="2" t="s">
        <v>214</v>
      </c>
      <c r="D195" s="3" t="s">
        <v>104</v>
      </c>
      <c r="E195" s="57">
        <v>325</v>
      </c>
      <c r="F195" s="13">
        <v>1100</v>
      </c>
      <c r="G195" s="13">
        <f t="shared" si="81"/>
        <v>357500</v>
      </c>
      <c r="H195" s="53">
        <f t="shared" si="57"/>
        <v>8.990878847718907</v>
      </c>
      <c r="I195" s="65"/>
      <c r="J195" s="66"/>
      <c r="K195" s="66"/>
      <c r="L195" s="53">
        <f t="shared" si="58"/>
        <v>0</v>
      </c>
      <c r="M195" s="65"/>
      <c r="N195" s="66"/>
      <c r="O195" s="66"/>
      <c r="P195" s="53">
        <f t="shared" si="59"/>
        <v>0</v>
      </c>
      <c r="Q195" s="53">
        <v>9.0492606311093589</v>
      </c>
      <c r="R195" s="56">
        <v>0</v>
      </c>
      <c r="S195" s="56">
        <v>0</v>
      </c>
      <c r="T195" s="53">
        <v>9.0492606311093589</v>
      </c>
      <c r="U195" s="56">
        <v>0</v>
      </c>
      <c r="V195" s="56">
        <v>0</v>
      </c>
      <c r="W195" s="56">
        <v>9.0492606311093589</v>
      </c>
      <c r="X195" s="136">
        <f t="shared" si="61"/>
        <v>36.138660741046984</v>
      </c>
      <c r="Y195" s="47">
        <v>3</v>
      </c>
      <c r="Z195" s="57" t="s">
        <v>264</v>
      </c>
      <c r="AA195" s="119"/>
    </row>
    <row r="196" spans="2:27" ht="38.25" x14ac:dyDescent="0.25">
      <c r="B196" s="531"/>
      <c r="C196" s="2" t="s">
        <v>53</v>
      </c>
      <c r="D196" s="3" t="s">
        <v>74</v>
      </c>
      <c r="E196" s="57">
        <v>500</v>
      </c>
      <c r="F196" s="13">
        <v>1100</v>
      </c>
      <c r="G196" s="13">
        <f t="shared" si="81"/>
        <v>550000</v>
      </c>
      <c r="H196" s="53">
        <f t="shared" si="57"/>
        <v>13.832121304182936</v>
      </c>
      <c r="I196" s="65"/>
      <c r="J196" s="66"/>
      <c r="K196" s="66"/>
      <c r="L196" s="53">
        <f t="shared" si="58"/>
        <v>0</v>
      </c>
      <c r="M196" s="65">
        <f t="shared" ref="M196:O199" si="82">+E196</f>
        <v>500</v>
      </c>
      <c r="N196" s="66">
        <f t="shared" si="82"/>
        <v>1100</v>
      </c>
      <c r="O196" s="66">
        <f t="shared" si="82"/>
        <v>550000</v>
      </c>
      <c r="P196" s="53">
        <f t="shared" si="59"/>
        <v>13.832121304182936</v>
      </c>
      <c r="Q196" s="53">
        <v>13.921939432475936</v>
      </c>
      <c r="R196" s="56">
        <v>0</v>
      </c>
      <c r="S196" s="56">
        <v>13.921939432475936</v>
      </c>
      <c r="T196" s="53">
        <v>13.921939432475936</v>
      </c>
      <c r="U196" s="56">
        <v>0</v>
      </c>
      <c r="V196" s="56">
        <v>13.921939432475936</v>
      </c>
      <c r="W196" s="56">
        <v>13.921939432475936</v>
      </c>
      <c r="X196" s="136">
        <f t="shared" si="61"/>
        <v>97.273939770745557</v>
      </c>
      <c r="Y196" s="47">
        <v>2</v>
      </c>
      <c r="Z196" s="57" t="s">
        <v>264</v>
      </c>
      <c r="AA196" s="119"/>
    </row>
    <row r="197" spans="2:27" x14ac:dyDescent="0.25">
      <c r="B197" s="531"/>
      <c r="C197" s="2" t="s">
        <v>50</v>
      </c>
      <c r="D197" s="14" t="s">
        <v>88</v>
      </c>
      <c r="E197" s="57">
        <v>473</v>
      </c>
      <c r="F197" s="13">
        <v>800</v>
      </c>
      <c r="G197" s="13">
        <f t="shared" si="81"/>
        <v>378400</v>
      </c>
      <c r="H197" s="53">
        <f t="shared" si="57"/>
        <v>9.5164994572778596</v>
      </c>
      <c r="I197" s="65">
        <f>+E197</f>
        <v>473</v>
      </c>
      <c r="J197" s="66">
        <f>+F197</f>
        <v>800</v>
      </c>
      <c r="K197" s="66">
        <f>+G197</f>
        <v>378400</v>
      </c>
      <c r="L197" s="53">
        <f t="shared" si="58"/>
        <v>9.5164994572778596</v>
      </c>
      <c r="M197" s="65">
        <f t="shared" si="82"/>
        <v>473</v>
      </c>
      <c r="N197" s="66">
        <f t="shared" si="82"/>
        <v>800</v>
      </c>
      <c r="O197" s="66">
        <f t="shared" si="82"/>
        <v>378400</v>
      </c>
      <c r="P197" s="53">
        <f t="shared" si="59"/>
        <v>9.5164994572778596</v>
      </c>
      <c r="Q197" s="53">
        <v>9.5782943295434446</v>
      </c>
      <c r="R197" s="56">
        <v>9.5782943295434446</v>
      </c>
      <c r="S197" s="56">
        <v>9.5782943295434446</v>
      </c>
      <c r="T197" s="53">
        <v>9.5782943295434446</v>
      </c>
      <c r="U197" s="56">
        <v>9.5782943295434446</v>
      </c>
      <c r="V197" s="56">
        <v>9.5782943295434446</v>
      </c>
      <c r="W197" s="56">
        <v>9.5782943295434446</v>
      </c>
      <c r="X197" s="136">
        <f t="shared" si="61"/>
        <v>95.597558678637682</v>
      </c>
      <c r="Y197" s="47">
        <v>1</v>
      </c>
      <c r="Z197" s="57" t="s">
        <v>264</v>
      </c>
      <c r="AA197" s="119"/>
    </row>
    <row r="198" spans="2:27" ht="26.25" thickBot="1" x14ac:dyDescent="0.3">
      <c r="B198" s="532"/>
      <c r="C198" s="6" t="s">
        <v>56</v>
      </c>
      <c r="D198" s="34" t="s">
        <v>105</v>
      </c>
      <c r="E198" s="92">
        <v>1</v>
      </c>
      <c r="F198" s="26">
        <v>450000</v>
      </c>
      <c r="G198" s="26">
        <f t="shared" si="81"/>
        <v>450000</v>
      </c>
      <c r="H198" s="86">
        <f t="shared" si="57"/>
        <v>11.317190157967856</v>
      </c>
      <c r="I198" s="87"/>
      <c r="J198" s="69"/>
      <c r="K198" s="69"/>
      <c r="L198" s="86">
        <f t="shared" si="58"/>
        <v>0</v>
      </c>
      <c r="M198" s="87">
        <f t="shared" si="82"/>
        <v>1</v>
      </c>
      <c r="N198" s="69">
        <f t="shared" si="82"/>
        <v>450000</v>
      </c>
      <c r="O198" s="69">
        <f t="shared" si="82"/>
        <v>450000</v>
      </c>
      <c r="P198" s="86">
        <f t="shared" si="59"/>
        <v>11.317190157967856</v>
      </c>
      <c r="Q198" s="86">
        <v>11.390677717480312</v>
      </c>
      <c r="R198" s="88">
        <v>0</v>
      </c>
      <c r="S198" s="88">
        <v>11.390677717480312</v>
      </c>
      <c r="T198" s="86">
        <v>11.390677717480312</v>
      </c>
      <c r="U198" s="88">
        <v>0</v>
      </c>
      <c r="V198" s="88">
        <v>11.390677717480312</v>
      </c>
      <c r="W198" s="88">
        <v>11.390677717480312</v>
      </c>
      <c r="X198" s="137">
        <f t="shared" si="61"/>
        <v>79.587768903337277</v>
      </c>
      <c r="Y198" s="48">
        <v>2</v>
      </c>
      <c r="Z198" s="92" t="s">
        <v>264</v>
      </c>
      <c r="AA198" s="145"/>
    </row>
    <row r="199" spans="2:27" ht="25.5" x14ac:dyDescent="0.25">
      <c r="B199" s="533" t="s">
        <v>22</v>
      </c>
      <c r="C199" s="20" t="s">
        <v>52</v>
      </c>
      <c r="D199" s="32" t="s">
        <v>76</v>
      </c>
      <c r="E199" s="95">
        <v>56</v>
      </c>
      <c r="F199" s="25">
        <v>800</v>
      </c>
      <c r="G199" s="25">
        <f t="shared" si="81"/>
        <v>44800</v>
      </c>
      <c r="H199" s="75">
        <f t="shared" ref="H199:H249" si="83">+G199/$C$4</f>
        <v>1.1266891535043555</v>
      </c>
      <c r="I199" s="76">
        <f>+E199</f>
        <v>56</v>
      </c>
      <c r="J199" s="67">
        <f>+F199</f>
        <v>800</v>
      </c>
      <c r="K199" s="67">
        <f>+G199</f>
        <v>44800</v>
      </c>
      <c r="L199" s="75">
        <f t="shared" ref="L199:L249" si="84">+K199/$C$4</f>
        <v>1.1266891535043555</v>
      </c>
      <c r="M199" s="76">
        <f t="shared" si="82"/>
        <v>56</v>
      </c>
      <c r="N199" s="67">
        <f t="shared" si="82"/>
        <v>800</v>
      </c>
      <c r="O199" s="67">
        <f t="shared" si="82"/>
        <v>44800</v>
      </c>
      <c r="P199" s="75">
        <f t="shared" ref="P199:P249" si="85">+O199/$C$4</f>
        <v>1.1266891535043555</v>
      </c>
      <c r="Q199" s="75">
        <v>1.1340052483180398</v>
      </c>
      <c r="R199" s="96">
        <v>1.1340052483180398</v>
      </c>
      <c r="S199" s="96">
        <v>1.1340052483180398</v>
      </c>
      <c r="T199" s="75">
        <v>1.1340052483180398</v>
      </c>
      <c r="U199" s="96">
        <v>1.1340052483180398</v>
      </c>
      <c r="V199" s="96">
        <v>1.1340052483180398</v>
      </c>
      <c r="W199" s="96">
        <v>1.1340052483180398</v>
      </c>
      <c r="X199" s="138">
        <f t="shared" si="61"/>
        <v>11.318104198739347</v>
      </c>
      <c r="Y199" s="49">
        <v>1</v>
      </c>
      <c r="Z199" s="95" t="s">
        <v>264</v>
      </c>
      <c r="AA199" s="120"/>
    </row>
    <row r="200" spans="2:27" ht="25.5" x14ac:dyDescent="0.25">
      <c r="B200" s="531"/>
      <c r="C200" s="2" t="s">
        <v>214</v>
      </c>
      <c r="D200" s="3" t="s">
        <v>100</v>
      </c>
      <c r="E200" s="57">
        <v>96</v>
      </c>
      <c r="F200" s="13">
        <v>1100</v>
      </c>
      <c r="G200" s="13">
        <f t="shared" si="81"/>
        <v>105600</v>
      </c>
      <c r="H200" s="53">
        <f t="shared" si="83"/>
        <v>2.6557672904031238</v>
      </c>
      <c r="I200" s="65"/>
      <c r="J200" s="66"/>
      <c r="K200" s="66"/>
      <c r="L200" s="53">
        <f t="shared" si="84"/>
        <v>0</v>
      </c>
      <c r="M200" s="65"/>
      <c r="N200" s="66"/>
      <c r="O200" s="66"/>
      <c r="P200" s="53">
        <f t="shared" si="85"/>
        <v>0</v>
      </c>
      <c r="Q200" s="53">
        <v>2.6730123710353797</v>
      </c>
      <c r="R200" s="56">
        <v>0</v>
      </c>
      <c r="S200" s="56">
        <v>0</v>
      </c>
      <c r="T200" s="53">
        <v>2.6730123710353797</v>
      </c>
      <c r="U200" s="56">
        <v>0</v>
      </c>
      <c r="V200" s="56">
        <v>0</v>
      </c>
      <c r="W200" s="56">
        <v>2.6730123710353797</v>
      </c>
      <c r="X200" s="136">
        <f t="shared" si="61"/>
        <v>10.674804403509263</v>
      </c>
      <c r="Y200" s="47">
        <v>3</v>
      </c>
      <c r="Z200" s="57" t="s">
        <v>264</v>
      </c>
      <c r="AA200" s="119"/>
    </row>
    <row r="201" spans="2:27" x14ac:dyDescent="0.25">
      <c r="B201" s="531"/>
      <c r="C201" s="2" t="s">
        <v>189</v>
      </c>
      <c r="D201" s="14" t="s">
        <v>88</v>
      </c>
      <c r="E201" s="57">
        <v>56</v>
      </c>
      <c r="F201" s="13">
        <v>800</v>
      </c>
      <c r="G201" s="13">
        <f t="shared" si="81"/>
        <v>44800</v>
      </c>
      <c r="H201" s="53">
        <f t="shared" si="83"/>
        <v>1.1266891535043555</v>
      </c>
      <c r="I201" s="65">
        <f>+E201</f>
        <v>56</v>
      </c>
      <c r="J201" s="66">
        <f>+F201</f>
        <v>800</v>
      </c>
      <c r="K201" s="66">
        <f>+G201</f>
        <v>44800</v>
      </c>
      <c r="L201" s="53">
        <f t="shared" si="84"/>
        <v>1.1266891535043555</v>
      </c>
      <c r="M201" s="65">
        <f t="shared" ref="M201:O204" si="86">+E201</f>
        <v>56</v>
      </c>
      <c r="N201" s="66">
        <f t="shared" si="86"/>
        <v>800</v>
      </c>
      <c r="O201" s="66">
        <f t="shared" si="86"/>
        <v>44800</v>
      </c>
      <c r="P201" s="53">
        <f t="shared" si="85"/>
        <v>1.1266891535043555</v>
      </c>
      <c r="Q201" s="53">
        <v>1.1340052483180398</v>
      </c>
      <c r="R201" s="56">
        <v>1.1340052483180398</v>
      </c>
      <c r="S201" s="56">
        <v>1.1340052483180398</v>
      </c>
      <c r="T201" s="53">
        <v>1.1340052483180398</v>
      </c>
      <c r="U201" s="56">
        <v>1.1340052483180398</v>
      </c>
      <c r="V201" s="56">
        <v>1.1340052483180398</v>
      </c>
      <c r="W201" s="56">
        <v>1.1340052483180398</v>
      </c>
      <c r="X201" s="136">
        <f t="shared" ref="X201:X249" si="87">+H201+L201+P201+Q201+R201+S201+T201+U201+V201+W201</f>
        <v>11.318104198739347</v>
      </c>
      <c r="Y201" s="47">
        <v>1</v>
      </c>
      <c r="Z201" s="57" t="s">
        <v>264</v>
      </c>
      <c r="AA201" s="119"/>
    </row>
    <row r="202" spans="2:27" ht="38.25" x14ac:dyDescent="0.25">
      <c r="B202" s="531"/>
      <c r="C202" s="2" t="s">
        <v>53</v>
      </c>
      <c r="D202" s="3" t="s">
        <v>74</v>
      </c>
      <c r="E202" s="57">
        <v>96</v>
      </c>
      <c r="F202" s="13">
        <v>1100</v>
      </c>
      <c r="G202" s="13">
        <f t="shared" si="81"/>
        <v>105600</v>
      </c>
      <c r="H202" s="53">
        <f t="shared" si="83"/>
        <v>2.6557672904031238</v>
      </c>
      <c r="I202" s="65"/>
      <c r="J202" s="66"/>
      <c r="K202" s="66"/>
      <c r="L202" s="53">
        <f t="shared" si="84"/>
        <v>0</v>
      </c>
      <c r="M202" s="65">
        <f t="shared" si="86"/>
        <v>96</v>
      </c>
      <c r="N202" s="66">
        <f t="shared" si="86"/>
        <v>1100</v>
      </c>
      <c r="O202" s="66">
        <f t="shared" si="86"/>
        <v>105600</v>
      </c>
      <c r="P202" s="53">
        <f t="shared" si="85"/>
        <v>2.6557672904031238</v>
      </c>
      <c r="Q202" s="53">
        <v>2.6730123710353797</v>
      </c>
      <c r="R202" s="56">
        <v>0</v>
      </c>
      <c r="S202" s="56">
        <v>2.6730123710353797</v>
      </c>
      <c r="T202" s="53">
        <v>2.6730123710353797</v>
      </c>
      <c r="U202" s="56">
        <v>0</v>
      </c>
      <c r="V202" s="56">
        <v>2.6730123710353797</v>
      </c>
      <c r="W202" s="56">
        <v>2.6730123710353797</v>
      </c>
      <c r="X202" s="136">
        <f t="shared" si="87"/>
        <v>18.676596435983146</v>
      </c>
      <c r="Y202" s="47">
        <v>2</v>
      </c>
      <c r="Z202" s="57" t="s">
        <v>264</v>
      </c>
      <c r="AA202" s="119"/>
    </row>
    <row r="203" spans="2:27" ht="51.75" thickBot="1" x14ac:dyDescent="0.3">
      <c r="B203" s="534"/>
      <c r="C203" s="21" t="s">
        <v>206</v>
      </c>
      <c r="D203" s="40" t="s">
        <v>79</v>
      </c>
      <c r="E203" s="90">
        <v>1</v>
      </c>
      <c r="F203" s="16">
        <v>150000</v>
      </c>
      <c r="G203" s="16">
        <f t="shared" si="81"/>
        <v>150000</v>
      </c>
      <c r="H203" s="77">
        <f t="shared" si="83"/>
        <v>3.7723967193226189</v>
      </c>
      <c r="I203" s="78">
        <f t="shared" ref="I203:K204" si="88">+E203</f>
        <v>1</v>
      </c>
      <c r="J203" s="68">
        <f t="shared" si="88"/>
        <v>150000</v>
      </c>
      <c r="K203" s="68">
        <f t="shared" si="88"/>
        <v>150000</v>
      </c>
      <c r="L203" s="77">
        <f t="shared" si="84"/>
        <v>3.7723967193226189</v>
      </c>
      <c r="M203" s="78">
        <f t="shared" si="86"/>
        <v>1</v>
      </c>
      <c r="N203" s="68">
        <f t="shared" si="86"/>
        <v>150000</v>
      </c>
      <c r="O203" s="68">
        <f t="shared" si="86"/>
        <v>150000</v>
      </c>
      <c r="P203" s="77">
        <f t="shared" si="85"/>
        <v>3.7723967193226189</v>
      </c>
      <c r="Q203" s="77">
        <v>3.7968925724934373</v>
      </c>
      <c r="R203" s="84">
        <v>3.7968925724934373</v>
      </c>
      <c r="S203" s="84">
        <v>3.7968925724934373</v>
      </c>
      <c r="T203" s="77">
        <v>3.7968925724934373</v>
      </c>
      <c r="U203" s="84">
        <v>3.7968925724934373</v>
      </c>
      <c r="V203" s="84">
        <v>3.7968925724934373</v>
      </c>
      <c r="W203" s="84">
        <v>3.7968925724934373</v>
      </c>
      <c r="X203" s="139">
        <f t="shared" si="87"/>
        <v>37.895438165421922</v>
      </c>
      <c r="Y203" s="50">
        <v>1</v>
      </c>
      <c r="Z203" s="90" t="s">
        <v>264</v>
      </c>
      <c r="AA203" s="117"/>
    </row>
    <row r="204" spans="2:27" ht="45" x14ac:dyDescent="0.25">
      <c r="B204" s="530" t="s">
        <v>23</v>
      </c>
      <c r="C204" s="19" t="s">
        <v>52</v>
      </c>
      <c r="D204" s="31" t="s">
        <v>76</v>
      </c>
      <c r="E204" s="103">
        <v>795</v>
      </c>
      <c r="F204" s="24">
        <v>800</v>
      </c>
      <c r="G204" s="24">
        <f t="shared" si="81"/>
        <v>636000</v>
      </c>
      <c r="H204" s="81">
        <f t="shared" si="83"/>
        <v>15.994962089927903</v>
      </c>
      <c r="I204" s="82">
        <f t="shared" si="88"/>
        <v>795</v>
      </c>
      <c r="J204" s="74">
        <f t="shared" si="88"/>
        <v>800</v>
      </c>
      <c r="K204" s="74">
        <f t="shared" si="88"/>
        <v>636000</v>
      </c>
      <c r="L204" s="81">
        <f t="shared" si="84"/>
        <v>15.994962089927903</v>
      </c>
      <c r="M204" s="82">
        <f t="shared" si="86"/>
        <v>795</v>
      </c>
      <c r="N204" s="74">
        <f t="shared" si="86"/>
        <v>800</v>
      </c>
      <c r="O204" s="74">
        <f t="shared" si="86"/>
        <v>636000</v>
      </c>
      <c r="P204" s="81">
        <f t="shared" si="85"/>
        <v>15.994962089927903</v>
      </c>
      <c r="Q204" s="81">
        <v>16.098824507372175</v>
      </c>
      <c r="R204" s="102">
        <v>16.098824507372175</v>
      </c>
      <c r="S204" s="102">
        <v>16.098824507372175</v>
      </c>
      <c r="T204" s="81">
        <v>16.098824507372175</v>
      </c>
      <c r="U204" s="102">
        <v>16.098824507372175</v>
      </c>
      <c r="V204" s="102">
        <v>16.098824507372175</v>
      </c>
      <c r="W204" s="102">
        <v>16.098824507372175</v>
      </c>
      <c r="X204" s="135">
        <f t="shared" si="87"/>
        <v>160.67665782138891</v>
      </c>
      <c r="Y204" s="46">
        <v>1</v>
      </c>
      <c r="Z204" s="103" t="s">
        <v>261</v>
      </c>
      <c r="AA204" s="118" t="s">
        <v>277</v>
      </c>
    </row>
    <row r="205" spans="2:27" ht="75" x14ac:dyDescent="0.25">
      <c r="B205" s="531"/>
      <c r="C205" s="2" t="s">
        <v>214</v>
      </c>
      <c r="D205" s="3" t="s">
        <v>100</v>
      </c>
      <c r="E205" s="57">
        <v>960</v>
      </c>
      <c r="F205" s="13">
        <v>4900</v>
      </c>
      <c r="G205" s="13">
        <f t="shared" si="81"/>
        <v>4704000</v>
      </c>
      <c r="H205" s="53">
        <f t="shared" si="83"/>
        <v>118.30236111795732</v>
      </c>
      <c r="I205" s="65"/>
      <c r="J205" s="66"/>
      <c r="K205" s="66"/>
      <c r="L205" s="53">
        <f t="shared" si="84"/>
        <v>0</v>
      </c>
      <c r="M205" s="65"/>
      <c r="N205" s="66"/>
      <c r="O205" s="66"/>
      <c r="P205" s="53">
        <f t="shared" si="85"/>
        <v>0</v>
      </c>
      <c r="Q205" s="53">
        <v>119.0705510733942</v>
      </c>
      <c r="R205" s="56">
        <v>0</v>
      </c>
      <c r="S205" s="56">
        <v>0</v>
      </c>
      <c r="T205" s="53">
        <v>119.0705510733942</v>
      </c>
      <c r="U205" s="56">
        <v>0</v>
      </c>
      <c r="V205" s="56">
        <v>0</v>
      </c>
      <c r="W205" s="56">
        <v>119.0705510733942</v>
      </c>
      <c r="X205" s="136">
        <f t="shared" si="87"/>
        <v>475.51401433813993</v>
      </c>
      <c r="Y205" s="47">
        <v>3</v>
      </c>
      <c r="Z205" s="57" t="s">
        <v>261</v>
      </c>
      <c r="AA205" s="119" t="s">
        <v>278</v>
      </c>
    </row>
    <row r="206" spans="2:27" ht="38.25" x14ac:dyDescent="0.25">
      <c r="B206" s="531"/>
      <c r="C206" s="2" t="s">
        <v>53</v>
      </c>
      <c r="D206" s="3" t="s">
        <v>74</v>
      </c>
      <c r="E206" s="57">
        <v>1500</v>
      </c>
      <c r="F206" s="13">
        <v>1100</v>
      </c>
      <c r="G206" s="13">
        <f t="shared" si="81"/>
        <v>1650000</v>
      </c>
      <c r="H206" s="53">
        <f t="shared" si="83"/>
        <v>41.496363912548809</v>
      </c>
      <c r="I206" s="65"/>
      <c r="J206" s="66"/>
      <c r="K206" s="66"/>
      <c r="L206" s="53">
        <f t="shared" si="84"/>
        <v>0</v>
      </c>
      <c r="M206" s="65">
        <f t="shared" ref="M206:O212" si="89">+E206</f>
        <v>1500</v>
      </c>
      <c r="N206" s="66">
        <f t="shared" si="89"/>
        <v>1100</v>
      </c>
      <c r="O206" s="66">
        <f t="shared" si="89"/>
        <v>1650000</v>
      </c>
      <c r="P206" s="53">
        <f t="shared" si="85"/>
        <v>41.496363912548809</v>
      </c>
      <c r="Q206" s="53">
        <v>41.765818297427813</v>
      </c>
      <c r="R206" s="56">
        <v>0</v>
      </c>
      <c r="S206" s="56">
        <v>41.765818297427813</v>
      </c>
      <c r="T206" s="53">
        <v>41.765818297427813</v>
      </c>
      <c r="U206" s="56">
        <v>0</v>
      </c>
      <c r="V206" s="56">
        <v>41.765818297427813</v>
      </c>
      <c r="W206" s="56">
        <v>41.765818297427813</v>
      </c>
      <c r="X206" s="136">
        <f t="shared" si="87"/>
        <v>291.8218193122367</v>
      </c>
      <c r="Y206" s="47">
        <v>2</v>
      </c>
      <c r="Z206" s="57" t="s">
        <v>264</v>
      </c>
      <c r="AA206" s="119"/>
    </row>
    <row r="207" spans="2:27" ht="51" x14ac:dyDescent="0.25">
      <c r="B207" s="531"/>
      <c r="C207" s="2" t="s">
        <v>206</v>
      </c>
      <c r="D207" s="8" t="s">
        <v>79</v>
      </c>
      <c r="E207" s="57">
        <v>1</v>
      </c>
      <c r="F207" s="13">
        <v>450000</v>
      </c>
      <c r="G207" s="13">
        <f t="shared" si="81"/>
        <v>450000</v>
      </c>
      <c r="H207" s="53">
        <f t="shared" si="83"/>
        <v>11.317190157967856</v>
      </c>
      <c r="I207" s="65">
        <f t="shared" ref="I207:K212" si="90">+E207</f>
        <v>1</v>
      </c>
      <c r="J207" s="66">
        <f t="shared" si="90"/>
        <v>450000</v>
      </c>
      <c r="K207" s="66">
        <f t="shared" si="90"/>
        <v>450000</v>
      </c>
      <c r="L207" s="53">
        <f t="shared" si="84"/>
        <v>11.317190157967856</v>
      </c>
      <c r="M207" s="65">
        <f t="shared" si="89"/>
        <v>1</v>
      </c>
      <c r="N207" s="66">
        <f t="shared" si="89"/>
        <v>450000</v>
      </c>
      <c r="O207" s="66">
        <f t="shared" si="89"/>
        <v>450000</v>
      </c>
      <c r="P207" s="53">
        <f t="shared" si="85"/>
        <v>11.317190157967856</v>
      </c>
      <c r="Q207" s="53">
        <v>11.390677717480312</v>
      </c>
      <c r="R207" s="56">
        <v>11.390677717480312</v>
      </c>
      <c r="S207" s="56">
        <v>11.390677717480312</v>
      </c>
      <c r="T207" s="53">
        <v>11.390677717480312</v>
      </c>
      <c r="U207" s="56">
        <v>11.390677717480312</v>
      </c>
      <c r="V207" s="56">
        <v>11.390677717480312</v>
      </c>
      <c r="W207" s="56">
        <v>11.390677717480312</v>
      </c>
      <c r="X207" s="136">
        <f t="shared" si="87"/>
        <v>113.68631449626577</v>
      </c>
      <c r="Y207" s="47">
        <v>1</v>
      </c>
      <c r="Z207" s="57" t="s">
        <v>264</v>
      </c>
      <c r="AA207" s="119"/>
    </row>
    <row r="208" spans="2:27" x14ac:dyDescent="0.25">
      <c r="B208" s="531"/>
      <c r="C208" s="2" t="s">
        <v>50</v>
      </c>
      <c r="D208" s="14" t="s">
        <v>88</v>
      </c>
      <c r="E208" s="57">
        <f>795*2</f>
        <v>1590</v>
      </c>
      <c r="F208" s="13">
        <v>800</v>
      </c>
      <c r="G208" s="13">
        <f t="shared" si="81"/>
        <v>1272000</v>
      </c>
      <c r="H208" s="53">
        <f t="shared" si="83"/>
        <v>31.989924179855805</v>
      </c>
      <c r="I208" s="65">
        <f t="shared" si="90"/>
        <v>1590</v>
      </c>
      <c r="J208" s="66">
        <f t="shared" si="90"/>
        <v>800</v>
      </c>
      <c r="K208" s="66">
        <f t="shared" si="90"/>
        <v>1272000</v>
      </c>
      <c r="L208" s="53">
        <f t="shared" si="84"/>
        <v>31.989924179855805</v>
      </c>
      <c r="M208" s="65">
        <f t="shared" si="89"/>
        <v>1590</v>
      </c>
      <c r="N208" s="66">
        <f t="shared" si="89"/>
        <v>800</v>
      </c>
      <c r="O208" s="66">
        <f t="shared" si="89"/>
        <v>1272000</v>
      </c>
      <c r="P208" s="53">
        <f t="shared" si="85"/>
        <v>31.989924179855805</v>
      </c>
      <c r="Q208" s="53">
        <v>32.19764901474435</v>
      </c>
      <c r="R208" s="56">
        <v>32.19764901474435</v>
      </c>
      <c r="S208" s="56">
        <v>32.19764901474435</v>
      </c>
      <c r="T208" s="53">
        <v>32.19764901474435</v>
      </c>
      <c r="U208" s="56">
        <v>32.19764901474435</v>
      </c>
      <c r="V208" s="56">
        <v>32.19764901474435</v>
      </c>
      <c r="W208" s="56">
        <v>32.19764901474435</v>
      </c>
      <c r="X208" s="136">
        <f t="shared" si="87"/>
        <v>321.35331564277783</v>
      </c>
      <c r="Y208" s="47">
        <v>1</v>
      </c>
      <c r="Z208" s="57" t="s">
        <v>264</v>
      </c>
      <c r="AA208" s="119"/>
    </row>
    <row r="209" spans="2:27" ht="25.5" x14ac:dyDescent="0.25">
      <c r="B209" s="531"/>
      <c r="C209" s="2" t="s">
        <v>102</v>
      </c>
      <c r="D209" s="3" t="s">
        <v>81</v>
      </c>
      <c r="E209" s="57">
        <v>100</v>
      </c>
      <c r="F209" s="13">
        <v>1100</v>
      </c>
      <c r="G209" s="13">
        <f t="shared" si="81"/>
        <v>110000</v>
      </c>
      <c r="H209" s="53">
        <f t="shared" si="83"/>
        <v>2.7664242608365872</v>
      </c>
      <c r="I209" s="65">
        <f t="shared" si="90"/>
        <v>100</v>
      </c>
      <c r="J209" s="66">
        <f t="shared" si="90"/>
        <v>1100</v>
      </c>
      <c r="K209" s="66">
        <f t="shared" si="90"/>
        <v>110000</v>
      </c>
      <c r="L209" s="53">
        <f t="shared" si="84"/>
        <v>2.7664242608365872</v>
      </c>
      <c r="M209" s="65">
        <f t="shared" si="89"/>
        <v>100</v>
      </c>
      <c r="N209" s="66">
        <f t="shared" si="89"/>
        <v>1100</v>
      </c>
      <c r="O209" s="66">
        <f t="shared" si="89"/>
        <v>110000</v>
      </c>
      <c r="P209" s="53">
        <f t="shared" si="85"/>
        <v>2.7664242608365872</v>
      </c>
      <c r="Q209" s="53">
        <v>2.7843878864951872</v>
      </c>
      <c r="R209" s="56">
        <v>2.7843878864951872</v>
      </c>
      <c r="S209" s="56">
        <v>2.7843878864951872</v>
      </c>
      <c r="T209" s="53">
        <v>2.7843878864951872</v>
      </c>
      <c r="U209" s="56">
        <v>2.7843878864951872</v>
      </c>
      <c r="V209" s="56">
        <v>2.7843878864951872</v>
      </c>
      <c r="W209" s="56">
        <v>2.7843878864951872</v>
      </c>
      <c r="X209" s="136">
        <f t="shared" si="87"/>
        <v>27.789987987976076</v>
      </c>
      <c r="Y209" s="47">
        <v>1</v>
      </c>
      <c r="Z209" s="57" t="s">
        <v>264</v>
      </c>
      <c r="AA209" s="119"/>
    </row>
    <row r="210" spans="2:27" ht="77.25" thickBot="1" x14ac:dyDescent="0.3">
      <c r="B210" s="532"/>
      <c r="C210" s="6" t="s">
        <v>68</v>
      </c>
      <c r="D210" s="34" t="s">
        <v>69</v>
      </c>
      <c r="E210" s="92">
        <v>1</v>
      </c>
      <c r="F210" s="26">
        <v>350000</v>
      </c>
      <c r="G210" s="26">
        <f t="shared" si="81"/>
        <v>350000</v>
      </c>
      <c r="H210" s="86">
        <f t="shared" si="83"/>
        <v>8.8022590117527777</v>
      </c>
      <c r="I210" s="87">
        <f t="shared" si="90"/>
        <v>1</v>
      </c>
      <c r="J210" s="69">
        <f t="shared" si="90"/>
        <v>350000</v>
      </c>
      <c r="K210" s="69">
        <f t="shared" si="90"/>
        <v>350000</v>
      </c>
      <c r="L210" s="86">
        <f t="shared" si="84"/>
        <v>8.8022590117527777</v>
      </c>
      <c r="M210" s="87">
        <f t="shared" si="89"/>
        <v>1</v>
      </c>
      <c r="N210" s="69">
        <f t="shared" si="89"/>
        <v>350000</v>
      </c>
      <c r="O210" s="69">
        <f t="shared" si="89"/>
        <v>350000</v>
      </c>
      <c r="P210" s="86">
        <f t="shared" si="85"/>
        <v>8.8022590117527777</v>
      </c>
      <c r="Q210" s="86">
        <v>8.8594160024846875</v>
      </c>
      <c r="R210" s="88">
        <v>8.8594160024846875</v>
      </c>
      <c r="S210" s="88">
        <v>8.8594160024846875</v>
      </c>
      <c r="T210" s="86">
        <v>8.8594160024846875</v>
      </c>
      <c r="U210" s="88">
        <v>8.8594160024846875</v>
      </c>
      <c r="V210" s="88">
        <v>8.8594160024846875</v>
      </c>
      <c r="W210" s="88">
        <v>8.8594160024846875</v>
      </c>
      <c r="X210" s="137">
        <f t="shared" si="87"/>
        <v>88.422689052651151</v>
      </c>
      <c r="Y210" s="48">
        <v>1</v>
      </c>
      <c r="Z210" s="92" t="s">
        <v>264</v>
      </c>
      <c r="AA210" s="145"/>
    </row>
    <row r="211" spans="2:27" ht="25.5" x14ac:dyDescent="0.25">
      <c r="B211" s="533" t="s">
        <v>24</v>
      </c>
      <c r="C211" s="20" t="s">
        <v>52</v>
      </c>
      <c r="D211" s="32" t="s">
        <v>76</v>
      </c>
      <c r="E211" s="95">
        <v>300</v>
      </c>
      <c r="F211" s="25">
        <v>800</v>
      </c>
      <c r="G211" s="25">
        <f t="shared" si="81"/>
        <v>240000</v>
      </c>
      <c r="H211" s="75">
        <f t="shared" si="83"/>
        <v>6.03583475091619</v>
      </c>
      <c r="I211" s="76">
        <f t="shared" si="90"/>
        <v>300</v>
      </c>
      <c r="J211" s="67">
        <f t="shared" si="90"/>
        <v>800</v>
      </c>
      <c r="K211" s="67">
        <f t="shared" si="90"/>
        <v>240000</v>
      </c>
      <c r="L211" s="75">
        <f t="shared" si="84"/>
        <v>6.03583475091619</v>
      </c>
      <c r="M211" s="76">
        <f t="shared" si="89"/>
        <v>300</v>
      </c>
      <c r="N211" s="67">
        <f t="shared" si="89"/>
        <v>800</v>
      </c>
      <c r="O211" s="67">
        <f t="shared" si="89"/>
        <v>240000</v>
      </c>
      <c r="P211" s="75">
        <f t="shared" si="85"/>
        <v>6.03583475091619</v>
      </c>
      <c r="Q211" s="75">
        <v>6.0750281159894994</v>
      </c>
      <c r="R211" s="96">
        <v>6.0750281159894994</v>
      </c>
      <c r="S211" s="96">
        <v>6.0750281159894994</v>
      </c>
      <c r="T211" s="75">
        <v>6.0750281159894994</v>
      </c>
      <c r="U211" s="96">
        <v>6.0750281159894994</v>
      </c>
      <c r="V211" s="96">
        <v>6.0750281159894994</v>
      </c>
      <c r="W211" s="96">
        <v>6.0750281159894994</v>
      </c>
      <c r="X211" s="138">
        <f t="shared" si="87"/>
        <v>60.632701064675054</v>
      </c>
      <c r="Y211" s="49">
        <v>1</v>
      </c>
      <c r="Z211" s="95" t="s">
        <v>264</v>
      </c>
      <c r="AA211" s="120"/>
    </row>
    <row r="212" spans="2:27" ht="38.25" x14ac:dyDescent="0.25">
      <c r="B212" s="531"/>
      <c r="C212" s="2" t="s">
        <v>75</v>
      </c>
      <c r="D212" s="3" t="s">
        <v>77</v>
      </c>
      <c r="E212" s="57">
        <v>100</v>
      </c>
      <c r="F212" s="13">
        <v>800</v>
      </c>
      <c r="G212" s="13">
        <f t="shared" si="81"/>
        <v>80000</v>
      </c>
      <c r="H212" s="53">
        <f t="shared" si="83"/>
        <v>2.0119449169720633</v>
      </c>
      <c r="I212" s="65">
        <f t="shared" si="90"/>
        <v>100</v>
      </c>
      <c r="J212" s="66">
        <f t="shared" si="90"/>
        <v>800</v>
      </c>
      <c r="K212" s="66">
        <f t="shared" si="90"/>
        <v>80000</v>
      </c>
      <c r="L212" s="53">
        <f t="shared" si="84"/>
        <v>2.0119449169720633</v>
      </c>
      <c r="M212" s="65">
        <f t="shared" si="89"/>
        <v>100</v>
      </c>
      <c r="N212" s="66">
        <f t="shared" si="89"/>
        <v>800</v>
      </c>
      <c r="O212" s="66">
        <f t="shared" si="89"/>
        <v>80000</v>
      </c>
      <c r="P212" s="53">
        <f t="shared" si="85"/>
        <v>2.0119449169720633</v>
      </c>
      <c r="Q212" s="53">
        <v>2.0250093719964997</v>
      </c>
      <c r="R212" s="56">
        <v>2.0250093719964997</v>
      </c>
      <c r="S212" s="56">
        <v>2.0250093719964997</v>
      </c>
      <c r="T212" s="53">
        <v>2.0250093719964997</v>
      </c>
      <c r="U212" s="56">
        <v>2.0250093719964997</v>
      </c>
      <c r="V212" s="56">
        <v>2.0250093719964997</v>
      </c>
      <c r="W212" s="56">
        <v>2.0250093719964997</v>
      </c>
      <c r="X212" s="136">
        <f t="shared" si="87"/>
        <v>20.210900354891688</v>
      </c>
      <c r="Y212" s="47">
        <v>1</v>
      </c>
      <c r="Z212" s="57" t="s">
        <v>264</v>
      </c>
      <c r="AA212" s="119"/>
    </row>
    <row r="213" spans="2:27" ht="25.5" x14ac:dyDescent="0.25">
      <c r="B213" s="531"/>
      <c r="C213" s="2" t="s">
        <v>214</v>
      </c>
      <c r="D213" s="3" t="s">
        <v>100</v>
      </c>
      <c r="E213" s="57">
        <v>320</v>
      </c>
      <c r="F213" s="13">
        <v>1100</v>
      </c>
      <c r="G213" s="13">
        <f t="shared" si="81"/>
        <v>352000</v>
      </c>
      <c r="H213" s="53">
        <f t="shared" si="83"/>
        <v>8.852557634677078</v>
      </c>
      <c r="I213" s="65"/>
      <c r="J213" s="66"/>
      <c r="K213" s="66"/>
      <c r="L213" s="53">
        <f t="shared" si="84"/>
        <v>0</v>
      </c>
      <c r="M213" s="65"/>
      <c r="N213" s="66"/>
      <c r="O213" s="66"/>
      <c r="P213" s="53">
        <f t="shared" si="85"/>
        <v>0</v>
      </c>
      <c r="Q213" s="53">
        <v>8.9100412367845987</v>
      </c>
      <c r="R213" s="56">
        <v>0</v>
      </c>
      <c r="S213" s="56">
        <v>0</v>
      </c>
      <c r="T213" s="53">
        <v>8.9100412367845987</v>
      </c>
      <c r="U213" s="56">
        <v>0</v>
      </c>
      <c r="V213" s="56">
        <v>0</v>
      </c>
      <c r="W213" s="56">
        <v>8.9100412367845987</v>
      </c>
      <c r="X213" s="136">
        <f t="shared" si="87"/>
        <v>35.582681345030878</v>
      </c>
      <c r="Y213" s="47">
        <v>3</v>
      </c>
      <c r="Z213" s="57" t="s">
        <v>264</v>
      </c>
      <c r="AA213" s="119"/>
    </row>
    <row r="214" spans="2:27" ht="38.25" x14ac:dyDescent="0.25">
      <c r="B214" s="531"/>
      <c r="C214" s="2" t="s">
        <v>53</v>
      </c>
      <c r="D214" s="3" t="s">
        <v>74</v>
      </c>
      <c r="E214" s="57">
        <v>450</v>
      </c>
      <c r="F214" s="13">
        <v>1100</v>
      </c>
      <c r="G214" s="13">
        <f t="shared" si="81"/>
        <v>495000</v>
      </c>
      <c r="H214" s="53">
        <f t="shared" si="83"/>
        <v>12.448909173764642</v>
      </c>
      <c r="I214" s="65"/>
      <c r="J214" s="66"/>
      <c r="K214" s="66"/>
      <c r="L214" s="53">
        <f t="shared" si="84"/>
        <v>0</v>
      </c>
      <c r="M214" s="65">
        <f t="shared" ref="M214:M249" si="91">+E214</f>
        <v>450</v>
      </c>
      <c r="N214" s="66">
        <f t="shared" ref="N214:N249" si="92">+F214</f>
        <v>1100</v>
      </c>
      <c r="O214" s="66">
        <f t="shared" ref="O214:O249" si="93">+G214</f>
        <v>495000</v>
      </c>
      <c r="P214" s="53">
        <f t="shared" si="85"/>
        <v>12.448909173764642</v>
      </c>
      <c r="Q214" s="53">
        <v>12.529745489228343</v>
      </c>
      <c r="R214" s="56">
        <v>0</v>
      </c>
      <c r="S214" s="56">
        <v>12.529745489228343</v>
      </c>
      <c r="T214" s="53">
        <v>12.529745489228343</v>
      </c>
      <c r="U214" s="56">
        <v>0</v>
      </c>
      <c r="V214" s="56">
        <v>12.529745489228343</v>
      </c>
      <c r="W214" s="56">
        <v>12.529745489228343</v>
      </c>
      <c r="X214" s="136">
        <f t="shared" si="87"/>
        <v>87.546545793671015</v>
      </c>
      <c r="Y214" s="47">
        <v>2</v>
      </c>
      <c r="Z214" s="57" t="s">
        <v>264</v>
      </c>
      <c r="AA214" s="119"/>
    </row>
    <row r="215" spans="2:27" ht="51" x14ac:dyDescent="0.25">
      <c r="B215" s="531"/>
      <c r="C215" s="2" t="s">
        <v>71</v>
      </c>
      <c r="D215" s="8" t="s">
        <v>79</v>
      </c>
      <c r="E215" s="57">
        <v>1</v>
      </c>
      <c r="F215" s="13">
        <v>200000</v>
      </c>
      <c r="G215" s="13">
        <f t="shared" si="81"/>
        <v>200000</v>
      </c>
      <c r="H215" s="53">
        <f t="shared" si="83"/>
        <v>5.0298622924301579</v>
      </c>
      <c r="I215" s="65">
        <f t="shared" ref="I215:K218" si="94">+E215</f>
        <v>1</v>
      </c>
      <c r="J215" s="66">
        <f t="shared" si="94"/>
        <v>200000</v>
      </c>
      <c r="K215" s="66">
        <f t="shared" si="94"/>
        <v>200000</v>
      </c>
      <c r="L215" s="53">
        <f t="shared" si="84"/>
        <v>5.0298622924301579</v>
      </c>
      <c r="M215" s="65">
        <f t="shared" si="91"/>
        <v>1</v>
      </c>
      <c r="N215" s="66">
        <f t="shared" si="92"/>
        <v>200000</v>
      </c>
      <c r="O215" s="66">
        <f t="shared" si="93"/>
        <v>200000</v>
      </c>
      <c r="P215" s="53">
        <f t="shared" si="85"/>
        <v>5.0298622924301579</v>
      </c>
      <c r="Q215" s="53">
        <v>5.0625234299912494</v>
      </c>
      <c r="R215" s="56">
        <v>5.0625234299912494</v>
      </c>
      <c r="S215" s="56">
        <v>5.0625234299912494</v>
      </c>
      <c r="T215" s="53">
        <v>5.0625234299912494</v>
      </c>
      <c r="U215" s="56">
        <v>5.0625234299912494</v>
      </c>
      <c r="V215" s="56">
        <v>5.0625234299912494</v>
      </c>
      <c r="W215" s="56">
        <v>5.0625234299912494</v>
      </c>
      <c r="X215" s="136">
        <f t="shared" si="87"/>
        <v>50.527250887229229</v>
      </c>
      <c r="Y215" s="47">
        <v>1</v>
      </c>
      <c r="Z215" s="57" t="s">
        <v>264</v>
      </c>
      <c r="AA215" s="119"/>
    </row>
    <row r="216" spans="2:27" x14ac:dyDescent="0.25">
      <c r="B216" s="531"/>
      <c r="C216" s="2" t="s">
        <v>50</v>
      </c>
      <c r="D216" s="14" t="s">
        <v>88</v>
      </c>
      <c r="E216" s="57">
        <v>400</v>
      </c>
      <c r="F216" s="13">
        <v>800</v>
      </c>
      <c r="G216" s="13">
        <f t="shared" si="81"/>
        <v>320000</v>
      </c>
      <c r="H216" s="53">
        <f t="shared" si="83"/>
        <v>8.0477796678882534</v>
      </c>
      <c r="I216" s="65">
        <f t="shared" si="94"/>
        <v>400</v>
      </c>
      <c r="J216" s="66">
        <f t="shared" si="94"/>
        <v>800</v>
      </c>
      <c r="K216" s="66">
        <f t="shared" si="94"/>
        <v>320000</v>
      </c>
      <c r="L216" s="53">
        <f t="shared" si="84"/>
        <v>8.0477796678882534</v>
      </c>
      <c r="M216" s="65">
        <f t="shared" si="91"/>
        <v>400</v>
      </c>
      <c r="N216" s="66">
        <f t="shared" si="92"/>
        <v>800</v>
      </c>
      <c r="O216" s="66">
        <f t="shared" si="93"/>
        <v>320000</v>
      </c>
      <c r="P216" s="53">
        <f t="shared" si="85"/>
        <v>8.0477796678882534</v>
      </c>
      <c r="Q216" s="53">
        <v>8.1000374879859987</v>
      </c>
      <c r="R216" s="56">
        <v>8.1000374879859987</v>
      </c>
      <c r="S216" s="56">
        <v>8.1000374879859987</v>
      </c>
      <c r="T216" s="53">
        <v>8.1000374879859987</v>
      </c>
      <c r="U216" s="56">
        <v>8.1000374879859987</v>
      </c>
      <c r="V216" s="56">
        <v>8.1000374879859987</v>
      </c>
      <c r="W216" s="56">
        <v>8.1000374879859987</v>
      </c>
      <c r="X216" s="136">
        <f t="shared" si="87"/>
        <v>80.843601419566752</v>
      </c>
      <c r="Y216" s="47">
        <v>1</v>
      </c>
      <c r="Z216" s="57" t="s">
        <v>264</v>
      </c>
      <c r="AA216" s="119"/>
    </row>
    <row r="217" spans="2:27" ht="25.5" x14ac:dyDescent="0.25">
      <c r="B217" s="531"/>
      <c r="C217" s="2" t="s">
        <v>102</v>
      </c>
      <c r="D217" s="3" t="s">
        <v>81</v>
      </c>
      <c r="E217" s="57">
        <v>30</v>
      </c>
      <c r="F217" s="13">
        <v>1100</v>
      </c>
      <c r="G217" s="13">
        <f t="shared" si="81"/>
        <v>33000</v>
      </c>
      <c r="H217" s="53">
        <f t="shared" si="83"/>
        <v>0.82992727825097612</v>
      </c>
      <c r="I217" s="65">
        <f t="shared" si="94"/>
        <v>30</v>
      </c>
      <c r="J217" s="66">
        <f t="shared" si="94"/>
        <v>1100</v>
      </c>
      <c r="K217" s="66">
        <f t="shared" si="94"/>
        <v>33000</v>
      </c>
      <c r="L217" s="53">
        <f t="shared" si="84"/>
        <v>0.82992727825097612</v>
      </c>
      <c r="M217" s="65">
        <f t="shared" si="91"/>
        <v>30</v>
      </c>
      <c r="N217" s="66">
        <f t="shared" si="92"/>
        <v>1100</v>
      </c>
      <c r="O217" s="66">
        <f t="shared" si="93"/>
        <v>33000</v>
      </c>
      <c r="P217" s="53">
        <f t="shared" si="85"/>
        <v>0.82992727825097612</v>
      </c>
      <c r="Q217" s="53">
        <v>0.83531636594855618</v>
      </c>
      <c r="R217" s="56">
        <v>0.83531636594855618</v>
      </c>
      <c r="S217" s="56">
        <v>0.83531636594855618</v>
      </c>
      <c r="T217" s="53">
        <v>0.83531636594855618</v>
      </c>
      <c r="U217" s="56">
        <v>0.83531636594855618</v>
      </c>
      <c r="V217" s="56">
        <v>0.83531636594855618</v>
      </c>
      <c r="W217" s="56">
        <v>0.83531636594855618</v>
      </c>
      <c r="X217" s="136">
        <f t="shared" si="87"/>
        <v>8.3369963963928235</v>
      </c>
      <c r="Y217" s="47">
        <v>1</v>
      </c>
      <c r="Z217" s="57" t="s">
        <v>264</v>
      </c>
      <c r="AA217" s="119"/>
    </row>
    <row r="218" spans="2:27" ht="76.5" x14ac:dyDescent="0.25">
      <c r="B218" s="531"/>
      <c r="C218" s="2" t="s">
        <v>68</v>
      </c>
      <c r="D218" s="3" t="s">
        <v>69</v>
      </c>
      <c r="E218" s="57">
        <v>1</v>
      </c>
      <c r="F218" s="13">
        <v>450000</v>
      </c>
      <c r="G218" s="13">
        <f t="shared" si="81"/>
        <v>450000</v>
      </c>
      <c r="H218" s="53">
        <f t="shared" si="83"/>
        <v>11.317190157967856</v>
      </c>
      <c r="I218" s="65">
        <f t="shared" si="94"/>
        <v>1</v>
      </c>
      <c r="J218" s="66">
        <f t="shared" si="94"/>
        <v>450000</v>
      </c>
      <c r="K218" s="66">
        <f t="shared" si="94"/>
        <v>450000</v>
      </c>
      <c r="L218" s="53">
        <f t="shared" si="84"/>
        <v>11.317190157967856</v>
      </c>
      <c r="M218" s="65">
        <f t="shared" si="91"/>
        <v>1</v>
      </c>
      <c r="N218" s="66">
        <f t="shared" si="92"/>
        <v>450000</v>
      </c>
      <c r="O218" s="66">
        <f t="shared" si="93"/>
        <v>450000</v>
      </c>
      <c r="P218" s="53">
        <f t="shared" si="85"/>
        <v>11.317190157967856</v>
      </c>
      <c r="Q218" s="53">
        <v>11.390677717480312</v>
      </c>
      <c r="R218" s="56">
        <v>11.390677717480312</v>
      </c>
      <c r="S218" s="56">
        <v>11.390677717480312</v>
      </c>
      <c r="T218" s="53">
        <v>11.390677717480312</v>
      </c>
      <c r="U218" s="56">
        <v>11.390677717480312</v>
      </c>
      <c r="V218" s="56">
        <v>11.390677717480312</v>
      </c>
      <c r="W218" s="56">
        <v>11.390677717480312</v>
      </c>
      <c r="X218" s="136">
        <f t="shared" si="87"/>
        <v>113.68631449626577</v>
      </c>
      <c r="Y218" s="47">
        <v>1</v>
      </c>
      <c r="Z218" s="57" t="s">
        <v>264</v>
      </c>
      <c r="AA218" s="119"/>
    </row>
    <row r="219" spans="2:27" ht="26.25" thickBot="1" x14ac:dyDescent="0.3">
      <c r="B219" s="534"/>
      <c r="C219" s="21" t="s">
        <v>57</v>
      </c>
      <c r="D219" s="23" t="s">
        <v>103</v>
      </c>
      <c r="E219" s="90">
        <v>1</v>
      </c>
      <c r="F219" s="16">
        <v>350000</v>
      </c>
      <c r="G219" s="16">
        <f t="shared" si="81"/>
        <v>350000</v>
      </c>
      <c r="H219" s="77">
        <f t="shared" si="83"/>
        <v>8.8022590117527777</v>
      </c>
      <c r="I219" s="78"/>
      <c r="J219" s="68"/>
      <c r="K219" s="68"/>
      <c r="L219" s="77">
        <f t="shared" si="84"/>
        <v>0</v>
      </c>
      <c r="M219" s="78">
        <f t="shared" si="91"/>
        <v>1</v>
      </c>
      <c r="N219" s="68">
        <f t="shared" si="92"/>
        <v>350000</v>
      </c>
      <c r="O219" s="68">
        <f t="shared" si="93"/>
        <v>350000</v>
      </c>
      <c r="P219" s="77">
        <f t="shared" si="85"/>
        <v>8.8022590117527777</v>
      </c>
      <c r="Q219" s="77">
        <v>8.8594160024846875</v>
      </c>
      <c r="R219" s="84">
        <v>0</v>
      </c>
      <c r="S219" s="84">
        <v>8.8594160024846875</v>
      </c>
      <c r="T219" s="77">
        <v>8.8594160024846875</v>
      </c>
      <c r="U219" s="84">
        <v>0</v>
      </c>
      <c r="V219" s="84">
        <v>8.8594160024846875</v>
      </c>
      <c r="W219" s="84">
        <v>8.8594160024846875</v>
      </c>
      <c r="X219" s="139">
        <f t="shared" si="87"/>
        <v>61.901598035928984</v>
      </c>
      <c r="Y219" s="50">
        <v>2</v>
      </c>
      <c r="Z219" s="90" t="s">
        <v>264</v>
      </c>
      <c r="AA219" s="117"/>
    </row>
    <row r="220" spans="2:27" ht="82.5" customHeight="1" x14ac:dyDescent="0.25">
      <c r="B220" s="533" t="s">
        <v>120</v>
      </c>
      <c r="C220" s="20" t="s">
        <v>230</v>
      </c>
      <c r="D220" s="32" t="s">
        <v>168</v>
      </c>
      <c r="E220" s="95">
        <v>2</v>
      </c>
      <c r="F220" s="25">
        <v>16000000</v>
      </c>
      <c r="G220" s="25">
        <f t="shared" si="81"/>
        <v>32000000</v>
      </c>
      <c r="H220" s="75">
        <f t="shared" si="83"/>
        <v>804.77796678882532</v>
      </c>
      <c r="I220" s="76">
        <f t="shared" ref="I220:I228" si="95">+E220</f>
        <v>2</v>
      </c>
      <c r="J220" s="67">
        <f t="shared" ref="J220:J228" si="96">+F220</f>
        <v>16000000</v>
      </c>
      <c r="K220" s="67">
        <f t="shared" ref="K220:K228" si="97">+G220</f>
        <v>32000000</v>
      </c>
      <c r="L220" s="75">
        <f t="shared" si="84"/>
        <v>804.77796678882532</v>
      </c>
      <c r="M220" s="76">
        <f t="shared" si="91"/>
        <v>2</v>
      </c>
      <c r="N220" s="67">
        <f t="shared" si="92"/>
        <v>16000000</v>
      </c>
      <c r="O220" s="67">
        <f t="shared" si="93"/>
        <v>32000000</v>
      </c>
      <c r="P220" s="75">
        <f t="shared" si="85"/>
        <v>804.77796678882532</v>
      </c>
      <c r="Q220" s="75">
        <v>810.00374879859999</v>
      </c>
      <c r="R220" s="96">
        <v>810.00374879859999</v>
      </c>
      <c r="S220" s="96">
        <v>810.00374879859999</v>
      </c>
      <c r="T220" s="75">
        <v>810.00374879859999</v>
      </c>
      <c r="U220" s="96">
        <v>810.00374879859999</v>
      </c>
      <c r="V220" s="96">
        <v>810.00374879859999</v>
      </c>
      <c r="W220" s="96">
        <v>810.00374879859999</v>
      </c>
      <c r="X220" s="138">
        <f t="shared" si="87"/>
        <v>8084.3601419566767</v>
      </c>
      <c r="Y220" s="49">
        <v>1</v>
      </c>
      <c r="Z220" s="95" t="s">
        <v>262</v>
      </c>
      <c r="AA220" s="121" t="s">
        <v>279</v>
      </c>
    </row>
    <row r="221" spans="2:27" ht="66.75" customHeight="1" x14ac:dyDescent="0.25">
      <c r="B221" s="531"/>
      <c r="C221" s="2" t="s">
        <v>229</v>
      </c>
      <c r="D221" s="3" t="s">
        <v>169</v>
      </c>
      <c r="E221" s="57">
        <v>1</v>
      </c>
      <c r="F221" s="13">
        <v>1500000</v>
      </c>
      <c r="G221" s="13">
        <f t="shared" si="81"/>
        <v>1500000</v>
      </c>
      <c r="H221" s="53">
        <f t="shared" si="83"/>
        <v>37.723967193226187</v>
      </c>
      <c r="I221" s="65">
        <f t="shared" si="95"/>
        <v>1</v>
      </c>
      <c r="J221" s="66">
        <f t="shared" si="96"/>
        <v>1500000</v>
      </c>
      <c r="K221" s="66">
        <f t="shared" si="97"/>
        <v>1500000</v>
      </c>
      <c r="L221" s="53">
        <f t="shared" si="84"/>
        <v>37.723967193226187</v>
      </c>
      <c r="M221" s="65">
        <f t="shared" si="91"/>
        <v>1</v>
      </c>
      <c r="N221" s="66">
        <f t="shared" si="92"/>
        <v>1500000</v>
      </c>
      <c r="O221" s="66">
        <f t="shared" si="93"/>
        <v>1500000</v>
      </c>
      <c r="P221" s="53">
        <f t="shared" si="85"/>
        <v>37.723967193226187</v>
      </c>
      <c r="Q221" s="53">
        <v>37.968925724934373</v>
      </c>
      <c r="R221" s="56">
        <v>37.968925724934373</v>
      </c>
      <c r="S221" s="56">
        <v>37.968925724934373</v>
      </c>
      <c r="T221" s="53">
        <v>37.968925724934373</v>
      </c>
      <c r="U221" s="56">
        <v>37.968925724934373</v>
      </c>
      <c r="V221" s="56">
        <v>37.968925724934373</v>
      </c>
      <c r="W221" s="56">
        <v>37.968925724934373</v>
      </c>
      <c r="X221" s="136">
        <f t="shared" si="87"/>
        <v>378.95438165421916</v>
      </c>
      <c r="Y221" s="47">
        <v>1</v>
      </c>
      <c r="Z221" s="57" t="s">
        <v>264</v>
      </c>
      <c r="AA221" s="119"/>
    </row>
    <row r="222" spans="2:27" ht="51" x14ac:dyDescent="0.25">
      <c r="B222" s="531"/>
      <c r="C222" s="2" t="s">
        <v>122</v>
      </c>
      <c r="D222" s="3" t="s">
        <v>145</v>
      </c>
      <c r="E222" s="55">
        <v>1</v>
      </c>
      <c r="F222" s="13">
        <v>7000000</v>
      </c>
      <c r="G222" s="13">
        <f t="shared" si="81"/>
        <v>7000000</v>
      </c>
      <c r="H222" s="53">
        <f t="shared" si="83"/>
        <v>176.04518023505554</v>
      </c>
      <c r="I222" s="65">
        <f t="shared" si="95"/>
        <v>1</v>
      </c>
      <c r="J222" s="66">
        <f t="shared" si="96"/>
        <v>7000000</v>
      </c>
      <c r="K222" s="66">
        <f t="shared" si="97"/>
        <v>7000000</v>
      </c>
      <c r="L222" s="53">
        <f t="shared" si="84"/>
        <v>176.04518023505554</v>
      </c>
      <c r="M222" s="65">
        <f t="shared" si="91"/>
        <v>1</v>
      </c>
      <c r="N222" s="66">
        <f t="shared" si="92"/>
        <v>7000000</v>
      </c>
      <c r="O222" s="66">
        <f t="shared" si="93"/>
        <v>7000000</v>
      </c>
      <c r="P222" s="53">
        <f t="shared" si="85"/>
        <v>176.04518023505554</v>
      </c>
      <c r="Q222" s="53">
        <v>177.18832004969374</v>
      </c>
      <c r="R222" s="56">
        <v>177.18832004969374</v>
      </c>
      <c r="S222" s="56">
        <v>177.18832004969374</v>
      </c>
      <c r="T222" s="53">
        <v>177.18832004969374</v>
      </c>
      <c r="U222" s="56">
        <v>177.18832004969374</v>
      </c>
      <c r="V222" s="56">
        <v>177.18832004969374</v>
      </c>
      <c r="W222" s="56">
        <v>177.18832004969374</v>
      </c>
      <c r="X222" s="136">
        <f t="shared" si="87"/>
        <v>1768.4537810530223</v>
      </c>
      <c r="Y222" s="47">
        <v>1</v>
      </c>
      <c r="Z222" s="57" t="s">
        <v>264</v>
      </c>
      <c r="AA222" s="119"/>
    </row>
    <row r="223" spans="2:27" ht="38.25" x14ac:dyDescent="0.25">
      <c r="B223" s="531"/>
      <c r="C223" s="2" t="s">
        <v>58</v>
      </c>
      <c r="D223" s="8" t="s">
        <v>144</v>
      </c>
      <c r="E223" s="61">
        <v>1</v>
      </c>
      <c r="F223" s="13">
        <v>650000</v>
      </c>
      <c r="G223" s="13">
        <f t="shared" si="81"/>
        <v>650000</v>
      </c>
      <c r="H223" s="53">
        <f t="shared" si="83"/>
        <v>16.347052450398014</v>
      </c>
      <c r="I223" s="65">
        <f t="shared" si="95"/>
        <v>1</v>
      </c>
      <c r="J223" s="66">
        <f t="shared" si="96"/>
        <v>650000</v>
      </c>
      <c r="K223" s="66">
        <f t="shared" si="97"/>
        <v>650000</v>
      </c>
      <c r="L223" s="53">
        <f t="shared" si="84"/>
        <v>16.347052450398014</v>
      </c>
      <c r="M223" s="65">
        <f t="shared" si="91"/>
        <v>1</v>
      </c>
      <c r="N223" s="66">
        <f t="shared" si="92"/>
        <v>650000</v>
      </c>
      <c r="O223" s="66">
        <f t="shared" si="93"/>
        <v>650000</v>
      </c>
      <c r="P223" s="53">
        <f t="shared" si="85"/>
        <v>16.347052450398014</v>
      </c>
      <c r="Q223" s="53">
        <v>16.45320114747156</v>
      </c>
      <c r="R223" s="56">
        <v>16.45320114747156</v>
      </c>
      <c r="S223" s="56">
        <v>16.45320114747156</v>
      </c>
      <c r="T223" s="53">
        <v>16.45320114747156</v>
      </c>
      <c r="U223" s="56">
        <v>16.45320114747156</v>
      </c>
      <c r="V223" s="56">
        <v>16.45320114747156</v>
      </c>
      <c r="W223" s="56">
        <v>16.45320114747156</v>
      </c>
      <c r="X223" s="136">
        <f t="shared" si="87"/>
        <v>164.21356538349497</v>
      </c>
      <c r="Y223" s="47">
        <v>1</v>
      </c>
      <c r="Z223" s="57" t="s">
        <v>264</v>
      </c>
      <c r="AA223" s="119"/>
    </row>
    <row r="224" spans="2:27" ht="63.75" x14ac:dyDescent="0.25">
      <c r="B224" s="531"/>
      <c r="C224" s="2" t="s">
        <v>123</v>
      </c>
      <c r="D224" s="3" t="s">
        <v>146</v>
      </c>
      <c r="E224" s="57">
        <v>1</v>
      </c>
      <c r="F224" s="13">
        <v>550000</v>
      </c>
      <c r="G224" s="13">
        <f t="shared" ref="G224:G249" si="98">+F224*E224</f>
        <v>550000</v>
      </c>
      <c r="H224" s="53">
        <f t="shared" si="83"/>
        <v>13.832121304182936</v>
      </c>
      <c r="I224" s="65">
        <f t="shared" si="95"/>
        <v>1</v>
      </c>
      <c r="J224" s="66">
        <f t="shared" si="96"/>
        <v>550000</v>
      </c>
      <c r="K224" s="66">
        <f t="shared" si="97"/>
        <v>550000</v>
      </c>
      <c r="L224" s="53">
        <f t="shared" si="84"/>
        <v>13.832121304182936</v>
      </c>
      <c r="M224" s="65">
        <f t="shared" si="91"/>
        <v>1</v>
      </c>
      <c r="N224" s="66">
        <f t="shared" si="92"/>
        <v>550000</v>
      </c>
      <c r="O224" s="66">
        <f t="shared" si="93"/>
        <v>550000</v>
      </c>
      <c r="P224" s="53">
        <f t="shared" si="85"/>
        <v>13.832121304182936</v>
      </c>
      <c r="Q224" s="53">
        <v>13.921939432475936</v>
      </c>
      <c r="R224" s="56">
        <v>13.921939432475936</v>
      </c>
      <c r="S224" s="56">
        <v>13.921939432475936</v>
      </c>
      <c r="T224" s="53">
        <v>13.921939432475936</v>
      </c>
      <c r="U224" s="56">
        <v>13.921939432475936</v>
      </c>
      <c r="V224" s="56">
        <v>13.921939432475936</v>
      </c>
      <c r="W224" s="56">
        <v>13.921939432475936</v>
      </c>
      <c r="X224" s="136">
        <f t="shared" si="87"/>
        <v>138.94993993988035</v>
      </c>
      <c r="Y224" s="47">
        <v>1</v>
      </c>
      <c r="Z224" s="57" t="s">
        <v>264</v>
      </c>
      <c r="AA224" s="119"/>
    </row>
    <row r="225" spans="2:27" ht="51.75" thickBot="1" x14ac:dyDescent="0.3">
      <c r="B225" s="534"/>
      <c r="C225" s="21" t="s">
        <v>124</v>
      </c>
      <c r="D225" s="23" t="s">
        <v>147</v>
      </c>
      <c r="E225" s="90">
        <v>1</v>
      </c>
      <c r="F225" s="16">
        <v>300000</v>
      </c>
      <c r="G225" s="16">
        <f t="shared" si="98"/>
        <v>300000</v>
      </c>
      <c r="H225" s="77">
        <f t="shared" si="83"/>
        <v>7.5447934386452378</v>
      </c>
      <c r="I225" s="78">
        <f t="shared" si="95"/>
        <v>1</v>
      </c>
      <c r="J225" s="68">
        <f t="shared" si="96"/>
        <v>300000</v>
      </c>
      <c r="K225" s="68">
        <f t="shared" si="97"/>
        <v>300000</v>
      </c>
      <c r="L225" s="77">
        <f t="shared" si="84"/>
        <v>7.5447934386452378</v>
      </c>
      <c r="M225" s="78">
        <f t="shared" si="91"/>
        <v>1</v>
      </c>
      <c r="N225" s="68">
        <f t="shared" si="92"/>
        <v>300000</v>
      </c>
      <c r="O225" s="68">
        <f t="shared" si="93"/>
        <v>300000</v>
      </c>
      <c r="P225" s="77">
        <f t="shared" si="85"/>
        <v>7.5447934386452378</v>
      </c>
      <c r="Q225" s="77">
        <v>7.5937851449868745</v>
      </c>
      <c r="R225" s="84">
        <v>7.5937851449868745</v>
      </c>
      <c r="S225" s="84">
        <v>7.5937851449868745</v>
      </c>
      <c r="T225" s="77">
        <v>7.5937851449868745</v>
      </c>
      <c r="U225" s="84">
        <v>7.5937851449868745</v>
      </c>
      <c r="V225" s="84">
        <v>7.5937851449868745</v>
      </c>
      <c r="W225" s="84">
        <v>7.5937851449868745</v>
      </c>
      <c r="X225" s="139">
        <f t="shared" si="87"/>
        <v>75.790876330843844</v>
      </c>
      <c r="Y225" s="50">
        <v>1</v>
      </c>
      <c r="Z225" s="90" t="s">
        <v>264</v>
      </c>
      <c r="AA225" s="117"/>
    </row>
    <row r="226" spans="2:27" ht="75.75" customHeight="1" x14ac:dyDescent="0.25">
      <c r="B226" s="530" t="s">
        <v>25</v>
      </c>
      <c r="C226" s="111" t="s">
        <v>225</v>
      </c>
      <c r="D226" s="31" t="s">
        <v>135</v>
      </c>
      <c r="E226" s="103">
        <v>1</v>
      </c>
      <c r="F226" s="101">
        <v>7500000</v>
      </c>
      <c r="G226" s="24">
        <f t="shared" si="98"/>
        <v>7500000</v>
      </c>
      <c r="H226" s="81">
        <f t="shared" si="83"/>
        <v>188.61983596613092</v>
      </c>
      <c r="I226" s="82">
        <f t="shared" si="95"/>
        <v>1</v>
      </c>
      <c r="J226" s="74">
        <f t="shared" si="96"/>
        <v>7500000</v>
      </c>
      <c r="K226" s="74">
        <f t="shared" si="97"/>
        <v>7500000</v>
      </c>
      <c r="L226" s="81">
        <f t="shared" si="84"/>
        <v>188.61983596613092</v>
      </c>
      <c r="M226" s="82">
        <f t="shared" si="91"/>
        <v>1</v>
      </c>
      <c r="N226" s="74">
        <f t="shared" si="92"/>
        <v>7500000</v>
      </c>
      <c r="O226" s="74">
        <f t="shared" si="93"/>
        <v>7500000</v>
      </c>
      <c r="P226" s="81">
        <f t="shared" si="85"/>
        <v>188.61983596613092</v>
      </c>
      <c r="Q226" s="81">
        <v>189.84462862467186</v>
      </c>
      <c r="R226" s="102">
        <v>189.84462862467186</v>
      </c>
      <c r="S226" s="102">
        <v>189.84462862467186</v>
      </c>
      <c r="T226" s="81">
        <v>189.84462862467186</v>
      </c>
      <c r="U226" s="102">
        <v>189.84462862467186</v>
      </c>
      <c r="V226" s="102">
        <v>189.84462862467186</v>
      </c>
      <c r="W226" s="102">
        <v>189.84462862467186</v>
      </c>
      <c r="X226" s="135">
        <f t="shared" si="87"/>
        <v>1894.771908271096</v>
      </c>
      <c r="Y226" s="46">
        <v>1</v>
      </c>
      <c r="Z226" s="103" t="s">
        <v>263</v>
      </c>
      <c r="AA226" s="118" t="s">
        <v>280</v>
      </c>
    </row>
    <row r="227" spans="2:27" ht="84.75" customHeight="1" x14ac:dyDescent="0.25">
      <c r="B227" s="531"/>
      <c r="C227" s="7" t="s">
        <v>131</v>
      </c>
      <c r="D227" s="3" t="s">
        <v>132</v>
      </c>
      <c r="E227" s="57">
        <v>1</v>
      </c>
      <c r="F227" s="15">
        <v>2000000</v>
      </c>
      <c r="G227" s="13">
        <f t="shared" si="98"/>
        <v>2000000</v>
      </c>
      <c r="H227" s="53">
        <f t="shared" si="83"/>
        <v>50.298622924301583</v>
      </c>
      <c r="I227" s="65">
        <f t="shared" si="95"/>
        <v>1</v>
      </c>
      <c r="J227" s="66">
        <f t="shared" si="96"/>
        <v>2000000</v>
      </c>
      <c r="K227" s="66">
        <f t="shared" si="97"/>
        <v>2000000</v>
      </c>
      <c r="L227" s="53">
        <f t="shared" si="84"/>
        <v>50.298622924301583</v>
      </c>
      <c r="M227" s="65">
        <f t="shared" si="91"/>
        <v>1</v>
      </c>
      <c r="N227" s="66">
        <f t="shared" si="92"/>
        <v>2000000</v>
      </c>
      <c r="O227" s="66">
        <f t="shared" si="93"/>
        <v>2000000</v>
      </c>
      <c r="P227" s="53">
        <f t="shared" si="85"/>
        <v>50.298622924301583</v>
      </c>
      <c r="Q227" s="53">
        <v>50.625234299912499</v>
      </c>
      <c r="R227" s="56">
        <v>50.625234299912499</v>
      </c>
      <c r="S227" s="56">
        <v>50.625234299912499</v>
      </c>
      <c r="T227" s="53">
        <v>50.625234299912499</v>
      </c>
      <c r="U227" s="56">
        <v>50.625234299912499</v>
      </c>
      <c r="V227" s="56">
        <v>50.625234299912499</v>
      </c>
      <c r="W227" s="56">
        <v>50.625234299912499</v>
      </c>
      <c r="X227" s="136">
        <f t="shared" si="87"/>
        <v>505.27250887229229</v>
      </c>
      <c r="Y227" s="47">
        <v>1</v>
      </c>
      <c r="Z227" s="57" t="s">
        <v>263</v>
      </c>
      <c r="AA227" s="122" t="s">
        <v>280</v>
      </c>
    </row>
    <row r="228" spans="2:27" ht="63.75" x14ac:dyDescent="0.25">
      <c r="B228" s="531"/>
      <c r="C228" s="7" t="s">
        <v>226</v>
      </c>
      <c r="D228" s="3" t="s">
        <v>137</v>
      </c>
      <c r="E228" s="57">
        <v>1</v>
      </c>
      <c r="F228" s="15">
        <v>500000</v>
      </c>
      <c r="G228" s="13">
        <f t="shared" si="98"/>
        <v>500000</v>
      </c>
      <c r="H228" s="53">
        <f t="shared" si="83"/>
        <v>12.574655731075396</v>
      </c>
      <c r="I228" s="65">
        <f t="shared" si="95"/>
        <v>1</v>
      </c>
      <c r="J228" s="66">
        <f t="shared" si="96"/>
        <v>500000</v>
      </c>
      <c r="K228" s="66">
        <f t="shared" si="97"/>
        <v>500000</v>
      </c>
      <c r="L228" s="53">
        <f t="shared" si="84"/>
        <v>12.574655731075396</v>
      </c>
      <c r="M228" s="65">
        <f t="shared" si="91"/>
        <v>1</v>
      </c>
      <c r="N228" s="66">
        <f t="shared" si="92"/>
        <v>500000</v>
      </c>
      <c r="O228" s="66">
        <f t="shared" si="93"/>
        <v>500000</v>
      </c>
      <c r="P228" s="53">
        <f t="shared" si="85"/>
        <v>12.574655731075396</v>
      </c>
      <c r="Q228" s="53">
        <v>12.656308574978125</v>
      </c>
      <c r="R228" s="56">
        <v>12.656308574978125</v>
      </c>
      <c r="S228" s="56">
        <v>12.656308574978125</v>
      </c>
      <c r="T228" s="53">
        <v>12.656308574978125</v>
      </c>
      <c r="U228" s="56">
        <v>12.656308574978125</v>
      </c>
      <c r="V228" s="56">
        <v>12.656308574978125</v>
      </c>
      <c r="W228" s="56">
        <v>12.656308574978125</v>
      </c>
      <c r="X228" s="136">
        <f t="shared" si="87"/>
        <v>126.31812721807307</v>
      </c>
      <c r="Y228" s="47">
        <v>1</v>
      </c>
      <c r="Z228" s="57" t="s">
        <v>264</v>
      </c>
      <c r="AA228" s="119"/>
    </row>
    <row r="229" spans="2:27" ht="38.25" x14ac:dyDescent="0.25">
      <c r="B229" s="531"/>
      <c r="C229" s="7" t="s">
        <v>227</v>
      </c>
      <c r="D229" s="3" t="s">
        <v>153</v>
      </c>
      <c r="E229" s="57">
        <v>1</v>
      </c>
      <c r="F229" s="15">
        <v>300000</v>
      </c>
      <c r="G229" s="15">
        <f t="shared" si="98"/>
        <v>300000</v>
      </c>
      <c r="H229" s="53">
        <f t="shared" si="83"/>
        <v>7.5447934386452378</v>
      </c>
      <c r="I229" s="65"/>
      <c r="J229" s="66"/>
      <c r="K229" s="66"/>
      <c r="L229" s="53">
        <f t="shared" si="84"/>
        <v>0</v>
      </c>
      <c r="M229" s="65">
        <f t="shared" si="91"/>
        <v>1</v>
      </c>
      <c r="N229" s="66">
        <f t="shared" si="92"/>
        <v>300000</v>
      </c>
      <c r="O229" s="66">
        <f t="shared" si="93"/>
        <v>300000</v>
      </c>
      <c r="P229" s="53">
        <f t="shared" si="85"/>
        <v>7.5447934386452378</v>
      </c>
      <c r="Q229" s="53">
        <v>7.5937851449868745</v>
      </c>
      <c r="R229" s="62">
        <v>0</v>
      </c>
      <c r="S229" s="62">
        <v>7.5937851449868745</v>
      </c>
      <c r="T229" s="53">
        <v>7.5937851449868745</v>
      </c>
      <c r="U229" s="62">
        <v>0</v>
      </c>
      <c r="V229" s="62">
        <v>7.5937851449868745</v>
      </c>
      <c r="W229" s="62">
        <v>7.5937851449868745</v>
      </c>
      <c r="X229" s="136">
        <f t="shared" si="87"/>
        <v>53.058512602224852</v>
      </c>
      <c r="Y229" s="47">
        <v>2</v>
      </c>
      <c r="Z229" s="57" t="s">
        <v>264</v>
      </c>
      <c r="AA229" s="119"/>
    </row>
    <row r="230" spans="2:27" ht="63.75" x14ac:dyDescent="0.25">
      <c r="B230" s="531"/>
      <c r="C230" s="7" t="s">
        <v>228</v>
      </c>
      <c r="D230" s="3" t="s">
        <v>133</v>
      </c>
      <c r="E230" s="57">
        <v>1</v>
      </c>
      <c r="F230" s="15">
        <v>700000</v>
      </c>
      <c r="G230" s="15">
        <f t="shared" si="98"/>
        <v>700000</v>
      </c>
      <c r="H230" s="53">
        <f t="shared" si="83"/>
        <v>17.604518023505555</v>
      </c>
      <c r="I230" s="65">
        <f t="shared" ref="I230:I242" si="99">+E230</f>
        <v>1</v>
      </c>
      <c r="J230" s="66">
        <f t="shared" ref="J230:J242" si="100">+F230</f>
        <v>700000</v>
      </c>
      <c r="K230" s="66">
        <f t="shared" ref="K230:K242" si="101">+G230</f>
        <v>700000</v>
      </c>
      <c r="L230" s="53">
        <f t="shared" si="84"/>
        <v>17.604518023505555</v>
      </c>
      <c r="M230" s="65">
        <f t="shared" si="91"/>
        <v>1</v>
      </c>
      <c r="N230" s="66">
        <f t="shared" si="92"/>
        <v>700000</v>
      </c>
      <c r="O230" s="66">
        <f t="shared" si="93"/>
        <v>700000</v>
      </c>
      <c r="P230" s="53">
        <f t="shared" si="85"/>
        <v>17.604518023505555</v>
      </c>
      <c r="Q230" s="53">
        <v>17.718832004969375</v>
      </c>
      <c r="R230" s="62">
        <v>17.718832004969375</v>
      </c>
      <c r="S230" s="62">
        <v>17.718832004969375</v>
      </c>
      <c r="T230" s="53">
        <v>17.718832004969375</v>
      </c>
      <c r="U230" s="62">
        <v>17.718832004969375</v>
      </c>
      <c r="V230" s="62">
        <v>17.718832004969375</v>
      </c>
      <c r="W230" s="62">
        <v>17.718832004969375</v>
      </c>
      <c r="X230" s="136">
        <f t="shared" si="87"/>
        <v>176.8453781053023</v>
      </c>
      <c r="Y230" s="47">
        <v>1</v>
      </c>
      <c r="Z230" s="57" t="s">
        <v>264</v>
      </c>
      <c r="AA230" s="119"/>
    </row>
    <row r="231" spans="2:27" ht="72" customHeight="1" thickBot="1" x14ac:dyDescent="0.3">
      <c r="B231" s="532"/>
      <c r="C231" s="110" t="s">
        <v>154</v>
      </c>
      <c r="D231" s="34" t="s">
        <v>134</v>
      </c>
      <c r="E231" s="92">
        <v>1</v>
      </c>
      <c r="F231" s="63">
        <v>2000000</v>
      </c>
      <c r="G231" s="26">
        <f t="shared" si="98"/>
        <v>2000000</v>
      </c>
      <c r="H231" s="86">
        <f t="shared" si="83"/>
        <v>50.298622924301583</v>
      </c>
      <c r="I231" s="87">
        <f t="shared" si="99"/>
        <v>1</v>
      </c>
      <c r="J231" s="69">
        <f t="shared" si="100"/>
        <v>2000000</v>
      </c>
      <c r="K231" s="69">
        <f t="shared" si="101"/>
        <v>2000000</v>
      </c>
      <c r="L231" s="86">
        <f t="shared" si="84"/>
        <v>50.298622924301583</v>
      </c>
      <c r="M231" s="87">
        <f t="shared" si="91"/>
        <v>1</v>
      </c>
      <c r="N231" s="69">
        <f t="shared" si="92"/>
        <v>2000000</v>
      </c>
      <c r="O231" s="69">
        <f t="shared" si="93"/>
        <v>2000000</v>
      </c>
      <c r="P231" s="86">
        <f t="shared" si="85"/>
        <v>50.298622924301583</v>
      </c>
      <c r="Q231" s="86">
        <v>50.625234299912499</v>
      </c>
      <c r="R231" s="88">
        <v>50.625234299912499</v>
      </c>
      <c r="S231" s="88">
        <v>50.625234299912499</v>
      </c>
      <c r="T231" s="86">
        <v>50.625234299912499</v>
      </c>
      <c r="U231" s="88">
        <v>50.625234299912499</v>
      </c>
      <c r="V231" s="88">
        <v>50.625234299912499</v>
      </c>
      <c r="W231" s="88">
        <v>50.625234299912499</v>
      </c>
      <c r="X231" s="137">
        <f t="shared" si="87"/>
        <v>505.27250887229229</v>
      </c>
      <c r="Y231" s="48">
        <v>1</v>
      </c>
      <c r="Z231" s="92" t="s">
        <v>264</v>
      </c>
      <c r="AA231" s="145"/>
    </row>
    <row r="232" spans="2:27" ht="57.75" customHeight="1" x14ac:dyDescent="0.25">
      <c r="B232" s="533" t="s">
        <v>121</v>
      </c>
      <c r="C232" s="20" t="s">
        <v>128</v>
      </c>
      <c r="D232" s="32" t="s">
        <v>157</v>
      </c>
      <c r="E232" s="95">
        <v>1</v>
      </c>
      <c r="F232" s="25">
        <v>2800000</v>
      </c>
      <c r="G232" s="25">
        <f t="shared" si="98"/>
        <v>2800000</v>
      </c>
      <c r="H232" s="75">
        <f t="shared" si="83"/>
        <v>70.418072094022222</v>
      </c>
      <c r="I232" s="76">
        <f t="shared" si="99"/>
        <v>1</v>
      </c>
      <c r="J232" s="67">
        <f t="shared" si="100"/>
        <v>2800000</v>
      </c>
      <c r="K232" s="67">
        <f t="shared" si="101"/>
        <v>2800000</v>
      </c>
      <c r="L232" s="75">
        <f t="shared" si="84"/>
        <v>70.418072094022222</v>
      </c>
      <c r="M232" s="76">
        <f t="shared" si="91"/>
        <v>1</v>
      </c>
      <c r="N232" s="67">
        <f t="shared" si="92"/>
        <v>2800000</v>
      </c>
      <c r="O232" s="67">
        <f t="shared" si="93"/>
        <v>2800000</v>
      </c>
      <c r="P232" s="75">
        <f t="shared" si="85"/>
        <v>70.418072094022222</v>
      </c>
      <c r="Q232" s="75">
        <v>70.8753280198775</v>
      </c>
      <c r="R232" s="96">
        <v>70.8753280198775</v>
      </c>
      <c r="S232" s="96">
        <v>70.8753280198775</v>
      </c>
      <c r="T232" s="75">
        <v>70.8753280198775</v>
      </c>
      <c r="U232" s="96">
        <v>70.8753280198775</v>
      </c>
      <c r="V232" s="96">
        <v>70.8753280198775</v>
      </c>
      <c r="W232" s="96">
        <v>70.8753280198775</v>
      </c>
      <c r="X232" s="138">
        <f t="shared" si="87"/>
        <v>707.38151242120921</v>
      </c>
      <c r="Y232" s="49">
        <v>1</v>
      </c>
      <c r="Z232" s="95" t="s">
        <v>264</v>
      </c>
      <c r="AA232" s="120"/>
    </row>
    <row r="233" spans="2:27" ht="57.75" customHeight="1" x14ac:dyDescent="0.25">
      <c r="B233" s="531"/>
      <c r="C233" s="2" t="s">
        <v>129</v>
      </c>
      <c r="D233" s="3" t="s">
        <v>156</v>
      </c>
      <c r="E233" s="57">
        <v>1</v>
      </c>
      <c r="F233" s="13">
        <v>2800000</v>
      </c>
      <c r="G233" s="13">
        <f t="shared" si="98"/>
        <v>2800000</v>
      </c>
      <c r="H233" s="53">
        <f t="shared" si="83"/>
        <v>70.418072094022222</v>
      </c>
      <c r="I233" s="65">
        <f t="shared" si="99"/>
        <v>1</v>
      </c>
      <c r="J233" s="66">
        <f t="shared" si="100"/>
        <v>2800000</v>
      </c>
      <c r="K233" s="66">
        <f t="shared" si="101"/>
        <v>2800000</v>
      </c>
      <c r="L233" s="53">
        <f t="shared" si="84"/>
        <v>70.418072094022222</v>
      </c>
      <c r="M233" s="65">
        <f t="shared" si="91"/>
        <v>1</v>
      </c>
      <c r="N233" s="66">
        <f t="shared" si="92"/>
        <v>2800000</v>
      </c>
      <c r="O233" s="66">
        <f t="shared" si="93"/>
        <v>2800000</v>
      </c>
      <c r="P233" s="53">
        <f t="shared" si="85"/>
        <v>70.418072094022222</v>
      </c>
      <c r="Q233" s="53">
        <v>70.8753280198775</v>
      </c>
      <c r="R233" s="56">
        <v>70.8753280198775</v>
      </c>
      <c r="S233" s="56">
        <v>70.8753280198775</v>
      </c>
      <c r="T233" s="53">
        <v>70.8753280198775</v>
      </c>
      <c r="U233" s="56">
        <v>70.8753280198775</v>
      </c>
      <c r="V233" s="56">
        <v>70.8753280198775</v>
      </c>
      <c r="W233" s="56">
        <v>70.8753280198775</v>
      </c>
      <c r="X233" s="136">
        <f t="shared" si="87"/>
        <v>707.38151242120921</v>
      </c>
      <c r="Y233" s="47">
        <v>1</v>
      </c>
      <c r="Z233" s="57" t="s">
        <v>264</v>
      </c>
      <c r="AA233" s="119"/>
    </row>
    <row r="234" spans="2:27" ht="59.25" customHeight="1" x14ac:dyDescent="0.25">
      <c r="B234" s="531"/>
      <c r="C234" s="2" t="s">
        <v>130</v>
      </c>
      <c r="D234" s="3" t="s">
        <v>156</v>
      </c>
      <c r="E234" s="57">
        <v>1</v>
      </c>
      <c r="F234" s="13">
        <v>2800000</v>
      </c>
      <c r="G234" s="13">
        <f t="shared" si="98"/>
        <v>2800000</v>
      </c>
      <c r="H234" s="53">
        <f t="shared" si="83"/>
        <v>70.418072094022222</v>
      </c>
      <c r="I234" s="65">
        <f t="shared" si="99"/>
        <v>1</v>
      </c>
      <c r="J234" s="66">
        <f t="shared" si="100"/>
        <v>2800000</v>
      </c>
      <c r="K234" s="66">
        <f t="shared" si="101"/>
        <v>2800000</v>
      </c>
      <c r="L234" s="53">
        <f t="shared" si="84"/>
        <v>70.418072094022222</v>
      </c>
      <c r="M234" s="65">
        <f t="shared" si="91"/>
        <v>1</v>
      </c>
      <c r="N234" s="66">
        <f t="shared" si="92"/>
        <v>2800000</v>
      </c>
      <c r="O234" s="66">
        <f t="shared" si="93"/>
        <v>2800000</v>
      </c>
      <c r="P234" s="53">
        <f t="shared" si="85"/>
        <v>70.418072094022222</v>
      </c>
      <c r="Q234" s="53">
        <v>70.8753280198775</v>
      </c>
      <c r="R234" s="56">
        <v>70.8753280198775</v>
      </c>
      <c r="S234" s="56">
        <v>70.8753280198775</v>
      </c>
      <c r="T234" s="53">
        <v>70.8753280198775</v>
      </c>
      <c r="U234" s="56">
        <v>70.8753280198775</v>
      </c>
      <c r="V234" s="56">
        <v>70.8753280198775</v>
      </c>
      <c r="W234" s="56">
        <v>70.8753280198775</v>
      </c>
      <c r="X234" s="136">
        <f t="shared" si="87"/>
        <v>707.38151242120921</v>
      </c>
      <c r="Y234" s="47">
        <v>1</v>
      </c>
      <c r="Z234" s="57" t="s">
        <v>264</v>
      </c>
      <c r="AA234" s="119"/>
    </row>
    <row r="235" spans="2:27" ht="47.25" customHeight="1" x14ac:dyDescent="0.25">
      <c r="B235" s="531"/>
      <c r="C235" s="2" t="s">
        <v>224</v>
      </c>
      <c r="D235" s="3" t="s">
        <v>155</v>
      </c>
      <c r="E235" s="57">
        <v>1</v>
      </c>
      <c r="F235" s="13">
        <v>1000000</v>
      </c>
      <c r="G235" s="13">
        <f t="shared" si="98"/>
        <v>1000000</v>
      </c>
      <c r="H235" s="53">
        <f t="shared" si="83"/>
        <v>25.149311462150791</v>
      </c>
      <c r="I235" s="65">
        <f t="shared" si="99"/>
        <v>1</v>
      </c>
      <c r="J235" s="66">
        <f t="shared" si="100"/>
        <v>1000000</v>
      </c>
      <c r="K235" s="66">
        <f t="shared" si="101"/>
        <v>1000000</v>
      </c>
      <c r="L235" s="53">
        <f t="shared" si="84"/>
        <v>25.149311462150791</v>
      </c>
      <c r="M235" s="65">
        <f t="shared" si="91"/>
        <v>1</v>
      </c>
      <c r="N235" s="66">
        <f t="shared" si="92"/>
        <v>1000000</v>
      </c>
      <c r="O235" s="66">
        <f t="shared" si="93"/>
        <v>1000000</v>
      </c>
      <c r="P235" s="53">
        <f t="shared" si="85"/>
        <v>25.149311462150791</v>
      </c>
      <c r="Q235" s="53">
        <v>25.31261714995625</v>
      </c>
      <c r="R235" s="56">
        <v>25.31261714995625</v>
      </c>
      <c r="S235" s="56">
        <v>25.31261714995625</v>
      </c>
      <c r="T235" s="53">
        <v>25.31261714995625</v>
      </c>
      <c r="U235" s="56">
        <v>25.31261714995625</v>
      </c>
      <c r="V235" s="56">
        <v>25.31261714995625</v>
      </c>
      <c r="W235" s="56">
        <v>25.31261714995625</v>
      </c>
      <c r="X235" s="136">
        <f t="shared" si="87"/>
        <v>252.63625443614615</v>
      </c>
      <c r="Y235" s="47">
        <v>1</v>
      </c>
      <c r="Z235" s="57"/>
      <c r="AA235" s="119"/>
    </row>
    <row r="236" spans="2:27" ht="39" thickBot="1" x14ac:dyDescent="0.3">
      <c r="B236" s="534"/>
      <c r="C236" s="21" t="s">
        <v>126</v>
      </c>
      <c r="D236" s="23" t="s">
        <v>127</v>
      </c>
      <c r="E236" s="90">
        <v>1</v>
      </c>
      <c r="F236" s="16">
        <v>500000</v>
      </c>
      <c r="G236" s="16">
        <f t="shared" si="98"/>
        <v>500000</v>
      </c>
      <c r="H236" s="77">
        <f t="shared" si="83"/>
        <v>12.574655731075396</v>
      </c>
      <c r="I236" s="78">
        <f t="shared" si="99"/>
        <v>1</v>
      </c>
      <c r="J236" s="68">
        <f t="shared" si="100"/>
        <v>500000</v>
      </c>
      <c r="K236" s="68">
        <f t="shared" si="101"/>
        <v>500000</v>
      </c>
      <c r="L236" s="77">
        <f t="shared" si="84"/>
        <v>12.574655731075396</v>
      </c>
      <c r="M236" s="78">
        <f t="shared" si="91"/>
        <v>1</v>
      </c>
      <c r="N236" s="68">
        <f t="shared" si="92"/>
        <v>500000</v>
      </c>
      <c r="O236" s="68">
        <f t="shared" si="93"/>
        <v>500000</v>
      </c>
      <c r="P236" s="77">
        <f t="shared" si="85"/>
        <v>12.574655731075396</v>
      </c>
      <c r="Q236" s="77">
        <v>12.656308574978125</v>
      </c>
      <c r="R236" s="84">
        <v>12.656308574978125</v>
      </c>
      <c r="S236" s="84">
        <v>12.656308574978125</v>
      </c>
      <c r="T236" s="77">
        <v>12.656308574978125</v>
      </c>
      <c r="U236" s="84">
        <v>12.656308574978125</v>
      </c>
      <c r="V236" s="84">
        <v>12.656308574978125</v>
      </c>
      <c r="W236" s="84">
        <v>12.656308574978125</v>
      </c>
      <c r="X236" s="139">
        <f t="shared" si="87"/>
        <v>126.31812721807307</v>
      </c>
      <c r="Y236" s="50">
        <v>1</v>
      </c>
      <c r="Z236" s="90" t="s">
        <v>264</v>
      </c>
      <c r="AA236" s="117"/>
    </row>
    <row r="237" spans="2:27" ht="76.5" customHeight="1" x14ac:dyDescent="0.25">
      <c r="B237" s="530" t="s">
        <v>26</v>
      </c>
      <c r="C237" s="19" t="s">
        <v>223</v>
      </c>
      <c r="D237" s="31" t="s">
        <v>138</v>
      </c>
      <c r="E237" s="103">
        <v>1</v>
      </c>
      <c r="F237" s="24">
        <v>200000</v>
      </c>
      <c r="G237" s="24">
        <f t="shared" si="98"/>
        <v>200000</v>
      </c>
      <c r="H237" s="81">
        <f t="shared" si="83"/>
        <v>5.0298622924301579</v>
      </c>
      <c r="I237" s="82">
        <f t="shared" si="99"/>
        <v>1</v>
      </c>
      <c r="J237" s="74">
        <f t="shared" si="100"/>
        <v>200000</v>
      </c>
      <c r="K237" s="74">
        <f t="shared" si="101"/>
        <v>200000</v>
      </c>
      <c r="L237" s="81">
        <f t="shared" si="84"/>
        <v>5.0298622924301579</v>
      </c>
      <c r="M237" s="82">
        <f t="shared" si="91"/>
        <v>1</v>
      </c>
      <c r="N237" s="74">
        <f t="shared" si="92"/>
        <v>200000</v>
      </c>
      <c r="O237" s="74">
        <f t="shared" si="93"/>
        <v>200000</v>
      </c>
      <c r="P237" s="81">
        <f t="shared" si="85"/>
        <v>5.0298622924301579</v>
      </c>
      <c r="Q237" s="81">
        <v>5.0625234299912494</v>
      </c>
      <c r="R237" s="102">
        <v>5.0625234299912494</v>
      </c>
      <c r="S237" s="102">
        <v>5.0625234299912494</v>
      </c>
      <c r="T237" s="81">
        <v>5.0625234299912494</v>
      </c>
      <c r="U237" s="102">
        <v>5.0625234299912494</v>
      </c>
      <c r="V237" s="102">
        <v>5.0625234299912494</v>
      </c>
      <c r="W237" s="102">
        <v>5.0625234299912494</v>
      </c>
      <c r="X237" s="135">
        <f t="shared" si="87"/>
        <v>50.527250887229229</v>
      </c>
      <c r="Y237" s="46">
        <v>1</v>
      </c>
      <c r="Z237" s="103" t="s">
        <v>263</v>
      </c>
      <c r="AA237" s="122" t="s">
        <v>281</v>
      </c>
    </row>
    <row r="238" spans="2:27" ht="59.25" customHeight="1" x14ac:dyDescent="0.25">
      <c r="B238" s="531"/>
      <c r="C238" s="2" t="s">
        <v>222</v>
      </c>
      <c r="D238" s="3" t="s">
        <v>139</v>
      </c>
      <c r="E238" s="57">
        <v>1</v>
      </c>
      <c r="F238" s="13">
        <v>1000000</v>
      </c>
      <c r="G238" s="13">
        <f t="shared" si="98"/>
        <v>1000000</v>
      </c>
      <c r="H238" s="53">
        <f t="shared" si="83"/>
        <v>25.149311462150791</v>
      </c>
      <c r="I238" s="65">
        <f t="shared" si="99"/>
        <v>1</v>
      </c>
      <c r="J238" s="66">
        <f t="shared" si="100"/>
        <v>1000000</v>
      </c>
      <c r="K238" s="66">
        <f t="shared" si="101"/>
        <v>1000000</v>
      </c>
      <c r="L238" s="53">
        <f t="shared" si="84"/>
        <v>25.149311462150791</v>
      </c>
      <c r="M238" s="65">
        <f t="shared" si="91"/>
        <v>1</v>
      </c>
      <c r="N238" s="66">
        <f t="shared" si="92"/>
        <v>1000000</v>
      </c>
      <c r="O238" s="66">
        <f t="shared" si="93"/>
        <v>1000000</v>
      </c>
      <c r="P238" s="53">
        <f t="shared" si="85"/>
        <v>25.149311462150791</v>
      </c>
      <c r="Q238" s="53">
        <v>25.31261714995625</v>
      </c>
      <c r="R238" s="56">
        <v>25.31261714995625</v>
      </c>
      <c r="S238" s="56">
        <v>25.31261714995625</v>
      </c>
      <c r="T238" s="53">
        <v>25.31261714995625</v>
      </c>
      <c r="U238" s="56">
        <v>25.31261714995625</v>
      </c>
      <c r="V238" s="56">
        <v>25.31261714995625</v>
      </c>
      <c r="W238" s="56">
        <v>25.31261714995625</v>
      </c>
      <c r="X238" s="136">
        <f t="shared" si="87"/>
        <v>252.63625443614615</v>
      </c>
      <c r="Y238" s="47">
        <v>1</v>
      </c>
      <c r="Z238" s="57" t="s">
        <v>264</v>
      </c>
      <c r="AA238" s="119"/>
    </row>
    <row r="239" spans="2:27" ht="58.5" customHeight="1" x14ac:dyDescent="0.25">
      <c r="B239" s="531"/>
      <c r="C239" s="2" t="s">
        <v>221</v>
      </c>
      <c r="D239" s="3" t="s">
        <v>163</v>
      </c>
      <c r="E239" s="57">
        <v>1</v>
      </c>
      <c r="F239" s="15">
        <v>8087835</v>
      </c>
      <c r="G239" s="15">
        <f t="shared" si="98"/>
        <v>8087835</v>
      </c>
      <c r="H239" s="53">
        <f t="shared" si="83"/>
        <v>203.40348146948435</v>
      </c>
      <c r="I239" s="65">
        <f t="shared" si="99"/>
        <v>1</v>
      </c>
      <c r="J239" s="66">
        <f t="shared" si="100"/>
        <v>8087835</v>
      </c>
      <c r="K239" s="66">
        <f t="shared" si="101"/>
        <v>8087835</v>
      </c>
      <c r="L239" s="53">
        <f t="shared" si="84"/>
        <v>203.40348146948435</v>
      </c>
      <c r="M239" s="65">
        <f t="shared" si="91"/>
        <v>1</v>
      </c>
      <c r="N239" s="66">
        <f t="shared" si="92"/>
        <v>8087835</v>
      </c>
      <c r="O239" s="66">
        <f t="shared" si="93"/>
        <v>8087835</v>
      </c>
      <c r="P239" s="53">
        <f t="shared" si="85"/>
        <v>203.40348146948435</v>
      </c>
      <c r="Q239" s="53">
        <v>204.72427092701639</v>
      </c>
      <c r="R239" s="62">
        <v>204.72427092701639</v>
      </c>
      <c r="S239" s="62">
        <v>204.72427092701639</v>
      </c>
      <c r="T239" s="53">
        <v>204.72427092701639</v>
      </c>
      <c r="U239" s="62">
        <v>204.72427092701639</v>
      </c>
      <c r="V239" s="62">
        <v>204.72427092701639</v>
      </c>
      <c r="W239" s="62">
        <v>204.72427092701639</v>
      </c>
      <c r="X239" s="136">
        <f t="shared" si="87"/>
        <v>2043.2803408975674</v>
      </c>
      <c r="Y239" s="47">
        <v>1</v>
      </c>
      <c r="Z239" s="57" t="s">
        <v>264</v>
      </c>
      <c r="AA239" s="119"/>
    </row>
    <row r="240" spans="2:27" ht="59.25" customHeight="1" x14ac:dyDescent="0.25">
      <c r="B240" s="531"/>
      <c r="C240" s="2" t="s">
        <v>125</v>
      </c>
      <c r="D240" s="3" t="s">
        <v>164</v>
      </c>
      <c r="E240" s="57">
        <v>1</v>
      </c>
      <c r="F240" s="13">
        <v>400000</v>
      </c>
      <c r="G240" s="13">
        <f t="shared" si="98"/>
        <v>400000</v>
      </c>
      <c r="H240" s="53">
        <f t="shared" si="83"/>
        <v>10.059724584860316</v>
      </c>
      <c r="I240" s="65">
        <f t="shared" si="99"/>
        <v>1</v>
      </c>
      <c r="J240" s="66">
        <f t="shared" si="100"/>
        <v>400000</v>
      </c>
      <c r="K240" s="66">
        <f t="shared" si="101"/>
        <v>400000</v>
      </c>
      <c r="L240" s="53">
        <f t="shared" si="84"/>
        <v>10.059724584860316</v>
      </c>
      <c r="M240" s="65">
        <f t="shared" si="91"/>
        <v>1</v>
      </c>
      <c r="N240" s="66">
        <f t="shared" si="92"/>
        <v>400000</v>
      </c>
      <c r="O240" s="66">
        <f t="shared" si="93"/>
        <v>400000</v>
      </c>
      <c r="P240" s="53">
        <f t="shared" si="85"/>
        <v>10.059724584860316</v>
      </c>
      <c r="Q240" s="53">
        <v>10.125046859982499</v>
      </c>
      <c r="R240" s="56">
        <v>10.125046859982499</v>
      </c>
      <c r="S240" s="56">
        <v>10.125046859982499</v>
      </c>
      <c r="T240" s="53">
        <v>10.125046859982499</v>
      </c>
      <c r="U240" s="56">
        <v>10.125046859982499</v>
      </c>
      <c r="V240" s="56">
        <v>10.125046859982499</v>
      </c>
      <c r="W240" s="56">
        <v>10.125046859982499</v>
      </c>
      <c r="X240" s="136">
        <f t="shared" si="87"/>
        <v>101.05450177445846</v>
      </c>
      <c r="Y240" s="47">
        <v>1</v>
      </c>
      <c r="Z240" s="57" t="s">
        <v>264</v>
      </c>
      <c r="AA240" s="119"/>
    </row>
    <row r="241" spans="2:27" ht="51" x14ac:dyDescent="0.25">
      <c r="B241" s="531"/>
      <c r="C241" s="2" t="s">
        <v>220</v>
      </c>
      <c r="D241" s="3" t="s">
        <v>165</v>
      </c>
      <c r="E241" s="57">
        <v>1</v>
      </c>
      <c r="F241" s="13">
        <v>400000</v>
      </c>
      <c r="G241" s="13">
        <f t="shared" si="98"/>
        <v>400000</v>
      </c>
      <c r="H241" s="53">
        <f t="shared" si="83"/>
        <v>10.059724584860316</v>
      </c>
      <c r="I241" s="65">
        <f t="shared" si="99"/>
        <v>1</v>
      </c>
      <c r="J241" s="66">
        <f t="shared" si="100"/>
        <v>400000</v>
      </c>
      <c r="K241" s="66">
        <f t="shared" si="101"/>
        <v>400000</v>
      </c>
      <c r="L241" s="53">
        <f t="shared" si="84"/>
        <v>10.059724584860316</v>
      </c>
      <c r="M241" s="65">
        <f t="shared" si="91"/>
        <v>1</v>
      </c>
      <c r="N241" s="66">
        <f t="shared" si="92"/>
        <v>400000</v>
      </c>
      <c r="O241" s="66">
        <f t="shared" si="93"/>
        <v>400000</v>
      </c>
      <c r="P241" s="53">
        <f t="shared" si="85"/>
        <v>10.059724584860316</v>
      </c>
      <c r="Q241" s="53">
        <v>10.125046859982499</v>
      </c>
      <c r="R241" s="56">
        <v>10.125046859982499</v>
      </c>
      <c r="S241" s="56">
        <v>10.125046859982499</v>
      </c>
      <c r="T241" s="53">
        <v>10.125046859982499</v>
      </c>
      <c r="U241" s="56">
        <v>10.125046859982499</v>
      </c>
      <c r="V241" s="56">
        <v>10.125046859982499</v>
      </c>
      <c r="W241" s="56">
        <v>10.125046859982499</v>
      </c>
      <c r="X241" s="136">
        <f t="shared" si="87"/>
        <v>101.05450177445846</v>
      </c>
      <c r="Y241" s="47">
        <v>1</v>
      </c>
      <c r="Z241" s="57" t="s">
        <v>264</v>
      </c>
      <c r="AA241" s="119"/>
    </row>
    <row r="242" spans="2:27" ht="39" thickBot="1" x14ac:dyDescent="0.3">
      <c r="B242" s="532"/>
      <c r="C242" s="6" t="s">
        <v>219</v>
      </c>
      <c r="D242" s="34" t="s">
        <v>166</v>
      </c>
      <c r="E242" s="92">
        <v>1</v>
      </c>
      <c r="F242" s="26">
        <v>300000</v>
      </c>
      <c r="G242" s="26">
        <f t="shared" si="98"/>
        <v>300000</v>
      </c>
      <c r="H242" s="86">
        <f t="shared" si="83"/>
        <v>7.5447934386452378</v>
      </c>
      <c r="I242" s="87">
        <f t="shared" si="99"/>
        <v>1</v>
      </c>
      <c r="J242" s="69">
        <f t="shared" si="100"/>
        <v>300000</v>
      </c>
      <c r="K242" s="69">
        <f t="shared" si="101"/>
        <v>300000</v>
      </c>
      <c r="L242" s="86">
        <f t="shared" si="84"/>
        <v>7.5447934386452378</v>
      </c>
      <c r="M242" s="87">
        <f t="shared" si="91"/>
        <v>1</v>
      </c>
      <c r="N242" s="69">
        <f t="shared" si="92"/>
        <v>300000</v>
      </c>
      <c r="O242" s="69">
        <f t="shared" si="93"/>
        <v>300000</v>
      </c>
      <c r="P242" s="86">
        <f t="shared" si="85"/>
        <v>7.5447934386452378</v>
      </c>
      <c r="Q242" s="86">
        <v>7.5937851449868745</v>
      </c>
      <c r="R242" s="88">
        <v>7.5937851449868745</v>
      </c>
      <c r="S242" s="88">
        <v>7.5937851449868745</v>
      </c>
      <c r="T242" s="86">
        <v>7.5937851449868745</v>
      </c>
      <c r="U242" s="88">
        <v>7.5937851449868745</v>
      </c>
      <c r="V242" s="88">
        <v>7.5937851449868745</v>
      </c>
      <c r="W242" s="88">
        <v>7.5937851449868745</v>
      </c>
      <c r="X242" s="137">
        <f t="shared" si="87"/>
        <v>75.790876330843844</v>
      </c>
      <c r="Y242" s="48">
        <v>1</v>
      </c>
      <c r="Z242" s="92" t="s">
        <v>264</v>
      </c>
      <c r="AA242" s="145"/>
    </row>
    <row r="243" spans="2:27" ht="25.5" x14ac:dyDescent="0.25">
      <c r="B243" s="533" t="s">
        <v>27</v>
      </c>
      <c r="C243" s="20" t="s">
        <v>59</v>
      </c>
      <c r="D243" s="32" t="s">
        <v>176</v>
      </c>
      <c r="E243" s="96">
        <v>2280</v>
      </c>
      <c r="F243" s="25">
        <v>1100</v>
      </c>
      <c r="G243" s="25">
        <f t="shared" si="98"/>
        <v>2508000</v>
      </c>
      <c r="H243" s="75">
        <f t="shared" si="83"/>
        <v>63.074473147074187</v>
      </c>
      <c r="I243" s="76"/>
      <c r="J243" s="67"/>
      <c r="K243" s="67"/>
      <c r="L243" s="75">
        <f t="shared" si="84"/>
        <v>0</v>
      </c>
      <c r="M243" s="76">
        <f t="shared" si="91"/>
        <v>2280</v>
      </c>
      <c r="N243" s="67">
        <f t="shared" si="92"/>
        <v>1100</v>
      </c>
      <c r="O243" s="67">
        <f t="shared" si="93"/>
        <v>2508000</v>
      </c>
      <c r="P243" s="75">
        <f t="shared" si="85"/>
        <v>63.074473147074187</v>
      </c>
      <c r="Q243" s="75">
        <v>63.48404381209027</v>
      </c>
      <c r="R243" s="96">
        <v>0</v>
      </c>
      <c r="S243" s="96">
        <v>63.48404381209027</v>
      </c>
      <c r="T243" s="75">
        <v>63.48404381209027</v>
      </c>
      <c r="U243" s="96">
        <v>0</v>
      </c>
      <c r="V243" s="96">
        <v>63.48404381209027</v>
      </c>
      <c r="W243" s="96">
        <v>63.48404381209027</v>
      </c>
      <c r="X243" s="138">
        <f t="shared" si="87"/>
        <v>443.5691653545997</v>
      </c>
      <c r="Y243" s="49">
        <v>2</v>
      </c>
      <c r="Z243" s="95" t="s">
        <v>264</v>
      </c>
      <c r="AA243" s="120"/>
    </row>
    <row r="244" spans="2:27" ht="63.75" x14ac:dyDescent="0.25">
      <c r="B244" s="531"/>
      <c r="C244" s="7" t="s">
        <v>215</v>
      </c>
      <c r="D244" s="3" t="s">
        <v>136</v>
      </c>
      <c r="E244" s="57">
        <v>1</v>
      </c>
      <c r="F244" s="13">
        <v>3000000</v>
      </c>
      <c r="G244" s="13">
        <f t="shared" si="98"/>
        <v>3000000</v>
      </c>
      <c r="H244" s="53">
        <f t="shared" si="83"/>
        <v>75.447934386452374</v>
      </c>
      <c r="I244" s="65">
        <f t="shared" ref="I244:K249" si="102">+E244</f>
        <v>1</v>
      </c>
      <c r="J244" s="66">
        <f t="shared" si="102"/>
        <v>3000000</v>
      </c>
      <c r="K244" s="66">
        <f t="shared" si="102"/>
        <v>3000000</v>
      </c>
      <c r="L244" s="53">
        <f t="shared" si="84"/>
        <v>75.447934386452374</v>
      </c>
      <c r="M244" s="65">
        <f t="shared" si="91"/>
        <v>1</v>
      </c>
      <c r="N244" s="66">
        <f t="shared" si="92"/>
        <v>3000000</v>
      </c>
      <c r="O244" s="66">
        <f t="shared" si="93"/>
        <v>3000000</v>
      </c>
      <c r="P244" s="53">
        <f t="shared" si="85"/>
        <v>75.447934386452374</v>
      </c>
      <c r="Q244" s="53">
        <v>75.937851449868745</v>
      </c>
      <c r="R244" s="56">
        <v>75.937851449868745</v>
      </c>
      <c r="S244" s="56">
        <v>75.937851449868745</v>
      </c>
      <c r="T244" s="53">
        <v>75.937851449868745</v>
      </c>
      <c r="U244" s="56">
        <v>75.937851449868745</v>
      </c>
      <c r="V244" s="56">
        <v>75.937851449868745</v>
      </c>
      <c r="W244" s="56">
        <v>75.937851449868745</v>
      </c>
      <c r="X244" s="136">
        <f t="shared" si="87"/>
        <v>757.90876330843832</v>
      </c>
      <c r="Y244" s="47">
        <v>1</v>
      </c>
      <c r="Z244" s="57" t="s">
        <v>264</v>
      </c>
      <c r="AA244" s="119"/>
    </row>
    <row r="245" spans="2:27" ht="63.75" x14ac:dyDescent="0.25">
      <c r="B245" s="531"/>
      <c r="C245" s="2" t="s">
        <v>216</v>
      </c>
      <c r="D245" s="3" t="s">
        <v>140</v>
      </c>
      <c r="E245" s="55">
        <v>1</v>
      </c>
      <c r="F245" s="15">
        <v>2500000</v>
      </c>
      <c r="G245" s="15">
        <f t="shared" si="98"/>
        <v>2500000</v>
      </c>
      <c r="H245" s="53">
        <f t="shared" si="83"/>
        <v>62.873278655376978</v>
      </c>
      <c r="I245" s="65">
        <f t="shared" si="102"/>
        <v>1</v>
      </c>
      <c r="J245" s="66">
        <f t="shared" si="102"/>
        <v>2500000</v>
      </c>
      <c r="K245" s="66">
        <f t="shared" si="102"/>
        <v>2500000</v>
      </c>
      <c r="L245" s="53">
        <f t="shared" si="84"/>
        <v>62.873278655376978</v>
      </c>
      <c r="M245" s="65">
        <f t="shared" si="91"/>
        <v>1</v>
      </c>
      <c r="N245" s="66">
        <f t="shared" si="92"/>
        <v>2500000</v>
      </c>
      <c r="O245" s="66">
        <f t="shared" si="93"/>
        <v>2500000</v>
      </c>
      <c r="P245" s="53">
        <f t="shared" si="85"/>
        <v>62.873278655376978</v>
      </c>
      <c r="Q245" s="53">
        <v>63.281542874890619</v>
      </c>
      <c r="R245" s="62">
        <v>63.281542874890619</v>
      </c>
      <c r="S245" s="62">
        <v>63.281542874890619</v>
      </c>
      <c r="T245" s="53">
        <v>63.281542874890619</v>
      </c>
      <c r="U245" s="62">
        <v>63.281542874890619</v>
      </c>
      <c r="V245" s="62">
        <v>63.281542874890619</v>
      </c>
      <c r="W245" s="62">
        <v>63.281542874890619</v>
      </c>
      <c r="X245" s="136">
        <f t="shared" si="87"/>
        <v>631.59063609036536</v>
      </c>
      <c r="Y245" s="47">
        <v>1</v>
      </c>
      <c r="Z245" s="57" t="s">
        <v>264</v>
      </c>
      <c r="AA245" s="119"/>
    </row>
    <row r="246" spans="2:27" ht="42.75" customHeight="1" x14ac:dyDescent="0.25">
      <c r="B246" s="531"/>
      <c r="C246" s="2" t="s">
        <v>60</v>
      </c>
      <c r="D246" s="3" t="s">
        <v>141</v>
      </c>
      <c r="E246" s="57">
        <v>1</v>
      </c>
      <c r="F246" s="17">
        <v>300000</v>
      </c>
      <c r="G246" s="17">
        <f t="shared" si="98"/>
        <v>300000</v>
      </c>
      <c r="H246" s="53">
        <f t="shared" si="83"/>
        <v>7.5447934386452378</v>
      </c>
      <c r="I246" s="65">
        <f t="shared" si="102"/>
        <v>1</v>
      </c>
      <c r="J246" s="66">
        <f t="shared" si="102"/>
        <v>300000</v>
      </c>
      <c r="K246" s="66">
        <f t="shared" si="102"/>
        <v>300000</v>
      </c>
      <c r="L246" s="53">
        <f t="shared" si="84"/>
        <v>7.5447934386452378</v>
      </c>
      <c r="M246" s="65">
        <f t="shared" si="91"/>
        <v>1</v>
      </c>
      <c r="N246" s="66">
        <f t="shared" si="92"/>
        <v>300000</v>
      </c>
      <c r="O246" s="66">
        <f t="shared" si="93"/>
        <v>300000</v>
      </c>
      <c r="P246" s="53">
        <f t="shared" si="85"/>
        <v>7.5447934386452378</v>
      </c>
      <c r="Q246" s="53">
        <v>7.5937851449868745</v>
      </c>
      <c r="R246" s="62">
        <v>7.5937851449868745</v>
      </c>
      <c r="S246" s="62">
        <v>7.5937851449868745</v>
      </c>
      <c r="T246" s="53">
        <v>7.5937851449868745</v>
      </c>
      <c r="U246" s="62">
        <v>7.5937851449868745</v>
      </c>
      <c r="V246" s="62">
        <v>7.5937851449868745</v>
      </c>
      <c r="W246" s="62">
        <v>7.5937851449868745</v>
      </c>
      <c r="X246" s="136">
        <f t="shared" si="87"/>
        <v>75.790876330843844</v>
      </c>
      <c r="Y246" s="47">
        <v>1</v>
      </c>
      <c r="Z246" s="57" t="s">
        <v>264</v>
      </c>
      <c r="AA246" s="119"/>
    </row>
    <row r="247" spans="2:27" ht="68.25" customHeight="1" x14ac:dyDescent="0.25">
      <c r="B247" s="531"/>
      <c r="C247" s="2" t="s">
        <v>217</v>
      </c>
      <c r="D247" s="3" t="s">
        <v>142</v>
      </c>
      <c r="E247" s="57">
        <v>1</v>
      </c>
      <c r="F247" s="17">
        <v>6000000</v>
      </c>
      <c r="G247" s="17">
        <f t="shared" si="98"/>
        <v>6000000</v>
      </c>
      <c r="H247" s="53">
        <f t="shared" si="83"/>
        <v>150.89586877290475</v>
      </c>
      <c r="I247" s="65">
        <f t="shared" si="102"/>
        <v>1</v>
      </c>
      <c r="J247" s="66">
        <f t="shared" si="102"/>
        <v>6000000</v>
      </c>
      <c r="K247" s="66">
        <f t="shared" si="102"/>
        <v>6000000</v>
      </c>
      <c r="L247" s="53">
        <f t="shared" si="84"/>
        <v>150.89586877290475</v>
      </c>
      <c r="M247" s="65">
        <f t="shared" si="91"/>
        <v>1</v>
      </c>
      <c r="N247" s="66">
        <f t="shared" si="92"/>
        <v>6000000</v>
      </c>
      <c r="O247" s="66">
        <f t="shared" si="93"/>
        <v>6000000</v>
      </c>
      <c r="P247" s="53">
        <f t="shared" si="85"/>
        <v>150.89586877290475</v>
      </c>
      <c r="Q247" s="53">
        <v>151.87570289973749</v>
      </c>
      <c r="R247" s="62">
        <v>151.87570289973749</v>
      </c>
      <c r="S247" s="62">
        <v>151.87570289973749</v>
      </c>
      <c r="T247" s="53">
        <v>151.87570289973749</v>
      </c>
      <c r="U247" s="62">
        <v>151.87570289973749</v>
      </c>
      <c r="V247" s="62">
        <v>151.87570289973749</v>
      </c>
      <c r="W247" s="62">
        <v>151.87570289973749</v>
      </c>
      <c r="X247" s="136">
        <f t="shared" si="87"/>
        <v>1515.8175266168766</v>
      </c>
      <c r="Y247" s="47">
        <v>1</v>
      </c>
      <c r="Z247" s="57" t="s">
        <v>264</v>
      </c>
      <c r="AA247" s="119"/>
    </row>
    <row r="248" spans="2:27" ht="51" x14ac:dyDescent="0.25">
      <c r="B248" s="531"/>
      <c r="C248" s="2" t="s">
        <v>218</v>
      </c>
      <c r="D248" s="3" t="s">
        <v>167</v>
      </c>
      <c r="E248" s="57">
        <v>1</v>
      </c>
      <c r="F248" s="17">
        <v>5800000</v>
      </c>
      <c r="G248" s="17">
        <f t="shared" si="98"/>
        <v>5800000</v>
      </c>
      <c r="H248" s="53">
        <f t="shared" si="83"/>
        <v>145.8660064804746</v>
      </c>
      <c r="I248" s="65">
        <f t="shared" si="102"/>
        <v>1</v>
      </c>
      <c r="J248" s="66">
        <f t="shared" si="102"/>
        <v>5800000</v>
      </c>
      <c r="K248" s="66">
        <f t="shared" si="102"/>
        <v>5800000</v>
      </c>
      <c r="L248" s="53">
        <f t="shared" si="84"/>
        <v>145.8660064804746</v>
      </c>
      <c r="M248" s="65">
        <f t="shared" si="91"/>
        <v>1</v>
      </c>
      <c r="N248" s="66">
        <f t="shared" si="92"/>
        <v>5800000</v>
      </c>
      <c r="O248" s="66">
        <f t="shared" si="93"/>
        <v>5800000</v>
      </c>
      <c r="P248" s="53">
        <f t="shared" si="85"/>
        <v>145.8660064804746</v>
      </c>
      <c r="Q248" s="53">
        <v>146.81317946974625</v>
      </c>
      <c r="R248" s="62">
        <v>146.81317946974625</v>
      </c>
      <c r="S248" s="62">
        <v>146.81317946974625</v>
      </c>
      <c r="T248" s="53">
        <v>146.81317946974625</v>
      </c>
      <c r="U248" s="62">
        <v>146.81317946974625</v>
      </c>
      <c r="V248" s="62">
        <v>146.81317946974625</v>
      </c>
      <c r="W248" s="62">
        <v>146.81317946974625</v>
      </c>
      <c r="X248" s="136">
        <f t="shared" si="87"/>
        <v>1465.2902757296476</v>
      </c>
      <c r="Y248" s="47">
        <v>1</v>
      </c>
      <c r="Z248" s="57" t="s">
        <v>264</v>
      </c>
      <c r="AA248" s="119"/>
    </row>
    <row r="249" spans="2:27" ht="56.25" customHeight="1" thickBot="1" x14ac:dyDescent="0.3">
      <c r="B249" s="534"/>
      <c r="C249" s="21" t="s">
        <v>61</v>
      </c>
      <c r="D249" s="23" t="s">
        <v>143</v>
      </c>
      <c r="E249" s="90">
        <v>1</v>
      </c>
      <c r="F249" s="16">
        <v>500000</v>
      </c>
      <c r="G249" s="16">
        <f t="shared" si="98"/>
        <v>500000</v>
      </c>
      <c r="H249" s="77">
        <f t="shared" si="83"/>
        <v>12.574655731075396</v>
      </c>
      <c r="I249" s="78">
        <f t="shared" si="102"/>
        <v>1</v>
      </c>
      <c r="J249" s="68">
        <f t="shared" si="102"/>
        <v>500000</v>
      </c>
      <c r="K249" s="68">
        <f t="shared" si="102"/>
        <v>500000</v>
      </c>
      <c r="L249" s="77">
        <f t="shared" si="84"/>
        <v>12.574655731075396</v>
      </c>
      <c r="M249" s="78">
        <f t="shared" si="91"/>
        <v>1</v>
      </c>
      <c r="N249" s="68">
        <f t="shared" si="92"/>
        <v>500000</v>
      </c>
      <c r="O249" s="68">
        <f t="shared" si="93"/>
        <v>500000</v>
      </c>
      <c r="P249" s="77">
        <f t="shared" si="85"/>
        <v>12.574655731075396</v>
      </c>
      <c r="Q249" s="77">
        <v>12.656308574978125</v>
      </c>
      <c r="R249" s="84">
        <v>12.656308574978125</v>
      </c>
      <c r="S249" s="84">
        <v>12.656308574978125</v>
      </c>
      <c r="T249" s="77">
        <v>12.656308574978125</v>
      </c>
      <c r="U249" s="84">
        <v>12.656308574978125</v>
      </c>
      <c r="V249" s="84">
        <v>12.656308574978125</v>
      </c>
      <c r="W249" s="84">
        <v>12.656308574978125</v>
      </c>
      <c r="X249" s="139">
        <f t="shared" si="87"/>
        <v>126.31812721807307</v>
      </c>
      <c r="Y249" s="50">
        <v>1</v>
      </c>
      <c r="Z249" s="90" t="s">
        <v>264</v>
      </c>
      <c r="AA249" s="117"/>
    </row>
    <row r="250" spans="2:27" ht="15.75" thickBot="1" x14ac:dyDescent="0.3">
      <c r="F250" s="59" t="s">
        <v>200</v>
      </c>
      <c r="G250" s="60">
        <f>SUM(G7:G249)</f>
        <v>821257494.60945141</v>
      </c>
      <c r="H250" s="51"/>
      <c r="J250" s="59" t="s">
        <v>175</v>
      </c>
      <c r="K250" s="60">
        <f>SUM(K7:K249)</f>
        <v>356413535.15985316</v>
      </c>
      <c r="L250" s="51"/>
      <c r="N250" s="59" t="s">
        <v>175</v>
      </c>
      <c r="O250" s="60">
        <f>SUM(O7:O249)</f>
        <v>514591135.15985316</v>
      </c>
      <c r="P250" s="51"/>
      <c r="Q250" s="51"/>
      <c r="R250" s="80"/>
      <c r="S250" s="80"/>
      <c r="T250" s="51"/>
      <c r="U250" s="80"/>
      <c r="V250" s="80"/>
      <c r="W250" s="80"/>
      <c r="X250" s="80"/>
    </row>
    <row r="251" spans="2:27" ht="30.75" customHeight="1" x14ac:dyDescent="0.25">
      <c r="H251" s="140" t="str">
        <f>+E6</f>
        <v>AÑO 2026</v>
      </c>
      <c r="I251" s="41"/>
      <c r="J251" s="141"/>
      <c r="K251" s="140"/>
      <c r="L251" s="140" t="str">
        <f>+I6</f>
        <v>AÑO 2027</v>
      </c>
      <c r="M251" s="41"/>
      <c r="N251" s="141"/>
      <c r="O251" s="140"/>
      <c r="P251" s="140" t="str">
        <f>+M6</f>
        <v>AÑO 2028</v>
      </c>
      <c r="Q251" s="142" t="str">
        <f>+Q6</f>
        <v>AÑO 2029</v>
      </c>
      <c r="R251" s="142" t="str">
        <f t="shared" ref="R251:X251" si="103">+R6</f>
        <v>AÑO 2030</v>
      </c>
      <c r="S251" s="142" t="str">
        <f t="shared" si="103"/>
        <v>AÑO 2031</v>
      </c>
      <c r="T251" s="142" t="str">
        <f t="shared" si="103"/>
        <v>AÑO 2032</v>
      </c>
      <c r="U251" s="142" t="str">
        <f t="shared" si="103"/>
        <v>AÑO 2033</v>
      </c>
      <c r="V251" s="142" t="str">
        <f t="shared" si="103"/>
        <v>AÑO 2034</v>
      </c>
      <c r="W251" s="142" t="str">
        <f t="shared" si="103"/>
        <v>AÑO 2025</v>
      </c>
      <c r="X251" s="143" t="str">
        <f t="shared" si="103"/>
        <v>TOTAL EN 10 AÑOS</v>
      </c>
    </row>
    <row r="252" spans="2:27" x14ac:dyDescent="0.25">
      <c r="D252" s="42" t="s">
        <v>201</v>
      </c>
      <c r="G252" s="42"/>
      <c r="H252" s="149">
        <f>SUM(H7:H251)</f>
        <v>20654.060522558731</v>
      </c>
      <c r="I252" s="150"/>
      <c r="J252" s="149"/>
      <c r="K252" s="149"/>
      <c r="L252" s="149">
        <f>SUM(L7:L251)</f>
        <v>8963.555005061382</v>
      </c>
      <c r="M252" s="150"/>
      <c r="N252" s="149"/>
      <c r="O252" s="149"/>
      <c r="P252" s="149">
        <f>SUM(P7:P251)</f>
        <v>12941.612733796903</v>
      </c>
      <c r="Q252" s="151">
        <v>20788.176542581274</v>
      </c>
      <c r="R252" s="151">
        <v>9021.7593625638383</v>
      </c>
      <c r="S252" s="151">
        <v>13025.648393062747</v>
      </c>
      <c r="T252" s="151">
        <v>20788.176542581274</v>
      </c>
      <c r="U252" s="151">
        <v>9021.7593625638383</v>
      </c>
      <c r="V252" s="151">
        <v>13025.648393062747</v>
      </c>
      <c r="W252" s="151">
        <v>20788.176542581274</v>
      </c>
      <c r="X252" s="152">
        <f>SUM(X7:X251)</f>
        <v>149018.57340041394</v>
      </c>
    </row>
    <row r="255" spans="2:27" x14ac:dyDescent="0.25">
      <c r="B255" s="107" t="s">
        <v>288</v>
      </c>
      <c r="C255" s="526" t="s">
        <v>257</v>
      </c>
      <c r="D255" s="526"/>
      <c r="Q255" s="452"/>
    </row>
    <row r="256" spans="2:27" ht="48" customHeight="1" x14ac:dyDescent="0.25">
      <c r="B256" s="108"/>
      <c r="C256" s="526" t="s">
        <v>258</v>
      </c>
      <c r="D256" s="526"/>
    </row>
    <row r="257" spans="2:8" ht="30" customHeight="1" x14ac:dyDescent="0.25">
      <c r="B257" s="109"/>
      <c r="C257" s="526" t="s">
        <v>259</v>
      </c>
      <c r="D257" s="526"/>
    </row>
    <row r="258" spans="2:8" ht="49.5" customHeight="1" x14ac:dyDescent="0.25">
      <c r="B258" s="109"/>
      <c r="C258" s="526" t="s">
        <v>260</v>
      </c>
      <c r="D258" s="526"/>
      <c r="G258" s="44"/>
      <c r="H258" s="44"/>
    </row>
    <row r="260" spans="2:8" x14ac:dyDescent="0.25">
      <c r="C260" t="s">
        <v>289</v>
      </c>
    </row>
    <row r="261" spans="2:8" x14ac:dyDescent="0.25">
      <c r="C261" s="115" t="s">
        <v>261</v>
      </c>
      <c r="D261" s="37" t="s">
        <v>267</v>
      </c>
    </row>
    <row r="262" spans="2:8" x14ac:dyDescent="0.25">
      <c r="C262" s="115" t="s">
        <v>262</v>
      </c>
      <c r="D262" s="37" t="s">
        <v>282</v>
      </c>
    </row>
    <row r="263" spans="2:8" x14ac:dyDescent="0.25">
      <c r="C263" s="115" t="s">
        <v>263</v>
      </c>
      <c r="D263" s="37" t="s">
        <v>266</v>
      </c>
    </row>
    <row r="264" spans="2:8" x14ac:dyDescent="0.25">
      <c r="C264" s="115" t="s">
        <v>264</v>
      </c>
      <c r="D264" s="37" t="s">
        <v>265</v>
      </c>
    </row>
  </sheetData>
  <mergeCells count="37">
    <mergeCell ref="B184:B185"/>
    <mergeCell ref="B186:B193"/>
    <mergeCell ref="B194:B198"/>
    <mergeCell ref="B204:B210"/>
    <mergeCell ref="B243:B249"/>
    <mergeCell ref="B211:B219"/>
    <mergeCell ref="B237:B242"/>
    <mergeCell ref="B199:B203"/>
    <mergeCell ref="B232:B236"/>
    <mergeCell ref="B226:B231"/>
    <mergeCell ref="B220:B225"/>
    <mergeCell ref="B145:B160"/>
    <mergeCell ref="B161:B165"/>
    <mergeCell ref="B126:B135"/>
    <mergeCell ref="B166:B175"/>
    <mergeCell ref="B176:B183"/>
    <mergeCell ref="B94:B101"/>
    <mergeCell ref="B102:B109"/>
    <mergeCell ref="B110:B117"/>
    <mergeCell ref="B118:B125"/>
    <mergeCell ref="B136:B144"/>
    <mergeCell ref="C255:D255"/>
    <mergeCell ref="C256:D256"/>
    <mergeCell ref="C257:D257"/>
    <mergeCell ref="C258:D258"/>
    <mergeCell ref="B2:O2"/>
    <mergeCell ref="E6:H6"/>
    <mergeCell ref="I6:L6"/>
    <mergeCell ref="M6:P6"/>
    <mergeCell ref="B7:B19"/>
    <mergeCell ref="B20:B37"/>
    <mergeCell ref="B38:B55"/>
    <mergeCell ref="B56:B61"/>
    <mergeCell ref="B62:B69"/>
    <mergeCell ref="B70:B72"/>
    <mergeCell ref="B73:B87"/>
    <mergeCell ref="B88:B93"/>
  </mergeCells>
  <pageMargins left="0.7" right="0.7" top="0.75" bottom="0.75" header="0.3" footer="0.3"/>
  <pageSetup scale="49" orientation="landscape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2:V348"/>
  <sheetViews>
    <sheetView tabSelected="1" zoomScale="80" zoomScaleNormal="80" workbookViewId="0">
      <pane xSplit="5" ySplit="6" topLeftCell="F7" activePane="bottomRight" state="frozen"/>
      <selection pane="topRight" activeCell="E1" sqref="E1"/>
      <selection pane="bottomLeft" activeCell="A7" sqref="A7"/>
      <selection pane="bottomRight" activeCell="K259" sqref="K259"/>
    </sheetView>
  </sheetViews>
  <sheetFormatPr baseColWidth="10" defaultRowHeight="15" x14ac:dyDescent="0.25"/>
  <cols>
    <col min="1" max="1" width="1.140625" style="144" customWidth="1"/>
    <col min="2" max="2" width="10.85546875" style="448" customWidth="1"/>
    <col min="3" max="3" width="12" style="144" customWidth="1"/>
    <col min="4" max="4" width="19.28515625" style="144" customWidth="1"/>
    <col min="5" max="5" width="38.28515625" style="144" customWidth="1"/>
    <col min="6" max="6" width="10.140625" style="166" customWidth="1"/>
    <col min="7" max="7" width="11.7109375" style="167" customWidth="1"/>
    <col min="8" max="8" width="16.85546875" style="167" customWidth="1"/>
    <col min="9" max="9" width="19.28515625" style="167" customWidth="1"/>
    <col min="10" max="10" width="15.28515625" style="212" customWidth="1"/>
    <col min="11" max="11" width="10.28515625" style="423" bestFit="1" customWidth="1"/>
    <col min="12" max="12" width="13" style="423" bestFit="1" customWidth="1"/>
    <col min="13" max="13" width="15.85546875" style="423" bestFit="1" customWidth="1"/>
    <col min="14" max="14" width="10" style="165" bestFit="1" customWidth="1"/>
    <col min="15" max="15" width="15.5703125" style="165" bestFit="1" customWidth="1"/>
    <col min="16" max="20" width="9.5703125" style="165" bestFit="1" customWidth="1"/>
    <col min="21" max="21" width="12.28515625" style="165" bestFit="1" customWidth="1"/>
    <col min="22" max="22" width="51.5703125" style="144" bestFit="1" customWidth="1"/>
    <col min="23" max="16384" width="11.42578125" style="144"/>
  </cols>
  <sheetData>
    <row r="2" spans="2:22" ht="18.75" customHeight="1" x14ac:dyDescent="0.25">
      <c r="C2" s="535" t="s">
        <v>358</v>
      </c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</row>
    <row r="3" spans="2:22" ht="19.5" customHeight="1" x14ac:dyDescent="0.25"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5"/>
      <c r="O3" s="535"/>
      <c r="P3" s="535"/>
      <c r="Q3" s="535"/>
      <c r="R3" s="535"/>
      <c r="S3" s="535"/>
      <c r="T3" s="535"/>
      <c r="U3" s="535"/>
      <c r="V3" s="535"/>
    </row>
    <row r="4" spans="2:22" ht="15" customHeight="1" x14ac:dyDescent="0.25">
      <c r="C4" s="606" t="s">
        <v>373</v>
      </c>
      <c r="D4" s="606"/>
      <c r="E4" s="454">
        <v>39762.519999999997</v>
      </c>
    </row>
    <row r="5" spans="2:22" ht="15.75" thickBot="1" x14ac:dyDescent="0.3"/>
    <row r="6" spans="2:22" s="167" customFormat="1" ht="30.75" thickBot="1" x14ac:dyDescent="0.3">
      <c r="B6" s="447" t="s">
        <v>370</v>
      </c>
      <c r="C6" s="157" t="s">
        <v>249</v>
      </c>
      <c r="D6" s="158" t="s">
        <v>317</v>
      </c>
      <c r="E6" s="160" t="s">
        <v>248</v>
      </c>
      <c r="F6" s="160" t="s">
        <v>311</v>
      </c>
      <c r="G6" s="160" t="s">
        <v>312</v>
      </c>
      <c r="H6" s="160" t="s">
        <v>313</v>
      </c>
      <c r="I6" s="160" t="s">
        <v>371</v>
      </c>
      <c r="J6" s="369" t="s">
        <v>315</v>
      </c>
      <c r="K6" s="420" t="s">
        <v>1</v>
      </c>
      <c r="L6" s="421" t="s">
        <v>2</v>
      </c>
      <c r="M6" s="421" t="s">
        <v>3</v>
      </c>
      <c r="N6" s="421" t="s">
        <v>242</v>
      </c>
      <c r="O6" s="421" t="s">
        <v>243</v>
      </c>
      <c r="P6" s="421" t="s">
        <v>244</v>
      </c>
      <c r="Q6" s="421" t="s">
        <v>245</v>
      </c>
      <c r="R6" s="421" t="s">
        <v>246</v>
      </c>
      <c r="S6" s="421" t="s">
        <v>247</v>
      </c>
      <c r="T6" s="390" t="s">
        <v>321</v>
      </c>
      <c r="U6" s="383" t="s">
        <v>283</v>
      </c>
      <c r="V6" s="159" t="s">
        <v>256</v>
      </c>
    </row>
    <row r="7" spans="2:22" ht="49.5" customHeight="1" x14ac:dyDescent="0.25">
      <c r="B7" s="592">
        <v>1</v>
      </c>
      <c r="C7" s="565" t="s">
        <v>16</v>
      </c>
      <c r="D7" s="544" t="s">
        <v>291</v>
      </c>
      <c r="E7" s="268" t="s">
        <v>292</v>
      </c>
      <c r="F7" s="546" t="s">
        <v>319</v>
      </c>
      <c r="G7" s="549">
        <v>1</v>
      </c>
      <c r="H7" s="552">
        <v>3183030317</v>
      </c>
      <c r="I7" s="552">
        <f>+H7*G7</f>
        <v>3183030317</v>
      </c>
      <c r="J7" s="577">
        <f>+I7/$E$4</f>
        <v>80051.020835701565</v>
      </c>
      <c r="K7" s="424"/>
      <c r="L7" s="405"/>
      <c r="M7" s="391"/>
      <c r="N7" s="391"/>
      <c r="O7" s="392"/>
      <c r="P7" s="392"/>
      <c r="Q7" s="391"/>
      <c r="R7" s="392"/>
      <c r="S7" s="392"/>
      <c r="T7" s="393"/>
      <c r="U7" s="384"/>
      <c r="V7" s="120" t="s">
        <v>274</v>
      </c>
    </row>
    <row r="8" spans="2:22" s="167" customFormat="1" ht="51" customHeight="1" x14ac:dyDescent="0.25">
      <c r="B8" s="593"/>
      <c r="C8" s="566"/>
      <c r="D8" s="545"/>
      <c r="E8" s="250" t="s">
        <v>293</v>
      </c>
      <c r="F8" s="547"/>
      <c r="G8" s="550"/>
      <c r="H8" s="553"/>
      <c r="I8" s="553"/>
      <c r="J8" s="578"/>
      <c r="K8" s="425"/>
      <c r="L8" s="407"/>
      <c r="M8" s="394"/>
      <c r="N8" s="394"/>
      <c r="O8" s="395"/>
      <c r="P8" s="395"/>
      <c r="Q8" s="394"/>
      <c r="R8" s="395"/>
      <c r="S8" s="395"/>
      <c r="T8" s="396"/>
      <c r="U8" s="385"/>
      <c r="V8" s="119" t="s">
        <v>275</v>
      </c>
    </row>
    <row r="9" spans="2:22" ht="13.5" customHeight="1" x14ac:dyDescent="0.25">
      <c r="B9" s="593"/>
      <c r="C9" s="566"/>
      <c r="D9" s="556" t="s">
        <v>294</v>
      </c>
      <c r="E9" s="250" t="s">
        <v>295</v>
      </c>
      <c r="F9" s="547"/>
      <c r="G9" s="550"/>
      <c r="H9" s="553"/>
      <c r="I9" s="553"/>
      <c r="J9" s="578"/>
      <c r="K9" s="425"/>
      <c r="L9" s="407"/>
      <c r="M9" s="394"/>
      <c r="N9" s="394"/>
      <c r="O9" s="395"/>
      <c r="P9" s="395"/>
      <c r="Q9" s="394"/>
      <c r="R9" s="395"/>
      <c r="S9" s="395"/>
      <c r="T9" s="396"/>
      <c r="U9" s="385"/>
      <c r="V9" s="603" t="s">
        <v>434</v>
      </c>
    </row>
    <row r="10" spans="2:22" ht="28.5" customHeight="1" x14ac:dyDescent="0.25">
      <c r="B10" s="593"/>
      <c r="C10" s="566"/>
      <c r="D10" s="557"/>
      <c r="E10" s="250" t="s">
        <v>297</v>
      </c>
      <c r="F10" s="547"/>
      <c r="G10" s="550"/>
      <c r="H10" s="553"/>
      <c r="I10" s="553"/>
      <c r="J10" s="578"/>
      <c r="K10" s="425"/>
      <c r="L10" s="407"/>
      <c r="M10" s="394"/>
      <c r="N10" s="394"/>
      <c r="O10" s="395"/>
      <c r="P10" s="395"/>
      <c r="Q10" s="394"/>
      <c r="R10" s="395"/>
      <c r="S10" s="395"/>
      <c r="T10" s="396"/>
      <c r="U10" s="385"/>
      <c r="V10" s="604"/>
    </row>
    <row r="11" spans="2:22" ht="13.5" customHeight="1" x14ac:dyDescent="0.25">
      <c r="B11" s="593"/>
      <c r="C11" s="566"/>
      <c r="D11" s="545"/>
      <c r="E11" s="250" t="s">
        <v>298</v>
      </c>
      <c r="F11" s="547"/>
      <c r="G11" s="550"/>
      <c r="H11" s="553"/>
      <c r="I11" s="553"/>
      <c r="J11" s="578"/>
      <c r="K11" s="425"/>
      <c r="L11" s="407"/>
      <c r="M11" s="394"/>
      <c r="N11" s="394"/>
      <c r="O11" s="395"/>
      <c r="P11" s="395"/>
      <c r="Q11" s="394"/>
      <c r="R11" s="395"/>
      <c r="S11" s="395"/>
      <c r="T11" s="396"/>
      <c r="U11" s="385"/>
      <c r="V11" s="604"/>
    </row>
    <row r="12" spans="2:22" ht="13.5" customHeight="1" x14ac:dyDescent="0.25">
      <c r="B12" s="593"/>
      <c r="C12" s="566"/>
      <c r="D12" s="556" t="s">
        <v>299</v>
      </c>
      <c r="E12" s="251" t="s">
        <v>323</v>
      </c>
      <c r="F12" s="547"/>
      <c r="G12" s="550"/>
      <c r="H12" s="553"/>
      <c r="I12" s="553"/>
      <c r="J12" s="578"/>
      <c r="K12" s="425"/>
      <c r="L12" s="407"/>
      <c r="M12" s="394"/>
      <c r="N12" s="394"/>
      <c r="O12" s="395"/>
      <c r="P12" s="395"/>
      <c r="Q12" s="394"/>
      <c r="R12" s="395"/>
      <c r="S12" s="395"/>
      <c r="T12" s="396"/>
      <c r="U12" s="385"/>
      <c r="V12" s="604"/>
    </row>
    <row r="13" spans="2:22" ht="13.5" customHeight="1" x14ac:dyDescent="0.25">
      <c r="B13" s="593"/>
      <c r="C13" s="566"/>
      <c r="D13" s="557"/>
      <c r="E13" s="251" t="s">
        <v>301</v>
      </c>
      <c r="F13" s="547"/>
      <c r="G13" s="550"/>
      <c r="H13" s="553"/>
      <c r="I13" s="553"/>
      <c r="J13" s="578"/>
      <c r="K13" s="425"/>
      <c r="L13" s="407"/>
      <c r="M13" s="394"/>
      <c r="N13" s="394"/>
      <c r="O13" s="395"/>
      <c r="P13" s="395"/>
      <c r="Q13" s="394"/>
      <c r="R13" s="395"/>
      <c r="S13" s="395"/>
      <c r="T13" s="396"/>
      <c r="U13" s="385"/>
      <c r="V13" s="604"/>
    </row>
    <row r="14" spans="2:22" ht="13.5" customHeight="1" x14ac:dyDescent="0.25">
      <c r="B14" s="593"/>
      <c r="C14" s="566"/>
      <c r="D14" s="557"/>
      <c r="E14" s="250" t="s">
        <v>302</v>
      </c>
      <c r="F14" s="547"/>
      <c r="G14" s="550"/>
      <c r="H14" s="553"/>
      <c r="I14" s="553"/>
      <c r="J14" s="578"/>
      <c r="K14" s="425"/>
      <c r="L14" s="407"/>
      <c r="M14" s="394"/>
      <c r="N14" s="394"/>
      <c r="O14" s="395"/>
      <c r="P14" s="395"/>
      <c r="Q14" s="394"/>
      <c r="R14" s="395"/>
      <c r="S14" s="395"/>
      <c r="T14" s="396"/>
      <c r="U14" s="385"/>
      <c r="V14" s="604"/>
    </row>
    <row r="15" spans="2:22" ht="13.5" customHeight="1" x14ac:dyDescent="0.25">
      <c r="B15" s="593"/>
      <c r="C15" s="566"/>
      <c r="D15" s="557"/>
      <c r="E15" s="250" t="s">
        <v>303</v>
      </c>
      <c r="F15" s="547"/>
      <c r="G15" s="550"/>
      <c r="H15" s="553"/>
      <c r="I15" s="553"/>
      <c r="J15" s="578"/>
      <c r="K15" s="425"/>
      <c r="L15" s="407"/>
      <c r="M15" s="394"/>
      <c r="N15" s="394"/>
      <c r="O15" s="395"/>
      <c r="P15" s="395"/>
      <c r="Q15" s="394"/>
      <c r="R15" s="395"/>
      <c r="S15" s="395"/>
      <c r="T15" s="396"/>
      <c r="U15" s="385"/>
      <c r="V15" s="604"/>
    </row>
    <row r="16" spans="2:22" ht="13.5" customHeight="1" x14ac:dyDescent="0.25">
      <c r="B16" s="593"/>
      <c r="C16" s="566"/>
      <c r="D16" s="557"/>
      <c r="E16" s="251" t="s">
        <v>324</v>
      </c>
      <c r="F16" s="547"/>
      <c r="G16" s="550"/>
      <c r="H16" s="553"/>
      <c r="I16" s="553"/>
      <c r="J16" s="578"/>
      <c r="K16" s="425"/>
      <c r="L16" s="407"/>
      <c r="M16" s="394"/>
      <c r="N16" s="394"/>
      <c r="O16" s="397"/>
      <c r="P16" s="397"/>
      <c r="Q16" s="394"/>
      <c r="R16" s="397"/>
      <c r="S16" s="397"/>
      <c r="T16" s="398"/>
      <c r="U16" s="385"/>
      <c r="V16" s="604"/>
    </row>
    <row r="17" spans="2:22" ht="13.5" customHeight="1" x14ac:dyDescent="0.25">
      <c r="B17" s="593"/>
      <c r="C17" s="566"/>
      <c r="D17" s="545"/>
      <c r="E17" s="250" t="s">
        <v>304</v>
      </c>
      <c r="F17" s="547"/>
      <c r="G17" s="550"/>
      <c r="H17" s="553"/>
      <c r="I17" s="553"/>
      <c r="J17" s="578"/>
      <c r="K17" s="425"/>
      <c r="L17" s="407"/>
      <c r="M17" s="394"/>
      <c r="N17" s="394"/>
      <c r="O17" s="397"/>
      <c r="P17" s="397"/>
      <c r="Q17" s="394"/>
      <c r="R17" s="397"/>
      <c r="S17" s="397"/>
      <c r="T17" s="398"/>
      <c r="U17" s="385"/>
      <c r="V17" s="604"/>
    </row>
    <row r="18" spans="2:22" ht="13.5" customHeight="1" x14ac:dyDescent="0.25">
      <c r="B18" s="593"/>
      <c r="C18" s="566"/>
      <c r="D18" s="556" t="s">
        <v>305</v>
      </c>
      <c r="E18" s="250" t="s">
        <v>221</v>
      </c>
      <c r="F18" s="547"/>
      <c r="G18" s="550"/>
      <c r="H18" s="553"/>
      <c r="I18" s="553"/>
      <c r="J18" s="578"/>
      <c r="K18" s="425"/>
      <c r="L18" s="407"/>
      <c r="M18" s="394"/>
      <c r="N18" s="394"/>
      <c r="O18" s="397"/>
      <c r="P18" s="397"/>
      <c r="Q18" s="394"/>
      <c r="R18" s="397"/>
      <c r="S18" s="397"/>
      <c r="T18" s="398"/>
      <c r="U18" s="385"/>
      <c r="V18" s="604"/>
    </row>
    <row r="19" spans="2:22" ht="13.5" customHeight="1" x14ac:dyDescent="0.25">
      <c r="B19" s="593"/>
      <c r="C19" s="566"/>
      <c r="D19" s="557"/>
      <c r="E19" s="251" t="s">
        <v>377</v>
      </c>
      <c r="F19" s="547"/>
      <c r="G19" s="550"/>
      <c r="H19" s="553"/>
      <c r="I19" s="553"/>
      <c r="J19" s="578"/>
      <c r="K19" s="425"/>
      <c r="L19" s="407"/>
      <c r="M19" s="394"/>
      <c r="N19" s="394"/>
      <c r="O19" s="397"/>
      <c r="P19" s="397"/>
      <c r="Q19" s="394"/>
      <c r="R19" s="397"/>
      <c r="S19" s="397"/>
      <c r="T19" s="398"/>
      <c r="U19" s="385"/>
      <c r="V19" s="604"/>
    </row>
    <row r="20" spans="2:22" ht="13.5" customHeight="1" x14ac:dyDescent="0.25">
      <c r="B20" s="593"/>
      <c r="C20" s="566"/>
      <c r="D20" s="557"/>
      <c r="E20" s="250" t="s">
        <v>308</v>
      </c>
      <c r="F20" s="547"/>
      <c r="G20" s="550"/>
      <c r="H20" s="553"/>
      <c r="I20" s="553"/>
      <c r="J20" s="578"/>
      <c r="K20" s="425"/>
      <c r="L20" s="407"/>
      <c r="M20" s="394"/>
      <c r="N20" s="394"/>
      <c r="O20" s="397"/>
      <c r="P20" s="397"/>
      <c r="Q20" s="394"/>
      <c r="R20" s="397"/>
      <c r="S20" s="397"/>
      <c r="T20" s="398"/>
      <c r="U20" s="385"/>
      <c r="V20" s="604"/>
    </row>
    <row r="21" spans="2:22" ht="13.5" customHeight="1" x14ac:dyDescent="0.25">
      <c r="B21" s="593"/>
      <c r="C21" s="566"/>
      <c r="D21" s="557"/>
      <c r="E21" s="251" t="s">
        <v>375</v>
      </c>
      <c r="F21" s="547"/>
      <c r="G21" s="550"/>
      <c r="H21" s="553"/>
      <c r="I21" s="553"/>
      <c r="J21" s="578"/>
      <c r="K21" s="425"/>
      <c r="L21" s="407"/>
      <c r="M21" s="394"/>
      <c r="N21" s="394"/>
      <c r="O21" s="397"/>
      <c r="P21" s="397"/>
      <c r="Q21" s="394"/>
      <c r="R21" s="397"/>
      <c r="S21" s="397"/>
      <c r="T21" s="398"/>
      <c r="U21" s="385"/>
      <c r="V21" s="604"/>
    </row>
    <row r="22" spans="2:22" ht="13.5" customHeight="1" x14ac:dyDescent="0.25">
      <c r="B22" s="593"/>
      <c r="C22" s="566"/>
      <c r="D22" s="557"/>
      <c r="E22" s="250" t="s">
        <v>309</v>
      </c>
      <c r="F22" s="547"/>
      <c r="G22" s="550"/>
      <c r="H22" s="553"/>
      <c r="I22" s="553"/>
      <c r="J22" s="578"/>
      <c r="K22" s="425"/>
      <c r="L22" s="407"/>
      <c r="M22" s="394"/>
      <c r="N22" s="394"/>
      <c r="O22" s="397"/>
      <c r="P22" s="397"/>
      <c r="Q22" s="394"/>
      <c r="R22" s="397"/>
      <c r="S22" s="397"/>
      <c r="T22" s="398"/>
      <c r="U22" s="385"/>
      <c r="V22" s="604"/>
    </row>
    <row r="23" spans="2:22" ht="13.5" customHeight="1" x14ac:dyDescent="0.25">
      <c r="B23" s="593"/>
      <c r="C23" s="566"/>
      <c r="D23" s="557"/>
      <c r="E23" s="250" t="s">
        <v>310</v>
      </c>
      <c r="F23" s="547"/>
      <c r="G23" s="550"/>
      <c r="H23" s="553"/>
      <c r="I23" s="553"/>
      <c r="J23" s="578"/>
      <c r="K23" s="425"/>
      <c r="L23" s="407"/>
      <c r="M23" s="394"/>
      <c r="N23" s="394"/>
      <c r="O23" s="397"/>
      <c r="P23" s="397"/>
      <c r="Q23" s="394"/>
      <c r="R23" s="397"/>
      <c r="S23" s="397"/>
      <c r="T23" s="398"/>
      <c r="U23" s="385"/>
      <c r="V23" s="604"/>
    </row>
    <row r="24" spans="2:22" ht="13.5" customHeight="1" x14ac:dyDescent="0.25">
      <c r="B24" s="593"/>
      <c r="C24" s="567"/>
      <c r="D24" s="557"/>
      <c r="E24" s="341" t="s">
        <v>376</v>
      </c>
      <c r="F24" s="547"/>
      <c r="G24" s="550"/>
      <c r="H24" s="553"/>
      <c r="I24" s="553"/>
      <c r="J24" s="578"/>
      <c r="K24" s="430"/>
      <c r="L24" s="431"/>
      <c r="M24" s="409"/>
      <c r="N24" s="409"/>
      <c r="O24" s="455"/>
      <c r="P24" s="455"/>
      <c r="Q24" s="409"/>
      <c r="R24" s="455"/>
      <c r="S24" s="455"/>
      <c r="T24" s="456"/>
      <c r="U24" s="388"/>
      <c r="V24" s="604"/>
    </row>
    <row r="25" spans="2:22" ht="13.5" customHeight="1" thickBot="1" x14ac:dyDescent="0.3">
      <c r="B25" s="593"/>
      <c r="C25" s="568"/>
      <c r="D25" s="582"/>
      <c r="E25" s="262" t="s">
        <v>195</v>
      </c>
      <c r="F25" s="548"/>
      <c r="G25" s="551"/>
      <c r="H25" s="554"/>
      <c r="I25" s="554"/>
      <c r="J25" s="579"/>
      <c r="K25" s="426"/>
      <c r="L25" s="427"/>
      <c r="M25" s="399"/>
      <c r="N25" s="399"/>
      <c r="O25" s="400"/>
      <c r="P25" s="400"/>
      <c r="Q25" s="399"/>
      <c r="R25" s="400"/>
      <c r="S25" s="400"/>
      <c r="T25" s="401"/>
      <c r="U25" s="386"/>
      <c r="V25" s="605"/>
    </row>
    <row r="26" spans="2:22" ht="28.5" customHeight="1" thickBot="1" x14ac:dyDescent="0.3">
      <c r="B26" s="449"/>
      <c r="C26" s="332"/>
      <c r="D26" s="285"/>
      <c r="E26" s="323"/>
      <c r="F26" s="304"/>
      <c r="G26" s="305"/>
      <c r="H26" s="308" t="s">
        <v>368</v>
      </c>
      <c r="I26" s="309">
        <f>SUM(I7:I25)</f>
        <v>3183030317</v>
      </c>
      <c r="J26" s="370">
        <f>+I26/$E$4</f>
        <v>80051.020835701565</v>
      </c>
      <c r="K26" s="428">
        <f>+J26</f>
        <v>80051.020835701565</v>
      </c>
      <c r="L26" s="429">
        <v>0</v>
      </c>
      <c r="M26" s="402">
        <v>0</v>
      </c>
      <c r="N26" s="402">
        <v>0</v>
      </c>
      <c r="O26" s="403">
        <v>0</v>
      </c>
      <c r="P26" s="403">
        <v>0</v>
      </c>
      <c r="Q26" s="402">
        <v>0</v>
      </c>
      <c r="R26" s="403">
        <v>0</v>
      </c>
      <c r="S26" s="403">
        <v>0</v>
      </c>
      <c r="T26" s="404">
        <v>0</v>
      </c>
      <c r="U26" s="387">
        <f>SUM(K26:T26)</f>
        <v>80051.020835701565</v>
      </c>
      <c r="V26" s="307"/>
    </row>
    <row r="27" spans="2:22" ht="15" customHeight="1" x14ac:dyDescent="0.25">
      <c r="B27" s="593">
        <v>2</v>
      </c>
      <c r="C27" s="565" t="s">
        <v>10</v>
      </c>
      <c r="D27" s="569" t="s">
        <v>291</v>
      </c>
      <c r="E27" s="290" t="s">
        <v>292</v>
      </c>
      <c r="F27" s="168" t="s">
        <v>319</v>
      </c>
      <c r="G27" s="193">
        <v>4561</v>
      </c>
      <c r="H27" s="170">
        <v>5360</v>
      </c>
      <c r="I27" s="170">
        <f t="shared" ref="I27" si="0">+H27*G27</f>
        <v>24446960</v>
      </c>
      <c r="J27" s="371">
        <f t="shared" ref="J27:J37" si="1">+I27/$E$4</f>
        <v>614.82421134274193</v>
      </c>
      <c r="K27" s="424"/>
      <c r="L27" s="405"/>
      <c r="M27" s="391"/>
      <c r="N27" s="391"/>
      <c r="O27" s="405"/>
      <c r="P27" s="405"/>
      <c r="Q27" s="391"/>
      <c r="R27" s="405"/>
      <c r="S27" s="405"/>
      <c r="T27" s="406"/>
      <c r="U27" s="384"/>
      <c r="V27" s="120"/>
    </row>
    <row r="28" spans="2:22" ht="57.75" customHeight="1" x14ac:dyDescent="0.25">
      <c r="B28" s="593"/>
      <c r="C28" s="566"/>
      <c r="D28" s="570"/>
      <c r="E28" s="288" t="s">
        <v>293</v>
      </c>
      <c r="F28" s="172" t="s">
        <v>319</v>
      </c>
      <c r="G28" s="536" t="s">
        <v>322</v>
      </c>
      <c r="H28" s="555"/>
      <c r="I28" s="174">
        <v>0</v>
      </c>
      <c r="J28" s="298">
        <f t="shared" si="1"/>
        <v>0</v>
      </c>
      <c r="K28" s="425"/>
      <c r="L28" s="407"/>
      <c r="M28" s="394"/>
      <c r="N28" s="394"/>
      <c r="O28" s="407"/>
      <c r="P28" s="407"/>
      <c r="Q28" s="394"/>
      <c r="R28" s="407"/>
      <c r="S28" s="407"/>
      <c r="T28" s="408"/>
      <c r="U28" s="385"/>
      <c r="V28" s="146" t="s">
        <v>271</v>
      </c>
    </row>
    <row r="29" spans="2:22" ht="15" customHeight="1" x14ac:dyDescent="0.25">
      <c r="B29" s="593"/>
      <c r="C29" s="566"/>
      <c r="D29" s="570" t="s">
        <v>294</v>
      </c>
      <c r="E29" s="288" t="s">
        <v>295</v>
      </c>
      <c r="F29" s="172" t="s">
        <v>318</v>
      </c>
      <c r="G29" s="199">
        <v>62</v>
      </c>
      <c r="H29" s="174">
        <v>48000</v>
      </c>
      <c r="I29" s="174">
        <f t="shared" ref="I29:I39" si="2">+H29*G29</f>
        <v>2976000</v>
      </c>
      <c r="J29" s="298">
        <f t="shared" si="1"/>
        <v>74.844350911360749</v>
      </c>
      <c r="K29" s="425"/>
      <c r="L29" s="407"/>
      <c r="M29" s="394"/>
      <c r="N29" s="394"/>
      <c r="O29" s="395"/>
      <c r="P29" s="395"/>
      <c r="Q29" s="394"/>
      <c r="R29" s="395"/>
      <c r="S29" s="395"/>
      <c r="T29" s="396"/>
      <c r="U29" s="385"/>
      <c r="V29" s="119"/>
    </row>
    <row r="30" spans="2:22" x14ac:dyDescent="0.25">
      <c r="B30" s="593"/>
      <c r="C30" s="566"/>
      <c r="D30" s="570"/>
      <c r="E30" s="288" t="s">
        <v>296</v>
      </c>
      <c r="F30" s="172" t="s">
        <v>318</v>
      </c>
      <c r="G30" s="199">
        <v>350</v>
      </c>
      <c r="H30" s="176">
        <v>50000</v>
      </c>
      <c r="I30" s="174">
        <f t="shared" si="2"/>
        <v>17500000</v>
      </c>
      <c r="J30" s="298">
        <f t="shared" si="1"/>
        <v>440.11295058763886</v>
      </c>
      <c r="K30" s="425"/>
      <c r="L30" s="407"/>
      <c r="M30" s="394"/>
      <c r="N30" s="394"/>
      <c r="O30" s="395"/>
      <c r="P30" s="395"/>
      <c r="Q30" s="394"/>
      <c r="R30" s="395"/>
      <c r="S30" s="395"/>
      <c r="T30" s="396"/>
      <c r="U30" s="385"/>
      <c r="V30" s="119"/>
    </row>
    <row r="31" spans="2:22" ht="30" x14ac:dyDescent="0.25">
      <c r="B31" s="593"/>
      <c r="C31" s="566"/>
      <c r="D31" s="570"/>
      <c r="E31" s="288" t="s">
        <v>297</v>
      </c>
      <c r="F31" s="172" t="s">
        <v>318</v>
      </c>
      <c r="G31" s="199">
        <v>1500</v>
      </c>
      <c r="H31" s="176">
        <v>45760</v>
      </c>
      <c r="I31" s="174">
        <f t="shared" si="2"/>
        <v>68640000</v>
      </c>
      <c r="J31" s="298">
        <f t="shared" si="1"/>
        <v>1726.2487387620304</v>
      </c>
      <c r="K31" s="425"/>
      <c r="L31" s="407"/>
      <c r="M31" s="394"/>
      <c r="N31" s="394"/>
      <c r="O31" s="395"/>
      <c r="P31" s="395"/>
      <c r="Q31" s="394"/>
      <c r="R31" s="395"/>
      <c r="S31" s="395"/>
      <c r="T31" s="396"/>
      <c r="U31" s="385"/>
      <c r="V31" s="119"/>
    </row>
    <row r="32" spans="2:22" s="167" customFormat="1" ht="76.5" customHeight="1" x14ac:dyDescent="0.25">
      <c r="B32" s="593"/>
      <c r="C32" s="566"/>
      <c r="D32" s="570"/>
      <c r="E32" s="288" t="s">
        <v>298</v>
      </c>
      <c r="F32" s="172" t="s">
        <v>318</v>
      </c>
      <c r="G32" s="199">
        <v>1300</v>
      </c>
      <c r="H32" s="176">
        <v>379000</v>
      </c>
      <c r="I32" s="174">
        <f t="shared" si="2"/>
        <v>492700000</v>
      </c>
      <c r="J32" s="298">
        <f t="shared" si="1"/>
        <v>12391.065757401695</v>
      </c>
      <c r="K32" s="425"/>
      <c r="L32" s="407"/>
      <c r="M32" s="394"/>
      <c r="N32" s="394"/>
      <c r="O32" s="395"/>
      <c r="P32" s="395"/>
      <c r="Q32" s="394"/>
      <c r="R32" s="395"/>
      <c r="S32" s="395"/>
      <c r="T32" s="396"/>
      <c r="U32" s="385"/>
      <c r="V32" s="146" t="s">
        <v>287</v>
      </c>
    </row>
    <row r="33" spans="2:22" ht="17.25" customHeight="1" x14ac:dyDescent="0.25">
      <c r="B33" s="593"/>
      <c r="C33" s="566"/>
      <c r="D33" s="570" t="s">
        <v>299</v>
      </c>
      <c r="E33" s="288" t="s">
        <v>300</v>
      </c>
      <c r="F33" s="172" t="s">
        <v>319</v>
      </c>
      <c r="G33" s="221">
        <v>1</v>
      </c>
      <c r="H33" s="223"/>
      <c r="I33" s="222">
        <f t="shared" si="2"/>
        <v>0</v>
      </c>
      <c r="J33" s="372">
        <f t="shared" si="1"/>
        <v>0</v>
      </c>
      <c r="K33" s="425"/>
      <c r="L33" s="407"/>
      <c r="M33" s="394"/>
      <c r="N33" s="394"/>
      <c r="O33" s="395"/>
      <c r="P33" s="395"/>
      <c r="Q33" s="394"/>
      <c r="R33" s="395"/>
      <c r="S33" s="395"/>
      <c r="T33" s="396"/>
      <c r="U33" s="385"/>
      <c r="V33" s="119"/>
    </row>
    <row r="34" spans="2:22" x14ac:dyDescent="0.25">
      <c r="B34" s="593"/>
      <c r="C34" s="566"/>
      <c r="D34" s="570"/>
      <c r="E34" s="288" t="s">
        <v>301</v>
      </c>
      <c r="F34" s="172" t="s">
        <v>318</v>
      </c>
      <c r="G34" s="199">
        <v>4561</v>
      </c>
      <c r="H34" s="200">
        <v>23350</v>
      </c>
      <c r="I34" s="174">
        <f t="shared" si="2"/>
        <v>106499350</v>
      </c>
      <c r="J34" s="298">
        <f t="shared" si="1"/>
        <v>2678.3853236666087</v>
      </c>
      <c r="K34" s="425"/>
      <c r="L34" s="407"/>
      <c r="M34" s="394"/>
      <c r="N34" s="394"/>
      <c r="O34" s="395"/>
      <c r="P34" s="395"/>
      <c r="Q34" s="394"/>
      <c r="R34" s="395"/>
      <c r="S34" s="395"/>
      <c r="T34" s="396"/>
      <c r="U34" s="385"/>
      <c r="V34" s="119"/>
    </row>
    <row r="35" spans="2:22" x14ac:dyDescent="0.25">
      <c r="B35" s="593"/>
      <c r="C35" s="566"/>
      <c r="D35" s="570"/>
      <c r="E35" s="288" t="s">
        <v>303</v>
      </c>
      <c r="F35" s="172" t="s">
        <v>319</v>
      </c>
      <c r="G35" s="221">
        <v>1</v>
      </c>
      <c r="H35" s="223"/>
      <c r="I35" s="222">
        <f t="shared" si="2"/>
        <v>0</v>
      </c>
      <c r="J35" s="372">
        <f t="shared" si="1"/>
        <v>0</v>
      </c>
      <c r="K35" s="425"/>
      <c r="L35" s="407"/>
      <c r="M35" s="394"/>
      <c r="N35" s="394"/>
      <c r="O35" s="395"/>
      <c r="P35" s="395"/>
      <c r="Q35" s="394"/>
      <c r="R35" s="395"/>
      <c r="S35" s="395"/>
      <c r="T35" s="396"/>
      <c r="U35" s="385"/>
      <c r="V35" s="119"/>
    </row>
    <row r="36" spans="2:22" x14ac:dyDescent="0.25">
      <c r="B36" s="593"/>
      <c r="C36" s="566"/>
      <c r="D36" s="570"/>
      <c r="E36" s="288" t="s">
        <v>324</v>
      </c>
      <c r="F36" s="172" t="s">
        <v>319</v>
      </c>
      <c r="G36" s="221">
        <v>1</v>
      </c>
      <c r="H36" s="223"/>
      <c r="I36" s="222">
        <f t="shared" si="2"/>
        <v>0</v>
      </c>
      <c r="J36" s="372">
        <f t="shared" si="1"/>
        <v>0</v>
      </c>
      <c r="K36" s="425"/>
      <c r="L36" s="407"/>
      <c r="M36" s="394"/>
      <c r="N36" s="394"/>
      <c r="O36" s="395"/>
      <c r="P36" s="395"/>
      <c r="Q36" s="394"/>
      <c r="R36" s="395"/>
      <c r="S36" s="395"/>
      <c r="T36" s="396"/>
      <c r="U36" s="385"/>
      <c r="V36" s="119"/>
    </row>
    <row r="37" spans="2:22" x14ac:dyDescent="0.25">
      <c r="B37" s="593"/>
      <c r="C37" s="566"/>
      <c r="D37" s="570"/>
      <c r="E37" s="288" t="s">
        <v>304</v>
      </c>
      <c r="F37" s="194" t="s">
        <v>319</v>
      </c>
      <c r="G37" s="199">
        <v>1</v>
      </c>
      <c r="H37" s="200">
        <v>14500000</v>
      </c>
      <c r="I37" s="174">
        <f t="shared" si="2"/>
        <v>14500000</v>
      </c>
      <c r="J37" s="298">
        <f t="shared" si="1"/>
        <v>364.66501620118646</v>
      </c>
      <c r="K37" s="425"/>
      <c r="L37" s="407"/>
      <c r="M37" s="394"/>
      <c r="N37" s="394"/>
      <c r="O37" s="395"/>
      <c r="P37" s="395"/>
      <c r="Q37" s="394"/>
      <c r="R37" s="395"/>
      <c r="S37" s="395"/>
      <c r="T37" s="396"/>
      <c r="U37" s="385"/>
      <c r="V37" s="119"/>
    </row>
    <row r="38" spans="2:22" ht="15" customHeight="1" x14ac:dyDescent="0.25">
      <c r="B38" s="593"/>
      <c r="C38" s="566"/>
      <c r="D38" s="570" t="s">
        <v>305</v>
      </c>
      <c r="E38" s="288" t="s">
        <v>306</v>
      </c>
      <c r="F38" s="194" t="s">
        <v>320</v>
      </c>
      <c r="G38" s="199">
        <v>2</v>
      </c>
      <c r="H38" s="200">
        <v>60000000</v>
      </c>
      <c r="I38" s="174">
        <f t="shared" si="2"/>
        <v>120000000</v>
      </c>
      <c r="J38" s="298">
        <f t="shared" ref="J38" si="3">+I38/$E$4</f>
        <v>3017.9173754580947</v>
      </c>
      <c r="K38" s="425"/>
      <c r="L38" s="407"/>
      <c r="M38" s="394"/>
      <c r="N38" s="394"/>
      <c r="O38" s="395"/>
      <c r="P38" s="395"/>
      <c r="Q38" s="394"/>
      <c r="R38" s="395"/>
      <c r="S38" s="395"/>
      <c r="T38" s="396"/>
      <c r="U38" s="385"/>
      <c r="V38" s="119"/>
    </row>
    <row r="39" spans="2:22" ht="30" x14ac:dyDescent="0.25">
      <c r="B39" s="593"/>
      <c r="C39" s="566"/>
      <c r="D39" s="570"/>
      <c r="E39" s="288" t="s">
        <v>329</v>
      </c>
      <c r="F39" s="194" t="s">
        <v>320</v>
      </c>
      <c r="G39" s="199">
        <v>1</v>
      </c>
      <c r="H39" s="200">
        <v>3000000</v>
      </c>
      <c r="I39" s="174">
        <f t="shared" si="2"/>
        <v>3000000</v>
      </c>
      <c r="J39" s="298">
        <f t="shared" ref="J39:J72" si="4">+I39/$E$4</f>
        <v>75.447934386452374</v>
      </c>
      <c r="K39" s="425"/>
      <c r="L39" s="407"/>
      <c r="M39" s="394"/>
      <c r="N39" s="394"/>
      <c r="O39" s="395"/>
      <c r="P39" s="395"/>
      <c r="Q39" s="394"/>
      <c r="R39" s="395"/>
      <c r="S39" s="395"/>
      <c r="T39" s="396"/>
      <c r="U39" s="385"/>
      <c r="V39" s="119"/>
    </row>
    <row r="40" spans="2:22" x14ac:dyDescent="0.25">
      <c r="B40" s="593"/>
      <c r="C40" s="566"/>
      <c r="D40" s="570"/>
      <c r="E40" s="288" t="s">
        <v>325</v>
      </c>
      <c r="F40" s="181" t="s">
        <v>320</v>
      </c>
      <c r="G40" s="178">
        <v>16</v>
      </c>
      <c r="H40" s="180">
        <v>380000</v>
      </c>
      <c r="I40" s="174">
        <f t="shared" ref="I40:I43" si="5">+H40*G40</f>
        <v>6080000</v>
      </c>
      <c r="J40" s="298">
        <f t="shared" si="4"/>
        <v>152.9078136898768</v>
      </c>
      <c r="K40" s="425"/>
      <c r="L40" s="407"/>
      <c r="M40" s="394" t="s">
        <v>374</v>
      </c>
      <c r="N40" s="394"/>
      <c r="O40" s="395"/>
      <c r="P40" s="395"/>
      <c r="Q40" s="394"/>
      <c r="R40" s="395"/>
      <c r="S40" s="395"/>
      <c r="T40" s="396"/>
      <c r="U40" s="385"/>
      <c r="V40" s="119"/>
    </row>
    <row r="41" spans="2:22" x14ac:dyDescent="0.25">
      <c r="B41" s="593"/>
      <c r="C41" s="566"/>
      <c r="D41" s="570"/>
      <c r="E41" s="289" t="s">
        <v>327</v>
      </c>
      <c r="F41" s="181" t="s">
        <v>320</v>
      </c>
      <c r="G41" s="189">
        <v>16</v>
      </c>
      <c r="H41" s="190">
        <v>120000</v>
      </c>
      <c r="I41" s="219">
        <f t="shared" si="5"/>
        <v>1920000</v>
      </c>
      <c r="J41" s="298">
        <f t="shared" si="4"/>
        <v>48.28667800732952</v>
      </c>
      <c r="K41" s="425"/>
      <c r="L41" s="407"/>
      <c r="M41" s="394"/>
      <c r="N41" s="394"/>
      <c r="O41" s="395"/>
      <c r="P41" s="395"/>
      <c r="Q41" s="394"/>
      <c r="R41" s="395"/>
      <c r="S41" s="395"/>
      <c r="T41" s="396"/>
      <c r="U41" s="385"/>
      <c r="V41" s="119"/>
    </row>
    <row r="42" spans="2:22" x14ac:dyDescent="0.25">
      <c r="B42" s="593"/>
      <c r="C42" s="567"/>
      <c r="D42" s="575"/>
      <c r="E42" s="289" t="s">
        <v>328</v>
      </c>
      <c r="F42" s="188" t="s">
        <v>318</v>
      </c>
      <c r="G42" s="189">
        <v>10</v>
      </c>
      <c r="H42" s="220">
        <v>712530</v>
      </c>
      <c r="I42" s="219">
        <f t="shared" si="5"/>
        <v>7125300</v>
      </c>
      <c r="J42" s="298">
        <f t="shared" si="4"/>
        <v>179.19638896126304</v>
      </c>
      <c r="K42" s="430"/>
      <c r="L42" s="431"/>
      <c r="M42" s="409"/>
      <c r="N42" s="409"/>
      <c r="O42" s="410"/>
      <c r="P42" s="410"/>
      <c r="Q42" s="409"/>
      <c r="R42" s="410"/>
      <c r="S42" s="410"/>
      <c r="T42" s="411"/>
      <c r="U42" s="388"/>
      <c r="V42" s="145"/>
    </row>
    <row r="43" spans="2:22" ht="15.75" thickBot="1" x14ac:dyDescent="0.3">
      <c r="B43" s="593"/>
      <c r="C43" s="568"/>
      <c r="D43" s="576"/>
      <c r="E43" s="291" t="s">
        <v>310</v>
      </c>
      <c r="F43" s="182" t="s">
        <v>320</v>
      </c>
      <c r="G43" s="183">
        <f>2*7</f>
        <v>14</v>
      </c>
      <c r="H43" s="184">
        <v>695000</v>
      </c>
      <c r="I43" s="185">
        <f t="shared" si="5"/>
        <v>9730000</v>
      </c>
      <c r="J43" s="373">
        <f t="shared" si="4"/>
        <v>244.7028005267272</v>
      </c>
      <c r="K43" s="426"/>
      <c r="L43" s="427"/>
      <c r="M43" s="399"/>
      <c r="N43" s="399"/>
      <c r="O43" s="400"/>
      <c r="P43" s="400"/>
      <c r="Q43" s="399"/>
      <c r="R43" s="400"/>
      <c r="S43" s="400"/>
      <c r="T43" s="401"/>
      <c r="U43" s="386"/>
      <c r="V43" s="117"/>
    </row>
    <row r="44" spans="2:22" ht="27" customHeight="1" thickBot="1" x14ac:dyDescent="0.3">
      <c r="B44" s="449"/>
      <c r="C44" s="332"/>
      <c r="D44" s="310"/>
      <c r="E44" s="310"/>
      <c r="F44" s="311"/>
      <c r="G44" s="305"/>
      <c r="H44" s="308" t="s">
        <v>368</v>
      </c>
      <c r="I44" s="312">
        <f>SUM(I27:I43)</f>
        <v>875117610</v>
      </c>
      <c r="J44" s="370">
        <f t="shared" si="4"/>
        <v>22008.605339903006</v>
      </c>
      <c r="K44" s="428">
        <v>0</v>
      </c>
      <c r="L44" s="429">
        <f>+J44</f>
        <v>22008.605339903006</v>
      </c>
      <c r="M44" s="402">
        <v>0</v>
      </c>
      <c r="N44" s="402">
        <v>0</v>
      </c>
      <c r="O44" s="403">
        <v>0</v>
      </c>
      <c r="P44" s="403">
        <v>0</v>
      </c>
      <c r="Q44" s="402">
        <v>0</v>
      </c>
      <c r="R44" s="403">
        <v>0</v>
      </c>
      <c r="S44" s="403">
        <v>0</v>
      </c>
      <c r="T44" s="404">
        <v>0</v>
      </c>
      <c r="U44" s="387">
        <f>SUM(K44:T44)</f>
        <v>22008.605339903006</v>
      </c>
      <c r="V44" s="307"/>
    </row>
    <row r="45" spans="2:22" x14ac:dyDescent="0.25">
      <c r="B45" s="593">
        <v>3</v>
      </c>
      <c r="C45" s="565" t="s">
        <v>23</v>
      </c>
      <c r="D45" s="544" t="s">
        <v>291</v>
      </c>
      <c r="E45" s="268" t="s">
        <v>292</v>
      </c>
      <c r="F45" s="171" t="s">
        <v>319</v>
      </c>
      <c r="G45" s="193">
        <v>1498</v>
      </c>
      <c r="H45" s="170">
        <v>5360</v>
      </c>
      <c r="I45" s="170">
        <f>+H45*G45</f>
        <v>8029280</v>
      </c>
      <c r="J45" s="371">
        <f t="shared" si="4"/>
        <v>201.93086353681809</v>
      </c>
      <c r="K45" s="424"/>
      <c r="L45" s="405"/>
      <c r="M45" s="391"/>
      <c r="N45" s="391"/>
      <c r="O45" s="392"/>
      <c r="P45" s="392"/>
      <c r="Q45" s="391"/>
      <c r="R45" s="392"/>
      <c r="S45" s="392"/>
      <c r="T45" s="393"/>
      <c r="U45" s="384"/>
      <c r="V45" s="120"/>
    </row>
    <row r="46" spans="2:22" ht="34.5" customHeight="1" x14ac:dyDescent="0.25">
      <c r="B46" s="593"/>
      <c r="C46" s="583"/>
      <c r="D46" s="545"/>
      <c r="E46" s="249" t="s">
        <v>293</v>
      </c>
      <c r="F46" s="187"/>
      <c r="G46" s="536" t="s">
        <v>322</v>
      </c>
      <c r="H46" s="537"/>
      <c r="I46" s="174">
        <v>0</v>
      </c>
      <c r="J46" s="298">
        <f t="shared" si="4"/>
        <v>0</v>
      </c>
      <c r="K46" s="432"/>
      <c r="L46" s="433"/>
      <c r="M46" s="412"/>
      <c r="N46" s="412"/>
      <c r="O46" s="413"/>
      <c r="P46" s="413"/>
      <c r="Q46" s="412"/>
      <c r="R46" s="413"/>
      <c r="S46" s="413"/>
      <c r="T46" s="414"/>
      <c r="U46" s="389"/>
      <c r="V46" s="118"/>
    </row>
    <row r="47" spans="2:22" x14ac:dyDescent="0.25">
      <c r="B47" s="593"/>
      <c r="C47" s="583"/>
      <c r="D47" s="556" t="s">
        <v>294</v>
      </c>
      <c r="E47" s="249" t="s">
        <v>295</v>
      </c>
      <c r="F47" s="187" t="s">
        <v>318</v>
      </c>
      <c r="G47" s="192">
        <v>950</v>
      </c>
      <c r="H47" s="195">
        <v>48000</v>
      </c>
      <c r="I47" s="174">
        <f t="shared" ref="I47:I64" si="6">+H47*G47</f>
        <v>45600000</v>
      </c>
      <c r="J47" s="298">
        <f t="shared" si="4"/>
        <v>1146.8086026740762</v>
      </c>
      <c r="K47" s="432"/>
      <c r="L47" s="433"/>
      <c r="M47" s="412"/>
      <c r="N47" s="412"/>
      <c r="O47" s="413"/>
      <c r="P47" s="413"/>
      <c r="Q47" s="412"/>
      <c r="R47" s="413"/>
      <c r="S47" s="413"/>
      <c r="T47" s="414"/>
      <c r="U47" s="389"/>
      <c r="V47" s="118"/>
    </row>
    <row r="48" spans="2:22" ht="30" x14ac:dyDescent="0.25">
      <c r="B48" s="593"/>
      <c r="C48" s="583"/>
      <c r="D48" s="557"/>
      <c r="E48" s="250" t="s">
        <v>297</v>
      </c>
      <c r="F48" s="187" t="s">
        <v>318</v>
      </c>
      <c r="G48" s="192">
        <v>1200</v>
      </c>
      <c r="H48" s="195">
        <v>45760</v>
      </c>
      <c r="I48" s="174">
        <f t="shared" si="6"/>
        <v>54912000</v>
      </c>
      <c r="J48" s="298">
        <f t="shared" si="4"/>
        <v>1380.9989910096242</v>
      </c>
      <c r="K48" s="432"/>
      <c r="L48" s="433"/>
      <c r="M48" s="412"/>
      <c r="N48" s="412"/>
      <c r="O48" s="413"/>
      <c r="P48" s="413"/>
      <c r="Q48" s="412"/>
      <c r="R48" s="413"/>
      <c r="S48" s="413"/>
      <c r="T48" s="414"/>
      <c r="U48" s="389"/>
      <c r="V48" s="118"/>
    </row>
    <row r="49" spans="2:22" x14ac:dyDescent="0.25">
      <c r="B49" s="593"/>
      <c r="C49" s="583"/>
      <c r="D49" s="545"/>
      <c r="E49" s="250" t="s">
        <v>298</v>
      </c>
      <c r="F49" s="187" t="s">
        <v>318</v>
      </c>
      <c r="G49" s="192">
        <v>120</v>
      </c>
      <c r="H49" s="176">
        <v>379000</v>
      </c>
      <c r="I49" s="174">
        <f t="shared" si="6"/>
        <v>45480000</v>
      </c>
      <c r="J49" s="298">
        <f t="shared" si="4"/>
        <v>1143.790685298618</v>
      </c>
      <c r="K49" s="432"/>
      <c r="L49" s="433"/>
      <c r="M49" s="412"/>
      <c r="N49" s="412"/>
      <c r="O49" s="413"/>
      <c r="P49" s="413"/>
      <c r="Q49" s="412"/>
      <c r="R49" s="413"/>
      <c r="S49" s="413"/>
      <c r="T49" s="414"/>
      <c r="U49" s="389"/>
      <c r="V49" s="118"/>
    </row>
    <row r="50" spans="2:22" x14ac:dyDescent="0.25">
      <c r="B50" s="593"/>
      <c r="C50" s="583"/>
      <c r="D50" s="556" t="s">
        <v>299</v>
      </c>
      <c r="E50" s="251" t="s">
        <v>323</v>
      </c>
      <c r="F50" s="187"/>
      <c r="G50" s="192"/>
      <c r="H50" s="195"/>
      <c r="I50" s="174">
        <f t="shared" si="6"/>
        <v>0</v>
      </c>
      <c r="J50" s="298">
        <f t="shared" si="4"/>
        <v>0</v>
      </c>
      <c r="K50" s="432"/>
      <c r="L50" s="433"/>
      <c r="M50" s="412"/>
      <c r="N50" s="412"/>
      <c r="O50" s="413"/>
      <c r="P50" s="413"/>
      <c r="Q50" s="412"/>
      <c r="R50" s="413"/>
      <c r="S50" s="413"/>
      <c r="T50" s="414"/>
      <c r="U50" s="389"/>
      <c r="V50" s="118"/>
    </row>
    <row r="51" spans="2:22" x14ac:dyDescent="0.25">
      <c r="B51" s="593"/>
      <c r="C51" s="583"/>
      <c r="D51" s="557"/>
      <c r="E51" s="250" t="s">
        <v>301</v>
      </c>
      <c r="F51" s="187" t="s">
        <v>318</v>
      </c>
      <c r="G51" s="192">
        <f>+G45</f>
        <v>1498</v>
      </c>
      <c r="H51" s="180">
        <v>23350</v>
      </c>
      <c r="I51" s="174">
        <f t="shared" si="6"/>
        <v>34978300</v>
      </c>
      <c r="J51" s="298">
        <f t="shared" si="4"/>
        <v>879.68016111654902</v>
      </c>
      <c r="K51" s="432"/>
      <c r="L51" s="433"/>
      <c r="M51" s="412"/>
      <c r="N51" s="412"/>
      <c r="O51" s="413"/>
      <c r="P51" s="413"/>
      <c r="Q51" s="412"/>
      <c r="R51" s="413"/>
      <c r="S51" s="413"/>
      <c r="T51" s="414"/>
      <c r="U51" s="389"/>
      <c r="V51" s="118"/>
    </row>
    <row r="52" spans="2:22" x14ac:dyDescent="0.25">
      <c r="B52" s="593"/>
      <c r="C52" s="583"/>
      <c r="D52" s="557"/>
      <c r="E52" s="250" t="s">
        <v>302</v>
      </c>
      <c r="F52" s="187"/>
      <c r="G52" s="192"/>
      <c r="H52" s="195"/>
      <c r="I52" s="174">
        <f t="shared" si="6"/>
        <v>0</v>
      </c>
      <c r="J52" s="298">
        <f t="shared" si="4"/>
        <v>0</v>
      </c>
      <c r="K52" s="432"/>
      <c r="L52" s="433"/>
      <c r="M52" s="412"/>
      <c r="N52" s="412"/>
      <c r="O52" s="413"/>
      <c r="P52" s="413"/>
      <c r="Q52" s="412"/>
      <c r="R52" s="413"/>
      <c r="S52" s="413"/>
      <c r="T52" s="414"/>
      <c r="U52" s="389"/>
      <c r="V52" s="118"/>
    </row>
    <row r="53" spans="2:22" x14ac:dyDescent="0.25">
      <c r="B53" s="593"/>
      <c r="C53" s="583"/>
      <c r="D53" s="557"/>
      <c r="E53" s="250" t="s">
        <v>303</v>
      </c>
      <c r="F53" s="187"/>
      <c r="G53" s="192"/>
      <c r="H53" s="195"/>
      <c r="I53" s="174">
        <f t="shared" si="6"/>
        <v>0</v>
      </c>
      <c r="J53" s="298">
        <f t="shared" si="4"/>
        <v>0</v>
      </c>
      <c r="K53" s="432"/>
      <c r="L53" s="433"/>
      <c r="M53" s="412"/>
      <c r="N53" s="412"/>
      <c r="O53" s="413"/>
      <c r="P53" s="413"/>
      <c r="Q53" s="412"/>
      <c r="R53" s="413"/>
      <c r="S53" s="413"/>
      <c r="T53" s="414"/>
      <c r="U53" s="389"/>
      <c r="V53" s="118"/>
    </row>
    <row r="54" spans="2:22" x14ac:dyDescent="0.25">
      <c r="B54" s="593"/>
      <c r="C54" s="583"/>
      <c r="D54" s="557"/>
      <c r="E54" s="251" t="s">
        <v>324</v>
      </c>
      <c r="F54" s="187"/>
      <c r="G54" s="192"/>
      <c r="H54" s="195"/>
      <c r="I54" s="174">
        <f t="shared" si="6"/>
        <v>0</v>
      </c>
      <c r="J54" s="298">
        <f t="shared" si="4"/>
        <v>0</v>
      </c>
      <c r="K54" s="432"/>
      <c r="L54" s="433"/>
      <c r="M54" s="412"/>
      <c r="N54" s="412"/>
      <c r="O54" s="413"/>
      <c r="P54" s="413"/>
      <c r="Q54" s="412"/>
      <c r="R54" s="413"/>
      <c r="S54" s="413"/>
      <c r="T54" s="414"/>
      <c r="U54" s="389"/>
      <c r="V54" s="118"/>
    </row>
    <row r="55" spans="2:22" x14ac:dyDescent="0.25">
      <c r="B55" s="593"/>
      <c r="C55" s="583"/>
      <c r="D55" s="545"/>
      <c r="E55" s="250" t="s">
        <v>304</v>
      </c>
      <c r="F55" s="187"/>
      <c r="G55" s="192"/>
      <c r="H55" s="195"/>
      <c r="I55" s="174">
        <f t="shared" si="6"/>
        <v>0</v>
      </c>
      <c r="J55" s="298">
        <f t="shared" si="4"/>
        <v>0</v>
      </c>
      <c r="K55" s="432"/>
      <c r="L55" s="433"/>
      <c r="M55" s="412"/>
      <c r="N55" s="412"/>
      <c r="O55" s="413"/>
      <c r="P55" s="413"/>
      <c r="Q55" s="412"/>
      <c r="R55" s="413"/>
      <c r="S55" s="413"/>
      <c r="T55" s="414"/>
      <c r="U55" s="389"/>
      <c r="V55" s="118"/>
    </row>
    <row r="56" spans="2:22" x14ac:dyDescent="0.25">
      <c r="B56" s="593"/>
      <c r="C56" s="583"/>
      <c r="D56" s="599" t="s">
        <v>305</v>
      </c>
      <c r="E56" s="250" t="s">
        <v>221</v>
      </c>
      <c r="F56" s="187" t="s">
        <v>320</v>
      </c>
      <c r="G56" s="339">
        <v>3</v>
      </c>
      <c r="H56" s="195">
        <v>650000</v>
      </c>
      <c r="I56" s="174">
        <f t="shared" si="6"/>
        <v>1950000</v>
      </c>
      <c r="J56" s="298">
        <f t="shared" si="4"/>
        <v>49.041157351194045</v>
      </c>
      <c r="K56" s="432"/>
      <c r="L56" s="433"/>
      <c r="M56" s="412"/>
      <c r="N56" s="412"/>
      <c r="O56" s="413"/>
      <c r="P56" s="413"/>
      <c r="Q56" s="412"/>
      <c r="R56" s="413"/>
      <c r="S56" s="413"/>
      <c r="T56" s="414"/>
      <c r="U56" s="389"/>
      <c r="V56" s="118"/>
    </row>
    <row r="57" spans="2:22" x14ac:dyDescent="0.25">
      <c r="B57" s="593"/>
      <c r="C57" s="583"/>
      <c r="D57" s="557"/>
      <c r="E57" s="250" t="s">
        <v>308</v>
      </c>
      <c r="F57" s="187"/>
      <c r="G57" s="339"/>
      <c r="H57" s="195"/>
      <c r="I57" s="174">
        <f t="shared" si="6"/>
        <v>0</v>
      </c>
      <c r="J57" s="298">
        <f t="shared" si="4"/>
        <v>0</v>
      </c>
      <c r="K57" s="432"/>
      <c r="L57" s="433"/>
      <c r="M57" s="412"/>
      <c r="N57" s="412"/>
      <c r="O57" s="413"/>
      <c r="P57" s="413"/>
      <c r="Q57" s="412"/>
      <c r="R57" s="413"/>
      <c r="S57" s="413"/>
      <c r="T57" s="414"/>
      <c r="U57" s="389"/>
      <c r="V57" s="118"/>
    </row>
    <row r="58" spans="2:22" ht="18" customHeight="1" x14ac:dyDescent="0.25">
      <c r="B58" s="593"/>
      <c r="C58" s="583"/>
      <c r="D58" s="557"/>
      <c r="E58" s="299" t="s">
        <v>326</v>
      </c>
      <c r="F58" s="181" t="s">
        <v>320</v>
      </c>
      <c r="G58" s="221">
        <v>12</v>
      </c>
      <c r="H58" s="180">
        <v>200000</v>
      </c>
      <c r="I58" s="174">
        <f t="shared" si="6"/>
        <v>2400000</v>
      </c>
      <c r="J58" s="298">
        <f t="shared" si="4"/>
        <v>60.358347509161902</v>
      </c>
      <c r="K58" s="425"/>
      <c r="L58" s="407"/>
      <c r="M58" s="394"/>
      <c r="N58" s="394"/>
      <c r="O58" s="395"/>
      <c r="P58" s="395"/>
      <c r="Q58" s="394"/>
      <c r="R58" s="395"/>
      <c r="S58" s="395"/>
      <c r="T58" s="396"/>
      <c r="U58" s="385"/>
      <c r="V58" s="119"/>
    </row>
    <row r="59" spans="2:22" ht="18" customHeight="1" x14ac:dyDescent="0.25">
      <c r="B59" s="593"/>
      <c r="C59" s="583"/>
      <c r="D59" s="557"/>
      <c r="E59" s="300" t="s">
        <v>327</v>
      </c>
      <c r="F59" s="181" t="s">
        <v>320</v>
      </c>
      <c r="G59" s="253">
        <v>18</v>
      </c>
      <c r="H59" s="190">
        <v>120000</v>
      </c>
      <c r="I59" s="219">
        <f t="shared" si="6"/>
        <v>2160000</v>
      </c>
      <c r="J59" s="298">
        <f t="shared" si="4"/>
        <v>54.322512758245708</v>
      </c>
      <c r="K59" s="430"/>
      <c r="L59" s="431"/>
      <c r="M59" s="409"/>
      <c r="N59" s="409"/>
      <c r="O59" s="410"/>
      <c r="P59" s="410"/>
      <c r="Q59" s="409"/>
      <c r="R59" s="410"/>
      <c r="S59" s="410"/>
      <c r="T59" s="411"/>
      <c r="U59" s="388"/>
      <c r="V59" s="145"/>
    </row>
    <row r="60" spans="2:22" ht="18" customHeight="1" x14ac:dyDescent="0.25">
      <c r="B60" s="593"/>
      <c r="C60" s="583"/>
      <c r="D60" s="557"/>
      <c r="E60" s="300" t="s">
        <v>337</v>
      </c>
      <c r="F60" s="181" t="s">
        <v>320</v>
      </c>
      <c r="G60" s="253">
        <v>2</v>
      </c>
      <c r="H60" s="190">
        <v>120000</v>
      </c>
      <c r="I60" s="219">
        <f t="shared" si="6"/>
        <v>240000</v>
      </c>
      <c r="J60" s="465">
        <f t="shared" si="4"/>
        <v>6.03583475091619</v>
      </c>
      <c r="K60" s="430"/>
      <c r="L60" s="431"/>
      <c r="M60" s="409"/>
      <c r="N60" s="409"/>
      <c r="O60" s="410"/>
      <c r="P60" s="410"/>
      <c r="Q60" s="409"/>
      <c r="R60" s="410"/>
      <c r="S60" s="410"/>
      <c r="T60" s="411"/>
      <c r="U60" s="388"/>
      <c r="V60" s="145"/>
    </row>
    <row r="61" spans="2:22" ht="18" customHeight="1" x14ac:dyDescent="0.25">
      <c r="B61" s="593"/>
      <c r="C61" s="583"/>
      <c r="D61" s="557"/>
      <c r="E61" s="300" t="s">
        <v>328</v>
      </c>
      <c r="F61" s="188" t="s">
        <v>318</v>
      </c>
      <c r="G61" s="253">
        <v>16</v>
      </c>
      <c r="H61" s="220">
        <v>712530</v>
      </c>
      <c r="I61" s="219">
        <f t="shared" si="6"/>
        <v>11400480</v>
      </c>
      <c r="J61" s="298">
        <f t="shared" ref="J61:J62" si="7">+I61/$E$4</f>
        <v>286.71422233802087</v>
      </c>
      <c r="K61" s="430"/>
      <c r="L61" s="431"/>
      <c r="M61" s="409"/>
      <c r="N61" s="409"/>
      <c r="O61" s="410"/>
      <c r="P61" s="410"/>
      <c r="Q61" s="409"/>
      <c r="R61" s="410"/>
      <c r="S61" s="410"/>
      <c r="T61" s="411"/>
      <c r="U61" s="388"/>
      <c r="V61" s="145"/>
    </row>
    <row r="62" spans="2:22" ht="18.75" customHeight="1" thickBot="1" x14ac:dyDescent="0.3">
      <c r="B62" s="593"/>
      <c r="C62" s="584"/>
      <c r="D62" s="582"/>
      <c r="E62" s="301" t="s">
        <v>310</v>
      </c>
      <c r="F62" s="182" t="s">
        <v>320</v>
      </c>
      <c r="G62" s="254">
        <v>32</v>
      </c>
      <c r="H62" s="184">
        <v>695000</v>
      </c>
      <c r="I62" s="185">
        <f>+H62*G62</f>
        <v>22240000</v>
      </c>
      <c r="J62" s="373">
        <f t="shared" si="7"/>
        <v>559.3206869182336</v>
      </c>
      <c r="K62" s="426"/>
      <c r="L62" s="427"/>
      <c r="M62" s="399"/>
      <c r="N62" s="399"/>
      <c r="O62" s="400"/>
      <c r="P62" s="400"/>
      <c r="Q62" s="399"/>
      <c r="R62" s="400"/>
      <c r="S62" s="400"/>
      <c r="T62" s="401"/>
      <c r="U62" s="386"/>
      <c r="V62" s="117"/>
    </row>
    <row r="63" spans="2:22" ht="23.25" customHeight="1" thickBot="1" x14ac:dyDescent="0.3">
      <c r="B63" s="449"/>
      <c r="C63" s="332"/>
      <c r="D63" s="296"/>
      <c r="E63" s="338"/>
      <c r="F63" s="306"/>
      <c r="G63" s="305"/>
      <c r="H63" s="308" t="s">
        <v>368</v>
      </c>
      <c r="I63" s="312">
        <f>SUM(I45:I62)</f>
        <v>229390060</v>
      </c>
      <c r="J63" s="370">
        <f t="shared" si="4"/>
        <v>5769.0020652614576</v>
      </c>
      <c r="K63" s="428">
        <v>0</v>
      </c>
      <c r="L63" s="429">
        <v>0</v>
      </c>
      <c r="M63" s="402">
        <f>+J63</f>
        <v>5769.0020652614576</v>
      </c>
      <c r="N63" s="402">
        <v>0</v>
      </c>
      <c r="O63" s="403">
        <v>0</v>
      </c>
      <c r="P63" s="403">
        <v>0</v>
      </c>
      <c r="Q63" s="402">
        <v>0</v>
      </c>
      <c r="R63" s="403">
        <v>0</v>
      </c>
      <c r="S63" s="403">
        <v>0</v>
      </c>
      <c r="T63" s="404">
        <v>0</v>
      </c>
      <c r="U63" s="387">
        <f>SUM(K63:T63)</f>
        <v>5769.0020652614576</v>
      </c>
      <c r="V63" s="307"/>
    </row>
    <row r="64" spans="2:22" ht="46.5" customHeight="1" x14ac:dyDescent="0.25">
      <c r="B64" s="593">
        <v>4</v>
      </c>
      <c r="C64" s="565" t="s">
        <v>8</v>
      </c>
      <c r="D64" s="569" t="s">
        <v>291</v>
      </c>
      <c r="E64" s="217" t="s">
        <v>292</v>
      </c>
      <c r="F64" s="168" t="s">
        <v>318</v>
      </c>
      <c r="G64" s="169">
        <v>726</v>
      </c>
      <c r="H64" s="170">
        <v>5360</v>
      </c>
      <c r="I64" s="170">
        <f t="shared" si="6"/>
        <v>3891360</v>
      </c>
      <c r="J64" s="371">
        <f t="shared" si="4"/>
        <v>97.8650246513551</v>
      </c>
      <c r="K64" s="424"/>
      <c r="L64" s="405"/>
      <c r="M64" s="391"/>
      <c r="N64" s="391"/>
      <c r="O64" s="391"/>
      <c r="P64" s="391"/>
      <c r="Q64" s="391"/>
      <c r="R64" s="391"/>
      <c r="S64" s="391"/>
      <c r="T64" s="415"/>
      <c r="U64" s="384"/>
      <c r="V64" s="120" t="s">
        <v>271</v>
      </c>
    </row>
    <row r="65" spans="2:22" ht="27" customHeight="1" x14ac:dyDescent="0.25">
      <c r="B65" s="593"/>
      <c r="C65" s="566"/>
      <c r="D65" s="570"/>
      <c r="E65" s="215" t="s">
        <v>293</v>
      </c>
      <c r="F65" s="172" t="s">
        <v>319</v>
      </c>
      <c r="G65" s="539" t="s">
        <v>322</v>
      </c>
      <c r="H65" s="540"/>
      <c r="I65" s="174"/>
      <c r="J65" s="298">
        <f t="shared" si="4"/>
        <v>0</v>
      </c>
      <c r="K65" s="425"/>
      <c r="L65" s="407"/>
      <c r="M65" s="394"/>
      <c r="N65" s="394"/>
      <c r="O65" s="394"/>
      <c r="P65" s="394"/>
      <c r="Q65" s="394"/>
      <c r="R65" s="394"/>
      <c r="S65" s="394"/>
      <c r="T65" s="416"/>
      <c r="U65" s="385"/>
      <c r="V65" s="119"/>
    </row>
    <row r="66" spans="2:22" ht="15" customHeight="1" x14ac:dyDescent="0.25">
      <c r="B66" s="593"/>
      <c r="C66" s="566"/>
      <c r="D66" s="580" t="s">
        <v>294</v>
      </c>
      <c r="E66" s="215" t="s">
        <v>295</v>
      </c>
      <c r="F66" s="172" t="s">
        <v>318</v>
      </c>
      <c r="G66" s="178">
        <v>30</v>
      </c>
      <c r="H66" s="174">
        <v>48000</v>
      </c>
      <c r="I66" s="174">
        <f t="shared" ref="I66:I72" si="8">+H66*G66</f>
        <v>1440000</v>
      </c>
      <c r="J66" s="298">
        <f t="shared" si="4"/>
        <v>36.215008505497138</v>
      </c>
      <c r="K66" s="425"/>
      <c r="L66" s="407"/>
      <c r="M66" s="394"/>
      <c r="N66" s="394"/>
      <c r="O66" s="395"/>
      <c r="P66" s="395"/>
      <c r="Q66" s="394"/>
      <c r="R66" s="395"/>
      <c r="S66" s="395"/>
      <c r="T66" s="396"/>
      <c r="U66" s="385"/>
      <c r="V66" s="119"/>
    </row>
    <row r="67" spans="2:22" x14ac:dyDescent="0.25">
      <c r="B67" s="593"/>
      <c r="C67" s="566"/>
      <c r="D67" s="581"/>
      <c r="E67" s="215" t="s">
        <v>296</v>
      </c>
      <c r="F67" s="172" t="s">
        <v>318</v>
      </c>
      <c r="G67" s="178">
        <v>656</v>
      </c>
      <c r="H67" s="176">
        <v>50000</v>
      </c>
      <c r="I67" s="174">
        <f t="shared" si="8"/>
        <v>32800000</v>
      </c>
      <c r="J67" s="298">
        <f t="shared" si="4"/>
        <v>824.89741595854593</v>
      </c>
      <c r="K67" s="425"/>
      <c r="L67" s="407"/>
      <c r="M67" s="394"/>
      <c r="N67" s="394"/>
      <c r="O67" s="395"/>
      <c r="P67" s="395"/>
      <c r="Q67" s="394"/>
      <c r="R67" s="395"/>
      <c r="S67" s="395"/>
      <c r="T67" s="396"/>
      <c r="U67" s="385"/>
      <c r="V67" s="119"/>
    </row>
    <row r="68" spans="2:22" ht="30" x14ac:dyDescent="0.25">
      <c r="B68" s="593"/>
      <c r="C68" s="566"/>
      <c r="D68" s="581"/>
      <c r="E68" s="215" t="s">
        <v>297</v>
      </c>
      <c r="F68" s="172" t="s">
        <v>318</v>
      </c>
      <c r="G68" s="178">
        <v>112</v>
      </c>
      <c r="H68" s="176">
        <v>28000</v>
      </c>
      <c r="I68" s="174">
        <f t="shared" si="8"/>
        <v>3136000</v>
      </c>
      <c r="J68" s="298">
        <f t="shared" si="4"/>
        <v>78.868240745304888</v>
      </c>
      <c r="K68" s="425"/>
      <c r="L68" s="407"/>
      <c r="M68" s="394"/>
      <c r="N68" s="394"/>
      <c r="O68" s="395"/>
      <c r="P68" s="395"/>
      <c r="Q68" s="394"/>
      <c r="R68" s="395"/>
      <c r="S68" s="395"/>
      <c r="T68" s="396"/>
      <c r="U68" s="385"/>
      <c r="V68" s="119"/>
    </row>
    <row r="69" spans="2:22" x14ac:dyDescent="0.25">
      <c r="B69" s="593"/>
      <c r="C69" s="566"/>
      <c r="D69" s="581"/>
      <c r="E69" s="215" t="s">
        <v>298</v>
      </c>
      <c r="F69" s="172" t="s">
        <v>318</v>
      </c>
      <c r="G69" s="178">
        <v>60</v>
      </c>
      <c r="H69" s="176">
        <v>379000</v>
      </c>
      <c r="I69" s="174">
        <f t="shared" si="8"/>
        <v>22740000</v>
      </c>
      <c r="J69" s="298">
        <f t="shared" si="4"/>
        <v>571.89534264930899</v>
      </c>
      <c r="K69" s="425"/>
      <c r="L69" s="407"/>
      <c r="M69" s="394"/>
      <c r="N69" s="394"/>
      <c r="O69" s="395"/>
      <c r="P69" s="395"/>
      <c r="Q69" s="394"/>
      <c r="R69" s="395"/>
      <c r="S69" s="395"/>
      <c r="T69" s="396"/>
      <c r="U69" s="385"/>
      <c r="V69" s="119"/>
    </row>
    <row r="70" spans="2:22" x14ac:dyDescent="0.25">
      <c r="B70" s="593"/>
      <c r="C70" s="566"/>
      <c r="D70" s="570" t="s">
        <v>299</v>
      </c>
      <c r="E70" s="215" t="s">
        <v>301</v>
      </c>
      <c r="F70" s="177" t="s">
        <v>319</v>
      </c>
      <c r="G70" s="178">
        <v>726</v>
      </c>
      <c r="H70" s="180">
        <v>23350</v>
      </c>
      <c r="I70" s="174">
        <f t="shared" si="8"/>
        <v>16952100</v>
      </c>
      <c r="J70" s="298">
        <f t="shared" si="4"/>
        <v>426.33364283752644</v>
      </c>
      <c r="K70" s="425"/>
      <c r="L70" s="407"/>
      <c r="M70" s="394"/>
      <c r="N70" s="394"/>
      <c r="O70" s="395"/>
      <c r="P70" s="395"/>
      <c r="Q70" s="394"/>
      <c r="R70" s="395"/>
      <c r="S70" s="395"/>
      <c r="T70" s="396"/>
      <c r="U70" s="385"/>
      <c r="V70" s="119"/>
    </row>
    <row r="71" spans="2:22" x14ac:dyDescent="0.25">
      <c r="B71" s="593"/>
      <c r="C71" s="566"/>
      <c r="D71" s="570"/>
      <c r="E71" s="215" t="s">
        <v>303</v>
      </c>
      <c r="F71" s="177" t="s">
        <v>319</v>
      </c>
      <c r="G71" s="178"/>
      <c r="H71" s="180"/>
      <c r="I71" s="174">
        <f t="shared" si="8"/>
        <v>0</v>
      </c>
      <c r="J71" s="298">
        <f t="shared" si="4"/>
        <v>0</v>
      </c>
      <c r="K71" s="425"/>
      <c r="L71" s="407"/>
      <c r="M71" s="394"/>
      <c r="N71" s="394"/>
      <c r="O71" s="395"/>
      <c r="P71" s="395"/>
      <c r="Q71" s="394"/>
      <c r="R71" s="395"/>
      <c r="S71" s="395"/>
      <c r="T71" s="396"/>
      <c r="U71" s="385"/>
      <c r="V71" s="119"/>
    </row>
    <row r="72" spans="2:22" x14ac:dyDescent="0.25">
      <c r="B72" s="593"/>
      <c r="C72" s="566"/>
      <c r="D72" s="570"/>
      <c r="E72" s="215" t="s">
        <v>324</v>
      </c>
      <c r="F72" s="177" t="s">
        <v>319</v>
      </c>
      <c r="G72" s="178"/>
      <c r="H72" s="180"/>
      <c r="I72" s="174">
        <f t="shared" si="8"/>
        <v>0</v>
      </c>
      <c r="J72" s="298">
        <f t="shared" si="4"/>
        <v>0</v>
      </c>
      <c r="K72" s="425"/>
      <c r="L72" s="407"/>
      <c r="M72" s="394"/>
      <c r="N72" s="394"/>
      <c r="O72" s="395"/>
      <c r="P72" s="395"/>
      <c r="Q72" s="394"/>
      <c r="R72" s="395"/>
      <c r="S72" s="395"/>
      <c r="T72" s="396"/>
      <c r="U72" s="385"/>
      <c r="V72" s="119"/>
    </row>
    <row r="73" spans="2:22" ht="18" customHeight="1" x14ac:dyDescent="0.25">
      <c r="B73" s="593"/>
      <c r="C73" s="567"/>
      <c r="D73" s="575" t="s">
        <v>305</v>
      </c>
      <c r="E73" s="229" t="s">
        <v>326</v>
      </c>
      <c r="F73" s="181" t="s">
        <v>320</v>
      </c>
      <c r="G73" s="178">
        <v>1</v>
      </c>
      <c r="H73" s="180">
        <v>200000</v>
      </c>
      <c r="I73" s="174">
        <f t="shared" ref="I73:I76" si="9">+H73*G73</f>
        <v>200000</v>
      </c>
      <c r="J73" s="298">
        <f t="shared" ref="J73:J76" si="10">+I73/$E$4</f>
        <v>5.0298622924301579</v>
      </c>
      <c r="K73" s="425"/>
      <c r="L73" s="407"/>
      <c r="M73" s="394"/>
      <c r="N73" s="394"/>
      <c r="O73" s="395"/>
      <c r="P73" s="395"/>
      <c r="Q73" s="394"/>
      <c r="R73" s="395"/>
      <c r="S73" s="395"/>
      <c r="T73" s="396"/>
      <c r="U73" s="385"/>
      <c r="V73" s="119"/>
    </row>
    <row r="74" spans="2:22" ht="18" customHeight="1" x14ac:dyDescent="0.25">
      <c r="B74" s="593"/>
      <c r="C74" s="567"/>
      <c r="D74" s="575"/>
      <c r="E74" s="230" t="s">
        <v>327</v>
      </c>
      <c r="F74" s="181" t="s">
        <v>320</v>
      </c>
      <c r="G74" s="189">
        <v>2</v>
      </c>
      <c r="H74" s="190">
        <v>120000</v>
      </c>
      <c r="I74" s="219">
        <f t="shared" si="9"/>
        <v>240000</v>
      </c>
      <c r="J74" s="298">
        <f>+I74/$E$4</f>
        <v>6.03583475091619</v>
      </c>
      <c r="K74" s="430"/>
      <c r="L74" s="431"/>
      <c r="M74" s="409"/>
      <c r="N74" s="409"/>
      <c r="O74" s="410"/>
      <c r="P74" s="410"/>
      <c r="Q74" s="409"/>
      <c r="R74" s="410"/>
      <c r="S74" s="410"/>
      <c r="T74" s="411"/>
      <c r="U74" s="388"/>
      <c r="V74" s="145"/>
    </row>
    <row r="75" spans="2:22" ht="18" customHeight="1" x14ac:dyDescent="0.25">
      <c r="B75" s="593"/>
      <c r="C75" s="567"/>
      <c r="D75" s="575"/>
      <c r="E75" s="230" t="s">
        <v>337</v>
      </c>
      <c r="F75" s="181" t="s">
        <v>320</v>
      </c>
      <c r="G75" s="189">
        <v>1</v>
      </c>
      <c r="H75" s="190">
        <v>120000</v>
      </c>
      <c r="I75" s="219">
        <f t="shared" si="9"/>
        <v>120000</v>
      </c>
      <c r="J75" s="465">
        <f>+I75/$E$4</f>
        <v>3.017917375458095</v>
      </c>
      <c r="K75" s="430"/>
      <c r="L75" s="431"/>
      <c r="M75" s="409"/>
      <c r="N75" s="409"/>
      <c r="O75" s="410"/>
      <c r="P75" s="410"/>
      <c r="Q75" s="409"/>
      <c r="R75" s="410"/>
      <c r="S75" s="410"/>
      <c r="T75" s="411"/>
      <c r="U75" s="388"/>
      <c r="V75" s="145"/>
    </row>
    <row r="76" spans="2:22" ht="18" customHeight="1" x14ac:dyDescent="0.25">
      <c r="B76" s="593"/>
      <c r="C76" s="567"/>
      <c r="D76" s="575"/>
      <c r="E76" s="230" t="s">
        <v>328</v>
      </c>
      <c r="F76" s="188" t="s">
        <v>318</v>
      </c>
      <c r="G76" s="189">
        <v>2</v>
      </c>
      <c r="H76" s="220">
        <v>712530</v>
      </c>
      <c r="I76" s="219">
        <f t="shared" si="9"/>
        <v>1425060</v>
      </c>
      <c r="J76" s="298">
        <f t="shared" si="10"/>
        <v>35.839277792252609</v>
      </c>
      <c r="K76" s="430"/>
      <c r="L76" s="431"/>
      <c r="M76" s="409"/>
      <c r="N76" s="409"/>
      <c r="O76" s="410"/>
      <c r="P76" s="410"/>
      <c r="Q76" s="409"/>
      <c r="R76" s="410"/>
      <c r="S76" s="410"/>
      <c r="T76" s="411"/>
      <c r="U76" s="388"/>
      <c r="V76" s="145"/>
    </row>
    <row r="77" spans="2:22" ht="25.5" customHeight="1" thickBot="1" x14ac:dyDescent="0.3">
      <c r="B77" s="593"/>
      <c r="C77" s="568"/>
      <c r="D77" s="576"/>
      <c r="E77" s="216" t="s">
        <v>310</v>
      </c>
      <c r="F77" s="182" t="s">
        <v>320</v>
      </c>
      <c r="G77" s="183">
        <v>1</v>
      </c>
      <c r="H77" s="184">
        <v>695000</v>
      </c>
      <c r="I77" s="185">
        <f>+H77*G77</f>
        <v>695000</v>
      </c>
      <c r="J77" s="373">
        <f t="shared" ref="J77:J88" si="11">+I77/$E$4</f>
        <v>17.4787714661948</v>
      </c>
      <c r="K77" s="426"/>
      <c r="L77" s="427"/>
      <c r="M77" s="399"/>
      <c r="N77" s="399"/>
      <c r="O77" s="400"/>
      <c r="P77" s="400"/>
      <c r="Q77" s="399"/>
      <c r="R77" s="400"/>
      <c r="S77" s="400"/>
      <c r="T77" s="401"/>
      <c r="U77" s="386"/>
      <c r="V77" s="117"/>
    </row>
    <row r="78" spans="2:22" ht="25.5" customHeight="1" thickBot="1" x14ac:dyDescent="0.3">
      <c r="B78" s="449"/>
      <c r="C78" s="332"/>
      <c r="D78" s="310"/>
      <c r="E78" s="310"/>
      <c r="F78" s="311"/>
      <c r="G78" s="305"/>
      <c r="H78" s="308" t="s">
        <v>368</v>
      </c>
      <c r="I78" s="312">
        <f>SUM(I64:I77)</f>
        <v>83639520</v>
      </c>
      <c r="J78" s="370">
        <f t="shared" si="11"/>
        <v>2103.4763390247904</v>
      </c>
      <c r="K78" s="428">
        <v>0</v>
      </c>
      <c r="L78" s="429">
        <v>0</v>
      </c>
      <c r="M78" s="402">
        <f>+J78</f>
        <v>2103.4763390247904</v>
      </c>
      <c r="N78" s="402">
        <v>0</v>
      </c>
      <c r="O78" s="403">
        <v>0</v>
      </c>
      <c r="P78" s="403">
        <v>0</v>
      </c>
      <c r="Q78" s="402">
        <v>0</v>
      </c>
      <c r="R78" s="403">
        <v>0</v>
      </c>
      <c r="S78" s="403">
        <v>0</v>
      </c>
      <c r="T78" s="404">
        <v>0</v>
      </c>
      <c r="U78" s="387">
        <f>SUM(K78:T78)</f>
        <v>2103.4763390247904</v>
      </c>
      <c r="V78" s="307"/>
    </row>
    <row r="79" spans="2:22" ht="14.25" customHeight="1" x14ac:dyDescent="0.25">
      <c r="B79" s="593">
        <v>5</v>
      </c>
      <c r="C79" s="565" t="s">
        <v>290</v>
      </c>
      <c r="D79" s="544" t="s">
        <v>291</v>
      </c>
      <c r="E79" s="256" t="s">
        <v>292</v>
      </c>
      <c r="F79" s="241" t="s">
        <v>319</v>
      </c>
      <c r="G79" s="193">
        <v>2778</v>
      </c>
      <c r="H79" s="170">
        <v>5360</v>
      </c>
      <c r="I79" s="170">
        <f>+H79*G79</f>
        <v>14890080</v>
      </c>
      <c r="J79" s="374">
        <f t="shared" si="11"/>
        <v>374.47525961634227</v>
      </c>
      <c r="K79" s="424"/>
      <c r="L79" s="405"/>
      <c r="M79" s="391"/>
      <c r="N79" s="391"/>
      <c r="O79" s="392"/>
      <c r="P79" s="392"/>
      <c r="Q79" s="391"/>
      <c r="R79" s="392"/>
      <c r="S79" s="392"/>
      <c r="T79" s="393"/>
      <c r="U79" s="384"/>
      <c r="V79" s="121" t="s">
        <v>284</v>
      </c>
    </row>
    <row r="80" spans="2:22" ht="29.25" customHeight="1" x14ac:dyDescent="0.25">
      <c r="B80" s="593"/>
      <c r="C80" s="566"/>
      <c r="D80" s="545"/>
      <c r="E80" s="249" t="s">
        <v>293</v>
      </c>
      <c r="F80" s="243" t="s">
        <v>319</v>
      </c>
      <c r="G80" s="536" t="s">
        <v>322</v>
      </c>
      <c r="H80" s="537"/>
      <c r="I80" s="174">
        <v>0</v>
      </c>
      <c r="J80" s="298">
        <f t="shared" si="11"/>
        <v>0</v>
      </c>
      <c r="K80" s="425"/>
      <c r="L80" s="407"/>
      <c r="M80" s="394"/>
      <c r="N80" s="394"/>
      <c r="O80" s="395"/>
      <c r="P80" s="395"/>
      <c r="Q80" s="394"/>
      <c r="R80" s="395"/>
      <c r="S80" s="395"/>
      <c r="T80" s="396"/>
      <c r="U80" s="385"/>
      <c r="V80" s="147" t="s">
        <v>272</v>
      </c>
    </row>
    <row r="81" spans="2:22" x14ac:dyDescent="0.25">
      <c r="B81" s="593"/>
      <c r="C81" s="566"/>
      <c r="D81" s="558" t="s">
        <v>294</v>
      </c>
      <c r="E81" s="250" t="s">
        <v>296</v>
      </c>
      <c r="F81" s="243" t="s">
        <v>318</v>
      </c>
      <c r="G81" s="178">
        <v>1500</v>
      </c>
      <c r="H81" s="176">
        <v>28000</v>
      </c>
      <c r="I81" s="174">
        <f t="shared" ref="I81:I105" si="12">+H81*G81</f>
        <v>42000000</v>
      </c>
      <c r="J81" s="298">
        <f t="shared" si="11"/>
        <v>1056.2710814103332</v>
      </c>
      <c r="K81" s="425"/>
      <c r="L81" s="407"/>
      <c r="M81" s="394"/>
      <c r="N81" s="394"/>
      <c r="O81" s="395"/>
      <c r="P81" s="395"/>
      <c r="Q81" s="394"/>
      <c r="R81" s="395"/>
      <c r="S81" s="395"/>
      <c r="T81" s="396"/>
      <c r="U81" s="385"/>
      <c r="V81" s="119" t="s">
        <v>285</v>
      </c>
    </row>
    <row r="82" spans="2:22" ht="30" x14ac:dyDescent="0.25">
      <c r="B82" s="593"/>
      <c r="C82" s="566"/>
      <c r="D82" s="557"/>
      <c r="E82" s="250" t="s">
        <v>297</v>
      </c>
      <c r="F82" s="243" t="s">
        <v>318</v>
      </c>
      <c r="G82" s="178">
        <v>2160</v>
      </c>
      <c r="H82" s="176">
        <v>28000</v>
      </c>
      <c r="I82" s="174">
        <f t="shared" si="12"/>
        <v>60480000</v>
      </c>
      <c r="J82" s="298">
        <f t="shared" si="11"/>
        <v>1521.0303572308799</v>
      </c>
      <c r="K82" s="425"/>
      <c r="L82" s="407"/>
      <c r="M82" s="394"/>
      <c r="N82" s="394"/>
      <c r="O82" s="395"/>
      <c r="P82" s="395"/>
      <c r="Q82" s="394"/>
      <c r="R82" s="395"/>
      <c r="S82" s="395"/>
      <c r="T82" s="396"/>
      <c r="U82" s="385"/>
      <c r="V82" s="146"/>
    </row>
    <row r="83" spans="2:22" x14ac:dyDescent="0.25">
      <c r="B83" s="593"/>
      <c r="C83" s="566"/>
      <c r="D83" s="545"/>
      <c r="E83" s="250" t="s">
        <v>298</v>
      </c>
      <c r="F83" s="243" t="s">
        <v>318</v>
      </c>
      <c r="G83" s="178">
        <v>650</v>
      </c>
      <c r="H83" s="176">
        <v>379000</v>
      </c>
      <c r="I83" s="174">
        <f t="shared" si="12"/>
        <v>246350000</v>
      </c>
      <c r="J83" s="298">
        <f t="shared" si="11"/>
        <v>6195.5328787008475</v>
      </c>
      <c r="K83" s="425"/>
      <c r="L83" s="407"/>
      <c r="M83" s="394"/>
      <c r="N83" s="394"/>
      <c r="O83" s="395"/>
      <c r="P83" s="395"/>
      <c r="Q83" s="394"/>
      <c r="R83" s="395"/>
      <c r="S83" s="395"/>
      <c r="T83" s="396"/>
      <c r="U83" s="385"/>
      <c r="V83" s="119" t="s">
        <v>286</v>
      </c>
    </row>
    <row r="84" spans="2:22" ht="15" customHeight="1" x14ac:dyDescent="0.25">
      <c r="B84" s="593"/>
      <c r="C84" s="566"/>
      <c r="D84" s="556" t="s">
        <v>299</v>
      </c>
      <c r="E84" s="251" t="s">
        <v>323</v>
      </c>
      <c r="F84" s="243" t="s">
        <v>319</v>
      </c>
      <c r="G84" s="178">
        <v>1</v>
      </c>
      <c r="H84" s="180"/>
      <c r="I84" s="174">
        <f t="shared" si="12"/>
        <v>0</v>
      </c>
      <c r="J84" s="298">
        <f t="shared" si="11"/>
        <v>0</v>
      </c>
      <c r="K84" s="425"/>
      <c r="L84" s="407"/>
      <c r="M84" s="394"/>
      <c r="N84" s="394"/>
      <c r="O84" s="395"/>
      <c r="P84" s="395"/>
      <c r="Q84" s="394"/>
      <c r="R84" s="395"/>
      <c r="S84" s="395"/>
      <c r="T84" s="396"/>
      <c r="U84" s="385"/>
      <c r="V84" s="119" t="s">
        <v>285</v>
      </c>
    </row>
    <row r="85" spans="2:22" x14ac:dyDescent="0.25">
      <c r="B85" s="593"/>
      <c r="C85" s="567"/>
      <c r="D85" s="557"/>
      <c r="E85" s="250" t="s">
        <v>301</v>
      </c>
      <c r="F85" s="243" t="s">
        <v>319</v>
      </c>
      <c r="G85" s="189">
        <f>+G79</f>
        <v>2778</v>
      </c>
      <c r="H85" s="180">
        <v>23350</v>
      </c>
      <c r="I85" s="174">
        <f t="shared" si="12"/>
        <v>64866300</v>
      </c>
      <c r="J85" s="298">
        <f t="shared" si="11"/>
        <v>1631.3427820973118</v>
      </c>
      <c r="K85" s="430"/>
      <c r="L85" s="431"/>
      <c r="M85" s="409"/>
      <c r="N85" s="409"/>
      <c r="O85" s="410"/>
      <c r="P85" s="410"/>
      <c r="Q85" s="409"/>
      <c r="R85" s="410"/>
      <c r="S85" s="410"/>
      <c r="T85" s="411"/>
      <c r="U85" s="388"/>
      <c r="V85" s="145"/>
    </row>
    <row r="86" spans="2:22" x14ac:dyDescent="0.25">
      <c r="B86" s="593"/>
      <c r="C86" s="567"/>
      <c r="D86" s="557"/>
      <c r="E86" s="250" t="s">
        <v>303</v>
      </c>
      <c r="F86" s="243" t="s">
        <v>319</v>
      </c>
      <c r="G86" s="189">
        <v>1</v>
      </c>
      <c r="H86" s="190"/>
      <c r="I86" s="174">
        <f t="shared" si="12"/>
        <v>0</v>
      </c>
      <c r="J86" s="298">
        <f t="shared" si="11"/>
        <v>0</v>
      </c>
      <c r="K86" s="430"/>
      <c r="L86" s="431"/>
      <c r="M86" s="409"/>
      <c r="N86" s="409"/>
      <c r="O86" s="410"/>
      <c r="P86" s="410"/>
      <c r="Q86" s="409"/>
      <c r="R86" s="410"/>
      <c r="S86" s="410"/>
      <c r="T86" s="411"/>
      <c r="U86" s="388"/>
      <c r="V86" s="145"/>
    </row>
    <row r="87" spans="2:22" x14ac:dyDescent="0.25">
      <c r="B87" s="593"/>
      <c r="C87" s="567"/>
      <c r="D87" s="557"/>
      <c r="E87" s="251" t="s">
        <v>324</v>
      </c>
      <c r="F87" s="243" t="s">
        <v>319</v>
      </c>
      <c r="G87" s="189">
        <v>1</v>
      </c>
      <c r="H87" s="190"/>
      <c r="I87" s="174">
        <f t="shared" si="12"/>
        <v>0</v>
      </c>
      <c r="J87" s="298">
        <f t="shared" si="11"/>
        <v>0</v>
      </c>
      <c r="K87" s="430"/>
      <c r="L87" s="431"/>
      <c r="M87" s="409"/>
      <c r="N87" s="409"/>
      <c r="O87" s="410"/>
      <c r="P87" s="410"/>
      <c r="Q87" s="409"/>
      <c r="R87" s="410"/>
      <c r="S87" s="410"/>
      <c r="T87" s="411"/>
      <c r="U87" s="388"/>
      <c r="V87" s="145"/>
    </row>
    <row r="88" spans="2:22" x14ac:dyDescent="0.25">
      <c r="B88" s="593"/>
      <c r="C88" s="567"/>
      <c r="D88" s="545"/>
      <c r="E88" s="250" t="s">
        <v>304</v>
      </c>
      <c r="F88" s="246" t="s">
        <v>319</v>
      </c>
      <c r="G88" s="189">
        <v>1</v>
      </c>
      <c r="H88" s="190"/>
      <c r="I88" s="174">
        <f t="shared" si="12"/>
        <v>0</v>
      </c>
      <c r="J88" s="298">
        <f t="shared" si="11"/>
        <v>0</v>
      </c>
      <c r="K88" s="430"/>
      <c r="L88" s="431"/>
      <c r="M88" s="409"/>
      <c r="N88" s="409"/>
      <c r="O88" s="410"/>
      <c r="P88" s="410"/>
      <c r="Q88" s="409"/>
      <c r="R88" s="410"/>
      <c r="S88" s="410"/>
      <c r="T88" s="411"/>
      <c r="U88" s="388"/>
      <c r="V88" s="145"/>
    </row>
    <row r="89" spans="2:22" x14ac:dyDescent="0.25">
      <c r="B89" s="593"/>
      <c r="C89" s="567"/>
      <c r="D89" s="558" t="s">
        <v>305</v>
      </c>
      <c r="E89" s="288" t="s">
        <v>359</v>
      </c>
      <c r="F89" s="247" t="s">
        <v>320</v>
      </c>
      <c r="G89" s="178">
        <v>45</v>
      </c>
      <c r="H89" s="180">
        <v>380000</v>
      </c>
      <c r="I89" s="174">
        <f t="shared" si="12"/>
        <v>17100000</v>
      </c>
      <c r="J89" s="298">
        <f t="shared" ref="J89:J94" si="13">+I89/$E$4</f>
        <v>430.05322600277856</v>
      </c>
      <c r="K89" s="425"/>
      <c r="L89" s="407"/>
      <c r="M89" s="394"/>
      <c r="N89" s="394"/>
      <c r="O89" s="395"/>
      <c r="P89" s="395"/>
      <c r="Q89" s="394"/>
      <c r="R89" s="395"/>
      <c r="S89" s="395"/>
      <c r="T89" s="396"/>
      <c r="U89" s="385"/>
      <c r="V89" s="119"/>
    </row>
    <row r="90" spans="2:22" x14ac:dyDescent="0.25">
      <c r="B90" s="593"/>
      <c r="C90" s="567"/>
      <c r="D90" s="558"/>
      <c r="E90" s="289" t="s">
        <v>326</v>
      </c>
      <c r="F90" s="247"/>
      <c r="G90" s="189">
        <v>15</v>
      </c>
      <c r="H90" s="190">
        <v>200000</v>
      </c>
      <c r="I90" s="174">
        <f t="shared" si="12"/>
        <v>3000000</v>
      </c>
      <c r="J90" s="298">
        <f>+I90/$E$4</f>
        <v>75.447934386452374</v>
      </c>
      <c r="K90" s="425"/>
      <c r="L90" s="407"/>
      <c r="M90" s="394"/>
      <c r="N90" s="394"/>
      <c r="O90" s="395"/>
      <c r="P90" s="395"/>
      <c r="Q90" s="394"/>
      <c r="R90" s="395"/>
      <c r="S90" s="395"/>
      <c r="T90" s="396"/>
      <c r="U90" s="385"/>
      <c r="V90" s="119"/>
    </row>
    <row r="91" spans="2:22" x14ac:dyDescent="0.25">
      <c r="B91" s="593"/>
      <c r="C91" s="567"/>
      <c r="D91" s="558"/>
      <c r="E91" s="289" t="s">
        <v>360</v>
      </c>
      <c r="F91" s="247" t="s">
        <v>320</v>
      </c>
      <c r="G91" s="189">
        <v>24</v>
      </c>
      <c r="H91" s="190">
        <v>120000</v>
      </c>
      <c r="I91" s="219">
        <f t="shared" si="12"/>
        <v>2880000</v>
      </c>
      <c r="J91" s="298">
        <f t="shared" si="13"/>
        <v>72.430017010994277</v>
      </c>
      <c r="K91" s="425"/>
      <c r="L91" s="407"/>
      <c r="M91" s="394"/>
      <c r="N91" s="394"/>
      <c r="O91" s="395"/>
      <c r="P91" s="395"/>
      <c r="Q91" s="394"/>
      <c r="R91" s="395"/>
      <c r="S91" s="395"/>
      <c r="T91" s="396"/>
      <c r="U91" s="385"/>
      <c r="V91" s="119"/>
    </row>
    <row r="92" spans="2:22" x14ac:dyDescent="0.25">
      <c r="B92" s="593"/>
      <c r="C92" s="567"/>
      <c r="D92" s="558"/>
      <c r="E92" s="289" t="s">
        <v>361</v>
      </c>
      <c r="F92" s="248" t="s">
        <v>318</v>
      </c>
      <c r="G92" s="189">
        <v>9</v>
      </c>
      <c r="H92" s="220">
        <v>712530</v>
      </c>
      <c r="I92" s="219">
        <f t="shared" si="12"/>
        <v>6412770</v>
      </c>
      <c r="J92" s="298">
        <f t="shared" si="13"/>
        <v>161.27675006513672</v>
      </c>
      <c r="K92" s="430"/>
      <c r="L92" s="431"/>
      <c r="M92" s="409"/>
      <c r="N92" s="409"/>
      <c r="O92" s="410"/>
      <c r="P92" s="410"/>
      <c r="Q92" s="409"/>
      <c r="R92" s="410"/>
      <c r="S92" s="410"/>
      <c r="T92" s="411"/>
      <c r="U92" s="388"/>
      <c r="V92" s="145"/>
    </row>
    <row r="93" spans="2:22" ht="23.25" customHeight="1" thickBot="1" x14ac:dyDescent="0.3">
      <c r="B93" s="593"/>
      <c r="C93" s="568"/>
      <c r="D93" s="559"/>
      <c r="E93" s="291" t="s">
        <v>310</v>
      </c>
      <c r="F93" s="252" t="s">
        <v>320</v>
      </c>
      <c r="G93" s="183">
        <v>45</v>
      </c>
      <c r="H93" s="184">
        <v>695000</v>
      </c>
      <c r="I93" s="185">
        <f t="shared" si="12"/>
        <v>31275000</v>
      </c>
      <c r="J93" s="373">
        <f t="shared" si="13"/>
        <v>786.54471597876602</v>
      </c>
      <c r="K93" s="426"/>
      <c r="L93" s="427"/>
      <c r="M93" s="399"/>
      <c r="N93" s="399"/>
      <c r="O93" s="400"/>
      <c r="P93" s="400"/>
      <c r="Q93" s="399"/>
      <c r="R93" s="400"/>
      <c r="S93" s="400"/>
      <c r="T93" s="401"/>
      <c r="U93" s="386"/>
      <c r="V93" s="117"/>
    </row>
    <row r="94" spans="2:22" ht="15.75" thickBot="1" x14ac:dyDescent="0.3">
      <c r="B94" s="449"/>
      <c r="C94" s="332"/>
      <c r="D94" s="286"/>
      <c r="E94" s="310"/>
      <c r="F94" s="313"/>
      <c r="G94" s="305"/>
      <c r="H94" s="308" t="s">
        <v>368</v>
      </c>
      <c r="I94" s="312">
        <f>SUM(I79:I93)</f>
        <v>489254150</v>
      </c>
      <c r="J94" s="370">
        <f t="shared" si="13"/>
        <v>12304.405002499843</v>
      </c>
      <c r="K94" s="428">
        <v>0</v>
      </c>
      <c r="L94" s="429">
        <v>0</v>
      </c>
      <c r="M94" s="402">
        <f>+J94</f>
        <v>12304.405002499843</v>
      </c>
      <c r="N94" s="402">
        <v>0</v>
      </c>
      <c r="O94" s="403">
        <v>0</v>
      </c>
      <c r="P94" s="403">
        <v>0</v>
      </c>
      <c r="Q94" s="402">
        <v>0</v>
      </c>
      <c r="R94" s="403">
        <v>0</v>
      </c>
      <c r="S94" s="403">
        <v>0</v>
      </c>
      <c r="T94" s="404">
        <v>0</v>
      </c>
      <c r="U94" s="387">
        <f>SUM(K94:T94)</f>
        <v>12304.405002499843</v>
      </c>
      <c r="V94" s="307"/>
    </row>
    <row r="95" spans="2:22" ht="15" customHeight="1" x14ac:dyDescent="0.25">
      <c r="B95" s="593">
        <v>6</v>
      </c>
      <c r="C95" s="565" t="s">
        <v>11</v>
      </c>
      <c r="D95" s="598" t="s">
        <v>291</v>
      </c>
      <c r="E95" s="197" t="s">
        <v>330</v>
      </c>
      <c r="F95" s="168" t="s">
        <v>319</v>
      </c>
      <c r="G95" s="226">
        <v>1455</v>
      </c>
      <c r="H95" s="170">
        <v>5360</v>
      </c>
      <c r="I95" s="170">
        <f t="shared" si="12"/>
        <v>7798800</v>
      </c>
      <c r="J95" s="371">
        <f t="shared" ref="J95:J104" si="14">+I95/$E$4</f>
        <v>196.13445023102159</v>
      </c>
      <c r="K95" s="424"/>
      <c r="L95" s="405"/>
      <c r="M95" s="391"/>
      <c r="N95" s="391"/>
      <c r="O95" s="392"/>
      <c r="P95" s="392"/>
      <c r="Q95" s="391"/>
      <c r="R95" s="392"/>
      <c r="S95" s="392"/>
      <c r="T95" s="393"/>
      <c r="U95" s="384"/>
      <c r="V95" s="120"/>
    </row>
    <row r="96" spans="2:22" ht="30.75" customHeight="1" x14ac:dyDescent="0.25">
      <c r="B96" s="593"/>
      <c r="C96" s="566"/>
      <c r="D96" s="597"/>
      <c r="E96" s="156" t="s">
        <v>347</v>
      </c>
      <c r="F96" s="172" t="s">
        <v>318</v>
      </c>
      <c r="G96" s="235">
        <v>1745</v>
      </c>
      <c r="H96" s="174">
        <f>162101652/G96</f>
        <v>92894.929512893985</v>
      </c>
      <c r="I96" s="174">
        <f t="shared" si="12"/>
        <v>162101652</v>
      </c>
      <c r="J96" s="298">
        <f t="shared" si="14"/>
        <v>4076.7449346771787</v>
      </c>
      <c r="K96" s="425"/>
      <c r="L96" s="407"/>
      <c r="M96" s="394"/>
      <c r="N96" s="394"/>
      <c r="O96" s="395"/>
      <c r="P96" s="395"/>
      <c r="Q96" s="394"/>
      <c r="R96" s="395"/>
      <c r="S96" s="395"/>
      <c r="T96" s="396"/>
      <c r="U96" s="385"/>
      <c r="V96" s="119"/>
    </row>
    <row r="97" spans="2:22" ht="15" customHeight="1" x14ac:dyDescent="0.25">
      <c r="B97" s="593"/>
      <c r="C97" s="566"/>
      <c r="D97" s="594" t="s">
        <v>294</v>
      </c>
      <c r="E97" s="156" t="s">
        <v>357</v>
      </c>
      <c r="F97" s="172" t="s">
        <v>318</v>
      </c>
      <c r="G97" s="235">
        <v>1745</v>
      </c>
      <c r="H97" s="174">
        <v>48000</v>
      </c>
      <c r="I97" s="174">
        <f t="shared" si="12"/>
        <v>83760000</v>
      </c>
      <c r="J97" s="298">
        <f t="shared" si="14"/>
        <v>2106.5063280697505</v>
      </c>
      <c r="K97" s="425"/>
      <c r="L97" s="407"/>
      <c r="M97" s="394"/>
      <c r="N97" s="394"/>
      <c r="O97" s="395"/>
      <c r="P97" s="395"/>
      <c r="Q97" s="394"/>
      <c r="R97" s="395"/>
      <c r="S97" s="395"/>
      <c r="T97" s="396"/>
      <c r="U97" s="385"/>
      <c r="V97" s="119"/>
    </row>
    <row r="98" spans="2:22" ht="30" x14ac:dyDescent="0.25">
      <c r="B98" s="593"/>
      <c r="C98" s="566"/>
      <c r="D98" s="595"/>
      <c r="E98" s="156" t="s">
        <v>297</v>
      </c>
      <c r="F98" s="243" t="s">
        <v>318</v>
      </c>
      <c r="G98" s="236">
        <v>360</v>
      </c>
      <c r="H98" s="244">
        <v>13500</v>
      </c>
      <c r="I98" s="245">
        <f t="shared" si="12"/>
        <v>4860000</v>
      </c>
      <c r="J98" s="375">
        <f t="shared" si="14"/>
        <v>122.22565370605284</v>
      </c>
      <c r="K98" s="425"/>
      <c r="L98" s="407"/>
      <c r="M98" s="394"/>
      <c r="N98" s="394"/>
      <c r="O98" s="395"/>
      <c r="P98" s="395"/>
      <c r="Q98" s="394"/>
      <c r="R98" s="395"/>
      <c r="S98" s="395"/>
      <c r="T98" s="396"/>
      <c r="U98" s="385"/>
      <c r="V98" s="119"/>
    </row>
    <row r="99" spans="2:22" x14ac:dyDescent="0.25">
      <c r="B99" s="593"/>
      <c r="C99" s="566"/>
      <c r="D99" s="597"/>
      <c r="E99" s="156" t="s">
        <v>298</v>
      </c>
      <c r="F99" s="172" t="s">
        <v>318</v>
      </c>
      <c r="G99" s="236">
        <f>435+38+36+38</f>
        <v>547</v>
      </c>
      <c r="H99" s="176">
        <v>379000</v>
      </c>
      <c r="I99" s="174">
        <f t="shared" si="12"/>
        <v>207313000</v>
      </c>
      <c r="J99" s="298">
        <f t="shared" si="14"/>
        <v>5213.7792071528665</v>
      </c>
      <c r="K99" s="425"/>
      <c r="L99" s="407"/>
      <c r="M99" s="394"/>
      <c r="N99" s="394"/>
      <c r="O99" s="395"/>
      <c r="P99" s="395"/>
      <c r="Q99" s="394"/>
      <c r="R99" s="395"/>
      <c r="S99" s="395"/>
      <c r="T99" s="396"/>
      <c r="U99" s="385"/>
      <c r="V99" s="119"/>
    </row>
    <row r="100" spans="2:22" ht="15" customHeight="1" x14ac:dyDescent="0.25">
      <c r="B100" s="593"/>
      <c r="C100" s="566"/>
      <c r="D100" s="594" t="s">
        <v>299</v>
      </c>
      <c r="E100" s="156" t="s">
        <v>323</v>
      </c>
      <c r="F100" s="172" t="s">
        <v>319</v>
      </c>
      <c r="G100" s="236"/>
      <c r="H100" s="180"/>
      <c r="I100" s="174">
        <f t="shared" si="12"/>
        <v>0</v>
      </c>
      <c r="J100" s="298">
        <f t="shared" si="14"/>
        <v>0</v>
      </c>
      <c r="K100" s="425"/>
      <c r="L100" s="407"/>
      <c r="M100" s="394"/>
      <c r="N100" s="394"/>
      <c r="O100" s="395"/>
      <c r="P100" s="395"/>
      <c r="Q100" s="394"/>
      <c r="R100" s="395"/>
      <c r="S100" s="395"/>
      <c r="T100" s="396"/>
      <c r="U100" s="385"/>
      <c r="V100" s="119"/>
    </row>
    <row r="101" spans="2:22" x14ac:dyDescent="0.25">
      <c r="B101" s="593"/>
      <c r="C101" s="566"/>
      <c r="D101" s="595"/>
      <c r="E101" s="156" t="s">
        <v>346</v>
      </c>
      <c r="F101" s="172" t="s">
        <v>319</v>
      </c>
      <c r="G101" s="236">
        <f>+G95</f>
        <v>1455</v>
      </c>
      <c r="H101" s="180">
        <v>23350</v>
      </c>
      <c r="I101" s="174">
        <f t="shared" si="12"/>
        <v>33974250</v>
      </c>
      <c r="J101" s="298">
        <f t="shared" si="14"/>
        <v>854.42899494297649</v>
      </c>
      <c r="K101" s="425"/>
      <c r="L101" s="407"/>
      <c r="M101" s="394"/>
      <c r="N101" s="394"/>
      <c r="O101" s="395"/>
      <c r="P101" s="395"/>
      <c r="Q101" s="394"/>
      <c r="R101" s="395"/>
      <c r="S101" s="395"/>
      <c r="T101" s="396"/>
      <c r="U101" s="385"/>
      <c r="V101" s="119"/>
    </row>
    <row r="102" spans="2:22" x14ac:dyDescent="0.25">
      <c r="B102" s="593"/>
      <c r="C102" s="566"/>
      <c r="D102" s="595"/>
      <c r="E102" s="156" t="s">
        <v>324</v>
      </c>
      <c r="F102" s="172" t="s">
        <v>319</v>
      </c>
      <c r="G102" s="236"/>
      <c r="H102" s="180"/>
      <c r="I102" s="174">
        <f t="shared" si="12"/>
        <v>0</v>
      </c>
      <c r="J102" s="298">
        <f t="shared" si="14"/>
        <v>0</v>
      </c>
      <c r="K102" s="425"/>
      <c r="L102" s="407"/>
      <c r="M102" s="394"/>
      <c r="N102" s="394"/>
      <c r="O102" s="395"/>
      <c r="P102" s="395"/>
      <c r="Q102" s="394"/>
      <c r="R102" s="395"/>
      <c r="S102" s="395"/>
      <c r="T102" s="396"/>
      <c r="U102" s="385"/>
      <c r="V102" s="119"/>
    </row>
    <row r="103" spans="2:22" ht="15.75" thickBot="1" x14ac:dyDescent="0.3">
      <c r="B103" s="593"/>
      <c r="C103" s="568"/>
      <c r="D103" s="596"/>
      <c r="E103" s="196" t="s">
        <v>304</v>
      </c>
      <c r="F103" s="224" t="s">
        <v>319</v>
      </c>
      <c r="G103" s="237"/>
      <c r="H103" s="184"/>
      <c r="I103" s="185">
        <f t="shared" si="12"/>
        <v>0</v>
      </c>
      <c r="J103" s="373">
        <f t="shared" si="14"/>
        <v>0</v>
      </c>
      <c r="K103" s="426"/>
      <c r="L103" s="427"/>
      <c r="M103" s="399"/>
      <c r="N103" s="399"/>
      <c r="O103" s="400"/>
      <c r="P103" s="400"/>
      <c r="Q103" s="399"/>
      <c r="R103" s="400"/>
      <c r="S103" s="400"/>
      <c r="T103" s="401"/>
      <c r="U103" s="386"/>
      <c r="V103" s="117"/>
    </row>
    <row r="104" spans="2:22" ht="15.75" thickBot="1" x14ac:dyDescent="0.3">
      <c r="B104" s="449"/>
      <c r="C104" s="332"/>
      <c r="D104" s="287"/>
      <c r="E104" s="314"/>
      <c r="F104" s="315"/>
      <c r="G104" s="284"/>
      <c r="H104" s="308" t="s">
        <v>368</v>
      </c>
      <c r="I104" s="312">
        <f>SUM(I95:I103)</f>
        <v>499807702</v>
      </c>
      <c r="J104" s="370">
        <f t="shared" si="14"/>
        <v>12569.819568779847</v>
      </c>
      <c r="K104" s="428">
        <v>0</v>
      </c>
      <c r="L104" s="429">
        <v>0</v>
      </c>
      <c r="M104" s="402">
        <v>0</v>
      </c>
      <c r="N104" s="402">
        <f>+J104</f>
        <v>12569.819568779847</v>
      </c>
      <c r="O104" s="403">
        <v>0</v>
      </c>
      <c r="P104" s="403">
        <v>0</v>
      </c>
      <c r="Q104" s="402">
        <v>0</v>
      </c>
      <c r="R104" s="403">
        <v>0</v>
      </c>
      <c r="S104" s="403">
        <v>0</v>
      </c>
      <c r="T104" s="404">
        <v>0</v>
      </c>
      <c r="U104" s="387">
        <f>SUM(K104:T104)</f>
        <v>12569.819568779847</v>
      </c>
      <c r="V104" s="307"/>
    </row>
    <row r="105" spans="2:22" ht="15" customHeight="1" x14ac:dyDescent="0.25">
      <c r="B105" s="593">
        <v>7</v>
      </c>
      <c r="C105" s="565" t="s">
        <v>316</v>
      </c>
      <c r="D105" s="569" t="s">
        <v>291</v>
      </c>
      <c r="E105" s="164" t="s">
        <v>292</v>
      </c>
      <c r="F105" s="168" t="s">
        <v>318</v>
      </c>
      <c r="G105" s="169">
        <v>15272</v>
      </c>
      <c r="H105" s="170">
        <v>5360</v>
      </c>
      <c r="I105" s="170">
        <f t="shared" si="12"/>
        <v>81857920</v>
      </c>
      <c r="J105" s="374">
        <f>+I105/$E$4</f>
        <v>2058.6703257238223</v>
      </c>
      <c r="K105" s="424"/>
      <c r="L105" s="405"/>
      <c r="M105" s="391"/>
      <c r="N105" s="391"/>
      <c r="O105" s="391"/>
      <c r="P105" s="391"/>
      <c r="Q105" s="391"/>
      <c r="R105" s="391"/>
      <c r="S105" s="391"/>
      <c r="T105" s="415"/>
      <c r="U105" s="384"/>
      <c r="V105" s="120"/>
    </row>
    <row r="106" spans="2:22" ht="30" customHeight="1" x14ac:dyDescent="0.25">
      <c r="B106" s="593"/>
      <c r="C106" s="566"/>
      <c r="D106" s="570"/>
      <c r="E106" s="162" t="s">
        <v>293</v>
      </c>
      <c r="F106" s="172" t="s">
        <v>318</v>
      </c>
      <c r="G106" s="573" t="s">
        <v>322</v>
      </c>
      <c r="H106" s="574"/>
      <c r="I106" s="174"/>
      <c r="J106" s="298">
        <f t="shared" ref="J106:J242" si="15">+I106/$E$4</f>
        <v>0</v>
      </c>
      <c r="K106" s="425"/>
      <c r="L106" s="407"/>
      <c r="M106" s="394"/>
      <c r="N106" s="394"/>
      <c r="O106" s="394"/>
      <c r="P106" s="394"/>
      <c r="Q106" s="394"/>
      <c r="R106" s="394"/>
      <c r="S106" s="394"/>
      <c r="T106" s="416"/>
      <c r="U106" s="385"/>
      <c r="V106" s="119"/>
    </row>
    <row r="107" spans="2:22" ht="15" customHeight="1" x14ac:dyDescent="0.25">
      <c r="B107" s="593"/>
      <c r="C107" s="566"/>
      <c r="D107" s="570" t="s">
        <v>294</v>
      </c>
      <c r="E107" s="162" t="s">
        <v>295</v>
      </c>
      <c r="F107" s="172" t="s">
        <v>318</v>
      </c>
      <c r="G107" s="173">
        <v>2980</v>
      </c>
      <c r="H107" s="174">
        <v>48000</v>
      </c>
      <c r="I107" s="174">
        <f>+H107*G107</f>
        <v>143040000</v>
      </c>
      <c r="J107" s="298">
        <f t="shared" si="15"/>
        <v>3597.3575115460494</v>
      </c>
      <c r="K107" s="425"/>
      <c r="L107" s="407"/>
      <c r="M107" s="394"/>
      <c r="N107" s="394"/>
      <c r="O107" s="394"/>
      <c r="P107" s="394"/>
      <c r="Q107" s="394"/>
      <c r="R107" s="394"/>
      <c r="S107" s="394"/>
      <c r="T107" s="416"/>
      <c r="U107" s="385"/>
      <c r="V107" s="119"/>
    </row>
    <row r="108" spans="2:22" ht="15" customHeight="1" x14ac:dyDescent="0.25">
      <c r="B108" s="593"/>
      <c r="C108" s="566"/>
      <c r="D108" s="570"/>
      <c r="E108" s="162" t="s">
        <v>296</v>
      </c>
      <c r="F108" s="172" t="s">
        <v>318</v>
      </c>
      <c r="G108" s="173">
        <v>2900</v>
      </c>
      <c r="H108" s="176">
        <v>28000</v>
      </c>
      <c r="I108" s="174">
        <f t="shared" ref="I108:I240" si="16">+H108*G108</f>
        <v>81200000</v>
      </c>
      <c r="J108" s="298">
        <f t="shared" si="15"/>
        <v>2042.1240907266442</v>
      </c>
      <c r="K108" s="425"/>
      <c r="L108" s="407"/>
      <c r="M108" s="394"/>
      <c r="N108" s="394"/>
      <c r="O108" s="394"/>
      <c r="P108" s="394"/>
      <c r="Q108" s="394"/>
      <c r="R108" s="394"/>
      <c r="S108" s="394"/>
      <c r="T108" s="416"/>
      <c r="U108" s="385"/>
      <c r="V108" s="119"/>
    </row>
    <row r="109" spans="2:22" ht="31.5" customHeight="1" x14ac:dyDescent="0.25">
      <c r="B109" s="593"/>
      <c r="C109" s="566"/>
      <c r="D109" s="570"/>
      <c r="E109" s="162" t="s">
        <v>297</v>
      </c>
      <c r="F109" s="172" t="s">
        <v>318</v>
      </c>
      <c r="G109" s="173">
        <v>5850</v>
      </c>
      <c r="H109" s="176">
        <v>28000</v>
      </c>
      <c r="I109" s="174">
        <f t="shared" si="16"/>
        <v>163800000</v>
      </c>
      <c r="J109" s="298">
        <f t="shared" si="15"/>
        <v>4119.4572175002995</v>
      </c>
      <c r="K109" s="425"/>
      <c r="L109" s="407"/>
      <c r="M109" s="394"/>
      <c r="N109" s="394"/>
      <c r="O109" s="394"/>
      <c r="P109" s="394"/>
      <c r="Q109" s="394"/>
      <c r="R109" s="394"/>
      <c r="S109" s="394"/>
      <c r="T109" s="416"/>
      <c r="U109" s="385"/>
      <c r="V109" s="119"/>
    </row>
    <row r="110" spans="2:22" ht="15" customHeight="1" x14ac:dyDescent="0.25">
      <c r="B110" s="593"/>
      <c r="C110" s="566"/>
      <c r="D110" s="570"/>
      <c r="E110" s="162" t="s">
        <v>298</v>
      </c>
      <c r="F110" s="172" t="s">
        <v>318</v>
      </c>
      <c r="G110" s="173">
        <v>2200</v>
      </c>
      <c r="H110" s="176">
        <v>379000</v>
      </c>
      <c r="I110" s="174">
        <f t="shared" si="16"/>
        <v>833800000</v>
      </c>
      <c r="J110" s="298">
        <f t="shared" si="15"/>
        <v>20969.495897141329</v>
      </c>
      <c r="K110" s="425"/>
      <c r="L110" s="407"/>
      <c r="M110" s="394"/>
      <c r="N110" s="394"/>
      <c r="O110" s="394"/>
      <c r="P110" s="394"/>
      <c r="Q110" s="394"/>
      <c r="R110" s="394"/>
      <c r="S110" s="394"/>
      <c r="T110" s="416"/>
      <c r="U110" s="385"/>
      <c r="V110" s="119"/>
    </row>
    <row r="111" spans="2:22" ht="25.5" customHeight="1" x14ac:dyDescent="0.25">
      <c r="B111" s="593"/>
      <c r="C111" s="566"/>
      <c r="D111" s="570" t="s">
        <v>299</v>
      </c>
      <c r="E111" s="162" t="s">
        <v>323</v>
      </c>
      <c r="F111" s="177" t="s">
        <v>319</v>
      </c>
      <c r="G111" s="573" t="s">
        <v>322</v>
      </c>
      <c r="H111" s="574"/>
      <c r="I111" s="174"/>
      <c r="J111" s="298">
        <f t="shared" si="15"/>
        <v>0</v>
      </c>
      <c r="K111" s="425"/>
      <c r="L111" s="407"/>
      <c r="M111" s="394"/>
      <c r="N111" s="394"/>
      <c r="O111" s="395"/>
      <c r="P111" s="395"/>
      <c r="Q111" s="394"/>
      <c r="R111" s="395"/>
      <c r="S111" s="395"/>
      <c r="T111" s="396"/>
      <c r="U111" s="385"/>
      <c r="V111" s="119"/>
    </row>
    <row r="112" spans="2:22" ht="15" customHeight="1" x14ac:dyDescent="0.25">
      <c r="B112" s="593"/>
      <c r="C112" s="566"/>
      <c r="D112" s="570"/>
      <c r="E112" s="162" t="s">
        <v>301</v>
      </c>
      <c r="F112" s="177" t="s">
        <v>319</v>
      </c>
      <c r="G112" s="178">
        <v>15272</v>
      </c>
      <c r="H112" s="180">
        <v>23350</v>
      </c>
      <c r="I112" s="174">
        <f t="shared" si="16"/>
        <v>356601200</v>
      </c>
      <c r="J112" s="298">
        <f t="shared" si="15"/>
        <v>8968.2746465767268</v>
      </c>
      <c r="K112" s="425"/>
      <c r="L112" s="407"/>
      <c r="M112" s="394"/>
      <c r="N112" s="394"/>
      <c r="O112" s="395"/>
      <c r="P112" s="395"/>
      <c r="Q112" s="394"/>
      <c r="R112" s="395"/>
      <c r="S112" s="395"/>
      <c r="T112" s="396"/>
      <c r="U112" s="385"/>
      <c r="V112" s="119"/>
    </row>
    <row r="113" spans="2:22" ht="15" customHeight="1" x14ac:dyDescent="0.25">
      <c r="B113" s="593"/>
      <c r="C113" s="566"/>
      <c r="D113" s="570"/>
      <c r="E113" s="162" t="s">
        <v>302</v>
      </c>
      <c r="F113" s="177" t="s">
        <v>319</v>
      </c>
      <c r="G113" s="178">
        <v>1</v>
      </c>
      <c r="H113" s="179"/>
      <c r="I113" s="174">
        <f t="shared" si="16"/>
        <v>0</v>
      </c>
      <c r="J113" s="298">
        <f t="shared" si="15"/>
        <v>0</v>
      </c>
      <c r="K113" s="425"/>
      <c r="L113" s="407"/>
      <c r="M113" s="394"/>
      <c r="N113" s="394"/>
      <c r="O113" s="395"/>
      <c r="P113" s="395"/>
      <c r="Q113" s="394"/>
      <c r="R113" s="395"/>
      <c r="S113" s="395"/>
      <c r="T113" s="396"/>
      <c r="U113" s="385"/>
      <c r="V113" s="119"/>
    </row>
    <row r="114" spans="2:22" ht="15" customHeight="1" x14ac:dyDescent="0.25">
      <c r="B114" s="593"/>
      <c r="C114" s="566"/>
      <c r="D114" s="570"/>
      <c r="E114" s="162" t="s">
        <v>303</v>
      </c>
      <c r="F114" s="177" t="s">
        <v>319</v>
      </c>
      <c r="G114" s="178">
        <v>1</v>
      </c>
      <c r="H114" s="179"/>
      <c r="I114" s="174">
        <f t="shared" si="16"/>
        <v>0</v>
      </c>
      <c r="J114" s="298">
        <f t="shared" si="15"/>
        <v>0</v>
      </c>
      <c r="K114" s="425"/>
      <c r="L114" s="407"/>
      <c r="M114" s="394"/>
      <c r="N114" s="394"/>
      <c r="O114" s="395"/>
      <c r="P114" s="395"/>
      <c r="Q114" s="394"/>
      <c r="R114" s="395"/>
      <c r="S114" s="395"/>
      <c r="T114" s="396"/>
      <c r="U114" s="385"/>
      <c r="V114" s="119"/>
    </row>
    <row r="115" spans="2:22" ht="17.25" customHeight="1" x14ac:dyDescent="0.25">
      <c r="B115" s="593"/>
      <c r="C115" s="566"/>
      <c r="D115" s="570"/>
      <c r="E115" s="231" t="s">
        <v>378</v>
      </c>
      <c r="F115" s="232" t="s">
        <v>319</v>
      </c>
      <c r="G115" s="221">
        <v>1</v>
      </c>
      <c r="H115" s="233"/>
      <c r="I115" s="222">
        <f t="shared" si="16"/>
        <v>0</v>
      </c>
      <c r="J115" s="372">
        <f t="shared" si="15"/>
        <v>0</v>
      </c>
      <c r="K115" s="434"/>
      <c r="L115" s="407"/>
      <c r="M115" s="394"/>
      <c r="N115" s="394"/>
      <c r="O115" s="395"/>
      <c r="P115" s="395"/>
      <c r="Q115" s="394"/>
      <c r="R115" s="395"/>
      <c r="S115" s="395"/>
      <c r="T115" s="396"/>
      <c r="U115" s="385"/>
      <c r="V115" s="119"/>
    </row>
    <row r="116" spans="2:22" ht="15" customHeight="1" x14ac:dyDescent="0.25">
      <c r="B116" s="593"/>
      <c r="C116" s="566"/>
      <c r="D116" s="570"/>
      <c r="E116" s="231" t="s">
        <v>324</v>
      </c>
      <c r="F116" s="232" t="s">
        <v>319</v>
      </c>
      <c r="G116" s="221">
        <v>1</v>
      </c>
      <c r="H116" s="223"/>
      <c r="I116" s="222">
        <f t="shared" si="16"/>
        <v>0</v>
      </c>
      <c r="J116" s="372">
        <f t="shared" si="15"/>
        <v>0</v>
      </c>
      <c r="K116" s="425"/>
      <c r="L116" s="407"/>
      <c r="M116" s="394"/>
      <c r="N116" s="394"/>
      <c r="O116" s="395"/>
      <c r="P116" s="395"/>
      <c r="Q116" s="394"/>
      <c r="R116" s="395"/>
      <c r="S116" s="395"/>
      <c r="T116" s="396"/>
      <c r="U116" s="385"/>
      <c r="V116" s="119"/>
    </row>
    <row r="117" spans="2:22" ht="15" customHeight="1" x14ac:dyDescent="0.25">
      <c r="B117" s="593"/>
      <c r="C117" s="566"/>
      <c r="D117" s="570"/>
      <c r="E117" s="162" t="s">
        <v>304</v>
      </c>
      <c r="F117" s="181" t="s">
        <v>319</v>
      </c>
      <c r="G117" s="178">
        <v>1</v>
      </c>
      <c r="H117" s="180"/>
      <c r="I117" s="174">
        <f t="shared" si="16"/>
        <v>0</v>
      </c>
      <c r="J117" s="298">
        <f t="shared" si="15"/>
        <v>0</v>
      </c>
      <c r="K117" s="425"/>
      <c r="L117" s="407"/>
      <c r="M117" s="394"/>
      <c r="N117" s="394"/>
      <c r="O117" s="395"/>
      <c r="P117" s="395"/>
      <c r="Q117" s="394"/>
      <c r="R117" s="395"/>
      <c r="S117" s="395"/>
      <c r="T117" s="396"/>
      <c r="U117" s="385"/>
      <c r="V117" s="119"/>
    </row>
    <row r="118" spans="2:22" ht="15" customHeight="1" x14ac:dyDescent="0.25">
      <c r="B118" s="593"/>
      <c r="C118" s="566"/>
      <c r="D118" s="570" t="s">
        <v>305</v>
      </c>
      <c r="E118" s="293" t="s">
        <v>221</v>
      </c>
      <c r="F118" s="181" t="s">
        <v>320</v>
      </c>
      <c r="G118" s="178">
        <v>2</v>
      </c>
      <c r="H118" s="180">
        <v>900000</v>
      </c>
      <c r="I118" s="174">
        <f t="shared" si="16"/>
        <v>1800000</v>
      </c>
      <c r="J118" s="298">
        <f t="shared" si="15"/>
        <v>45.268760631871423</v>
      </c>
      <c r="K118" s="425"/>
      <c r="L118" s="407"/>
      <c r="M118" s="394"/>
      <c r="N118" s="394"/>
      <c r="O118" s="395"/>
      <c r="P118" s="395"/>
      <c r="Q118" s="394"/>
      <c r="R118" s="395"/>
      <c r="S118" s="395"/>
      <c r="T118" s="396"/>
      <c r="U118" s="385"/>
      <c r="V118" s="119"/>
    </row>
    <row r="119" spans="2:22" ht="15" customHeight="1" x14ac:dyDescent="0.25">
      <c r="B119" s="593"/>
      <c r="C119" s="566"/>
      <c r="D119" s="570"/>
      <c r="E119" s="293" t="s">
        <v>306</v>
      </c>
      <c r="F119" s="181" t="s">
        <v>320</v>
      </c>
      <c r="G119" s="178">
        <v>2</v>
      </c>
      <c r="H119" s="180">
        <v>19000000</v>
      </c>
      <c r="I119" s="174">
        <f t="shared" si="16"/>
        <v>38000000</v>
      </c>
      <c r="J119" s="298">
        <f t="shared" si="15"/>
        <v>955.67383556173002</v>
      </c>
      <c r="K119" s="425"/>
      <c r="L119" s="407"/>
      <c r="M119" s="394"/>
      <c r="N119" s="394"/>
      <c r="O119" s="395"/>
      <c r="P119" s="395"/>
      <c r="Q119" s="394"/>
      <c r="R119" s="395"/>
      <c r="S119" s="395"/>
      <c r="T119" s="396"/>
      <c r="U119" s="385"/>
      <c r="V119" s="119"/>
    </row>
    <row r="120" spans="2:22" ht="15" customHeight="1" x14ac:dyDescent="0.25">
      <c r="B120" s="593"/>
      <c r="C120" s="566"/>
      <c r="D120" s="570"/>
      <c r="E120" s="293" t="s">
        <v>212</v>
      </c>
      <c r="F120" s="181" t="s">
        <v>320</v>
      </c>
      <c r="G120" s="178">
        <v>3</v>
      </c>
      <c r="H120" s="294">
        <v>9000000</v>
      </c>
      <c r="I120" s="174">
        <f>+H120*G120</f>
        <v>27000000</v>
      </c>
      <c r="J120" s="298">
        <f t="shared" si="15"/>
        <v>679.0314094780714</v>
      </c>
      <c r="K120" s="425"/>
      <c r="L120" s="407"/>
      <c r="M120" s="394"/>
      <c r="N120" s="394"/>
      <c r="O120" s="395"/>
      <c r="P120" s="395"/>
      <c r="Q120" s="394"/>
      <c r="R120" s="395"/>
      <c r="S120" s="395"/>
      <c r="T120" s="396"/>
      <c r="U120" s="385"/>
      <c r="V120" s="119"/>
    </row>
    <row r="121" spans="2:22" ht="18" customHeight="1" x14ac:dyDescent="0.25">
      <c r="B121" s="593"/>
      <c r="C121" s="566"/>
      <c r="D121" s="570"/>
      <c r="E121" s="293" t="s">
        <v>307</v>
      </c>
      <c r="F121" s="181" t="s">
        <v>320</v>
      </c>
      <c r="G121" s="178">
        <v>3</v>
      </c>
      <c r="H121" s="180">
        <v>22000000</v>
      </c>
      <c r="I121" s="174">
        <f t="shared" si="16"/>
        <v>66000000</v>
      </c>
      <c r="J121" s="298">
        <f t="shared" si="15"/>
        <v>1659.8545565019522</v>
      </c>
      <c r="K121" s="425"/>
      <c r="L121" s="407"/>
      <c r="M121" s="394"/>
      <c r="N121" s="394"/>
      <c r="O121" s="395"/>
      <c r="P121" s="395"/>
      <c r="Q121" s="394"/>
      <c r="R121" s="395"/>
      <c r="S121" s="395"/>
      <c r="T121" s="396"/>
      <c r="U121" s="385"/>
      <c r="V121" s="119"/>
    </row>
    <row r="122" spans="2:22" ht="18" customHeight="1" x14ac:dyDescent="0.25">
      <c r="B122" s="593"/>
      <c r="C122" s="566"/>
      <c r="D122" s="570"/>
      <c r="E122" s="162" t="s">
        <v>308</v>
      </c>
      <c r="F122" s="181" t="s">
        <v>320</v>
      </c>
      <c r="G122" s="178">
        <v>0</v>
      </c>
      <c r="H122" s="180"/>
      <c r="I122" s="174">
        <f t="shared" si="16"/>
        <v>0</v>
      </c>
      <c r="J122" s="298">
        <f t="shared" si="15"/>
        <v>0</v>
      </c>
      <c r="K122" s="425"/>
      <c r="L122" s="407"/>
      <c r="M122" s="394"/>
      <c r="N122" s="394"/>
      <c r="O122" s="395"/>
      <c r="P122" s="395"/>
      <c r="Q122" s="394"/>
      <c r="R122" s="395"/>
      <c r="S122" s="395"/>
      <c r="T122" s="396"/>
      <c r="U122" s="385"/>
      <c r="V122" s="119"/>
    </row>
    <row r="123" spans="2:22" ht="18" customHeight="1" x14ac:dyDescent="0.25">
      <c r="B123" s="593"/>
      <c r="C123" s="566"/>
      <c r="D123" s="570"/>
      <c r="E123" s="162" t="s">
        <v>325</v>
      </c>
      <c r="F123" s="181" t="s">
        <v>320</v>
      </c>
      <c r="G123" s="178">
        <v>108</v>
      </c>
      <c r="H123" s="180">
        <v>380000</v>
      </c>
      <c r="I123" s="174">
        <f t="shared" si="16"/>
        <v>41040000</v>
      </c>
      <c r="J123" s="298">
        <f t="shared" si="15"/>
        <v>1032.1277424066684</v>
      </c>
      <c r="K123" s="425"/>
      <c r="L123" s="407"/>
      <c r="M123" s="394"/>
      <c r="N123" s="394"/>
      <c r="O123" s="395"/>
      <c r="P123" s="395"/>
      <c r="Q123" s="394"/>
      <c r="R123" s="395"/>
      <c r="S123" s="395"/>
      <c r="T123" s="396"/>
      <c r="U123" s="385"/>
      <c r="V123" s="119"/>
    </row>
    <row r="124" spans="2:22" ht="18" customHeight="1" x14ac:dyDescent="0.25">
      <c r="B124" s="593"/>
      <c r="C124" s="566"/>
      <c r="D124" s="570"/>
      <c r="E124" s="162" t="s">
        <v>326</v>
      </c>
      <c r="F124" s="181" t="s">
        <v>320</v>
      </c>
      <c r="G124" s="178">
        <v>32</v>
      </c>
      <c r="H124" s="180">
        <v>200000</v>
      </c>
      <c r="I124" s="174">
        <f t="shared" si="16"/>
        <v>6400000</v>
      </c>
      <c r="J124" s="298">
        <f t="shared" si="15"/>
        <v>160.95559335776505</v>
      </c>
      <c r="K124" s="425"/>
      <c r="L124" s="407"/>
      <c r="M124" s="394"/>
      <c r="N124" s="394"/>
      <c r="O124" s="395"/>
      <c r="P124" s="395"/>
      <c r="Q124" s="394"/>
      <c r="R124" s="395"/>
      <c r="S124" s="395"/>
      <c r="T124" s="396"/>
      <c r="U124" s="385"/>
      <c r="V124" s="119"/>
    </row>
    <row r="125" spans="2:22" ht="18" customHeight="1" x14ac:dyDescent="0.25">
      <c r="B125" s="593"/>
      <c r="C125" s="567"/>
      <c r="D125" s="575"/>
      <c r="E125" s="218" t="s">
        <v>327</v>
      </c>
      <c r="F125" s="181" t="s">
        <v>320</v>
      </c>
      <c r="G125" s="189">
        <v>900</v>
      </c>
      <c r="H125" s="190">
        <v>120000</v>
      </c>
      <c r="I125" s="219">
        <f t="shared" si="16"/>
        <v>108000000</v>
      </c>
      <c r="J125" s="173">
        <f t="shared" si="15"/>
        <v>2716.1256379122856</v>
      </c>
      <c r="K125" s="468"/>
      <c r="L125" s="431"/>
      <c r="M125" s="409"/>
      <c r="N125" s="409"/>
      <c r="O125" s="410"/>
      <c r="P125" s="410"/>
      <c r="Q125" s="409"/>
      <c r="R125" s="410"/>
      <c r="S125" s="410"/>
      <c r="T125" s="411"/>
      <c r="U125" s="388"/>
      <c r="V125" s="145"/>
    </row>
    <row r="126" spans="2:22" ht="18" customHeight="1" x14ac:dyDescent="0.25">
      <c r="B126" s="593"/>
      <c r="C126" s="567"/>
      <c r="D126" s="575"/>
      <c r="E126" s="218" t="s">
        <v>328</v>
      </c>
      <c r="F126" s="188" t="s">
        <v>318</v>
      </c>
      <c r="G126" s="189">
        <v>490</v>
      </c>
      <c r="H126" s="220">
        <v>712530</v>
      </c>
      <c r="I126" s="219">
        <f t="shared" si="16"/>
        <v>349139700</v>
      </c>
      <c r="J126" s="173">
        <f t="shared" si="15"/>
        <v>8780.6230591018884</v>
      </c>
      <c r="K126" s="468"/>
      <c r="L126" s="431"/>
      <c r="M126" s="409"/>
      <c r="N126" s="409"/>
      <c r="O126" s="410"/>
      <c r="P126" s="410"/>
      <c r="Q126" s="409"/>
      <c r="R126" s="410"/>
      <c r="S126" s="410"/>
      <c r="T126" s="411"/>
      <c r="U126" s="388"/>
      <c r="V126" s="145"/>
    </row>
    <row r="127" spans="2:22" ht="18" customHeight="1" thickBot="1" x14ac:dyDescent="0.3">
      <c r="B127" s="593"/>
      <c r="C127" s="568"/>
      <c r="D127" s="576"/>
      <c r="E127" s="163" t="s">
        <v>310</v>
      </c>
      <c r="F127" s="182" t="s">
        <v>320</v>
      </c>
      <c r="G127" s="183">
        <f>61+22+23+21+34</f>
        <v>161</v>
      </c>
      <c r="H127" s="184">
        <v>695000</v>
      </c>
      <c r="I127" s="185">
        <f t="shared" si="16"/>
        <v>111895000</v>
      </c>
      <c r="J127" s="377">
        <f t="shared" si="15"/>
        <v>2814.0822060573628</v>
      </c>
      <c r="K127" s="426"/>
      <c r="L127" s="427"/>
      <c r="M127" s="399"/>
      <c r="N127" s="399"/>
      <c r="O127" s="400"/>
      <c r="P127" s="400"/>
      <c r="Q127" s="399"/>
      <c r="R127" s="400"/>
      <c r="S127" s="400"/>
      <c r="T127" s="401"/>
      <c r="U127" s="386"/>
      <c r="V127" s="117"/>
    </row>
    <row r="128" spans="2:22" ht="18" customHeight="1" thickBot="1" x14ac:dyDescent="0.3">
      <c r="B128" s="449"/>
      <c r="C128" s="332"/>
      <c r="D128" s="310"/>
      <c r="E128" s="310"/>
      <c r="F128" s="311"/>
      <c r="G128" s="305"/>
      <c r="H128" s="308" t="s">
        <v>368</v>
      </c>
      <c r="I128" s="312">
        <f>SUM(I105:I127)</f>
        <v>2409573820</v>
      </c>
      <c r="J128" s="370">
        <f t="shared" si="15"/>
        <v>60599.122490224465</v>
      </c>
      <c r="K128" s="428">
        <v>0</v>
      </c>
      <c r="L128" s="429">
        <v>0</v>
      </c>
      <c r="M128" s="402">
        <v>0</v>
      </c>
      <c r="N128" s="402">
        <v>0</v>
      </c>
      <c r="O128" s="403">
        <f>+J128</f>
        <v>60599.122490224465</v>
      </c>
      <c r="P128" s="403">
        <v>0</v>
      </c>
      <c r="Q128" s="402">
        <v>0</v>
      </c>
      <c r="R128" s="403">
        <v>0</v>
      </c>
      <c r="S128" s="403">
        <v>0</v>
      </c>
      <c r="T128" s="404">
        <v>0</v>
      </c>
      <c r="U128" s="387">
        <f>SUM(K128:T128)</f>
        <v>60599.122490224465</v>
      </c>
      <c r="V128" s="307"/>
    </row>
    <row r="129" spans="2:22" ht="15.75" customHeight="1" x14ac:dyDescent="0.25">
      <c r="B129" s="593">
        <v>8</v>
      </c>
      <c r="C129" s="565" t="s">
        <v>340</v>
      </c>
      <c r="D129" s="544" t="s">
        <v>291</v>
      </c>
      <c r="E129" s="256" t="s">
        <v>292</v>
      </c>
      <c r="F129" s="168" t="s">
        <v>319</v>
      </c>
      <c r="G129" s="193">
        <v>5880</v>
      </c>
      <c r="H129" s="170">
        <v>5360</v>
      </c>
      <c r="I129" s="170">
        <f>+H129*G129</f>
        <v>31516800</v>
      </c>
      <c r="J129" s="374">
        <f t="shared" ref="J129:J139" si="17">+I129/$E$4</f>
        <v>792.62581949031403</v>
      </c>
      <c r="K129" s="424"/>
      <c r="L129" s="405"/>
      <c r="M129" s="391"/>
      <c r="N129" s="391"/>
      <c r="O129" s="392"/>
      <c r="P129" s="392"/>
      <c r="Q129" s="391"/>
      <c r="R129" s="392"/>
      <c r="S129" s="392"/>
      <c r="T129" s="393"/>
      <c r="U129" s="384"/>
      <c r="V129" s="120"/>
    </row>
    <row r="130" spans="2:22" ht="15" customHeight="1" x14ac:dyDescent="0.25">
      <c r="B130" s="593"/>
      <c r="C130" s="566"/>
      <c r="D130" s="545"/>
      <c r="E130" s="250" t="s">
        <v>293</v>
      </c>
      <c r="F130" s="172" t="s">
        <v>319</v>
      </c>
      <c r="G130" s="536" t="s">
        <v>322</v>
      </c>
      <c r="H130" s="537"/>
      <c r="I130" s="174">
        <v>0</v>
      </c>
      <c r="J130" s="298">
        <f t="shared" si="17"/>
        <v>0</v>
      </c>
      <c r="K130" s="425"/>
      <c r="L130" s="407"/>
      <c r="M130" s="394"/>
      <c r="N130" s="394"/>
      <c r="O130" s="395"/>
      <c r="P130" s="395"/>
      <c r="Q130" s="394"/>
      <c r="R130" s="395"/>
      <c r="S130" s="395"/>
      <c r="T130" s="396"/>
      <c r="U130" s="385"/>
      <c r="V130" s="119"/>
    </row>
    <row r="131" spans="2:22" ht="15" customHeight="1" x14ac:dyDescent="0.25">
      <c r="B131" s="593"/>
      <c r="C131" s="566"/>
      <c r="D131" s="556" t="s">
        <v>294</v>
      </c>
      <c r="E131" s="250" t="s">
        <v>295</v>
      </c>
      <c r="F131" s="172" t="s">
        <v>318</v>
      </c>
      <c r="G131" s="178">
        <v>940</v>
      </c>
      <c r="H131" s="174">
        <v>48000</v>
      </c>
      <c r="I131" s="174">
        <f t="shared" ref="I131:I139" si="18">+H131*G131</f>
        <v>45120000</v>
      </c>
      <c r="J131" s="298">
        <f t="shared" si="17"/>
        <v>1134.7369331722437</v>
      </c>
      <c r="K131" s="425"/>
      <c r="L131" s="407"/>
      <c r="M131" s="394"/>
      <c r="N131" s="394"/>
      <c r="O131" s="395"/>
      <c r="P131" s="395"/>
      <c r="Q131" s="394"/>
      <c r="R131" s="395"/>
      <c r="S131" s="395"/>
      <c r="T131" s="396"/>
      <c r="U131" s="385"/>
      <c r="V131" s="119"/>
    </row>
    <row r="132" spans="2:22" x14ac:dyDescent="0.25">
      <c r="B132" s="593"/>
      <c r="C132" s="566"/>
      <c r="D132" s="557"/>
      <c r="E132" s="250" t="s">
        <v>296</v>
      </c>
      <c r="F132" s="172" t="s">
        <v>318</v>
      </c>
      <c r="G132" s="178">
        <f>1917-G131</f>
        <v>977</v>
      </c>
      <c r="H132" s="176">
        <v>50000</v>
      </c>
      <c r="I132" s="174">
        <f t="shared" si="18"/>
        <v>48850000</v>
      </c>
      <c r="J132" s="298">
        <f t="shared" si="17"/>
        <v>1228.5438649260661</v>
      </c>
      <c r="K132" s="425"/>
      <c r="L132" s="407"/>
      <c r="M132" s="394"/>
      <c r="N132" s="394"/>
      <c r="O132" s="395"/>
      <c r="P132" s="395"/>
      <c r="Q132" s="394"/>
      <c r="R132" s="395"/>
      <c r="S132" s="395"/>
      <c r="T132" s="396"/>
      <c r="U132" s="385"/>
      <c r="V132" s="119"/>
    </row>
    <row r="133" spans="2:22" ht="30" x14ac:dyDescent="0.25">
      <c r="B133" s="593"/>
      <c r="C133" s="566"/>
      <c r="D133" s="557"/>
      <c r="E133" s="250" t="s">
        <v>297</v>
      </c>
      <c r="F133" s="172" t="s">
        <v>318</v>
      </c>
      <c r="G133" s="178">
        <v>5900</v>
      </c>
      <c r="H133" s="176">
        <v>28000</v>
      </c>
      <c r="I133" s="174">
        <f t="shared" si="18"/>
        <v>165200000</v>
      </c>
      <c r="J133" s="298">
        <f t="shared" si="17"/>
        <v>4154.6662535473106</v>
      </c>
      <c r="K133" s="425"/>
      <c r="L133" s="407"/>
      <c r="M133" s="394"/>
      <c r="N133" s="394"/>
      <c r="O133" s="395"/>
      <c r="P133" s="395"/>
      <c r="Q133" s="394"/>
      <c r="R133" s="395"/>
      <c r="S133" s="395"/>
      <c r="T133" s="396"/>
      <c r="U133" s="385"/>
      <c r="V133" s="119"/>
    </row>
    <row r="134" spans="2:22" x14ac:dyDescent="0.25">
      <c r="B134" s="593"/>
      <c r="C134" s="566"/>
      <c r="D134" s="545"/>
      <c r="E134" s="250" t="s">
        <v>298</v>
      </c>
      <c r="F134" s="172" t="s">
        <v>318</v>
      </c>
      <c r="G134" s="221">
        <v>900</v>
      </c>
      <c r="H134" s="176">
        <v>379000</v>
      </c>
      <c r="I134" s="222">
        <f t="shared" si="18"/>
        <v>341100000</v>
      </c>
      <c r="J134" s="372">
        <f t="shared" si="17"/>
        <v>8578.4301397396357</v>
      </c>
      <c r="K134" s="425"/>
      <c r="L134" s="407"/>
      <c r="M134" s="394"/>
      <c r="N134" s="394"/>
      <c r="O134" s="395"/>
      <c r="P134" s="395"/>
      <c r="Q134" s="394"/>
      <c r="R134" s="395"/>
      <c r="S134" s="395"/>
      <c r="T134" s="396"/>
      <c r="U134" s="385"/>
      <c r="V134" s="119"/>
    </row>
    <row r="135" spans="2:22" ht="15" customHeight="1" x14ac:dyDescent="0.25">
      <c r="B135" s="593"/>
      <c r="C135" s="566"/>
      <c r="D135" s="556" t="s">
        <v>299</v>
      </c>
      <c r="E135" s="251" t="s">
        <v>323</v>
      </c>
      <c r="F135" s="172" t="s">
        <v>319</v>
      </c>
      <c r="G135" s="178">
        <v>1</v>
      </c>
      <c r="H135" s="180"/>
      <c r="I135" s="174">
        <f t="shared" si="18"/>
        <v>0</v>
      </c>
      <c r="J135" s="298">
        <f t="shared" si="17"/>
        <v>0</v>
      </c>
      <c r="K135" s="425"/>
      <c r="L135" s="407"/>
      <c r="M135" s="394"/>
      <c r="N135" s="394"/>
      <c r="O135" s="395"/>
      <c r="P135" s="395"/>
      <c r="Q135" s="394"/>
      <c r="R135" s="395"/>
      <c r="S135" s="395"/>
      <c r="T135" s="396"/>
      <c r="U135" s="385"/>
      <c r="V135" s="119"/>
    </row>
    <row r="136" spans="2:22" x14ac:dyDescent="0.25">
      <c r="B136" s="593"/>
      <c r="C136" s="566"/>
      <c r="D136" s="557"/>
      <c r="E136" s="250" t="s">
        <v>301</v>
      </c>
      <c r="F136" s="172" t="s">
        <v>319</v>
      </c>
      <c r="G136" s="178">
        <f>+G129</f>
        <v>5880</v>
      </c>
      <c r="H136" s="180">
        <v>23350</v>
      </c>
      <c r="I136" s="174">
        <f t="shared" si="18"/>
        <v>137298000</v>
      </c>
      <c r="J136" s="298">
        <f t="shared" si="17"/>
        <v>3452.9501651303794</v>
      </c>
      <c r="K136" s="425"/>
      <c r="L136" s="407"/>
      <c r="M136" s="394"/>
      <c r="N136" s="394"/>
      <c r="O136" s="395"/>
      <c r="P136" s="395"/>
      <c r="Q136" s="394"/>
      <c r="R136" s="395"/>
      <c r="S136" s="395"/>
      <c r="T136" s="396"/>
      <c r="U136" s="385"/>
      <c r="V136" s="119"/>
    </row>
    <row r="137" spans="2:22" x14ac:dyDescent="0.25">
      <c r="B137" s="593"/>
      <c r="C137" s="567"/>
      <c r="D137" s="557"/>
      <c r="E137" s="250" t="s">
        <v>303</v>
      </c>
      <c r="F137" s="172" t="s">
        <v>319</v>
      </c>
      <c r="G137" s="189">
        <v>1</v>
      </c>
      <c r="H137" s="190"/>
      <c r="I137" s="174">
        <f t="shared" si="18"/>
        <v>0</v>
      </c>
      <c r="J137" s="298">
        <f t="shared" si="17"/>
        <v>0</v>
      </c>
      <c r="K137" s="430"/>
      <c r="L137" s="431"/>
      <c r="M137" s="409"/>
      <c r="N137" s="409"/>
      <c r="O137" s="410"/>
      <c r="P137" s="410"/>
      <c r="Q137" s="409"/>
      <c r="R137" s="410"/>
      <c r="S137" s="410"/>
      <c r="T137" s="411"/>
      <c r="U137" s="388"/>
      <c r="V137" s="145"/>
    </row>
    <row r="138" spans="2:22" x14ac:dyDescent="0.25">
      <c r="B138" s="593"/>
      <c r="C138" s="567"/>
      <c r="D138" s="557"/>
      <c r="E138" s="251" t="s">
        <v>324</v>
      </c>
      <c r="F138" s="172" t="s">
        <v>319</v>
      </c>
      <c r="G138" s="189">
        <v>1</v>
      </c>
      <c r="H138" s="190"/>
      <c r="I138" s="174">
        <f t="shared" si="18"/>
        <v>0</v>
      </c>
      <c r="J138" s="298">
        <f t="shared" si="17"/>
        <v>0</v>
      </c>
      <c r="K138" s="430"/>
      <c r="L138" s="431"/>
      <c r="M138" s="409"/>
      <c r="N138" s="409"/>
      <c r="O138" s="410"/>
      <c r="P138" s="410"/>
      <c r="Q138" s="409"/>
      <c r="R138" s="410"/>
      <c r="S138" s="410"/>
      <c r="T138" s="411"/>
      <c r="U138" s="388"/>
      <c r="V138" s="145"/>
    </row>
    <row r="139" spans="2:22" x14ac:dyDescent="0.25">
      <c r="B139" s="593"/>
      <c r="C139" s="567"/>
      <c r="D139" s="545"/>
      <c r="E139" s="250" t="s">
        <v>304</v>
      </c>
      <c r="F139" s="194" t="s">
        <v>319</v>
      </c>
      <c r="G139" s="189">
        <v>1</v>
      </c>
      <c r="H139" s="190"/>
      <c r="I139" s="174">
        <f t="shared" si="18"/>
        <v>0</v>
      </c>
      <c r="J139" s="298">
        <f t="shared" si="17"/>
        <v>0</v>
      </c>
      <c r="K139" s="430"/>
      <c r="L139" s="431"/>
      <c r="M139" s="409"/>
      <c r="N139" s="409"/>
      <c r="O139" s="410"/>
      <c r="P139" s="410"/>
      <c r="Q139" s="409"/>
      <c r="R139" s="410"/>
      <c r="S139" s="410"/>
      <c r="T139" s="411"/>
      <c r="U139" s="388"/>
      <c r="V139" s="145"/>
    </row>
    <row r="140" spans="2:22" x14ac:dyDescent="0.25">
      <c r="B140" s="593"/>
      <c r="C140" s="567"/>
      <c r="D140" s="558" t="s">
        <v>305</v>
      </c>
      <c r="E140" s="288" t="s">
        <v>359</v>
      </c>
      <c r="F140" s="247" t="s">
        <v>320</v>
      </c>
      <c r="G140" s="221">
        <v>8</v>
      </c>
      <c r="H140" s="180">
        <v>380000</v>
      </c>
      <c r="I140" s="174">
        <f t="shared" ref="I140:I144" si="19">+H140*G140</f>
        <v>3040000</v>
      </c>
      <c r="J140" s="298">
        <f t="shared" ref="J140" si="20">+I140/$E$4</f>
        <v>76.453906844938402</v>
      </c>
      <c r="K140" s="425"/>
      <c r="L140" s="407"/>
      <c r="M140" s="394"/>
      <c r="N140" s="394"/>
      <c r="O140" s="395"/>
      <c r="P140" s="395"/>
      <c r="Q140" s="394"/>
      <c r="R140" s="395"/>
      <c r="S140" s="395"/>
      <c r="T140" s="396"/>
      <c r="U140" s="385"/>
      <c r="V140" s="119"/>
    </row>
    <row r="141" spans="2:22" x14ac:dyDescent="0.25">
      <c r="B141" s="593"/>
      <c r="C141" s="567"/>
      <c r="D141" s="558"/>
      <c r="E141" s="258" t="s">
        <v>326</v>
      </c>
      <c r="F141" s="247"/>
      <c r="G141" s="257">
        <v>4</v>
      </c>
      <c r="H141" s="259">
        <v>200000</v>
      </c>
      <c r="I141" s="260">
        <f t="shared" si="19"/>
        <v>800000</v>
      </c>
      <c r="J141" s="378">
        <f>+I141/$E$4</f>
        <v>20.119449169720632</v>
      </c>
      <c r="K141" s="425"/>
      <c r="L141" s="407"/>
      <c r="M141" s="394"/>
      <c r="N141" s="394"/>
      <c r="O141" s="395"/>
      <c r="P141" s="395"/>
      <c r="Q141" s="394"/>
      <c r="R141" s="395"/>
      <c r="S141" s="395"/>
      <c r="T141" s="396"/>
      <c r="U141" s="385"/>
      <c r="V141" s="119"/>
    </row>
    <row r="142" spans="2:22" x14ac:dyDescent="0.25">
      <c r="B142" s="593"/>
      <c r="C142" s="567"/>
      <c r="D142" s="558"/>
      <c r="E142" s="289" t="s">
        <v>360</v>
      </c>
      <c r="F142" s="247" t="s">
        <v>320</v>
      </c>
      <c r="G142" s="253">
        <v>4</v>
      </c>
      <c r="H142" s="190">
        <v>120000</v>
      </c>
      <c r="I142" s="219">
        <f t="shared" si="19"/>
        <v>480000</v>
      </c>
      <c r="J142" s="298">
        <f t="shared" ref="J142:J145" si="21">+I142/$E$4</f>
        <v>12.07166950183238</v>
      </c>
      <c r="K142" s="425"/>
      <c r="L142" s="407"/>
      <c r="M142" s="394"/>
      <c r="N142" s="394"/>
      <c r="O142" s="395"/>
      <c r="P142" s="395"/>
      <c r="Q142" s="394"/>
      <c r="R142" s="395"/>
      <c r="S142" s="395"/>
      <c r="T142" s="396"/>
      <c r="U142" s="385"/>
      <c r="V142" s="119"/>
    </row>
    <row r="143" spans="2:22" x14ac:dyDescent="0.25">
      <c r="B143" s="593"/>
      <c r="C143" s="567"/>
      <c r="D143" s="558"/>
      <c r="E143" s="289" t="s">
        <v>361</v>
      </c>
      <c r="F143" s="248" t="s">
        <v>318</v>
      </c>
      <c r="G143" s="253">
        <v>4</v>
      </c>
      <c r="H143" s="220">
        <v>712530</v>
      </c>
      <c r="I143" s="219">
        <f t="shared" si="19"/>
        <v>2850120</v>
      </c>
      <c r="J143" s="298">
        <f t="shared" si="21"/>
        <v>71.678555584505219</v>
      </c>
      <c r="K143" s="430"/>
      <c r="L143" s="431"/>
      <c r="M143" s="409"/>
      <c r="N143" s="409"/>
      <c r="O143" s="410"/>
      <c r="P143" s="410"/>
      <c r="Q143" s="409"/>
      <c r="R143" s="410"/>
      <c r="S143" s="410"/>
      <c r="T143" s="411"/>
      <c r="U143" s="388"/>
      <c r="V143" s="145"/>
    </row>
    <row r="144" spans="2:22" ht="15.75" thickBot="1" x14ac:dyDescent="0.3">
      <c r="B144" s="593"/>
      <c r="C144" s="568"/>
      <c r="D144" s="559"/>
      <c r="E144" s="291" t="s">
        <v>310</v>
      </c>
      <c r="F144" s="252" t="s">
        <v>320</v>
      </c>
      <c r="G144" s="254">
        <v>4</v>
      </c>
      <c r="H144" s="184">
        <v>695000</v>
      </c>
      <c r="I144" s="185">
        <f t="shared" si="19"/>
        <v>2780000</v>
      </c>
      <c r="J144" s="373">
        <f t="shared" si="21"/>
        <v>69.915085864779201</v>
      </c>
      <c r="K144" s="426"/>
      <c r="L144" s="427"/>
      <c r="M144" s="399"/>
      <c r="N144" s="399"/>
      <c r="O144" s="400"/>
      <c r="P144" s="400"/>
      <c r="Q144" s="399"/>
      <c r="R144" s="400"/>
      <c r="S144" s="400"/>
      <c r="T144" s="401"/>
      <c r="U144" s="386"/>
      <c r="V144" s="117"/>
    </row>
    <row r="145" spans="2:22" ht="15.75" thickBot="1" x14ac:dyDescent="0.3">
      <c r="B145" s="449"/>
      <c r="C145" s="332"/>
      <c r="D145" s="286"/>
      <c r="E145" s="310"/>
      <c r="F145" s="313"/>
      <c r="G145" s="317"/>
      <c r="H145" s="308" t="s">
        <v>368</v>
      </c>
      <c r="I145" s="312">
        <f>SUM(I129:I144)</f>
        <v>779034920</v>
      </c>
      <c r="J145" s="370">
        <f t="shared" si="21"/>
        <v>19592.191842971726</v>
      </c>
      <c r="K145" s="428">
        <v>0</v>
      </c>
      <c r="L145" s="429">
        <v>0</v>
      </c>
      <c r="M145" s="402">
        <v>0</v>
      </c>
      <c r="N145" s="402">
        <v>0</v>
      </c>
      <c r="O145" s="403">
        <v>0</v>
      </c>
      <c r="P145" s="403">
        <f>+J145</f>
        <v>19592.191842971726</v>
      </c>
      <c r="Q145" s="402">
        <v>0</v>
      </c>
      <c r="R145" s="403">
        <v>0</v>
      </c>
      <c r="S145" s="403">
        <v>0</v>
      </c>
      <c r="T145" s="404">
        <v>0</v>
      </c>
      <c r="U145" s="387">
        <f>SUM(K145:T145)</f>
        <v>19592.191842971726</v>
      </c>
      <c r="V145" s="307"/>
    </row>
    <row r="146" spans="2:22" x14ac:dyDescent="0.25">
      <c r="B146" s="593">
        <v>9</v>
      </c>
      <c r="C146" s="565" t="s">
        <v>21</v>
      </c>
      <c r="D146" s="544" t="s">
        <v>291</v>
      </c>
      <c r="E146" s="268" t="s">
        <v>292</v>
      </c>
      <c r="F146" s="171" t="s">
        <v>319</v>
      </c>
      <c r="G146" s="193">
        <v>475</v>
      </c>
      <c r="H146" s="170">
        <v>5360</v>
      </c>
      <c r="I146" s="170">
        <f>+H146*G146</f>
        <v>2546000</v>
      </c>
      <c r="J146" s="371">
        <f t="shared" ref="J146:J167" si="22">+I146/$E$4</f>
        <v>64.030146982635912</v>
      </c>
      <c r="K146" s="424"/>
      <c r="L146" s="405"/>
      <c r="M146" s="391"/>
      <c r="N146" s="391"/>
      <c r="O146" s="392"/>
      <c r="P146" s="392"/>
      <c r="Q146" s="391"/>
      <c r="R146" s="392"/>
      <c r="S146" s="392"/>
      <c r="T146" s="393"/>
      <c r="U146" s="384"/>
      <c r="V146" s="120"/>
    </row>
    <row r="147" spans="2:22" ht="26.25" customHeight="1" x14ac:dyDescent="0.25">
      <c r="B147" s="593"/>
      <c r="C147" s="583"/>
      <c r="D147" s="545"/>
      <c r="E147" s="249" t="s">
        <v>293</v>
      </c>
      <c r="F147" s="187" t="s">
        <v>319</v>
      </c>
      <c r="G147" s="536" t="s">
        <v>322</v>
      </c>
      <c r="H147" s="537"/>
      <c r="I147" s="174">
        <v>0</v>
      </c>
      <c r="J147" s="298">
        <f t="shared" si="22"/>
        <v>0</v>
      </c>
      <c r="K147" s="432"/>
      <c r="L147" s="433"/>
      <c r="M147" s="412"/>
      <c r="N147" s="412"/>
      <c r="O147" s="413"/>
      <c r="P147" s="413"/>
      <c r="Q147" s="412"/>
      <c r="R147" s="413"/>
      <c r="S147" s="413"/>
      <c r="T147" s="414"/>
      <c r="U147" s="389"/>
      <c r="V147" s="118"/>
    </row>
    <row r="148" spans="2:22" x14ac:dyDescent="0.25">
      <c r="B148" s="593"/>
      <c r="C148" s="583"/>
      <c r="D148" s="557"/>
      <c r="E148" s="250" t="s">
        <v>296</v>
      </c>
      <c r="F148" s="187" t="s">
        <v>318</v>
      </c>
      <c r="G148" s="192">
        <v>550</v>
      </c>
      <c r="H148" s="195">
        <v>50000</v>
      </c>
      <c r="I148" s="174">
        <f t="shared" ref="I148:I154" si="23">+H148*G148</f>
        <v>27500000</v>
      </c>
      <c r="J148" s="298">
        <f t="shared" si="22"/>
        <v>691.60606520914678</v>
      </c>
      <c r="K148" s="432"/>
      <c r="L148" s="433"/>
      <c r="M148" s="412"/>
      <c r="N148" s="412"/>
      <c r="O148" s="413"/>
      <c r="P148" s="413"/>
      <c r="Q148" s="412"/>
      <c r="R148" s="413"/>
      <c r="S148" s="413"/>
      <c r="T148" s="414"/>
      <c r="U148" s="389"/>
      <c r="V148" s="118"/>
    </row>
    <row r="149" spans="2:22" ht="30" x14ac:dyDescent="0.25">
      <c r="B149" s="593"/>
      <c r="C149" s="583"/>
      <c r="D149" s="557"/>
      <c r="E149" s="250" t="s">
        <v>297</v>
      </c>
      <c r="F149" s="187" t="s">
        <v>318</v>
      </c>
      <c r="G149" s="192">
        <v>235</v>
      </c>
      <c r="H149" s="195">
        <v>28000</v>
      </c>
      <c r="I149" s="174">
        <f t="shared" si="23"/>
        <v>6580000</v>
      </c>
      <c r="J149" s="298">
        <f t="shared" si="22"/>
        <v>165.48246942095221</v>
      </c>
      <c r="K149" s="432"/>
      <c r="L149" s="433"/>
      <c r="M149" s="412"/>
      <c r="N149" s="412"/>
      <c r="O149" s="413"/>
      <c r="P149" s="413"/>
      <c r="Q149" s="412"/>
      <c r="R149" s="413"/>
      <c r="S149" s="413"/>
      <c r="T149" s="414"/>
      <c r="U149" s="389"/>
      <c r="V149" s="118"/>
    </row>
    <row r="150" spans="2:22" x14ac:dyDescent="0.25">
      <c r="B150" s="593"/>
      <c r="C150" s="583"/>
      <c r="D150" s="545"/>
      <c r="E150" s="250" t="s">
        <v>298</v>
      </c>
      <c r="F150" s="187" t="s">
        <v>318</v>
      </c>
      <c r="G150" s="192">
        <v>40</v>
      </c>
      <c r="H150" s="176">
        <v>379000</v>
      </c>
      <c r="I150" s="174">
        <f t="shared" si="23"/>
        <v>15160000</v>
      </c>
      <c r="J150" s="298">
        <f t="shared" si="22"/>
        <v>381.26356176620601</v>
      </c>
      <c r="K150" s="432"/>
      <c r="L150" s="433"/>
      <c r="M150" s="412"/>
      <c r="N150" s="412"/>
      <c r="O150" s="413"/>
      <c r="P150" s="413"/>
      <c r="Q150" s="412"/>
      <c r="R150" s="413"/>
      <c r="S150" s="413"/>
      <c r="T150" s="414"/>
      <c r="U150" s="389"/>
      <c r="V150" s="118"/>
    </row>
    <row r="151" spans="2:22" x14ac:dyDescent="0.25">
      <c r="B151" s="593"/>
      <c r="C151" s="583"/>
      <c r="D151" s="556" t="s">
        <v>299</v>
      </c>
      <c r="E151" s="251" t="s">
        <v>323</v>
      </c>
      <c r="F151" s="187" t="s">
        <v>319</v>
      </c>
      <c r="G151" s="192"/>
      <c r="H151" s="195"/>
      <c r="I151" s="174">
        <f t="shared" si="23"/>
        <v>0</v>
      </c>
      <c r="J151" s="298">
        <f t="shared" si="22"/>
        <v>0</v>
      </c>
      <c r="K151" s="432"/>
      <c r="L151" s="433"/>
      <c r="M151" s="412"/>
      <c r="N151" s="412"/>
      <c r="O151" s="413"/>
      <c r="P151" s="413"/>
      <c r="Q151" s="412"/>
      <c r="R151" s="413"/>
      <c r="S151" s="413"/>
      <c r="T151" s="414"/>
      <c r="U151" s="389"/>
      <c r="V151" s="118"/>
    </row>
    <row r="152" spans="2:22" x14ac:dyDescent="0.25">
      <c r="B152" s="593"/>
      <c r="C152" s="583"/>
      <c r="D152" s="557"/>
      <c r="E152" s="250" t="s">
        <v>301</v>
      </c>
      <c r="F152" s="187" t="s">
        <v>318</v>
      </c>
      <c r="G152" s="192">
        <f>+G146</f>
        <v>475</v>
      </c>
      <c r="H152" s="180">
        <v>23350</v>
      </c>
      <c r="I152" s="174">
        <f t="shared" si="23"/>
        <v>11091250</v>
      </c>
      <c r="J152" s="298">
        <f t="shared" si="22"/>
        <v>278.93730075457995</v>
      </c>
      <c r="K152" s="432"/>
      <c r="L152" s="433"/>
      <c r="M152" s="412"/>
      <c r="N152" s="412"/>
      <c r="O152" s="413"/>
      <c r="P152" s="413"/>
      <c r="Q152" s="412"/>
      <c r="R152" s="413"/>
      <c r="S152" s="413"/>
      <c r="T152" s="414"/>
      <c r="U152" s="389"/>
      <c r="V152" s="118"/>
    </row>
    <row r="153" spans="2:22" x14ac:dyDescent="0.25">
      <c r="B153" s="593"/>
      <c r="C153" s="583"/>
      <c r="D153" s="557"/>
      <c r="E153" s="251" t="s">
        <v>324</v>
      </c>
      <c r="F153" s="187" t="s">
        <v>319</v>
      </c>
      <c r="G153" s="192">
        <v>1</v>
      </c>
      <c r="H153" s="195"/>
      <c r="I153" s="174">
        <f t="shared" si="23"/>
        <v>0</v>
      </c>
      <c r="J153" s="298">
        <f t="shared" si="22"/>
        <v>0</v>
      </c>
      <c r="K153" s="432"/>
      <c r="L153" s="433"/>
      <c r="M153" s="412"/>
      <c r="N153" s="412"/>
      <c r="O153" s="413"/>
      <c r="P153" s="413"/>
      <c r="Q153" s="412"/>
      <c r="R153" s="413"/>
      <c r="S153" s="413"/>
      <c r="T153" s="414"/>
      <c r="U153" s="389"/>
      <c r="V153" s="118"/>
    </row>
    <row r="154" spans="2:22" x14ac:dyDescent="0.25">
      <c r="B154" s="593"/>
      <c r="C154" s="583"/>
      <c r="D154" s="545"/>
      <c r="E154" s="250" t="s">
        <v>304</v>
      </c>
      <c r="F154" s="187" t="s">
        <v>319</v>
      </c>
      <c r="G154" s="192">
        <v>1</v>
      </c>
      <c r="H154" s="195"/>
      <c r="I154" s="174">
        <f t="shared" si="23"/>
        <v>0</v>
      </c>
      <c r="J154" s="298">
        <f t="shared" si="22"/>
        <v>0</v>
      </c>
      <c r="K154" s="432"/>
      <c r="L154" s="433"/>
      <c r="M154" s="412"/>
      <c r="N154" s="412"/>
      <c r="O154" s="413"/>
      <c r="P154" s="413"/>
      <c r="Q154" s="412"/>
      <c r="R154" s="413"/>
      <c r="S154" s="413"/>
      <c r="T154" s="414"/>
      <c r="U154" s="389"/>
      <c r="V154" s="118"/>
    </row>
    <row r="155" spans="2:22" ht="45.75" thickBot="1" x14ac:dyDescent="0.3">
      <c r="B155" s="593"/>
      <c r="C155" s="568"/>
      <c r="D155" s="302" t="s">
        <v>352</v>
      </c>
      <c r="E155" s="340" t="s">
        <v>349</v>
      </c>
      <c r="F155" s="186" t="s">
        <v>319</v>
      </c>
      <c r="G155" s="183">
        <v>1</v>
      </c>
      <c r="H155" s="457">
        <v>8000000</v>
      </c>
      <c r="I155" s="185">
        <f>+H155*G155</f>
        <v>8000000</v>
      </c>
      <c r="J155" s="377">
        <f t="shared" si="22"/>
        <v>201.19449169720633</v>
      </c>
      <c r="K155" s="426"/>
      <c r="L155" s="427"/>
      <c r="M155" s="399"/>
      <c r="N155" s="399"/>
      <c r="O155" s="400"/>
      <c r="P155" s="400"/>
      <c r="Q155" s="399"/>
      <c r="R155" s="400"/>
      <c r="S155" s="400"/>
      <c r="T155" s="401"/>
      <c r="U155" s="386"/>
      <c r="V155" s="117"/>
    </row>
    <row r="156" spans="2:22" ht="15.75" thickBot="1" x14ac:dyDescent="0.3">
      <c r="B156" s="449"/>
      <c r="C156" s="332"/>
      <c r="D156" s="295"/>
      <c r="E156" s="323"/>
      <c r="F156" s="306"/>
      <c r="G156" s="305"/>
      <c r="H156" s="308" t="s">
        <v>368</v>
      </c>
      <c r="I156" s="312">
        <f>SUM(I146:I155)</f>
        <v>70877250</v>
      </c>
      <c r="J156" s="370">
        <f t="shared" si="22"/>
        <v>1782.5140358307272</v>
      </c>
      <c r="K156" s="428">
        <v>0</v>
      </c>
      <c r="L156" s="429">
        <v>0</v>
      </c>
      <c r="M156" s="402">
        <v>0</v>
      </c>
      <c r="N156" s="402">
        <f>+J156</f>
        <v>1782.5140358307272</v>
      </c>
      <c r="O156" s="403">
        <v>0</v>
      </c>
      <c r="P156" s="403">
        <v>0</v>
      </c>
      <c r="Q156" s="402">
        <v>0</v>
      </c>
      <c r="R156" s="403">
        <v>0</v>
      </c>
      <c r="S156" s="403">
        <v>0</v>
      </c>
      <c r="T156" s="404">
        <v>0</v>
      </c>
      <c r="U156" s="387">
        <f>SUM(K156:T156)</f>
        <v>1782.5140358307272</v>
      </c>
      <c r="V156" s="307"/>
    </row>
    <row r="157" spans="2:22" s="167" customFormat="1" ht="18" customHeight="1" x14ac:dyDescent="0.25">
      <c r="B157" s="593">
        <v>10</v>
      </c>
      <c r="C157" s="565" t="s">
        <v>18</v>
      </c>
      <c r="D157" s="572" t="s">
        <v>291</v>
      </c>
      <c r="E157" s="268" t="s">
        <v>292</v>
      </c>
      <c r="F157" s="168" t="s">
        <v>319</v>
      </c>
      <c r="G157" s="193">
        <v>872</v>
      </c>
      <c r="H157" s="170">
        <v>5360</v>
      </c>
      <c r="I157" s="170">
        <f>+H157*G157</f>
        <v>4673920</v>
      </c>
      <c r="J157" s="371">
        <f t="shared" si="22"/>
        <v>117.54586982917583</v>
      </c>
      <c r="K157" s="424"/>
      <c r="L157" s="405"/>
      <c r="M157" s="391"/>
      <c r="N157" s="391"/>
      <c r="O157" s="392"/>
      <c r="P157" s="392"/>
      <c r="Q157" s="391"/>
      <c r="R157" s="392"/>
      <c r="S157" s="392"/>
      <c r="T157" s="393"/>
      <c r="U157" s="384"/>
      <c r="V157" s="227"/>
    </row>
    <row r="158" spans="2:22" ht="27.75" customHeight="1" x14ac:dyDescent="0.25">
      <c r="B158" s="593"/>
      <c r="C158" s="566"/>
      <c r="D158" s="563"/>
      <c r="E158" s="249" t="s">
        <v>293</v>
      </c>
      <c r="F158" s="172" t="s">
        <v>319</v>
      </c>
      <c r="G158" s="538" t="s">
        <v>322</v>
      </c>
      <c r="H158" s="538"/>
      <c r="I158" s="174">
        <v>0</v>
      </c>
      <c r="J158" s="298">
        <f t="shared" si="22"/>
        <v>0</v>
      </c>
      <c r="K158" s="425"/>
      <c r="L158" s="407"/>
      <c r="M158" s="394"/>
      <c r="N158" s="394"/>
      <c r="O158" s="395"/>
      <c r="P158" s="395"/>
      <c r="Q158" s="394"/>
      <c r="R158" s="395"/>
      <c r="S158" s="395"/>
      <c r="T158" s="396"/>
      <c r="U158" s="385"/>
      <c r="V158" s="119"/>
    </row>
    <row r="159" spans="2:22" ht="18.75" customHeight="1" x14ac:dyDescent="0.25">
      <c r="B159" s="593"/>
      <c r="C159" s="566"/>
      <c r="D159" s="562" t="s">
        <v>294</v>
      </c>
      <c r="E159" s="249" t="s">
        <v>295</v>
      </c>
      <c r="F159" s="172" t="s">
        <v>318</v>
      </c>
      <c r="G159" s="221">
        <v>200</v>
      </c>
      <c r="H159" s="174">
        <v>48000</v>
      </c>
      <c r="I159" s="174">
        <f t="shared" ref="I159:I171" si="24">+H159*G159</f>
        <v>9600000</v>
      </c>
      <c r="J159" s="298">
        <f t="shared" si="22"/>
        <v>241.43339003664761</v>
      </c>
      <c r="K159" s="425"/>
      <c r="L159" s="407"/>
      <c r="M159" s="394"/>
      <c r="N159" s="394"/>
      <c r="O159" s="395"/>
      <c r="P159" s="395"/>
      <c r="Q159" s="394"/>
      <c r="R159" s="395"/>
      <c r="S159" s="395"/>
      <c r="T159" s="396"/>
      <c r="U159" s="385"/>
      <c r="V159" s="119"/>
    </row>
    <row r="160" spans="2:22" ht="30" x14ac:dyDescent="0.25">
      <c r="B160" s="593"/>
      <c r="C160" s="566"/>
      <c r="D160" s="563"/>
      <c r="E160" s="250" t="s">
        <v>297</v>
      </c>
      <c r="F160" s="172" t="s">
        <v>318</v>
      </c>
      <c r="G160" s="221">
        <v>230</v>
      </c>
      <c r="H160" s="176">
        <v>28000</v>
      </c>
      <c r="I160" s="174">
        <f t="shared" si="24"/>
        <v>6440000</v>
      </c>
      <c r="J160" s="298">
        <f t="shared" si="22"/>
        <v>161.9615658162511</v>
      </c>
      <c r="K160" s="425"/>
      <c r="L160" s="407"/>
      <c r="M160" s="394"/>
      <c r="N160" s="394"/>
      <c r="O160" s="395"/>
      <c r="P160" s="395"/>
      <c r="Q160" s="394"/>
      <c r="R160" s="395"/>
      <c r="S160" s="395"/>
      <c r="T160" s="396"/>
      <c r="U160" s="385"/>
      <c r="V160" s="119"/>
    </row>
    <row r="161" spans="2:22" x14ac:dyDescent="0.25">
      <c r="B161" s="593"/>
      <c r="C161" s="566"/>
      <c r="D161" s="563"/>
      <c r="E161" s="250" t="s">
        <v>298</v>
      </c>
      <c r="F161" s="172" t="s">
        <v>318</v>
      </c>
      <c r="G161" s="221">
        <v>10</v>
      </c>
      <c r="H161" s="176">
        <v>379000</v>
      </c>
      <c r="I161" s="174">
        <f t="shared" si="24"/>
        <v>3790000</v>
      </c>
      <c r="J161" s="298">
        <f t="shared" si="22"/>
        <v>95.315890441551502</v>
      </c>
      <c r="K161" s="425"/>
      <c r="L161" s="407"/>
      <c r="M161" s="394"/>
      <c r="N161" s="394"/>
      <c r="O161" s="395"/>
      <c r="P161" s="395"/>
      <c r="Q161" s="394"/>
      <c r="R161" s="395"/>
      <c r="S161" s="395"/>
      <c r="T161" s="396"/>
      <c r="U161" s="385"/>
      <c r="V161" s="119"/>
    </row>
    <row r="162" spans="2:22" ht="15.75" customHeight="1" x14ac:dyDescent="0.25">
      <c r="B162" s="593"/>
      <c r="C162" s="566"/>
      <c r="D162" s="563" t="s">
        <v>299</v>
      </c>
      <c r="E162" s="251" t="s">
        <v>323</v>
      </c>
      <c r="F162" s="172" t="s">
        <v>319</v>
      </c>
      <c r="G162" s="178">
        <v>1</v>
      </c>
      <c r="H162" s="180"/>
      <c r="I162" s="174">
        <f t="shared" si="24"/>
        <v>0</v>
      </c>
      <c r="J162" s="298">
        <f t="shared" si="22"/>
        <v>0</v>
      </c>
      <c r="K162" s="425"/>
      <c r="L162" s="407"/>
      <c r="M162" s="394"/>
      <c r="N162" s="394"/>
      <c r="O162" s="395"/>
      <c r="P162" s="395"/>
      <c r="Q162" s="394"/>
      <c r="R162" s="395"/>
      <c r="S162" s="395"/>
      <c r="T162" s="396"/>
      <c r="U162" s="385"/>
      <c r="V162" s="119"/>
    </row>
    <row r="163" spans="2:22" x14ac:dyDescent="0.25">
      <c r="B163" s="593"/>
      <c r="C163" s="566"/>
      <c r="D163" s="563"/>
      <c r="E163" s="250" t="s">
        <v>301</v>
      </c>
      <c r="F163" s="172" t="s">
        <v>319</v>
      </c>
      <c r="G163" s="178">
        <f>+G157</f>
        <v>872</v>
      </c>
      <c r="H163" s="180">
        <v>23350</v>
      </c>
      <c r="I163" s="174">
        <f t="shared" si="24"/>
        <v>20361200</v>
      </c>
      <c r="J163" s="298">
        <f t="shared" si="22"/>
        <v>512.07016054314465</v>
      </c>
      <c r="K163" s="425"/>
      <c r="L163" s="407"/>
      <c r="M163" s="394"/>
      <c r="N163" s="394"/>
      <c r="O163" s="395"/>
      <c r="P163" s="395"/>
      <c r="Q163" s="394"/>
      <c r="R163" s="395"/>
      <c r="S163" s="395"/>
      <c r="T163" s="396"/>
      <c r="U163" s="385"/>
      <c r="V163" s="119"/>
    </row>
    <row r="164" spans="2:22" x14ac:dyDescent="0.25">
      <c r="B164" s="593"/>
      <c r="C164" s="566"/>
      <c r="D164" s="563"/>
      <c r="E164" s="250" t="s">
        <v>303</v>
      </c>
      <c r="F164" s="172" t="s">
        <v>319</v>
      </c>
      <c r="G164" s="178">
        <v>1</v>
      </c>
      <c r="H164" s="180"/>
      <c r="I164" s="174">
        <f t="shared" si="24"/>
        <v>0</v>
      </c>
      <c r="J164" s="298">
        <f t="shared" si="22"/>
        <v>0</v>
      </c>
      <c r="K164" s="425"/>
      <c r="L164" s="407"/>
      <c r="M164" s="394"/>
      <c r="N164" s="394"/>
      <c r="O164" s="395"/>
      <c r="P164" s="395"/>
      <c r="Q164" s="394"/>
      <c r="R164" s="395"/>
      <c r="S164" s="395"/>
      <c r="T164" s="396"/>
      <c r="U164" s="385"/>
      <c r="V164" s="119"/>
    </row>
    <row r="165" spans="2:22" x14ac:dyDescent="0.25">
      <c r="B165" s="593"/>
      <c r="C165" s="566"/>
      <c r="D165" s="563"/>
      <c r="E165" s="251" t="s">
        <v>324</v>
      </c>
      <c r="F165" s="172" t="s">
        <v>319</v>
      </c>
      <c r="G165" s="178">
        <v>0</v>
      </c>
      <c r="H165" s="180"/>
      <c r="I165" s="174">
        <f t="shared" si="24"/>
        <v>0</v>
      </c>
      <c r="J165" s="298">
        <f t="shared" si="22"/>
        <v>0</v>
      </c>
      <c r="K165" s="425"/>
      <c r="L165" s="407"/>
      <c r="M165" s="394"/>
      <c r="N165" s="394"/>
      <c r="O165" s="395"/>
      <c r="P165" s="395"/>
      <c r="Q165" s="394"/>
      <c r="R165" s="395"/>
      <c r="S165" s="395"/>
      <c r="T165" s="396"/>
      <c r="U165" s="385"/>
      <c r="V165" s="119"/>
    </row>
    <row r="166" spans="2:22" x14ac:dyDescent="0.25">
      <c r="B166" s="593"/>
      <c r="C166" s="566"/>
      <c r="D166" s="563"/>
      <c r="E166" s="250" t="s">
        <v>304</v>
      </c>
      <c r="F166" s="194" t="s">
        <v>319</v>
      </c>
      <c r="G166" s="178">
        <v>1</v>
      </c>
      <c r="H166" s="180"/>
      <c r="I166" s="174">
        <f t="shared" si="24"/>
        <v>0</v>
      </c>
      <c r="J166" s="298">
        <f t="shared" si="22"/>
        <v>0</v>
      </c>
      <c r="K166" s="425"/>
      <c r="L166" s="407"/>
      <c r="M166" s="394"/>
      <c r="N166" s="394"/>
      <c r="O166" s="395"/>
      <c r="P166" s="395"/>
      <c r="Q166" s="394"/>
      <c r="R166" s="395"/>
      <c r="S166" s="395"/>
      <c r="T166" s="396"/>
      <c r="U166" s="385"/>
      <c r="V166" s="119"/>
    </row>
    <row r="167" spans="2:22" x14ac:dyDescent="0.25">
      <c r="B167" s="593"/>
      <c r="C167" s="566"/>
      <c r="D167" s="562" t="s">
        <v>352</v>
      </c>
      <c r="E167" s="299" t="s">
        <v>359</v>
      </c>
      <c r="F167" s="247" t="s">
        <v>320</v>
      </c>
      <c r="G167" s="221">
        <v>4</v>
      </c>
      <c r="H167" s="180">
        <v>380000</v>
      </c>
      <c r="I167" s="174">
        <f t="shared" si="24"/>
        <v>1520000</v>
      </c>
      <c r="J167" s="298">
        <f t="shared" si="22"/>
        <v>38.226953422469201</v>
      </c>
      <c r="K167" s="425"/>
      <c r="L167" s="407"/>
      <c r="M167" s="394"/>
      <c r="N167" s="394"/>
      <c r="O167" s="395"/>
      <c r="P167" s="395"/>
      <c r="Q167" s="394"/>
      <c r="R167" s="395"/>
      <c r="S167" s="395"/>
      <c r="T167" s="396"/>
      <c r="U167" s="385"/>
      <c r="V167" s="119"/>
    </row>
    <row r="168" spans="2:22" x14ac:dyDescent="0.25">
      <c r="B168" s="593"/>
      <c r="C168" s="566"/>
      <c r="D168" s="562"/>
      <c r="E168" s="231" t="s">
        <v>326</v>
      </c>
      <c r="F168" s="247"/>
      <c r="G168" s="329">
        <v>2</v>
      </c>
      <c r="H168" s="330">
        <v>200000</v>
      </c>
      <c r="I168" s="260">
        <f t="shared" si="24"/>
        <v>400000</v>
      </c>
      <c r="J168" s="378">
        <f>+I168/$E$4</f>
        <v>10.059724584860316</v>
      </c>
      <c r="K168" s="425"/>
      <c r="L168" s="407"/>
      <c r="M168" s="394"/>
      <c r="N168" s="394"/>
      <c r="O168" s="395"/>
      <c r="P168" s="395"/>
      <c r="Q168" s="394"/>
      <c r="R168" s="395"/>
      <c r="S168" s="395"/>
      <c r="T168" s="396"/>
      <c r="U168" s="385"/>
      <c r="V168" s="119"/>
    </row>
    <row r="169" spans="2:22" x14ac:dyDescent="0.25">
      <c r="B169" s="593"/>
      <c r="C169" s="566"/>
      <c r="D169" s="562"/>
      <c r="E169" s="299" t="s">
        <v>360</v>
      </c>
      <c r="F169" s="247" t="s">
        <v>320</v>
      </c>
      <c r="G169" s="221">
        <v>4</v>
      </c>
      <c r="H169" s="180">
        <v>120000</v>
      </c>
      <c r="I169" s="174">
        <f t="shared" si="24"/>
        <v>480000</v>
      </c>
      <c r="J169" s="298">
        <f t="shared" ref="J169:J171" si="25">+I169/$E$4</f>
        <v>12.07166950183238</v>
      </c>
      <c r="K169" s="425"/>
      <c r="L169" s="407"/>
      <c r="M169" s="394"/>
      <c r="N169" s="394"/>
      <c r="O169" s="395"/>
      <c r="P169" s="395"/>
      <c r="Q169" s="394"/>
      <c r="R169" s="395"/>
      <c r="S169" s="395"/>
      <c r="T169" s="396"/>
      <c r="U169" s="385"/>
      <c r="V169" s="119"/>
    </row>
    <row r="170" spans="2:22" x14ac:dyDescent="0.25">
      <c r="B170" s="593"/>
      <c r="C170" s="566"/>
      <c r="D170" s="562"/>
      <c r="E170" s="299" t="s">
        <v>361</v>
      </c>
      <c r="F170" s="247" t="s">
        <v>318</v>
      </c>
      <c r="G170" s="221">
        <v>2</v>
      </c>
      <c r="H170" s="331">
        <v>712530</v>
      </c>
      <c r="I170" s="174">
        <f t="shared" si="24"/>
        <v>1425060</v>
      </c>
      <c r="J170" s="298">
        <f t="shared" si="25"/>
        <v>35.839277792252609</v>
      </c>
      <c r="K170" s="425"/>
      <c r="L170" s="407"/>
      <c r="M170" s="394"/>
      <c r="N170" s="394"/>
      <c r="O170" s="395"/>
      <c r="P170" s="395"/>
      <c r="Q170" s="394"/>
      <c r="R170" s="395"/>
      <c r="S170" s="395"/>
      <c r="T170" s="396"/>
      <c r="U170" s="385"/>
      <c r="V170" s="119"/>
    </row>
    <row r="171" spans="2:22" x14ac:dyDescent="0.25">
      <c r="B171" s="593"/>
      <c r="C171" s="566"/>
      <c r="D171" s="562"/>
      <c r="E171" s="299" t="s">
        <v>310</v>
      </c>
      <c r="F171" s="247" t="s">
        <v>320</v>
      </c>
      <c r="G171" s="221">
        <v>6</v>
      </c>
      <c r="H171" s="180">
        <v>695000</v>
      </c>
      <c r="I171" s="174">
        <f t="shared" si="24"/>
        <v>4170000</v>
      </c>
      <c r="J171" s="298">
        <f t="shared" si="25"/>
        <v>104.8726287971688</v>
      </c>
      <c r="K171" s="425"/>
      <c r="L171" s="407"/>
      <c r="M171" s="394"/>
      <c r="N171" s="394"/>
      <c r="O171" s="395"/>
      <c r="P171" s="395"/>
      <c r="Q171" s="394"/>
      <c r="R171" s="395"/>
      <c r="S171" s="395"/>
      <c r="T171" s="396"/>
      <c r="U171" s="385"/>
      <c r="V171" s="119"/>
    </row>
    <row r="172" spans="2:22" ht="15.75" thickBot="1" x14ac:dyDescent="0.3">
      <c r="B172" s="593"/>
      <c r="C172" s="568"/>
      <c r="D172" s="571"/>
      <c r="E172" s="342" t="s">
        <v>351</v>
      </c>
      <c r="F172" s="224" t="s">
        <v>319</v>
      </c>
      <c r="G172" s="183">
        <v>1</v>
      </c>
      <c r="H172" s="282">
        <v>36000000</v>
      </c>
      <c r="I172" s="185">
        <f>+H172*G172</f>
        <v>36000000</v>
      </c>
      <c r="J172" s="373">
        <f t="shared" ref="J172:J185" si="26">+I172/$E$4</f>
        <v>905.37521263742849</v>
      </c>
      <c r="K172" s="426"/>
      <c r="L172" s="427"/>
      <c r="M172" s="399"/>
      <c r="N172" s="399"/>
      <c r="O172" s="400"/>
      <c r="P172" s="400"/>
      <c r="Q172" s="399"/>
      <c r="R172" s="400"/>
      <c r="S172" s="400"/>
      <c r="T172" s="401"/>
      <c r="U172" s="386"/>
      <c r="V172" s="117"/>
    </row>
    <row r="173" spans="2:22" ht="15.75" thickBot="1" x14ac:dyDescent="0.3">
      <c r="B173" s="449"/>
      <c r="C173" s="332"/>
      <c r="D173" s="296"/>
      <c r="E173" s="343"/>
      <c r="F173" s="315"/>
      <c r="G173" s="305"/>
      <c r="H173" s="308" t="s">
        <v>368</v>
      </c>
      <c r="I173" s="312">
        <f>SUM(I157:I172)</f>
        <v>88860180</v>
      </c>
      <c r="J173" s="370">
        <f t="shared" si="26"/>
        <v>2234.7723434027826</v>
      </c>
      <c r="K173" s="428">
        <v>0</v>
      </c>
      <c r="L173" s="429">
        <v>0</v>
      </c>
      <c r="M173" s="402">
        <v>0</v>
      </c>
      <c r="N173" s="402">
        <v>0</v>
      </c>
      <c r="O173" s="403">
        <v>0</v>
      </c>
      <c r="P173" s="403">
        <v>0</v>
      </c>
      <c r="Q173" s="402">
        <f>+J173</f>
        <v>2234.7723434027826</v>
      </c>
      <c r="R173" s="403">
        <v>0</v>
      </c>
      <c r="S173" s="403">
        <v>0</v>
      </c>
      <c r="T173" s="404">
        <v>0</v>
      </c>
      <c r="U173" s="387">
        <f>SUM(K173:T173)</f>
        <v>2234.7723434027826</v>
      </c>
      <c r="V173" s="307"/>
    </row>
    <row r="174" spans="2:22" ht="28.5" customHeight="1" x14ac:dyDescent="0.25">
      <c r="B174" s="593">
        <v>11</v>
      </c>
      <c r="C174" s="565" t="s">
        <v>177</v>
      </c>
      <c r="D174" s="544" t="s">
        <v>291</v>
      </c>
      <c r="E174" s="268" t="s">
        <v>292</v>
      </c>
      <c r="F174" s="168" t="s">
        <v>319</v>
      </c>
      <c r="G174" s="193">
        <v>1830</v>
      </c>
      <c r="H174" s="170">
        <v>5360</v>
      </c>
      <c r="I174" s="170">
        <f t="shared" ref="I174" si="27">+H174*G174</f>
        <v>9808800</v>
      </c>
      <c r="J174" s="374">
        <f t="shared" si="26"/>
        <v>246.68456626994467</v>
      </c>
      <c r="K174" s="424"/>
      <c r="L174" s="405"/>
      <c r="M174" s="391"/>
      <c r="N174" s="391"/>
      <c r="O174" s="392"/>
      <c r="P174" s="392"/>
      <c r="Q174" s="391"/>
      <c r="R174" s="392"/>
      <c r="S174" s="392"/>
      <c r="T174" s="393"/>
      <c r="U174" s="384"/>
      <c r="V174" s="120" t="s">
        <v>276</v>
      </c>
    </row>
    <row r="175" spans="2:22" ht="15" customHeight="1" x14ac:dyDescent="0.25">
      <c r="B175" s="593"/>
      <c r="C175" s="566"/>
      <c r="D175" s="545"/>
      <c r="E175" s="250" t="s">
        <v>293</v>
      </c>
      <c r="F175" s="172" t="s">
        <v>319</v>
      </c>
      <c r="G175" s="536" t="s">
        <v>322</v>
      </c>
      <c r="H175" s="537"/>
      <c r="I175" s="174">
        <v>0</v>
      </c>
      <c r="J175" s="298">
        <f t="shared" si="26"/>
        <v>0</v>
      </c>
      <c r="K175" s="425"/>
      <c r="L175" s="407"/>
      <c r="M175" s="394"/>
      <c r="N175" s="394"/>
      <c r="O175" s="395"/>
      <c r="P175" s="395"/>
      <c r="Q175" s="394"/>
      <c r="R175" s="395"/>
      <c r="S175" s="395"/>
      <c r="T175" s="396"/>
      <c r="U175" s="385"/>
      <c r="V175" s="119"/>
    </row>
    <row r="176" spans="2:22" x14ac:dyDescent="0.25">
      <c r="B176" s="593"/>
      <c r="C176" s="566"/>
      <c r="D176" s="558" t="s">
        <v>294</v>
      </c>
      <c r="E176" s="250" t="s">
        <v>296</v>
      </c>
      <c r="F176" s="172" t="s">
        <v>318</v>
      </c>
      <c r="G176" s="178">
        <v>960</v>
      </c>
      <c r="H176" s="176">
        <v>28000</v>
      </c>
      <c r="I176" s="174">
        <f t="shared" ref="I176:I188" si="28">+H176*G176</f>
        <v>26880000</v>
      </c>
      <c r="J176" s="298">
        <f t="shared" si="26"/>
        <v>676.01349210261321</v>
      </c>
      <c r="K176" s="425"/>
      <c r="L176" s="407"/>
      <c r="M176" s="394"/>
      <c r="N176" s="394"/>
      <c r="O176" s="395"/>
      <c r="P176" s="395"/>
      <c r="Q176" s="394"/>
      <c r="R176" s="395"/>
      <c r="S176" s="395"/>
      <c r="T176" s="396"/>
      <c r="U176" s="385"/>
      <c r="V176" s="119"/>
    </row>
    <row r="177" spans="2:22" ht="31.5" customHeight="1" x14ac:dyDescent="0.25">
      <c r="B177" s="593"/>
      <c r="C177" s="566"/>
      <c r="D177" s="557"/>
      <c r="E177" s="250" t="s">
        <v>297</v>
      </c>
      <c r="F177" s="172" t="s">
        <v>318</v>
      </c>
      <c r="G177" s="178">
        <v>2750</v>
      </c>
      <c r="H177" s="176">
        <v>28000</v>
      </c>
      <c r="I177" s="174">
        <f t="shared" si="28"/>
        <v>77000000</v>
      </c>
      <c r="J177" s="298">
        <f t="shared" si="26"/>
        <v>1936.496982585611</v>
      </c>
      <c r="K177" s="425"/>
      <c r="L177" s="407"/>
      <c r="M177" s="394"/>
      <c r="N177" s="394"/>
      <c r="O177" s="395"/>
      <c r="P177" s="395"/>
      <c r="Q177" s="394"/>
      <c r="R177" s="395"/>
      <c r="S177" s="395"/>
      <c r="T177" s="396"/>
      <c r="U177" s="385"/>
      <c r="V177" s="119"/>
    </row>
    <row r="178" spans="2:22" x14ac:dyDescent="0.25">
      <c r="B178" s="593"/>
      <c r="C178" s="566"/>
      <c r="D178" s="545"/>
      <c r="E178" s="250" t="s">
        <v>298</v>
      </c>
      <c r="F178" s="172" t="s">
        <v>318</v>
      </c>
      <c r="G178" s="178">
        <v>420</v>
      </c>
      <c r="H178" s="176">
        <v>379000</v>
      </c>
      <c r="I178" s="174">
        <f t="shared" si="28"/>
        <v>159180000</v>
      </c>
      <c r="J178" s="298">
        <f t="shared" si="26"/>
        <v>4003.2673985451629</v>
      </c>
      <c r="K178" s="425"/>
      <c r="L178" s="407"/>
      <c r="M178" s="394"/>
      <c r="N178" s="394"/>
      <c r="O178" s="395"/>
      <c r="P178" s="395"/>
      <c r="Q178" s="394"/>
      <c r="R178" s="395"/>
      <c r="S178" s="395"/>
      <c r="T178" s="396"/>
      <c r="U178" s="385"/>
      <c r="V178" s="119"/>
    </row>
    <row r="179" spans="2:22" ht="15" customHeight="1" x14ac:dyDescent="0.25">
      <c r="B179" s="593"/>
      <c r="C179" s="566"/>
      <c r="D179" s="556" t="s">
        <v>299</v>
      </c>
      <c r="E179" s="251" t="s">
        <v>323</v>
      </c>
      <c r="F179" s="172" t="s">
        <v>319</v>
      </c>
      <c r="G179" s="178">
        <v>1</v>
      </c>
      <c r="H179" s="180"/>
      <c r="I179" s="174">
        <f t="shared" si="28"/>
        <v>0</v>
      </c>
      <c r="J179" s="298">
        <f t="shared" si="26"/>
        <v>0</v>
      </c>
      <c r="K179" s="425"/>
      <c r="L179" s="407"/>
      <c r="M179" s="394"/>
      <c r="N179" s="394"/>
      <c r="O179" s="395"/>
      <c r="P179" s="395"/>
      <c r="Q179" s="394"/>
      <c r="R179" s="395"/>
      <c r="S179" s="395"/>
      <c r="T179" s="396"/>
      <c r="U179" s="385"/>
      <c r="V179" s="119"/>
    </row>
    <row r="180" spans="2:22" x14ac:dyDescent="0.25">
      <c r="B180" s="593"/>
      <c r="C180" s="567"/>
      <c r="D180" s="557"/>
      <c r="E180" s="250" t="s">
        <v>301</v>
      </c>
      <c r="F180" s="172" t="s">
        <v>319</v>
      </c>
      <c r="G180" s="189">
        <f>+G174</f>
        <v>1830</v>
      </c>
      <c r="H180" s="180">
        <v>23350</v>
      </c>
      <c r="I180" s="174">
        <f t="shared" si="28"/>
        <v>42730500</v>
      </c>
      <c r="J180" s="298">
        <f t="shared" si="26"/>
        <v>1074.6426534334344</v>
      </c>
      <c r="K180" s="430"/>
      <c r="L180" s="431"/>
      <c r="M180" s="409"/>
      <c r="N180" s="409"/>
      <c r="O180" s="410"/>
      <c r="P180" s="410"/>
      <c r="Q180" s="409"/>
      <c r="R180" s="410"/>
      <c r="S180" s="410"/>
      <c r="T180" s="411"/>
      <c r="U180" s="388"/>
      <c r="V180" s="145"/>
    </row>
    <row r="181" spans="2:22" x14ac:dyDescent="0.25">
      <c r="B181" s="593"/>
      <c r="C181" s="567"/>
      <c r="D181" s="557"/>
      <c r="E181" s="250" t="s">
        <v>303</v>
      </c>
      <c r="F181" s="172" t="s">
        <v>319</v>
      </c>
      <c r="G181" s="189">
        <v>1</v>
      </c>
      <c r="H181" s="190"/>
      <c r="I181" s="174">
        <f t="shared" si="28"/>
        <v>0</v>
      </c>
      <c r="J181" s="298">
        <f t="shared" si="26"/>
        <v>0</v>
      </c>
      <c r="K181" s="430"/>
      <c r="L181" s="431"/>
      <c r="M181" s="409"/>
      <c r="N181" s="409"/>
      <c r="O181" s="410"/>
      <c r="P181" s="410"/>
      <c r="Q181" s="409"/>
      <c r="R181" s="410"/>
      <c r="S181" s="410"/>
      <c r="T181" s="411"/>
      <c r="U181" s="388"/>
      <c r="V181" s="145"/>
    </row>
    <row r="182" spans="2:22" x14ac:dyDescent="0.25">
      <c r="B182" s="593"/>
      <c r="C182" s="567"/>
      <c r="D182" s="557"/>
      <c r="E182" s="251" t="s">
        <v>324</v>
      </c>
      <c r="F182" s="172" t="s">
        <v>319</v>
      </c>
      <c r="G182" s="189">
        <v>1</v>
      </c>
      <c r="H182" s="190"/>
      <c r="I182" s="174">
        <f t="shared" si="28"/>
        <v>0</v>
      </c>
      <c r="J182" s="298">
        <f t="shared" si="26"/>
        <v>0</v>
      </c>
      <c r="K182" s="430"/>
      <c r="L182" s="431"/>
      <c r="M182" s="409"/>
      <c r="N182" s="409"/>
      <c r="O182" s="410"/>
      <c r="P182" s="410"/>
      <c r="Q182" s="409"/>
      <c r="R182" s="410"/>
      <c r="S182" s="410"/>
      <c r="T182" s="411"/>
      <c r="U182" s="388"/>
      <c r="V182" s="145"/>
    </row>
    <row r="183" spans="2:22" x14ac:dyDescent="0.25">
      <c r="B183" s="593"/>
      <c r="C183" s="567"/>
      <c r="D183" s="545"/>
      <c r="E183" s="250" t="s">
        <v>304</v>
      </c>
      <c r="F183" s="194" t="s">
        <v>319</v>
      </c>
      <c r="G183" s="189">
        <v>1</v>
      </c>
      <c r="H183" s="190"/>
      <c r="I183" s="174">
        <f t="shared" si="28"/>
        <v>0</v>
      </c>
      <c r="J183" s="298">
        <f t="shared" si="26"/>
        <v>0</v>
      </c>
      <c r="K183" s="430"/>
      <c r="L183" s="431"/>
      <c r="M183" s="409"/>
      <c r="N183" s="409"/>
      <c r="O183" s="410"/>
      <c r="P183" s="410"/>
      <c r="Q183" s="409"/>
      <c r="R183" s="410"/>
      <c r="S183" s="410"/>
      <c r="T183" s="411"/>
      <c r="U183" s="388"/>
      <c r="V183" s="145"/>
    </row>
    <row r="184" spans="2:22" x14ac:dyDescent="0.25">
      <c r="B184" s="593"/>
      <c r="C184" s="567"/>
      <c r="D184" s="558" t="s">
        <v>305</v>
      </c>
      <c r="E184" s="238" t="s">
        <v>359</v>
      </c>
      <c r="F184" s="247" t="s">
        <v>320</v>
      </c>
      <c r="G184" s="199">
        <v>8</v>
      </c>
      <c r="H184" s="180">
        <v>380000</v>
      </c>
      <c r="I184" s="174">
        <f t="shared" si="28"/>
        <v>3040000</v>
      </c>
      <c r="J184" s="298">
        <f t="shared" si="26"/>
        <v>76.453906844938402</v>
      </c>
      <c r="K184" s="425"/>
      <c r="L184" s="407"/>
      <c r="M184" s="394"/>
      <c r="N184" s="394"/>
      <c r="O184" s="395"/>
      <c r="P184" s="395"/>
      <c r="Q184" s="394"/>
      <c r="R184" s="395"/>
      <c r="S184" s="395"/>
      <c r="T184" s="396"/>
      <c r="U184" s="385"/>
      <c r="V184" s="119"/>
    </row>
    <row r="185" spans="2:22" x14ac:dyDescent="0.25">
      <c r="B185" s="593"/>
      <c r="C185" s="567"/>
      <c r="D185" s="558"/>
      <c r="E185" s="258" t="s">
        <v>326</v>
      </c>
      <c r="F185" s="247"/>
      <c r="G185" s="257">
        <v>4</v>
      </c>
      <c r="H185" s="259">
        <v>200000</v>
      </c>
      <c r="I185" s="260">
        <f t="shared" si="28"/>
        <v>800000</v>
      </c>
      <c r="J185" s="378">
        <f t="shared" si="26"/>
        <v>20.119449169720632</v>
      </c>
      <c r="K185" s="425"/>
      <c r="L185" s="407"/>
      <c r="M185" s="394"/>
      <c r="N185" s="394"/>
      <c r="O185" s="395"/>
      <c r="P185" s="395"/>
      <c r="Q185" s="394"/>
      <c r="R185" s="395"/>
      <c r="S185" s="395"/>
      <c r="T185" s="396"/>
      <c r="U185" s="385"/>
      <c r="V185" s="119"/>
    </row>
    <row r="186" spans="2:22" x14ac:dyDescent="0.25">
      <c r="B186" s="593"/>
      <c r="C186" s="567"/>
      <c r="D186" s="558"/>
      <c r="E186" s="239" t="s">
        <v>360</v>
      </c>
      <c r="F186" s="247" t="s">
        <v>320</v>
      </c>
      <c r="G186" s="201">
        <v>4</v>
      </c>
      <c r="H186" s="190">
        <v>120000</v>
      </c>
      <c r="I186" s="219">
        <f t="shared" si="28"/>
        <v>480000</v>
      </c>
      <c r="J186" s="298">
        <f t="shared" ref="J186:J189" si="29">+I186/$E$4</f>
        <v>12.07166950183238</v>
      </c>
      <c r="K186" s="425"/>
      <c r="L186" s="407"/>
      <c r="M186" s="394"/>
      <c r="N186" s="394"/>
      <c r="O186" s="395"/>
      <c r="P186" s="395"/>
      <c r="Q186" s="394"/>
      <c r="R186" s="395"/>
      <c r="S186" s="395"/>
      <c r="T186" s="396"/>
      <c r="U186" s="385"/>
      <c r="V186" s="119"/>
    </row>
    <row r="187" spans="2:22" x14ac:dyDescent="0.25">
      <c r="B187" s="593"/>
      <c r="C187" s="567"/>
      <c r="D187" s="558"/>
      <c r="E187" s="239" t="s">
        <v>361</v>
      </c>
      <c r="F187" s="248" t="s">
        <v>318</v>
      </c>
      <c r="G187" s="201">
        <v>4</v>
      </c>
      <c r="H187" s="220">
        <v>712530</v>
      </c>
      <c r="I187" s="219">
        <f t="shared" si="28"/>
        <v>2850120</v>
      </c>
      <c r="J187" s="298">
        <f t="shared" si="29"/>
        <v>71.678555584505219</v>
      </c>
      <c r="K187" s="430"/>
      <c r="L187" s="431"/>
      <c r="M187" s="409"/>
      <c r="N187" s="409"/>
      <c r="O187" s="410"/>
      <c r="P187" s="410"/>
      <c r="Q187" s="409"/>
      <c r="R187" s="410"/>
      <c r="S187" s="410"/>
      <c r="T187" s="411"/>
      <c r="U187" s="388"/>
      <c r="V187" s="145"/>
    </row>
    <row r="188" spans="2:22" ht="15.75" thickBot="1" x14ac:dyDescent="0.3">
      <c r="B188" s="593"/>
      <c r="C188" s="568"/>
      <c r="D188" s="559"/>
      <c r="E188" s="240" t="s">
        <v>310</v>
      </c>
      <c r="F188" s="252" t="s">
        <v>320</v>
      </c>
      <c r="G188" s="255">
        <v>4</v>
      </c>
      <c r="H188" s="184">
        <v>695000</v>
      </c>
      <c r="I188" s="185">
        <f t="shared" si="28"/>
        <v>2780000</v>
      </c>
      <c r="J188" s="373">
        <f t="shared" si="29"/>
        <v>69.915085864779201</v>
      </c>
      <c r="K188" s="426"/>
      <c r="L188" s="427"/>
      <c r="M188" s="399"/>
      <c r="N188" s="399"/>
      <c r="O188" s="400"/>
      <c r="P188" s="400"/>
      <c r="Q188" s="399"/>
      <c r="R188" s="400"/>
      <c r="S188" s="400"/>
      <c r="T188" s="401"/>
      <c r="U188" s="386"/>
      <c r="V188" s="117"/>
    </row>
    <row r="189" spans="2:22" ht="15.75" thickBot="1" x14ac:dyDescent="0.3">
      <c r="B189" s="449"/>
      <c r="C189" s="332"/>
      <c r="D189" s="286"/>
      <c r="E189" s="310"/>
      <c r="F189" s="313"/>
      <c r="G189" s="318"/>
      <c r="H189" s="308" t="s">
        <v>368</v>
      </c>
      <c r="I189" s="312">
        <f>SUM(I174:I188)</f>
        <v>325549420</v>
      </c>
      <c r="J189" s="370">
        <f t="shared" si="29"/>
        <v>8187.3437599025419</v>
      </c>
      <c r="K189" s="428">
        <v>0</v>
      </c>
      <c r="L189" s="429">
        <v>0</v>
      </c>
      <c r="M189" s="402">
        <v>0</v>
      </c>
      <c r="N189" s="402">
        <v>0</v>
      </c>
      <c r="O189" s="403">
        <v>0</v>
      </c>
      <c r="P189" s="403">
        <v>0</v>
      </c>
      <c r="Q189" s="402">
        <v>0</v>
      </c>
      <c r="R189" s="403">
        <f>+J189</f>
        <v>8187.3437599025419</v>
      </c>
      <c r="S189" s="403">
        <v>0</v>
      </c>
      <c r="T189" s="404">
        <v>0</v>
      </c>
      <c r="U189" s="387">
        <f>SUM(K189:T189)</f>
        <v>8187.3437599025419</v>
      </c>
      <c r="V189" s="307"/>
    </row>
    <row r="190" spans="2:22" ht="25.5" customHeight="1" x14ac:dyDescent="0.25">
      <c r="B190" s="593">
        <v>12</v>
      </c>
      <c r="C190" s="565" t="s">
        <v>341</v>
      </c>
      <c r="D190" s="316" t="s">
        <v>291</v>
      </c>
      <c r="E190" s="270" t="s">
        <v>292</v>
      </c>
      <c r="F190" s="168" t="s">
        <v>319</v>
      </c>
      <c r="G190" s="193">
        <v>388</v>
      </c>
      <c r="H190" s="170">
        <v>5360</v>
      </c>
      <c r="I190" s="170">
        <f t="shared" ref="I190:I203" si="30">+H190*G190</f>
        <v>2079680</v>
      </c>
      <c r="J190" s="374">
        <f t="shared" ref="J190:J204" si="31">+I190/$E$4</f>
        <v>52.302520061605755</v>
      </c>
      <c r="K190" s="424"/>
      <c r="L190" s="405"/>
      <c r="M190" s="391"/>
      <c r="N190" s="391"/>
      <c r="O190" s="392"/>
      <c r="P190" s="392"/>
      <c r="Q190" s="391"/>
      <c r="R190" s="392"/>
      <c r="S190" s="392"/>
      <c r="T190" s="393"/>
      <c r="U190" s="384"/>
      <c r="V190" s="120"/>
    </row>
    <row r="191" spans="2:22" ht="30" customHeight="1" x14ac:dyDescent="0.25">
      <c r="B191" s="593"/>
      <c r="C191" s="566"/>
      <c r="D191" s="269"/>
      <c r="E191" s="250" t="s">
        <v>293</v>
      </c>
      <c r="F191" s="172" t="s">
        <v>319</v>
      </c>
      <c r="G191" s="536" t="s">
        <v>322</v>
      </c>
      <c r="H191" s="537"/>
      <c r="I191" s="174">
        <v>0</v>
      </c>
      <c r="J191" s="298">
        <f t="shared" si="31"/>
        <v>0</v>
      </c>
      <c r="K191" s="425"/>
      <c r="L191" s="407"/>
      <c r="M191" s="394"/>
      <c r="N191" s="394"/>
      <c r="O191" s="395"/>
      <c r="P191" s="395"/>
      <c r="Q191" s="394"/>
      <c r="R191" s="395"/>
      <c r="S191" s="395"/>
      <c r="T191" s="396"/>
      <c r="U191" s="385"/>
      <c r="V191" s="119"/>
    </row>
    <row r="192" spans="2:22" ht="15" customHeight="1" x14ac:dyDescent="0.25">
      <c r="B192" s="593"/>
      <c r="C192" s="566"/>
      <c r="D192" s="344" t="s">
        <v>294</v>
      </c>
      <c r="E192" s="250" t="s">
        <v>295</v>
      </c>
      <c r="F192" s="172" t="s">
        <v>318</v>
      </c>
      <c r="G192" s="178">
        <v>680</v>
      </c>
      <c r="H192" s="174">
        <v>48000</v>
      </c>
      <c r="I192" s="174">
        <f t="shared" si="30"/>
        <v>32640000</v>
      </c>
      <c r="J192" s="298">
        <f t="shared" si="31"/>
        <v>820.87352612460188</v>
      </c>
      <c r="K192" s="425"/>
      <c r="L192" s="407"/>
      <c r="M192" s="394"/>
      <c r="N192" s="394"/>
      <c r="O192" s="395"/>
      <c r="P192" s="395"/>
      <c r="Q192" s="394"/>
      <c r="R192" s="395"/>
      <c r="S192" s="395"/>
      <c r="T192" s="396"/>
      <c r="U192" s="385"/>
      <c r="V192" s="119"/>
    </row>
    <row r="193" spans="2:22" ht="30" x14ac:dyDescent="0.25">
      <c r="B193" s="593"/>
      <c r="C193" s="566"/>
      <c r="D193" s="345"/>
      <c r="E193" s="250" t="s">
        <v>297</v>
      </c>
      <c r="F193" s="172" t="s">
        <v>318</v>
      </c>
      <c r="G193" s="221">
        <v>320</v>
      </c>
      <c r="H193" s="176">
        <v>28000</v>
      </c>
      <c r="I193" s="174">
        <f t="shared" si="30"/>
        <v>8960000</v>
      </c>
      <c r="J193" s="298">
        <f t="shared" si="31"/>
        <v>225.33783070087108</v>
      </c>
      <c r="K193" s="425"/>
      <c r="L193" s="407"/>
      <c r="M193" s="394"/>
      <c r="N193" s="394"/>
      <c r="O193" s="395"/>
      <c r="P193" s="395"/>
      <c r="Q193" s="394"/>
      <c r="R193" s="395"/>
      <c r="S193" s="395"/>
      <c r="T193" s="396"/>
      <c r="U193" s="385"/>
      <c r="V193" s="119"/>
    </row>
    <row r="194" spans="2:22" x14ac:dyDescent="0.25">
      <c r="B194" s="593"/>
      <c r="C194" s="566"/>
      <c r="D194" s="269"/>
      <c r="E194" s="250" t="s">
        <v>298</v>
      </c>
      <c r="F194" s="172" t="s">
        <v>318</v>
      </c>
      <c r="G194" s="221">
        <v>150</v>
      </c>
      <c r="H194" s="176">
        <v>379000</v>
      </c>
      <c r="I194" s="174">
        <f t="shared" si="30"/>
        <v>56850000</v>
      </c>
      <c r="J194" s="298">
        <f t="shared" si="31"/>
        <v>1429.7383566232725</v>
      </c>
      <c r="K194" s="425"/>
      <c r="L194" s="407"/>
      <c r="M194" s="394"/>
      <c r="N194" s="394"/>
      <c r="O194" s="395"/>
      <c r="P194" s="395"/>
      <c r="Q194" s="394"/>
      <c r="R194" s="395"/>
      <c r="S194" s="395"/>
      <c r="T194" s="396"/>
      <c r="U194" s="385"/>
      <c r="V194" s="119"/>
    </row>
    <row r="195" spans="2:22" ht="15" customHeight="1" x14ac:dyDescent="0.25">
      <c r="B195" s="593"/>
      <c r="C195" s="566"/>
      <c r="D195" s="556" t="s">
        <v>299</v>
      </c>
      <c r="E195" s="251"/>
      <c r="F195" s="172"/>
      <c r="G195" s="178"/>
      <c r="H195" s="180"/>
      <c r="I195" s="174"/>
      <c r="J195" s="298"/>
      <c r="K195" s="425"/>
      <c r="L195" s="407"/>
      <c r="M195" s="394"/>
      <c r="N195" s="394"/>
      <c r="O195" s="395"/>
      <c r="P195" s="395"/>
      <c r="Q195" s="394"/>
      <c r="R195" s="395"/>
      <c r="S195" s="395"/>
      <c r="T195" s="396"/>
      <c r="U195" s="385"/>
      <c r="V195" s="119"/>
    </row>
    <row r="196" spans="2:22" x14ac:dyDescent="0.25">
      <c r="B196" s="593"/>
      <c r="C196" s="566"/>
      <c r="D196" s="557"/>
      <c r="E196" s="250" t="s">
        <v>301</v>
      </c>
      <c r="F196" s="172" t="s">
        <v>319</v>
      </c>
      <c r="G196" s="178">
        <f>+G190</f>
        <v>388</v>
      </c>
      <c r="H196" s="180">
        <v>23350</v>
      </c>
      <c r="I196" s="174">
        <f t="shared" si="30"/>
        <v>9059800</v>
      </c>
      <c r="J196" s="298">
        <f t="shared" si="31"/>
        <v>227.84773198479374</v>
      </c>
      <c r="K196" s="425"/>
      <c r="L196" s="407"/>
      <c r="M196" s="394"/>
      <c r="N196" s="394"/>
      <c r="O196" s="395"/>
      <c r="P196" s="395"/>
      <c r="Q196" s="394"/>
      <c r="R196" s="395"/>
      <c r="S196" s="395"/>
      <c r="T196" s="396"/>
      <c r="U196" s="385"/>
      <c r="V196" s="119"/>
    </row>
    <row r="197" spans="2:22" x14ac:dyDescent="0.25">
      <c r="B197" s="593"/>
      <c r="C197" s="567"/>
      <c r="D197" s="557"/>
      <c r="E197" s="250" t="s">
        <v>303</v>
      </c>
      <c r="F197" s="172" t="s">
        <v>319</v>
      </c>
      <c r="G197" s="189">
        <v>1</v>
      </c>
      <c r="H197" s="190"/>
      <c r="I197" s="174">
        <f t="shared" si="30"/>
        <v>0</v>
      </c>
      <c r="J197" s="298">
        <f t="shared" si="31"/>
        <v>0</v>
      </c>
      <c r="K197" s="430"/>
      <c r="L197" s="431"/>
      <c r="M197" s="409"/>
      <c r="N197" s="409"/>
      <c r="O197" s="410"/>
      <c r="P197" s="410"/>
      <c r="Q197" s="409"/>
      <c r="R197" s="410"/>
      <c r="S197" s="410"/>
      <c r="T197" s="411"/>
      <c r="U197" s="388"/>
      <c r="V197" s="145"/>
    </row>
    <row r="198" spans="2:22" x14ac:dyDescent="0.25">
      <c r="B198" s="593"/>
      <c r="C198" s="567"/>
      <c r="D198" s="557"/>
      <c r="E198" s="251" t="s">
        <v>324</v>
      </c>
      <c r="F198" s="172" t="s">
        <v>319</v>
      </c>
      <c r="G198" s="189">
        <v>1</v>
      </c>
      <c r="H198" s="190"/>
      <c r="I198" s="174">
        <f t="shared" si="30"/>
        <v>0</v>
      </c>
      <c r="J198" s="298">
        <f t="shared" si="31"/>
        <v>0</v>
      </c>
      <c r="K198" s="430"/>
      <c r="L198" s="431"/>
      <c r="M198" s="409"/>
      <c r="N198" s="409"/>
      <c r="O198" s="410"/>
      <c r="P198" s="410"/>
      <c r="Q198" s="409"/>
      <c r="R198" s="410"/>
      <c r="S198" s="410"/>
      <c r="T198" s="411"/>
      <c r="U198" s="388"/>
      <c r="V198" s="145"/>
    </row>
    <row r="199" spans="2:22" x14ac:dyDescent="0.25">
      <c r="B199" s="593"/>
      <c r="C199" s="567"/>
      <c r="D199" s="545"/>
      <c r="E199" s="250" t="s">
        <v>304</v>
      </c>
      <c r="F199" s="194" t="s">
        <v>319</v>
      </c>
      <c r="G199" s="189">
        <v>1</v>
      </c>
      <c r="H199" s="190"/>
      <c r="I199" s="174">
        <f t="shared" si="30"/>
        <v>0</v>
      </c>
      <c r="J199" s="298">
        <f t="shared" si="31"/>
        <v>0</v>
      </c>
      <c r="K199" s="430"/>
      <c r="L199" s="431"/>
      <c r="M199" s="409"/>
      <c r="N199" s="409"/>
      <c r="O199" s="410"/>
      <c r="P199" s="410"/>
      <c r="Q199" s="409"/>
      <c r="R199" s="410"/>
      <c r="S199" s="410"/>
      <c r="T199" s="411"/>
      <c r="U199" s="388"/>
      <c r="V199" s="145"/>
    </row>
    <row r="200" spans="2:22" x14ac:dyDescent="0.25">
      <c r="B200" s="593"/>
      <c r="C200" s="567"/>
      <c r="D200" s="558" t="s">
        <v>305</v>
      </c>
      <c r="E200" s="299" t="s">
        <v>359</v>
      </c>
      <c r="F200" s="247" t="s">
        <v>320</v>
      </c>
      <c r="G200" s="199">
        <v>2</v>
      </c>
      <c r="H200" s="180">
        <v>380000</v>
      </c>
      <c r="I200" s="174">
        <f t="shared" si="30"/>
        <v>760000</v>
      </c>
      <c r="J200" s="298">
        <f t="shared" si="31"/>
        <v>19.1134767112346</v>
      </c>
      <c r="K200" s="425"/>
      <c r="L200" s="407"/>
      <c r="M200" s="394"/>
      <c r="N200" s="394"/>
      <c r="O200" s="395"/>
      <c r="P200" s="395"/>
      <c r="Q200" s="394"/>
      <c r="R200" s="395"/>
      <c r="S200" s="395"/>
      <c r="T200" s="396"/>
      <c r="U200" s="385"/>
      <c r="V200" s="119"/>
    </row>
    <row r="201" spans="2:22" x14ac:dyDescent="0.25">
      <c r="B201" s="593"/>
      <c r="C201" s="567"/>
      <c r="D201" s="558"/>
      <c r="E201" s="258" t="s">
        <v>326</v>
      </c>
      <c r="F201" s="247" t="s">
        <v>320</v>
      </c>
      <c r="G201" s="257">
        <v>1</v>
      </c>
      <c r="H201" s="259">
        <v>200000</v>
      </c>
      <c r="I201" s="260">
        <f t="shared" si="30"/>
        <v>200000</v>
      </c>
      <c r="J201" s="378">
        <f t="shared" si="31"/>
        <v>5.0298622924301579</v>
      </c>
      <c r="K201" s="425"/>
      <c r="L201" s="407"/>
      <c r="M201" s="394"/>
      <c r="N201" s="394"/>
      <c r="O201" s="395"/>
      <c r="P201" s="395"/>
      <c r="Q201" s="394"/>
      <c r="R201" s="395"/>
      <c r="S201" s="395"/>
      <c r="T201" s="396"/>
      <c r="U201" s="385"/>
      <c r="V201" s="119"/>
    </row>
    <row r="202" spans="2:22" x14ac:dyDescent="0.25">
      <c r="B202" s="593"/>
      <c r="C202" s="567"/>
      <c r="D202" s="558"/>
      <c r="E202" s="300" t="s">
        <v>360</v>
      </c>
      <c r="F202" s="247" t="s">
        <v>320</v>
      </c>
      <c r="G202" s="201">
        <v>2</v>
      </c>
      <c r="H202" s="190">
        <v>120000</v>
      </c>
      <c r="I202" s="219">
        <f t="shared" si="30"/>
        <v>240000</v>
      </c>
      <c r="J202" s="298">
        <f t="shared" si="31"/>
        <v>6.03583475091619</v>
      </c>
      <c r="K202" s="425"/>
      <c r="L202" s="407"/>
      <c r="M202" s="394"/>
      <c r="N202" s="394"/>
      <c r="O202" s="395"/>
      <c r="P202" s="395"/>
      <c r="Q202" s="394"/>
      <c r="R202" s="395"/>
      <c r="S202" s="395"/>
      <c r="T202" s="396"/>
      <c r="U202" s="385"/>
      <c r="V202" s="119"/>
    </row>
    <row r="203" spans="2:22" ht="15.75" thickBot="1" x14ac:dyDescent="0.3">
      <c r="B203" s="593"/>
      <c r="C203" s="568"/>
      <c r="D203" s="559"/>
      <c r="E203" s="301" t="s">
        <v>361</v>
      </c>
      <c r="F203" s="252" t="s">
        <v>318</v>
      </c>
      <c r="G203" s="255">
        <v>2</v>
      </c>
      <c r="H203" s="319">
        <v>712530</v>
      </c>
      <c r="I203" s="185">
        <f t="shared" si="30"/>
        <v>1425060</v>
      </c>
      <c r="J203" s="373">
        <f t="shared" si="31"/>
        <v>35.839277792252609</v>
      </c>
      <c r="K203" s="426"/>
      <c r="L203" s="427"/>
      <c r="M203" s="399"/>
      <c r="N203" s="399"/>
      <c r="O203" s="400"/>
      <c r="P203" s="400"/>
      <c r="Q203" s="399"/>
      <c r="R203" s="400"/>
      <c r="S203" s="400"/>
      <c r="T203" s="401"/>
      <c r="U203" s="386"/>
      <c r="V203" s="117"/>
    </row>
    <row r="204" spans="2:22" ht="23.25" customHeight="1" thickBot="1" x14ac:dyDescent="0.3">
      <c r="B204" s="449"/>
      <c r="C204" s="332"/>
      <c r="D204" s="295"/>
      <c r="E204" s="338"/>
      <c r="F204" s="315"/>
      <c r="G204" s="305"/>
      <c r="H204" s="308" t="s">
        <v>368</v>
      </c>
      <c r="I204" s="312">
        <f>SUM(I190:I203)</f>
        <v>112214540</v>
      </c>
      <c r="J204" s="370">
        <f t="shared" si="31"/>
        <v>2822.1184170419783</v>
      </c>
      <c r="K204" s="428">
        <v>0</v>
      </c>
      <c r="L204" s="429">
        <v>0</v>
      </c>
      <c r="M204" s="402">
        <v>0</v>
      </c>
      <c r="N204" s="402">
        <v>0</v>
      </c>
      <c r="O204" s="403">
        <v>0</v>
      </c>
      <c r="P204" s="403">
        <v>0</v>
      </c>
      <c r="Q204" s="402">
        <v>0</v>
      </c>
      <c r="R204" s="403">
        <f>+J204</f>
        <v>2822.1184170419783</v>
      </c>
      <c r="S204" s="403">
        <v>0</v>
      </c>
      <c r="T204" s="404">
        <v>0</v>
      </c>
      <c r="U204" s="387">
        <f>SUM(K204:T204)</f>
        <v>2822.1184170419783</v>
      </c>
      <c r="V204" s="307"/>
    </row>
    <row r="205" spans="2:22" ht="15" customHeight="1" x14ac:dyDescent="0.25">
      <c r="B205" s="593">
        <v>13</v>
      </c>
      <c r="C205" s="565" t="s">
        <v>7</v>
      </c>
      <c r="D205" s="560" t="s">
        <v>291</v>
      </c>
      <c r="E205" s="290" t="s">
        <v>292</v>
      </c>
      <c r="F205" s="168" t="s">
        <v>318</v>
      </c>
      <c r="G205" s="169">
        <v>221</v>
      </c>
      <c r="H205" s="170">
        <v>5360</v>
      </c>
      <c r="I205" s="170">
        <f t="shared" si="16"/>
        <v>1184560</v>
      </c>
      <c r="J205" s="374">
        <f t="shared" si="15"/>
        <v>29.790868385605343</v>
      </c>
      <c r="K205" s="424"/>
      <c r="L205" s="405"/>
      <c r="M205" s="391"/>
      <c r="N205" s="391"/>
      <c r="O205" s="391"/>
      <c r="P205" s="391"/>
      <c r="Q205" s="391"/>
      <c r="R205" s="391"/>
      <c r="S205" s="391"/>
      <c r="T205" s="415"/>
      <c r="U205" s="384"/>
      <c r="V205" s="120"/>
    </row>
    <row r="206" spans="2:22" ht="27.75" customHeight="1" x14ac:dyDescent="0.25">
      <c r="B206" s="593"/>
      <c r="C206" s="566"/>
      <c r="D206" s="561"/>
      <c r="E206" s="288" t="s">
        <v>293</v>
      </c>
      <c r="F206" s="172" t="s">
        <v>319</v>
      </c>
      <c r="G206" s="539" t="s">
        <v>322</v>
      </c>
      <c r="H206" s="540"/>
      <c r="I206" s="174">
        <v>0</v>
      </c>
      <c r="J206" s="298">
        <f t="shared" si="15"/>
        <v>0</v>
      </c>
      <c r="K206" s="425"/>
      <c r="L206" s="407"/>
      <c r="M206" s="394"/>
      <c r="N206" s="394"/>
      <c r="O206" s="394"/>
      <c r="P206" s="394"/>
      <c r="Q206" s="394"/>
      <c r="R206" s="394"/>
      <c r="S206" s="394"/>
      <c r="T206" s="416"/>
      <c r="U206" s="385"/>
      <c r="V206" s="119"/>
    </row>
    <row r="207" spans="2:22" ht="15" customHeight="1" x14ac:dyDescent="0.25">
      <c r="B207" s="593"/>
      <c r="C207" s="566"/>
      <c r="D207" s="570" t="s">
        <v>294</v>
      </c>
      <c r="E207" s="288" t="s">
        <v>295</v>
      </c>
      <c r="F207" s="172" t="s">
        <v>318</v>
      </c>
      <c r="G207" s="178">
        <v>170</v>
      </c>
      <c r="H207" s="174">
        <v>48000</v>
      </c>
      <c r="I207" s="174">
        <f t="shared" si="16"/>
        <v>8160000</v>
      </c>
      <c r="J207" s="298">
        <f t="shared" si="15"/>
        <v>205.21838153115047</v>
      </c>
      <c r="K207" s="425"/>
      <c r="L207" s="407"/>
      <c r="M207" s="394"/>
      <c r="N207" s="394"/>
      <c r="O207" s="395"/>
      <c r="P207" s="395"/>
      <c r="Q207" s="394"/>
      <c r="R207" s="395"/>
      <c r="S207" s="395"/>
      <c r="T207" s="396"/>
      <c r="U207" s="385"/>
      <c r="V207" s="119"/>
    </row>
    <row r="208" spans="2:22" x14ac:dyDescent="0.25">
      <c r="B208" s="593"/>
      <c r="C208" s="566"/>
      <c r="D208" s="570"/>
      <c r="E208" s="288" t="s">
        <v>296</v>
      </c>
      <c r="F208" s="172" t="s">
        <v>318</v>
      </c>
      <c r="G208" s="178">
        <f>+G205-G207</f>
        <v>51</v>
      </c>
      <c r="H208" s="176">
        <v>50000</v>
      </c>
      <c r="I208" s="174">
        <f t="shared" si="16"/>
        <v>2550000</v>
      </c>
      <c r="J208" s="298">
        <f t="shared" si="15"/>
        <v>64.130744228484517</v>
      </c>
      <c r="K208" s="425"/>
      <c r="L208" s="407"/>
      <c r="M208" s="394"/>
      <c r="N208" s="394"/>
      <c r="O208" s="395"/>
      <c r="P208" s="395"/>
      <c r="Q208" s="394"/>
      <c r="R208" s="395"/>
      <c r="S208" s="395"/>
      <c r="T208" s="396"/>
      <c r="U208" s="385"/>
      <c r="V208" s="119"/>
    </row>
    <row r="209" spans="2:22" ht="30" x14ac:dyDescent="0.25">
      <c r="B209" s="593"/>
      <c r="C209" s="566"/>
      <c r="D209" s="570"/>
      <c r="E209" s="288" t="s">
        <v>297</v>
      </c>
      <c r="F209" s="172" t="s">
        <v>318</v>
      </c>
      <c r="G209" s="178">
        <v>20</v>
      </c>
      <c r="H209" s="176">
        <v>28000</v>
      </c>
      <c r="I209" s="174">
        <f t="shared" si="16"/>
        <v>560000</v>
      </c>
      <c r="J209" s="298">
        <f t="shared" si="15"/>
        <v>14.083614418804443</v>
      </c>
      <c r="K209" s="425"/>
      <c r="L209" s="407"/>
      <c r="M209" s="394"/>
      <c r="N209" s="394"/>
      <c r="O209" s="395"/>
      <c r="P209" s="395"/>
      <c r="Q209" s="394"/>
      <c r="R209" s="395"/>
      <c r="S209" s="395"/>
      <c r="T209" s="396"/>
      <c r="U209" s="385"/>
      <c r="V209" s="119"/>
    </row>
    <row r="210" spans="2:22" x14ac:dyDescent="0.25">
      <c r="B210" s="593"/>
      <c r="C210" s="566"/>
      <c r="D210" s="570"/>
      <c r="E210" s="288" t="s">
        <v>298</v>
      </c>
      <c r="F210" s="172" t="s">
        <v>318</v>
      </c>
      <c r="G210" s="178">
        <v>33</v>
      </c>
      <c r="H210" s="176">
        <v>379000</v>
      </c>
      <c r="I210" s="174">
        <f t="shared" si="16"/>
        <v>12507000</v>
      </c>
      <c r="J210" s="298">
        <f t="shared" si="15"/>
        <v>314.54243845711994</v>
      </c>
      <c r="K210" s="425"/>
      <c r="L210" s="407"/>
      <c r="M210" s="394"/>
      <c r="N210" s="394"/>
      <c r="O210" s="395"/>
      <c r="P210" s="395"/>
      <c r="Q210" s="394"/>
      <c r="R210" s="395"/>
      <c r="S210" s="395"/>
      <c r="T210" s="396"/>
      <c r="U210" s="385"/>
      <c r="V210" s="119"/>
    </row>
    <row r="211" spans="2:22" x14ac:dyDescent="0.25">
      <c r="B211" s="593"/>
      <c r="C211" s="566"/>
      <c r="D211" s="570" t="s">
        <v>299</v>
      </c>
      <c r="E211" s="288" t="s">
        <v>301</v>
      </c>
      <c r="F211" s="177" t="s">
        <v>319</v>
      </c>
      <c r="G211" s="178">
        <v>221</v>
      </c>
      <c r="H211" s="180">
        <v>23350</v>
      </c>
      <c r="I211" s="174">
        <f t="shared" si="16"/>
        <v>5160350</v>
      </c>
      <c r="J211" s="298">
        <f t="shared" si="15"/>
        <v>129.77924940370983</v>
      </c>
      <c r="K211" s="425"/>
      <c r="L211" s="407"/>
      <c r="M211" s="394"/>
      <c r="N211" s="394"/>
      <c r="O211" s="395"/>
      <c r="P211" s="395"/>
      <c r="Q211" s="394"/>
      <c r="R211" s="395"/>
      <c r="S211" s="395"/>
      <c r="T211" s="396"/>
      <c r="U211" s="385"/>
      <c r="V211" s="119"/>
    </row>
    <row r="212" spans="2:22" x14ac:dyDescent="0.25">
      <c r="B212" s="593"/>
      <c r="C212" s="566"/>
      <c r="D212" s="570"/>
      <c r="E212" s="231" t="s">
        <v>302</v>
      </c>
      <c r="F212" s="232" t="s">
        <v>319</v>
      </c>
      <c r="G212" s="221">
        <v>1</v>
      </c>
      <c r="H212" s="223"/>
      <c r="I212" s="222">
        <f t="shared" si="16"/>
        <v>0</v>
      </c>
      <c r="J212" s="298">
        <f t="shared" si="15"/>
        <v>0</v>
      </c>
      <c r="K212" s="425"/>
      <c r="L212" s="407"/>
      <c r="M212" s="394"/>
      <c r="N212" s="394"/>
      <c r="O212" s="395"/>
      <c r="P212" s="395"/>
      <c r="Q212" s="394"/>
      <c r="R212" s="395"/>
      <c r="S212" s="395"/>
      <c r="T212" s="396"/>
      <c r="U212" s="385"/>
      <c r="V212" s="119"/>
    </row>
    <row r="213" spans="2:22" x14ac:dyDescent="0.25">
      <c r="B213" s="593"/>
      <c r="C213" s="566"/>
      <c r="D213" s="570"/>
      <c r="E213" s="231" t="s">
        <v>336</v>
      </c>
      <c r="F213" s="232" t="s">
        <v>319</v>
      </c>
      <c r="G213" s="221"/>
      <c r="H213" s="223"/>
      <c r="I213" s="222"/>
      <c r="J213" s="298"/>
      <c r="K213" s="425"/>
      <c r="L213" s="407"/>
      <c r="M213" s="394"/>
      <c r="N213" s="394"/>
      <c r="O213" s="395"/>
      <c r="P213" s="395"/>
      <c r="Q213" s="394"/>
      <c r="R213" s="395"/>
      <c r="S213" s="395"/>
      <c r="T213" s="396"/>
      <c r="U213" s="385"/>
      <c r="V213" s="119"/>
    </row>
    <row r="214" spans="2:22" x14ac:dyDescent="0.25">
      <c r="B214" s="593"/>
      <c r="C214" s="566"/>
      <c r="D214" s="570"/>
      <c r="E214" s="231" t="s">
        <v>324</v>
      </c>
      <c r="F214" s="232" t="s">
        <v>319</v>
      </c>
      <c r="G214" s="221">
        <v>1</v>
      </c>
      <c r="H214" s="223"/>
      <c r="I214" s="222">
        <f t="shared" si="16"/>
        <v>0</v>
      </c>
      <c r="J214" s="298">
        <f t="shared" si="15"/>
        <v>0</v>
      </c>
      <c r="K214" s="425"/>
      <c r="L214" s="407"/>
      <c r="M214" s="394"/>
      <c r="N214" s="394"/>
      <c r="O214" s="395"/>
      <c r="P214" s="395"/>
      <c r="Q214" s="394"/>
      <c r="R214" s="395"/>
      <c r="S214" s="395"/>
      <c r="T214" s="396"/>
      <c r="U214" s="385"/>
      <c r="V214" s="119"/>
    </row>
    <row r="215" spans="2:22" ht="15" customHeight="1" x14ac:dyDescent="0.25">
      <c r="B215" s="593"/>
      <c r="C215" s="566"/>
      <c r="D215" s="570" t="s">
        <v>305</v>
      </c>
      <c r="E215" s="288" t="s">
        <v>367</v>
      </c>
      <c r="F215" s="181" t="s">
        <v>319</v>
      </c>
      <c r="G215" s="199">
        <v>1</v>
      </c>
      <c r="H215" s="200">
        <v>500000000</v>
      </c>
      <c r="I215" s="174">
        <f>+H215*G215</f>
        <v>500000000</v>
      </c>
      <c r="J215" s="298">
        <f t="shared" si="15"/>
        <v>12574.655731075396</v>
      </c>
      <c r="K215" s="425"/>
      <c r="L215" s="407"/>
      <c r="M215" s="394"/>
      <c r="N215" s="394"/>
      <c r="O215" s="395"/>
      <c r="P215" s="395"/>
      <c r="Q215" s="394"/>
      <c r="R215" s="395"/>
      <c r="S215" s="395"/>
      <c r="T215" s="396"/>
      <c r="U215" s="385"/>
      <c r="V215" s="119"/>
    </row>
    <row r="216" spans="2:22" ht="18" customHeight="1" x14ac:dyDescent="0.25">
      <c r="B216" s="593"/>
      <c r="C216" s="566"/>
      <c r="D216" s="570"/>
      <c r="E216" s="289" t="s">
        <v>327</v>
      </c>
      <c r="F216" s="181" t="s">
        <v>320</v>
      </c>
      <c r="G216" s="189">
        <v>2</v>
      </c>
      <c r="H216" s="190">
        <v>120000</v>
      </c>
      <c r="I216" s="219">
        <f t="shared" ref="I216:I217" si="32">+H216*G216</f>
        <v>240000</v>
      </c>
      <c r="J216" s="173">
        <f t="shared" ref="J216:J218" si="33">+I216/$E$4</f>
        <v>6.03583475091619</v>
      </c>
      <c r="K216" s="468"/>
      <c r="L216" s="431"/>
      <c r="M216" s="409"/>
      <c r="N216" s="409"/>
      <c r="O216" s="410"/>
      <c r="P216" s="410"/>
      <c r="Q216" s="409"/>
      <c r="R216" s="410"/>
      <c r="S216" s="410"/>
      <c r="T216" s="411"/>
      <c r="U216" s="388"/>
      <c r="V216" s="145"/>
    </row>
    <row r="217" spans="2:22" ht="18" customHeight="1" thickBot="1" x14ac:dyDescent="0.3">
      <c r="B217" s="593"/>
      <c r="C217" s="568"/>
      <c r="D217" s="576"/>
      <c r="E217" s="291" t="s">
        <v>328</v>
      </c>
      <c r="F217" s="182" t="s">
        <v>318</v>
      </c>
      <c r="G217" s="183">
        <v>1</v>
      </c>
      <c r="H217" s="319">
        <v>712530</v>
      </c>
      <c r="I217" s="185">
        <f t="shared" si="32"/>
        <v>712530</v>
      </c>
      <c r="J217" s="377">
        <f t="shared" si="33"/>
        <v>17.919638896126305</v>
      </c>
      <c r="K217" s="426"/>
      <c r="L217" s="427"/>
      <c r="M217" s="399"/>
      <c r="N217" s="399"/>
      <c r="O217" s="400"/>
      <c r="P217" s="400"/>
      <c r="Q217" s="399"/>
      <c r="R217" s="400"/>
      <c r="S217" s="400"/>
      <c r="T217" s="401"/>
      <c r="U217" s="386"/>
      <c r="V217" s="117"/>
    </row>
    <row r="218" spans="2:22" ht="18" customHeight="1" thickBot="1" x14ac:dyDescent="0.3">
      <c r="B218" s="449"/>
      <c r="C218" s="332"/>
      <c r="D218" s="310"/>
      <c r="E218" s="310"/>
      <c r="F218" s="311"/>
      <c r="G218" s="305"/>
      <c r="H218" s="308" t="s">
        <v>368</v>
      </c>
      <c r="I218" s="312">
        <f>SUM(I205:I217)</f>
        <v>531074440</v>
      </c>
      <c r="J218" s="370">
        <f t="shared" si="33"/>
        <v>13356.156501147312</v>
      </c>
      <c r="K218" s="428">
        <v>0</v>
      </c>
      <c r="L218" s="429">
        <v>0</v>
      </c>
      <c r="M218" s="402">
        <v>0</v>
      </c>
      <c r="N218" s="402">
        <v>0</v>
      </c>
      <c r="O218" s="403">
        <v>0</v>
      </c>
      <c r="P218" s="403">
        <v>0</v>
      </c>
      <c r="Q218" s="402">
        <v>0</v>
      </c>
      <c r="R218" s="403">
        <v>0</v>
      </c>
      <c r="S218" s="403">
        <f>+J218</f>
        <v>13356.156501147312</v>
      </c>
      <c r="T218" s="404">
        <v>0</v>
      </c>
      <c r="U218" s="387">
        <f>SUM(K218:T218)</f>
        <v>13356.156501147312</v>
      </c>
      <c r="V218" s="307"/>
    </row>
    <row r="219" spans="2:22" ht="18.75" customHeight="1" x14ac:dyDescent="0.25">
      <c r="B219" s="593">
        <v>14</v>
      </c>
      <c r="C219" s="565" t="s">
        <v>15</v>
      </c>
      <c r="D219" s="572" t="s">
        <v>291</v>
      </c>
      <c r="E219" s="256" t="s">
        <v>292</v>
      </c>
      <c r="F219" s="168" t="s">
        <v>319</v>
      </c>
      <c r="G219" s="193">
        <v>2352</v>
      </c>
      <c r="H219" s="170">
        <v>5360</v>
      </c>
      <c r="I219" s="170">
        <f t="shared" ref="I219:I232" si="34">+H219*G219</f>
        <v>12606720</v>
      </c>
      <c r="J219" s="371">
        <f t="shared" ref="J219:J232" si="35">+I219/$E$4</f>
        <v>317.0503277961256</v>
      </c>
      <c r="K219" s="424"/>
      <c r="L219" s="405"/>
      <c r="M219" s="391"/>
      <c r="N219" s="391"/>
      <c r="O219" s="392"/>
      <c r="P219" s="392"/>
      <c r="Q219" s="391"/>
      <c r="R219" s="392"/>
      <c r="S219" s="392"/>
      <c r="T219" s="393"/>
      <c r="U219" s="384"/>
      <c r="V219" s="120"/>
    </row>
    <row r="220" spans="2:22" ht="31.5" customHeight="1" x14ac:dyDescent="0.25">
      <c r="B220" s="593"/>
      <c r="C220" s="566"/>
      <c r="D220" s="563"/>
      <c r="E220" s="249" t="s">
        <v>293</v>
      </c>
      <c r="F220" s="172" t="s">
        <v>319</v>
      </c>
      <c r="G220" s="536" t="s">
        <v>322</v>
      </c>
      <c r="H220" s="537"/>
      <c r="I220" s="174">
        <v>0</v>
      </c>
      <c r="J220" s="298">
        <f t="shared" si="35"/>
        <v>0</v>
      </c>
      <c r="K220" s="425"/>
      <c r="L220" s="407"/>
      <c r="M220" s="394"/>
      <c r="N220" s="394"/>
      <c r="O220" s="395"/>
      <c r="P220" s="395"/>
      <c r="Q220" s="394"/>
      <c r="R220" s="395"/>
      <c r="S220" s="395"/>
      <c r="T220" s="396"/>
      <c r="U220" s="385"/>
      <c r="V220" s="119"/>
    </row>
    <row r="221" spans="2:22" ht="16.5" customHeight="1" x14ac:dyDescent="0.25">
      <c r="B221" s="593"/>
      <c r="C221" s="566"/>
      <c r="D221" s="563" t="s">
        <v>294</v>
      </c>
      <c r="E221" s="250" t="s">
        <v>295</v>
      </c>
      <c r="F221" s="172" t="s">
        <v>318</v>
      </c>
      <c r="G221" s="178">
        <f>433+90</f>
        <v>523</v>
      </c>
      <c r="H221" s="174">
        <v>48000</v>
      </c>
      <c r="I221" s="174">
        <f t="shared" si="34"/>
        <v>25104000</v>
      </c>
      <c r="J221" s="298">
        <f t="shared" si="35"/>
        <v>631.34831494583341</v>
      </c>
      <c r="K221" s="425"/>
      <c r="L221" s="407"/>
      <c r="M221" s="394"/>
      <c r="N221" s="394"/>
      <c r="O221" s="395"/>
      <c r="P221" s="395"/>
      <c r="Q221" s="394"/>
      <c r="R221" s="395"/>
      <c r="S221" s="395"/>
      <c r="T221" s="396"/>
      <c r="U221" s="385"/>
      <c r="V221" s="119"/>
    </row>
    <row r="222" spans="2:22" x14ac:dyDescent="0.25">
      <c r="B222" s="593"/>
      <c r="C222" s="566"/>
      <c r="D222" s="563"/>
      <c r="E222" s="250" t="s">
        <v>296</v>
      </c>
      <c r="F222" s="172" t="s">
        <v>318</v>
      </c>
      <c r="G222" s="178">
        <v>50</v>
      </c>
      <c r="H222" s="176">
        <v>50000</v>
      </c>
      <c r="I222" s="174">
        <f t="shared" si="34"/>
        <v>2500000</v>
      </c>
      <c r="J222" s="298">
        <f t="shared" si="35"/>
        <v>62.873278655376978</v>
      </c>
      <c r="K222" s="425"/>
      <c r="L222" s="407"/>
      <c r="M222" s="394"/>
      <c r="N222" s="394"/>
      <c r="O222" s="395"/>
      <c r="P222" s="395"/>
      <c r="Q222" s="394"/>
      <c r="R222" s="395"/>
      <c r="S222" s="395"/>
      <c r="T222" s="396"/>
      <c r="U222" s="385"/>
      <c r="V222" s="119"/>
    </row>
    <row r="223" spans="2:22" ht="30" x14ac:dyDescent="0.25">
      <c r="B223" s="593"/>
      <c r="C223" s="566"/>
      <c r="D223" s="563"/>
      <c r="E223" s="250" t="s">
        <v>297</v>
      </c>
      <c r="F223" s="172" t="s">
        <v>318</v>
      </c>
      <c r="G223" s="178">
        <f>130+90</f>
        <v>220</v>
      </c>
      <c r="H223" s="176">
        <v>28000</v>
      </c>
      <c r="I223" s="174">
        <f t="shared" si="34"/>
        <v>6160000</v>
      </c>
      <c r="J223" s="298">
        <f t="shared" si="35"/>
        <v>154.91975860684889</v>
      </c>
      <c r="K223" s="425"/>
      <c r="L223" s="407"/>
      <c r="M223" s="394"/>
      <c r="N223" s="394"/>
      <c r="O223" s="395"/>
      <c r="P223" s="395"/>
      <c r="Q223" s="394"/>
      <c r="R223" s="395"/>
      <c r="S223" s="395"/>
      <c r="T223" s="396"/>
      <c r="U223" s="385"/>
      <c r="V223" s="119"/>
    </row>
    <row r="224" spans="2:22" x14ac:dyDescent="0.25">
      <c r="B224" s="593"/>
      <c r="C224" s="566"/>
      <c r="D224" s="563"/>
      <c r="E224" s="250" t="s">
        <v>298</v>
      </c>
      <c r="F224" s="172" t="s">
        <v>318</v>
      </c>
      <c r="G224" s="178">
        <v>330</v>
      </c>
      <c r="H224" s="176">
        <v>379000</v>
      </c>
      <c r="I224" s="174">
        <f t="shared" si="34"/>
        <v>125070000</v>
      </c>
      <c r="J224" s="298">
        <f t="shared" si="35"/>
        <v>3145.4243845711994</v>
      </c>
      <c r="K224" s="425"/>
      <c r="L224" s="407"/>
      <c r="M224" s="394"/>
      <c r="N224" s="394"/>
      <c r="O224" s="395"/>
      <c r="P224" s="395"/>
      <c r="Q224" s="394"/>
      <c r="R224" s="395"/>
      <c r="S224" s="395"/>
      <c r="T224" s="396"/>
      <c r="U224" s="385"/>
      <c r="V224" s="119"/>
    </row>
    <row r="225" spans="2:22" ht="15.75" customHeight="1" x14ac:dyDescent="0.25">
      <c r="B225" s="593"/>
      <c r="C225" s="566"/>
      <c r="D225" s="563" t="s">
        <v>299</v>
      </c>
      <c r="E225" s="458" t="s">
        <v>323</v>
      </c>
      <c r="F225" s="459" t="s">
        <v>319</v>
      </c>
      <c r="G225" s="221">
        <v>1</v>
      </c>
      <c r="H225" s="180"/>
      <c r="I225" s="174">
        <f t="shared" si="34"/>
        <v>0</v>
      </c>
      <c r="J225" s="298">
        <f t="shared" si="35"/>
        <v>0</v>
      </c>
      <c r="K225" s="425"/>
      <c r="L225" s="407"/>
      <c r="M225" s="394"/>
      <c r="N225" s="394"/>
      <c r="O225" s="395"/>
      <c r="P225" s="395"/>
      <c r="Q225" s="394"/>
      <c r="R225" s="395"/>
      <c r="S225" s="395"/>
      <c r="T225" s="396"/>
      <c r="U225" s="385"/>
      <c r="V225" s="119"/>
    </row>
    <row r="226" spans="2:22" x14ac:dyDescent="0.25">
      <c r="B226" s="593"/>
      <c r="C226" s="566"/>
      <c r="D226" s="563"/>
      <c r="E226" s="250" t="s">
        <v>301</v>
      </c>
      <c r="F226" s="172" t="s">
        <v>319</v>
      </c>
      <c r="G226" s="178">
        <f>+G219</f>
        <v>2352</v>
      </c>
      <c r="H226" s="180">
        <v>23350</v>
      </c>
      <c r="I226" s="174">
        <f t="shared" si="34"/>
        <v>54919200</v>
      </c>
      <c r="J226" s="298">
        <f t="shared" si="35"/>
        <v>1381.1800660521517</v>
      </c>
      <c r="K226" s="425"/>
      <c r="L226" s="407"/>
      <c r="M226" s="394"/>
      <c r="N226" s="394"/>
      <c r="O226" s="395"/>
      <c r="P226" s="395"/>
      <c r="Q226" s="394"/>
      <c r="R226" s="395"/>
      <c r="S226" s="395"/>
      <c r="T226" s="396"/>
      <c r="U226" s="385"/>
      <c r="V226" s="119"/>
    </row>
    <row r="227" spans="2:22" x14ac:dyDescent="0.25">
      <c r="B227" s="593"/>
      <c r="C227" s="566"/>
      <c r="D227" s="563"/>
      <c r="E227" s="458" t="s">
        <v>302</v>
      </c>
      <c r="F227" s="459" t="s">
        <v>319</v>
      </c>
      <c r="G227" s="221">
        <v>1</v>
      </c>
      <c r="H227" s="180"/>
      <c r="I227" s="174">
        <f t="shared" si="34"/>
        <v>0</v>
      </c>
      <c r="J227" s="298">
        <f t="shared" si="35"/>
        <v>0</v>
      </c>
      <c r="K227" s="425"/>
      <c r="L227" s="407"/>
      <c r="M227" s="394"/>
      <c r="N227" s="394"/>
      <c r="O227" s="395"/>
      <c r="P227" s="395"/>
      <c r="Q227" s="394"/>
      <c r="R227" s="395"/>
      <c r="S227" s="395"/>
      <c r="T227" s="396"/>
      <c r="U227" s="385"/>
      <c r="V227" s="119"/>
    </row>
    <row r="228" spans="2:22" x14ac:dyDescent="0.25">
      <c r="B228" s="593"/>
      <c r="C228" s="566"/>
      <c r="D228" s="563"/>
      <c r="E228" s="458" t="s">
        <v>303</v>
      </c>
      <c r="F228" s="459" t="s">
        <v>319</v>
      </c>
      <c r="G228" s="221">
        <v>1</v>
      </c>
      <c r="H228" s="180"/>
      <c r="I228" s="174">
        <f t="shared" si="34"/>
        <v>0</v>
      </c>
      <c r="J228" s="298">
        <f t="shared" si="35"/>
        <v>0</v>
      </c>
      <c r="K228" s="425"/>
      <c r="L228" s="407"/>
      <c r="M228" s="394"/>
      <c r="N228" s="394"/>
      <c r="O228" s="395"/>
      <c r="P228" s="395"/>
      <c r="Q228" s="394"/>
      <c r="R228" s="395"/>
      <c r="S228" s="395"/>
      <c r="T228" s="396"/>
      <c r="U228" s="385"/>
      <c r="V228" s="119"/>
    </row>
    <row r="229" spans="2:22" x14ac:dyDescent="0.25">
      <c r="B229" s="593"/>
      <c r="C229" s="566"/>
      <c r="D229" s="563"/>
      <c r="E229" s="458" t="s">
        <v>324</v>
      </c>
      <c r="F229" s="459" t="s">
        <v>319</v>
      </c>
      <c r="G229" s="221">
        <v>1</v>
      </c>
      <c r="H229" s="180"/>
      <c r="I229" s="174">
        <f t="shared" si="34"/>
        <v>0</v>
      </c>
      <c r="J229" s="298">
        <f t="shared" si="35"/>
        <v>0</v>
      </c>
      <c r="K229" s="425"/>
      <c r="L229" s="407"/>
      <c r="M229" s="394"/>
      <c r="N229" s="394"/>
      <c r="O229" s="395"/>
      <c r="P229" s="395"/>
      <c r="Q229" s="394"/>
      <c r="R229" s="395"/>
      <c r="S229" s="395"/>
      <c r="T229" s="396"/>
      <c r="U229" s="385"/>
      <c r="V229" s="119"/>
    </row>
    <row r="230" spans="2:22" x14ac:dyDescent="0.25">
      <c r="B230" s="593"/>
      <c r="C230" s="566"/>
      <c r="D230" s="563"/>
      <c r="E230" s="458" t="s">
        <v>304</v>
      </c>
      <c r="F230" s="460" t="s">
        <v>319</v>
      </c>
      <c r="G230" s="221">
        <v>1</v>
      </c>
      <c r="H230" s="180"/>
      <c r="I230" s="174">
        <f t="shared" si="34"/>
        <v>0</v>
      </c>
      <c r="J230" s="298">
        <f t="shared" si="35"/>
        <v>0</v>
      </c>
      <c r="K230" s="425"/>
      <c r="L230" s="407"/>
      <c r="M230" s="394"/>
      <c r="N230" s="394"/>
      <c r="O230" s="395"/>
      <c r="P230" s="395"/>
      <c r="Q230" s="394"/>
      <c r="R230" s="395"/>
      <c r="S230" s="395"/>
      <c r="T230" s="396"/>
      <c r="U230" s="385"/>
      <c r="V230" s="119"/>
    </row>
    <row r="231" spans="2:22" ht="15.75" customHeight="1" x14ac:dyDescent="0.25">
      <c r="B231" s="593"/>
      <c r="C231" s="566"/>
      <c r="D231" s="562" t="s">
        <v>305</v>
      </c>
      <c r="E231" s="250" t="s">
        <v>221</v>
      </c>
      <c r="F231" s="194" t="s">
        <v>320</v>
      </c>
      <c r="G231" s="178">
        <v>1</v>
      </c>
      <c r="H231" s="180">
        <v>6600000</v>
      </c>
      <c r="I231" s="174">
        <f t="shared" si="34"/>
        <v>6600000</v>
      </c>
      <c r="J231" s="298">
        <f t="shared" si="35"/>
        <v>165.98545565019523</v>
      </c>
      <c r="K231" s="425"/>
      <c r="L231" s="407"/>
      <c r="M231" s="394"/>
      <c r="N231" s="394"/>
      <c r="O231" s="395"/>
      <c r="P231" s="395"/>
      <c r="Q231" s="394"/>
      <c r="R231" s="395"/>
      <c r="S231" s="395"/>
      <c r="T231" s="396"/>
      <c r="U231" s="385"/>
      <c r="V231" s="119"/>
    </row>
    <row r="232" spans="2:22" x14ac:dyDescent="0.25">
      <c r="B232" s="593"/>
      <c r="C232" s="566"/>
      <c r="D232" s="563"/>
      <c r="E232" s="251" t="s">
        <v>212</v>
      </c>
      <c r="F232" s="194" t="s">
        <v>320</v>
      </c>
      <c r="G232" s="178">
        <v>0</v>
      </c>
      <c r="H232" s="180"/>
      <c r="I232" s="174">
        <f t="shared" si="34"/>
        <v>0</v>
      </c>
      <c r="J232" s="298">
        <f t="shared" si="35"/>
        <v>0</v>
      </c>
      <c r="K232" s="425"/>
      <c r="L232" s="407"/>
      <c r="M232" s="394"/>
      <c r="N232" s="394"/>
      <c r="O232" s="395"/>
      <c r="P232" s="395"/>
      <c r="Q232" s="394"/>
      <c r="R232" s="395"/>
      <c r="S232" s="395"/>
      <c r="T232" s="396"/>
      <c r="U232" s="385"/>
      <c r="V232" s="119"/>
    </row>
    <row r="233" spans="2:22" x14ac:dyDescent="0.25">
      <c r="B233" s="593"/>
      <c r="C233" s="566"/>
      <c r="D233" s="563"/>
      <c r="E233" s="299" t="s">
        <v>359</v>
      </c>
      <c r="F233" s="247" t="s">
        <v>320</v>
      </c>
      <c r="G233" s="199">
        <v>4</v>
      </c>
      <c r="H233" s="180">
        <v>380000</v>
      </c>
      <c r="I233" s="174">
        <f>+H233*G233</f>
        <v>1520000</v>
      </c>
      <c r="J233" s="298">
        <f>+I233/$E$4</f>
        <v>38.226953422469201</v>
      </c>
      <c r="K233" s="425"/>
      <c r="L233" s="407"/>
      <c r="M233" s="394"/>
      <c r="N233" s="394"/>
      <c r="O233" s="395"/>
      <c r="P233" s="395"/>
      <c r="Q233" s="394"/>
      <c r="R233" s="395"/>
      <c r="S233" s="395"/>
      <c r="T233" s="396"/>
      <c r="U233" s="385"/>
      <c r="V233" s="119"/>
    </row>
    <row r="234" spans="2:22" x14ac:dyDescent="0.25">
      <c r="B234" s="593"/>
      <c r="C234" s="566"/>
      <c r="D234" s="563"/>
      <c r="E234" s="231" t="s">
        <v>326</v>
      </c>
      <c r="F234" s="247"/>
      <c r="G234" s="329">
        <v>2</v>
      </c>
      <c r="H234" s="330">
        <v>200000</v>
      </c>
      <c r="I234" s="260">
        <f>+H234*G234</f>
        <v>400000</v>
      </c>
      <c r="J234" s="378">
        <f>+I234/$E$4</f>
        <v>10.059724584860316</v>
      </c>
      <c r="K234" s="425"/>
      <c r="L234" s="407"/>
      <c r="M234" s="394"/>
      <c r="N234" s="394"/>
      <c r="O234" s="395"/>
      <c r="P234" s="395"/>
      <c r="Q234" s="394"/>
      <c r="R234" s="395"/>
      <c r="S234" s="395"/>
      <c r="T234" s="396"/>
      <c r="U234" s="385"/>
      <c r="V234" s="119"/>
    </row>
    <row r="235" spans="2:22" x14ac:dyDescent="0.25">
      <c r="B235" s="593"/>
      <c r="C235" s="566"/>
      <c r="D235" s="563"/>
      <c r="E235" s="299" t="s">
        <v>360</v>
      </c>
      <c r="F235" s="247" t="s">
        <v>320</v>
      </c>
      <c r="G235" s="199">
        <v>4</v>
      </c>
      <c r="H235" s="180">
        <v>120000</v>
      </c>
      <c r="I235" s="174">
        <f>+H235*G235</f>
        <v>480000</v>
      </c>
      <c r="J235" s="298">
        <f t="shared" ref="J235:J238" si="36">+I235/$E$4</f>
        <v>12.07166950183238</v>
      </c>
      <c r="K235" s="425"/>
      <c r="L235" s="407"/>
      <c r="M235" s="394"/>
      <c r="N235" s="394"/>
      <c r="O235" s="395"/>
      <c r="P235" s="395"/>
      <c r="Q235" s="394"/>
      <c r="R235" s="395"/>
      <c r="S235" s="395"/>
      <c r="T235" s="396"/>
      <c r="U235" s="385"/>
      <c r="V235" s="119"/>
    </row>
    <row r="236" spans="2:22" x14ac:dyDescent="0.25">
      <c r="B236" s="593"/>
      <c r="C236" s="566"/>
      <c r="D236" s="563"/>
      <c r="E236" s="299" t="s">
        <v>361</v>
      </c>
      <c r="F236" s="247" t="s">
        <v>318</v>
      </c>
      <c r="G236" s="199">
        <v>4</v>
      </c>
      <c r="H236" s="331">
        <v>712530</v>
      </c>
      <c r="I236" s="174">
        <f>+H236*G236</f>
        <v>2850120</v>
      </c>
      <c r="J236" s="298">
        <f t="shared" si="36"/>
        <v>71.678555584505219</v>
      </c>
      <c r="K236" s="425"/>
      <c r="L236" s="407"/>
      <c r="M236" s="394"/>
      <c r="N236" s="394"/>
      <c r="O236" s="395"/>
      <c r="P236" s="395"/>
      <c r="Q236" s="394"/>
      <c r="R236" s="395"/>
      <c r="S236" s="395"/>
      <c r="T236" s="396"/>
      <c r="U236" s="385"/>
      <c r="V236" s="119"/>
    </row>
    <row r="237" spans="2:22" ht="15.75" thickBot="1" x14ac:dyDescent="0.3">
      <c r="B237" s="593"/>
      <c r="C237" s="568"/>
      <c r="D237" s="571"/>
      <c r="E237" s="301" t="s">
        <v>310</v>
      </c>
      <c r="F237" s="252" t="s">
        <v>320</v>
      </c>
      <c r="G237" s="255">
        <v>8</v>
      </c>
      <c r="H237" s="184">
        <v>695000</v>
      </c>
      <c r="I237" s="185">
        <f>+H237*G237</f>
        <v>5560000</v>
      </c>
      <c r="J237" s="373">
        <f t="shared" si="36"/>
        <v>139.8301717295584</v>
      </c>
      <c r="K237" s="426"/>
      <c r="L237" s="427"/>
      <c r="M237" s="399"/>
      <c r="N237" s="399"/>
      <c r="O237" s="400"/>
      <c r="P237" s="400"/>
      <c r="Q237" s="399"/>
      <c r="R237" s="400"/>
      <c r="S237" s="400"/>
      <c r="T237" s="401"/>
      <c r="U237" s="386"/>
      <c r="V237" s="117"/>
    </row>
    <row r="238" spans="2:22" ht="15.75" thickBot="1" x14ac:dyDescent="0.3">
      <c r="B238" s="449"/>
      <c r="C238" s="332"/>
      <c r="D238" s="296"/>
      <c r="E238" s="338"/>
      <c r="F238" s="315"/>
      <c r="G238" s="305"/>
      <c r="H238" s="308" t="s">
        <v>368</v>
      </c>
      <c r="I238" s="312">
        <f>SUM(I219:I237)</f>
        <v>243770040</v>
      </c>
      <c r="J238" s="370">
        <f t="shared" si="36"/>
        <v>6130.6486611009568</v>
      </c>
      <c r="K238" s="428">
        <v>0</v>
      </c>
      <c r="L238" s="429">
        <v>0</v>
      </c>
      <c r="M238" s="402">
        <v>0</v>
      </c>
      <c r="N238" s="402">
        <f>+J238</f>
        <v>6130.6486611009568</v>
      </c>
      <c r="O238" s="403">
        <v>0</v>
      </c>
      <c r="P238" s="403">
        <v>0</v>
      </c>
      <c r="Q238" s="402">
        <v>0</v>
      </c>
      <c r="R238" s="403">
        <v>0</v>
      </c>
      <c r="S238" s="403">
        <v>0</v>
      </c>
      <c r="T238" s="404">
        <v>0</v>
      </c>
      <c r="U238" s="387">
        <f>SUM(K238:T238)</f>
        <v>6130.6486611009568</v>
      </c>
      <c r="V238" s="307"/>
    </row>
    <row r="239" spans="2:22" x14ac:dyDescent="0.25">
      <c r="B239" s="593">
        <v>15</v>
      </c>
      <c r="C239" s="565" t="s">
        <v>9</v>
      </c>
      <c r="D239" s="541" t="s">
        <v>338</v>
      </c>
      <c r="E239" s="320" t="s">
        <v>295</v>
      </c>
      <c r="F239" s="168" t="s">
        <v>318</v>
      </c>
      <c r="G239" s="193">
        <v>20</v>
      </c>
      <c r="H239" s="321">
        <v>48000</v>
      </c>
      <c r="I239" s="170">
        <f t="shared" si="16"/>
        <v>960000</v>
      </c>
      <c r="J239" s="374">
        <f t="shared" si="15"/>
        <v>24.14333900366476</v>
      </c>
      <c r="K239" s="435"/>
      <c r="L239" s="436"/>
      <c r="M239" s="417"/>
      <c r="N239" s="417"/>
      <c r="O239" s="418"/>
      <c r="P239" s="418"/>
      <c r="Q239" s="417"/>
      <c r="R239" s="418"/>
      <c r="S239" s="418"/>
      <c r="T239" s="419"/>
      <c r="U239" s="384"/>
      <c r="V239" s="120"/>
    </row>
    <row r="240" spans="2:22" s="167" customFormat="1" x14ac:dyDescent="0.25">
      <c r="B240" s="593"/>
      <c r="C240" s="566"/>
      <c r="D240" s="542"/>
      <c r="E240" s="228" t="s">
        <v>214</v>
      </c>
      <c r="F240" s="172" t="s">
        <v>318</v>
      </c>
      <c r="G240" s="178">
        <v>150</v>
      </c>
      <c r="H240" s="180">
        <v>4500</v>
      </c>
      <c r="I240" s="174">
        <f t="shared" si="16"/>
        <v>675000</v>
      </c>
      <c r="J240" s="298">
        <f t="shared" si="15"/>
        <v>16.975785236951783</v>
      </c>
      <c r="K240" s="425"/>
      <c r="L240" s="407"/>
      <c r="M240" s="394"/>
      <c r="N240" s="394"/>
      <c r="O240" s="395"/>
      <c r="P240" s="395"/>
      <c r="Q240" s="394"/>
      <c r="R240" s="395"/>
      <c r="S240" s="395"/>
      <c r="T240" s="396"/>
      <c r="U240" s="385"/>
      <c r="V240" s="146"/>
    </row>
    <row r="241" spans="2:22" s="167" customFormat="1" ht="15.75" thickBot="1" x14ac:dyDescent="0.3">
      <c r="B241" s="593"/>
      <c r="C241" s="568"/>
      <c r="D241" s="543"/>
      <c r="E241" s="262" t="s">
        <v>339</v>
      </c>
      <c r="F241" s="225" t="s">
        <v>318</v>
      </c>
      <c r="G241" s="183">
        <v>195</v>
      </c>
      <c r="H241" s="184">
        <v>32000</v>
      </c>
      <c r="I241" s="185">
        <f t="shared" ref="I241" si="37">+H241*G241</f>
        <v>6240000</v>
      </c>
      <c r="J241" s="373">
        <f t="shared" si="15"/>
        <v>156.93170352382094</v>
      </c>
      <c r="K241" s="426"/>
      <c r="L241" s="427"/>
      <c r="M241" s="399"/>
      <c r="N241" s="399"/>
      <c r="O241" s="400"/>
      <c r="P241" s="400"/>
      <c r="Q241" s="399"/>
      <c r="R241" s="400"/>
      <c r="S241" s="400"/>
      <c r="T241" s="401"/>
      <c r="U241" s="386"/>
      <c r="V241" s="322"/>
    </row>
    <row r="242" spans="2:22" s="167" customFormat="1" ht="15.75" thickBot="1" x14ac:dyDescent="0.3">
      <c r="B242" s="450"/>
      <c r="C242" s="332"/>
      <c r="D242" s="292"/>
      <c r="E242" s="323"/>
      <c r="F242" s="304"/>
      <c r="G242" s="305"/>
      <c r="H242" s="346" t="s">
        <v>368</v>
      </c>
      <c r="I242" s="312">
        <f>SUM(I239:I241)</f>
        <v>7875000</v>
      </c>
      <c r="J242" s="370">
        <f t="shared" si="15"/>
        <v>198.05082776443749</v>
      </c>
      <c r="K242" s="428">
        <v>0</v>
      </c>
      <c r="L242" s="429">
        <v>0</v>
      </c>
      <c r="M242" s="402">
        <v>0</v>
      </c>
      <c r="N242" s="402">
        <f>+J242</f>
        <v>198.05082776443749</v>
      </c>
      <c r="O242" s="403">
        <v>0</v>
      </c>
      <c r="P242" s="403">
        <v>0</v>
      </c>
      <c r="Q242" s="402">
        <v>0</v>
      </c>
      <c r="R242" s="403">
        <v>0</v>
      </c>
      <c r="S242" s="403">
        <v>0</v>
      </c>
      <c r="T242" s="404">
        <v>0</v>
      </c>
      <c r="U242" s="387">
        <f>SUM(K242:T242)</f>
        <v>198.05082776443749</v>
      </c>
      <c r="V242" s="324"/>
    </row>
    <row r="243" spans="2:22" x14ac:dyDescent="0.25">
      <c r="B243" s="593">
        <v>16</v>
      </c>
      <c r="C243" s="565" t="s">
        <v>17</v>
      </c>
      <c r="D243" s="541" t="s">
        <v>331</v>
      </c>
      <c r="E243" s="265" t="s">
        <v>332</v>
      </c>
      <c r="F243" s="168" t="s">
        <v>319</v>
      </c>
      <c r="G243" s="193">
        <v>1</v>
      </c>
      <c r="H243" s="325">
        <v>200000000</v>
      </c>
      <c r="I243" s="242">
        <f t="shared" ref="I243:I262" si="38">+H243*G243</f>
        <v>200000000</v>
      </c>
      <c r="J243" s="371">
        <f t="shared" ref="J243:J262" si="39">+I243/$E$4</f>
        <v>5029.862292430158</v>
      </c>
      <c r="K243" s="424"/>
      <c r="L243" s="405"/>
      <c r="M243" s="391"/>
      <c r="N243" s="391"/>
      <c r="O243" s="392"/>
      <c r="P243" s="392"/>
      <c r="Q243" s="391"/>
      <c r="R243" s="392"/>
      <c r="S243" s="392"/>
      <c r="T243" s="393"/>
      <c r="U243" s="384"/>
      <c r="V243" s="120"/>
    </row>
    <row r="244" spans="2:22" x14ac:dyDescent="0.25">
      <c r="B244" s="593"/>
      <c r="C244" s="566"/>
      <c r="D244" s="542"/>
      <c r="E244" s="228" t="s">
        <v>333</v>
      </c>
      <c r="F244" s="172" t="s">
        <v>319</v>
      </c>
      <c r="G244" s="178">
        <v>1</v>
      </c>
      <c r="H244" s="180">
        <v>300000000</v>
      </c>
      <c r="I244" s="174">
        <f t="shared" si="38"/>
        <v>300000000</v>
      </c>
      <c r="J244" s="298">
        <f t="shared" si="39"/>
        <v>7544.7934386452371</v>
      </c>
      <c r="K244" s="425"/>
      <c r="L244" s="407"/>
      <c r="M244" s="394"/>
      <c r="N244" s="394"/>
      <c r="O244" s="395"/>
      <c r="P244" s="395"/>
      <c r="Q244" s="394"/>
      <c r="R244" s="395"/>
      <c r="S244" s="395"/>
      <c r="T244" s="396"/>
      <c r="U244" s="385"/>
      <c r="V244" s="119"/>
    </row>
    <row r="245" spans="2:22" x14ac:dyDescent="0.25">
      <c r="B245" s="593"/>
      <c r="C245" s="566"/>
      <c r="D245" s="542"/>
      <c r="E245" s="228" t="s">
        <v>343</v>
      </c>
      <c r="F245" s="172" t="s">
        <v>318</v>
      </c>
      <c r="G245" s="178">
        <v>23.4</v>
      </c>
      <c r="H245" s="180">
        <v>450000</v>
      </c>
      <c r="I245" s="174">
        <f t="shared" si="38"/>
        <v>10530000</v>
      </c>
      <c r="J245" s="298">
        <f>+I245/$E$4</f>
        <v>264.82224969644784</v>
      </c>
      <c r="K245" s="425"/>
      <c r="L245" s="407"/>
      <c r="M245" s="394"/>
      <c r="N245" s="394"/>
      <c r="O245" s="395"/>
      <c r="P245" s="395"/>
      <c r="Q245" s="394"/>
      <c r="R245" s="395"/>
      <c r="S245" s="395"/>
      <c r="T245" s="396"/>
      <c r="U245" s="385"/>
      <c r="V245" s="119"/>
    </row>
    <row r="246" spans="2:22" x14ac:dyDescent="0.25">
      <c r="B246" s="593"/>
      <c r="C246" s="566"/>
      <c r="D246" s="542"/>
      <c r="E246" s="228" t="s">
        <v>334</v>
      </c>
      <c r="F246" s="177" t="s">
        <v>320</v>
      </c>
      <c r="G246" s="178">
        <v>2</v>
      </c>
      <c r="H246" s="180">
        <v>7500000</v>
      </c>
      <c r="I246" s="174">
        <f>+H246*G246</f>
        <v>15000000</v>
      </c>
      <c r="J246" s="298">
        <f t="shared" si="39"/>
        <v>377.23967193226184</v>
      </c>
      <c r="K246" s="425"/>
      <c r="L246" s="407"/>
      <c r="M246" s="394"/>
      <c r="N246" s="394"/>
      <c r="O246" s="395"/>
      <c r="P246" s="395"/>
      <c r="Q246" s="394"/>
      <c r="R246" s="395"/>
      <c r="S246" s="395"/>
      <c r="T246" s="396"/>
      <c r="U246" s="385"/>
      <c r="V246" s="119"/>
    </row>
    <row r="247" spans="2:22" x14ac:dyDescent="0.25">
      <c r="B247" s="593"/>
      <c r="C247" s="566"/>
      <c r="D247" s="542"/>
      <c r="E247" s="228" t="s">
        <v>335</v>
      </c>
      <c r="F247" s="177" t="s">
        <v>318</v>
      </c>
      <c r="G247" s="175">
        <v>1</v>
      </c>
      <c r="H247" s="180">
        <v>9000000</v>
      </c>
      <c r="I247" s="174">
        <f>+H247*G247</f>
        <v>9000000</v>
      </c>
      <c r="J247" s="298">
        <f t="shared" si="39"/>
        <v>226.34380315935712</v>
      </c>
      <c r="K247" s="425"/>
      <c r="L247" s="407"/>
      <c r="M247" s="394"/>
      <c r="N247" s="394"/>
      <c r="O247" s="395"/>
      <c r="P247" s="395"/>
      <c r="Q247" s="394"/>
      <c r="R247" s="395"/>
      <c r="S247" s="395"/>
      <c r="T247" s="396"/>
      <c r="U247" s="385"/>
      <c r="V247" s="119"/>
    </row>
    <row r="248" spans="2:22" ht="15.75" thickBot="1" x14ac:dyDescent="0.3">
      <c r="B248" s="593"/>
      <c r="C248" s="568"/>
      <c r="D248" s="543"/>
      <c r="E248" s="262" t="s">
        <v>356</v>
      </c>
      <c r="F248" s="326" t="s">
        <v>320</v>
      </c>
      <c r="G248" s="183">
        <v>2</v>
      </c>
      <c r="H248" s="184">
        <v>21300000</v>
      </c>
      <c r="I248" s="185">
        <f t="shared" si="38"/>
        <v>42600000</v>
      </c>
      <c r="J248" s="373">
        <f t="shared" si="39"/>
        <v>1071.3606682876236</v>
      </c>
      <c r="K248" s="426"/>
      <c r="L248" s="427"/>
      <c r="M248" s="399"/>
      <c r="N248" s="399"/>
      <c r="O248" s="400"/>
      <c r="P248" s="400"/>
      <c r="Q248" s="399"/>
      <c r="R248" s="400"/>
      <c r="S248" s="400"/>
      <c r="T248" s="401"/>
      <c r="U248" s="386"/>
      <c r="V248" s="117"/>
    </row>
    <row r="249" spans="2:22" ht="15.75" thickBot="1" x14ac:dyDescent="0.3">
      <c r="B249" s="449"/>
      <c r="C249" s="332"/>
      <c r="D249" s="297"/>
      <c r="E249" s="323"/>
      <c r="F249" s="354"/>
      <c r="G249" s="305"/>
      <c r="H249" s="346" t="s">
        <v>368</v>
      </c>
      <c r="I249" s="312">
        <f>SUM(I243:I248)</f>
        <v>577130000</v>
      </c>
      <c r="J249" s="370">
        <f t="shared" si="39"/>
        <v>14514.422124151086</v>
      </c>
      <c r="K249" s="428">
        <v>0</v>
      </c>
      <c r="L249" s="429">
        <v>0</v>
      </c>
      <c r="M249" s="402">
        <v>0</v>
      </c>
      <c r="N249" s="402">
        <v>0</v>
      </c>
      <c r="O249" s="403">
        <v>0</v>
      </c>
      <c r="P249" s="403">
        <v>0</v>
      </c>
      <c r="Q249" s="402">
        <v>0</v>
      </c>
      <c r="R249" s="403">
        <v>0</v>
      </c>
      <c r="S249" s="403">
        <v>0</v>
      </c>
      <c r="T249" s="404">
        <f>+J249</f>
        <v>14514.422124151086</v>
      </c>
      <c r="U249" s="387">
        <f>SUM(K249:T249)</f>
        <v>14514.422124151086</v>
      </c>
      <c r="V249" s="307"/>
    </row>
    <row r="250" spans="2:22" x14ac:dyDescent="0.25">
      <c r="B250" s="593">
        <v>17</v>
      </c>
      <c r="C250" s="565" t="s">
        <v>20</v>
      </c>
      <c r="D250" s="49"/>
      <c r="E250" s="265" t="s">
        <v>231</v>
      </c>
      <c r="F250" s="171" t="s">
        <v>319</v>
      </c>
      <c r="G250" s="328">
        <v>1</v>
      </c>
      <c r="H250" s="198">
        <v>5000000</v>
      </c>
      <c r="I250" s="170">
        <f t="shared" si="38"/>
        <v>5000000</v>
      </c>
      <c r="J250" s="371">
        <f t="shared" si="39"/>
        <v>125.74655731075396</v>
      </c>
      <c r="K250" s="424"/>
      <c r="L250" s="405"/>
      <c r="M250" s="391"/>
      <c r="N250" s="391"/>
      <c r="O250" s="392"/>
      <c r="P250" s="392"/>
      <c r="Q250" s="391"/>
      <c r="R250" s="392"/>
      <c r="S250" s="392"/>
      <c r="T250" s="393"/>
      <c r="U250" s="384"/>
      <c r="V250" s="120"/>
    </row>
    <row r="251" spans="2:22" ht="15.75" thickBot="1" x14ac:dyDescent="0.3">
      <c r="B251" s="593"/>
      <c r="C251" s="568"/>
      <c r="D251" s="50"/>
      <c r="E251" s="262" t="s">
        <v>232</v>
      </c>
      <c r="F251" s="186" t="s">
        <v>319</v>
      </c>
      <c r="G251" s="255">
        <v>1</v>
      </c>
      <c r="H251" s="184">
        <v>450000</v>
      </c>
      <c r="I251" s="185">
        <f t="shared" si="38"/>
        <v>450000</v>
      </c>
      <c r="J251" s="373">
        <f t="shared" si="39"/>
        <v>11.317190157967856</v>
      </c>
      <c r="K251" s="426"/>
      <c r="L251" s="427"/>
      <c r="M251" s="399"/>
      <c r="N251" s="399"/>
      <c r="O251" s="400"/>
      <c r="P251" s="400"/>
      <c r="Q251" s="399"/>
      <c r="R251" s="400"/>
      <c r="S251" s="400"/>
      <c r="T251" s="401"/>
      <c r="U251" s="386"/>
      <c r="V251" s="117"/>
    </row>
    <row r="252" spans="2:22" ht="15.75" thickBot="1" x14ac:dyDescent="0.3">
      <c r="B252" s="449"/>
      <c r="C252" s="332"/>
      <c r="D252" s="332"/>
      <c r="E252" s="323"/>
      <c r="F252" s="306"/>
      <c r="G252" s="318"/>
      <c r="H252" s="308" t="s">
        <v>368</v>
      </c>
      <c r="I252" s="312">
        <f>SUM(I250:I251)</f>
        <v>5450000</v>
      </c>
      <c r="J252" s="370">
        <f t="shared" si="39"/>
        <v>137.0637474687218</v>
      </c>
      <c r="K252" s="428">
        <v>0</v>
      </c>
      <c r="L252" s="429">
        <v>0</v>
      </c>
      <c r="M252" s="402">
        <v>0</v>
      </c>
      <c r="N252" s="402">
        <f>+J252</f>
        <v>137.0637474687218</v>
      </c>
      <c r="O252" s="403">
        <v>0</v>
      </c>
      <c r="P252" s="403">
        <v>0</v>
      </c>
      <c r="Q252" s="402">
        <v>0</v>
      </c>
      <c r="R252" s="403">
        <v>0</v>
      </c>
      <c r="S252" s="403">
        <v>0</v>
      </c>
      <c r="T252" s="404">
        <v>0</v>
      </c>
      <c r="U252" s="387">
        <f>SUM(K252:T252)</f>
        <v>137.0637474687218</v>
      </c>
      <c r="V252" s="307"/>
    </row>
    <row r="253" spans="2:22" x14ac:dyDescent="0.25">
      <c r="B253" s="593">
        <v>18</v>
      </c>
      <c r="C253" s="565" t="s">
        <v>350</v>
      </c>
      <c r="D253" s="544" t="s">
        <v>291</v>
      </c>
      <c r="E253" s="268" t="s">
        <v>292</v>
      </c>
      <c r="F253" s="171" t="s">
        <v>319</v>
      </c>
      <c r="G253" s="193">
        <v>1188</v>
      </c>
      <c r="H253" s="170">
        <v>5360</v>
      </c>
      <c r="I253" s="170">
        <f t="shared" si="38"/>
        <v>6367680</v>
      </c>
      <c r="J253" s="374">
        <f t="shared" si="39"/>
        <v>160.14276761130836</v>
      </c>
      <c r="K253" s="424"/>
      <c r="L253" s="405"/>
      <c r="M253" s="391"/>
      <c r="N253" s="391"/>
      <c r="O253" s="392"/>
      <c r="P253" s="392"/>
      <c r="Q253" s="391"/>
      <c r="R253" s="392"/>
      <c r="S253" s="392"/>
      <c r="T253" s="393"/>
      <c r="U253" s="384"/>
      <c r="V253" s="120"/>
    </row>
    <row r="254" spans="2:22" ht="15" customHeight="1" x14ac:dyDescent="0.25">
      <c r="B254" s="593"/>
      <c r="C254" s="583"/>
      <c r="D254" s="545"/>
      <c r="E254" s="250" t="s">
        <v>293</v>
      </c>
      <c r="F254" s="187" t="s">
        <v>319</v>
      </c>
      <c r="G254" s="536" t="s">
        <v>322</v>
      </c>
      <c r="H254" s="537"/>
      <c r="I254" s="174">
        <v>0</v>
      </c>
      <c r="J254" s="298">
        <f t="shared" si="39"/>
        <v>0</v>
      </c>
      <c r="K254" s="432"/>
      <c r="L254" s="433"/>
      <c r="M254" s="412"/>
      <c r="N254" s="412"/>
      <c r="O254" s="413"/>
      <c r="P254" s="413"/>
      <c r="Q254" s="412"/>
      <c r="R254" s="413"/>
      <c r="S254" s="413"/>
      <c r="T254" s="414"/>
      <c r="U254" s="389"/>
      <c r="V254" s="118"/>
    </row>
    <row r="255" spans="2:22" x14ac:dyDescent="0.25">
      <c r="B255" s="593"/>
      <c r="C255" s="583"/>
      <c r="D255" s="558" t="s">
        <v>294</v>
      </c>
      <c r="E255" s="250" t="s">
        <v>296</v>
      </c>
      <c r="F255" s="187" t="s">
        <v>318</v>
      </c>
      <c r="G255" s="192">
        <v>1188</v>
      </c>
      <c r="H255" s="176">
        <v>50000</v>
      </c>
      <c r="I255" s="174">
        <f t="shared" si="38"/>
        <v>59400000</v>
      </c>
      <c r="J255" s="298">
        <f t="shared" si="39"/>
        <v>1493.8691008517569</v>
      </c>
      <c r="K255" s="432"/>
      <c r="L255" s="433"/>
      <c r="M255" s="412"/>
      <c r="N255" s="412"/>
      <c r="O255" s="413"/>
      <c r="P255" s="413"/>
      <c r="Q255" s="412"/>
      <c r="R255" s="413"/>
      <c r="S255" s="413"/>
      <c r="T255" s="414"/>
      <c r="U255" s="389"/>
      <c r="V255" s="118"/>
    </row>
    <row r="256" spans="2:22" ht="30" x14ac:dyDescent="0.25">
      <c r="B256" s="593"/>
      <c r="C256" s="583"/>
      <c r="D256" s="557"/>
      <c r="E256" s="250" t="s">
        <v>297</v>
      </c>
      <c r="F256" s="187" t="s">
        <v>318</v>
      </c>
      <c r="G256" s="192">
        <v>1470</v>
      </c>
      <c r="H256" s="195">
        <v>28000</v>
      </c>
      <c r="I256" s="174">
        <f t="shared" si="38"/>
        <v>41160000</v>
      </c>
      <c r="J256" s="298">
        <f t="shared" si="39"/>
        <v>1035.1456597821266</v>
      </c>
      <c r="K256" s="432"/>
      <c r="L256" s="433"/>
      <c r="M256" s="412"/>
      <c r="N256" s="412"/>
      <c r="O256" s="413"/>
      <c r="P256" s="413"/>
      <c r="Q256" s="412"/>
      <c r="R256" s="413"/>
      <c r="S256" s="413"/>
      <c r="T256" s="414"/>
      <c r="U256" s="389"/>
      <c r="V256" s="118"/>
    </row>
    <row r="257" spans="2:22" x14ac:dyDescent="0.25">
      <c r="B257" s="593"/>
      <c r="C257" s="583"/>
      <c r="D257" s="545"/>
      <c r="E257" s="250" t="s">
        <v>298</v>
      </c>
      <c r="F257" s="187" t="s">
        <v>318</v>
      </c>
      <c r="G257" s="192">
        <v>370</v>
      </c>
      <c r="H257" s="176">
        <v>379000</v>
      </c>
      <c r="I257" s="174">
        <f t="shared" si="38"/>
        <v>140230000</v>
      </c>
      <c r="J257" s="298">
        <f t="shared" si="39"/>
        <v>3526.6879463374053</v>
      </c>
      <c r="K257" s="432"/>
      <c r="L257" s="433"/>
      <c r="M257" s="412"/>
      <c r="N257" s="412"/>
      <c r="O257" s="413"/>
      <c r="P257" s="413"/>
      <c r="Q257" s="412"/>
      <c r="R257" s="413"/>
      <c r="S257" s="413"/>
      <c r="T257" s="414"/>
      <c r="U257" s="389"/>
      <c r="V257" s="118"/>
    </row>
    <row r="258" spans="2:22" x14ac:dyDescent="0.25">
      <c r="B258" s="593"/>
      <c r="C258" s="589"/>
      <c r="D258" s="562" t="s">
        <v>299</v>
      </c>
      <c r="E258" s="352" t="s">
        <v>323</v>
      </c>
      <c r="F258" s="187"/>
      <c r="G258" s="192"/>
      <c r="H258" s="195"/>
      <c r="I258" s="174">
        <f t="shared" si="38"/>
        <v>0</v>
      </c>
      <c r="J258" s="298">
        <f t="shared" si="39"/>
        <v>0</v>
      </c>
      <c r="K258" s="432"/>
      <c r="L258" s="433"/>
      <c r="M258" s="412"/>
      <c r="N258" s="412"/>
      <c r="O258" s="413"/>
      <c r="P258" s="413"/>
      <c r="Q258" s="412"/>
      <c r="R258" s="413"/>
      <c r="S258" s="413"/>
      <c r="T258" s="414"/>
      <c r="U258" s="389"/>
      <c r="V258" s="118"/>
    </row>
    <row r="259" spans="2:22" x14ac:dyDescent="0.25">
      <c r="B259" s="593"/>
      <c r="C259" s="589"/>
      <c r="D259" s="563"/>
      <c r="E259" s="348" t="s">
        <v>301</v>
      </c>
      <c r="F259" s="187" t="s">
        <v>318</v>
      </c>
      <c r="G259" s="192">
        <f>+G253</f>
        <v>1188</v>
      </c>
      <c r="H259" s="180">
        <v>23350</v>
      </c>
      <c r="I259" s="174">
        <f t="shared" si="38"/>
        <v>27739800</v>
      </c>
      <c r="J259" s="298">
        <f t="shared" si="39"/>
        <v>697.6368700977705</v>
      </c>
      <c r="K259" s="432"/>
      <c r="L259" s="433"/>
      <c r="M259" s="412"/>
      <c r="N259" s="412"/>
      <c r="O259" s="413"/>
      <c r="P259" s="413"/>
      <c r="Q259" s="412"/>
      <c r="R259" s="413"/>
      <c r="S259" s="413"/>
      <c r="T259" s="414"/>
      <c r="U259" s="389"/>
      <c r="V259" s="118"/>
    </row>
    <row r="260" spans="2:22" x14ac:dyDescent="0.25">
      <c r="B260" s="593"/>
      <c r="C260" s="589"/>
      <c r="D260" s="563"/>
      <c r="E260" s="348" t="s">
        <v>303</v>
      </c>
      <c r="F260" s="187"/>
      <c r="G260" s="192"/>
      <c r="H260" s="195"/>
      <c r="I260" s="174">
        <f t="shared" si="38"/>
        <v>0</v>
      </c>
      <c r="J260" s="298">
        <f t="shared" si="39"/>
        <v>0</v>
      </c>
      <c r="K260" s="432"/>
      <c r="L260" s="433"/>
      <c r="M260" s="412"/>
      <c r="N260" s="412"/>
      <c r="O260" s="413"/>
      <c r="P260" s="413"/>
      <c r="Q260" s="412"/>
      <c r="R260" s="413"/>
      <c r="S260" s="413"/>
      <c r="T260" s="414"/>
      <c r="U260" s="389"/>
      <c r="V260" s="118"/>
    </row>
    <row r="261" spans="2:22" x14ac:dyDescent="0.25">
      <c r="B261" s="593"/>
      <c r="C261" s="589"/>
      <c r="D261" s="563"/>
      <c r="E261" s="352" t="s">
        <v>324</v>
      </c>
      <c r="F261" s="187"/>
      <c r="G261" s="192"/>
      <c r="H261" s="195"/>
      <c r="I261" s="174">
        <f t="shared" si="38"/>
        <v>0</v>
      </c>
      <c r="J261" s="298">
        <f t="shared" si="39"/>
        <v>0</v>
      </c>
      <c r="K261" s="432"/>
      <c r="L261" s="433"/>
      <c r="M261" s="412"/>
      <c r="N261" s="412"/>
      <c r="O261" s="413"/>
      <c r="P261" s="413"/>
      <c r="Q261" s="412"/>
      <c r="R261" s="413"/>
      <c r="S261" s="413"/>
      <c r="T261" s="414"/>
      <c r="U261" s="389"/>
      <c r="V261" s="118"/>
    </row>
    <row r="262" spans="2:22" ht="15.75" customHeight="1" x14ac:dyDescent="0.25">
      <c r="B262" s="593"/>
      <c r="C262" s="590"/>
      <c r="D262" s="562" t="s">
        <v>305</v>
      </c>
      <c r="E262" s="348" t="s">
        <v>221</v>
      </c>
      <c r="F262" s="194" t="s">
        <v>320</v>
      </c>
      <c r="G262" s="178">
        <v>1</v>
      </c>
      <c r="H262" s="180">
        <v>650000</v>
      </c>
      <c r="I262" s="174">
        <f t="shared" si="38"/>
        <v>650000</v>
      </c>
      <c r="J262" s="298">
        <f t="shared" si="39"/>
        <v>16.347052450398014</v>
      </c>
      <c r="K262" s="425"/>
      <c r="L262" s="407"/>
      <c r="M262" s="394"/>
      <c r="N262" s="394"/>
      <c r="O262" s="395"/>
      <c r="P262" s="395"/>
      <c r="Q262" s="394"/>
      <c r="R262" s="395"/>
      <c r="S262" s="395"/>
      <c r="T262" s="396"/>
      <c r="U262" s="385"/>
      <c r="V262" s="119"/>
    </row>
    <row r="263" spans="2:22" x14ac:dyDescent="0.25">
      <c r="B263" s="593"/>
      <c r="C263" s="590"/>
      <c r="D263" s="562"/>
      <c r="E263" s="349" t="s">
        <v>359</v>
      </c>
      <c r="F263" s="247" t="s">
        <v>320</v>
      </c>
      <c r="G263" s="199">
        <v>9</v>
      </c>
      <c r="H263" s="180">
        <v>380000</v>
      </c>
      <c r="I263" s="174">
        <f>+H263*G263</f>
        <v>3420000</v>
      </c>
      <c r="J263" s="298">
        <f>+I263/$E$4</f>
        <v>86.0106452005557</v>
      </c>
      <c r="K263" s="425"/>
      <c r="L263" s="407"/>
      <c r="M263" s="394"/>
      <c r="N263" s="394"/>
      <c r="O263" s="395"/>
      <c r="P263" s="395"/>
      <c r="Q263" s="394"/>
      <c r="R263" s="395"/>
      <c r="S263" s="395"/>
      <c r="T263" s="396"/>
      <c r="U263" s="385"/>
      <c r="V263" s="119"/>
    </row>
    <row r="264" spans="2:22" x14ac:dyDescent="0.25">
      <c r="B264" s="593"/>
      <c r="C264" s="590"/>
      <c r="D264" s="562"/>
      <c r="E264" s="351" t="s">
        <v>326</v>
      </c>
      <c r="F264" s="247"/>
      <c r="G264" s="236">
        <v>3</v>
      </c>
      <c r="H264" s="244">
        <v>200000</v>
      </c>
      <c r="I264" s="245">
        <f>+H264*G264</f>
        <v>600000</v>
      </c>
      <c r="J264" s="375">
        <f>+I264/$E$4</f>
        <v>15.089586877290476</v>
      </c>
      <c r="K264" s="425"/>
      <c r="L264" s="407"/>
      <c r="M264" s="394"/>
      <c r="N264" s="394"/>
      <c r="O264" s="395"/>
      <c r="P264" s="395"/>
      <c r="Q264" s="394"/>
      <c r="R264" s="395"/>
      <c r="S264" s="395"/>
      <c r="T264" s="396"/>
      <c r="U264" s="385"/>
      <c r="V264" s="119"/>
    </row>
    <row r="265" spans="2:22" x14ac:dyDescent="0.25">
      <c r="B265" s="593"/>
      <c r="C265" s="590"/>
      <c r="D265" s="562"/>
      <c r="E265" s="349" t="s">
        <v>360</v>
      </c>
      <c r="F265" s="247" t="s">
        <v>320</v>
      </c>
      <c r="G265" s="199">
        <v>8</v>
      </c>
      <c r="H265" s="180">
        <v>120000</v>
      </c>
      <c r="I265" s="174">
        <f>+H265*G265</f>
        <v>960000</v>
      </c>
      <c r="J265" s="298">
        <f t="shared" ref="J265:J268" si="40">+I265/$E$4</f>
        <v>24.14333900366476</v>
      </c>
      <c r="K265" s="425"/>
      <c r="L265" s="407"/>
      <c r="M265" s="394"/>
      <c r="N265" s="394"/>
      <c r="O265" s="395"/>
      <c r="P265" s="395"/>
      <c r="Q265" s="394"/>
      <c r="R265" s="395"/>
      <c r="S265" s="395"/>
      <c r="T265" s="396"/>
      <c r="U265" s="385"/>
      <c r="V265" s="119"/>
    </row>
    <row r="266" spans="2:22" x14ac:dyDescent="0.25">
      <c r="B266" s="593"/>
      <c r="C266" s="590"/>
      <c r="D266" s="562"/>
      <c r="E266" s="349" t="s">
        <v>361</v>
      </c>
      <c r="F266" s="247" t="s">
        <v>318</v>
      </c>
      <c r="G266" s="199">
        <v>6</v>
      </c>
      <c r="H266" s="331">
        <v>712530</v>
      </c>
      <c r="I266" s="174">
        <f>+H266*G266</f>
        <v>4275180</v>
      </c>
      <c r="J266" s="298">
        <f t="shared" si="40"/>
        <v>107.51783337675782</v>
      </c>
      <c r="K266" s="425"/>
      <c r="L266" s="407"/>
      <c r="M266" s="394"/>
      <c r="N266" s="394"/>
      <c r="O266" s="395"/>
      <c r="P266" s="395"/>
      <c r="Q266" s="394"/>
      <c r="R266" s="395"/>
      <c r="S266" s="395"/>
      <c r="T266" s="396"/>
      <c r="U266" s="385"/>
      <c r="V266" s="119"/>
    </row>
    <row r="267" spans="2:22" ht="15.75" thickBot="1" x14ac:dyDescent="0.3">
      <c r="B267" s="593"/>
      <c r="C267" s="591"/>
      <c r="D267" s="564"/>
      <c r="E267" s="350" t="s">
        <v>310</v>
      </c>
      <c r="F267" s="252" t="s">
        <v>320</v>
      </c>
      <c r="G267" s="255">
        <v>9</v>
      </c>
      <c r="H267" s="184">
        <v>695000</v>
      </c>
      <c r="I267" s="185">
        <f>+H267*G267</f>
        <v>6255000</v>
      </c>
      <c r="J267" s="373">
        <f t="shared" si="40"/>
        <v>157.30894319575319</v>
      </c>
      <c r="K267" s="426"/>
      <c r="L267" s="427"/>
      <c r="M267" s="399"/>
      <c r="N267" s="399"/>
      <c r="O267" s="400"/>
      <c r="P267" s="400"/>
      <c r="Q267" s="399"/>
      <c r="R267" s="400"/>
      <c r="S267" s="400"/>
      <c r="T267" s="401"/>
      <c r="U267" s="386"/>
      <c r="V267" s="117"/>
    </row>
    <row r="268" spans="2:22" ht="21" customHeight="1" thickBot="1" x14ac:dyDescent="0.3">
      <c r="B268" s="449"/>
      <c r="C268" s="332"/>
      <c r="D268" s="347"/>
      <c r="E268" s="338"/>
      <c r="F268" s="306"/>
      <c r="G268" s="305"/>
      <c r="H268" s="308" t="s">
        <v>368</v>
      </c>
      <c r="I268" s="312">
        <f>SUM(I253:I267)</f>
        <v>291057660</v>
      </c>
      <c r="J268" s="370">
        <f t="shared" si="40"/>
        <v>7319.8997447847878</v>
      </c>
      <c r="K268" s="428">
        <v>0</v>
      </c>
      <c r="L268" s="429">
        <v>0</v>
      </c>
      <c r="M268" s="402">
        <v>0</v>
      </c>
      <c r="N268" s="402">
        <v>0</v>
      </c>
      <c r="O268" s="403">
        <v>0</v>
      </c>
      <c r="P268" s="403">
        <v>0</v>
      </c>
      <c r="Q268" s="402">
        <f>+J268</f>
        <v>7319.8997447847878</v>
      </c>
      <c r="R268" s="403">
        <v>0</v>
      </c>
      <c r="S268" s="403">
        <v>0</v>
      </c>
      <c r="T268" s="404">
        <v>0</v>
      </c>
      <c r="U268" s="387">
        <f>SUM(K268:T268)</f>
        <v>7319.8997447847878</v>
      </c>
      <c r="V268" s="307"/>
    </row>
    <row r="269" spans="2:22" x14ac:dyDescent="0.25">
      <c r="B269" s="593">
        <v>19</v>
      </c>
      <c r="C269" s="565" t="s">
        <v>22</v>
      </c>
      <c r="D269" s="264"/>
      <c r="E269" s="265" t="s">
        <v>363</v>
      </c>
      <c r="F269" s="171" t="s">
        <v>318</v>
      </c>
      <c r="G269" s="193">
        <v>56</v>
      </c>
      <c r="H269" s="198">
        <v>48000</v>
      </c>
      <c r="I269" s="170">
        <f t="shared" ref="I269:I322" si="41">+H269*G269</f>
        <v>2688000</v>
      </c>
      <c r="J269" s="374">
        <f t="shared" ref="J269:J323" si="42">+I269/$E$4</f>
        <v>67.601349210261333</v>
      </c>
      <c r="K269" s="424"/>
      <c r="L269" s="405"/>
      <c r="M269" s="391"/>
      <c r="N269" s="391"/>
      <c r="O269" s="392"/>
      <c r="P269" s="392"/>
      <c r="Q269" s="391"/>
      <c r="R269" s="392"/>
      <c r="S269" s="392"/>
      <c r="T269" s="393"/>
      <c r="U269" s="384"/>
      <c r="V269" s="120"/>
    </row>
    <row r="270" spans="2:22" x14ac:dyDescent="0.25">
      <c r="B270" s="593"/>
      <c r="C270" s="583"/>
      <c r="D270" s="353"/>
      <c r="E270" s="250" t="s">
        <v>301</v>
      </c>
      <c r="F270" s="175" t="s">
        <v>318</v>
      </c>
      <c r="G270" s="192">
        <v>56</v>
      </c>
      <c r="H270" s="180">
        <v>23350</v>
      </c>
      <c r="I270" s="174">
        <f t="shared" si="41"/>
        <v>1307600</v>
      </c>
      <c r="J270" s="376">
        <f t="shared" si="42"/>
        <v>32.885239667908372</v>
      </c>
      <c r="K270" s="432"/>
      <c r="L270" s="433"/>
      <c r="M270" s="412"/>
      <c r="N270" s="412"/>
      <c r="O270" s="413"/>
      <c r="P270" s="413"/>
      <c r="Q270" s="412"/>
      <c r="R270" s="413"/>
      <c r="S270" s="413"/>
      <c r="T270" s="414"/>
      <c r="U270" s="389"/>
      <c r="V270" s="118"/>
    </row>
    <row r="271" spans="2:22" x14ac:dyDescent="0.25">
      <c r="B271" s="593"/>
      <c r="C271" s="566"/>
      <c r="D271" s="266"/>
      <c r="E271" s="228" t="s">
        <v>214</v>
      </c>
      <c r="F271" s="175" t="s">
        <v>318</v>
      </c>
      <c r="G271" s="178">
        <v>96</v>
      </c>
      <c r="H271" s="180">
        <v>28000</v>
      </c>
      <c r="I271" s="174">
        <f t="shared" si="41"/>
        <v>2688000</v>
      </c>
      <c r="J271" s="298">
        <f t="shared" si="42"/>
        <v>67.601349210261333</v>
      </c>
      <c r="K271" s="425"/>
      <c r="L271" s="407"/>
      <c r="M271" s="394"/>
      <c r="N271" s="394"/>
      <c r="O271" s="395"/>
      <c r="P271" s="395"/>
      <c r="Q271" s="394"/>
      <c r="R271" s="395"/>
      <c r="S271" s="395"/>
      <c r="T271" s="396"/>
      <c r="U271" s="385"/>
      <c r="V271" s="119"/>
    </row>
    <row r="272" spans="2:22" ht="15.75" thickBot="1" x14ac:dyDescent="0.3">
      <c r="B272" s="593"/>
      <c r="C272" s="568"/>
      <c r="D272" s="267"/>
      <c r="E272" s="262" t="s">
        <v>362</v>
      </c>
      <c r="F272" s="186" t="s">
        <v>318</v>
      </c>
      <c r="G272" s="183">
        <v>32</v>
      </c>
      <c r="H272" s="176">
        <v>379000</v>
      </c>
      <c r="I272" s="185">
        <f t="shared" si="41"/>
        <v>12128000</v>
      </c>
      <c r="J272" s="377">
        <f t="shared" si="42"/>
        <v>305.01084941296477</v>
      </c>
      <c r="K272" s="426"/>
      <c r="L272" s="427"/>
      <c r="M272" s="399"/>
      <c r="N272" s="399"/>
      <c r="O272" s="400"/>
      <c r="P272" s="400"/>
      <c r="Q272" s="399"/>
      <c r="R272" s="400"/>
      <c r="S272" s="400"/>
      <c r="T272" s="401"/>
      <c r="U272" s="386"/>
      <c r="V272" s="117"/>
    </row>
    <row r="273" spans="2:22" ht="15.75" thickBot="1" x14ac:dyDescent="0.3">
      <c r="B273" s="449"/>
      <c r="C273" s="332"/>
      <c r="D273" s="332"/>
      <c r="E273" s="323"/>
      <c r="F273" s="306"/>
      <c r="G273" s="305"/>
      <c r="H273" s="308" t="s">
        <v>368</v>
      </c>
      <c r="I273" s="312">
        <f>SUM(I269:I272)</f>
        <v>18811600</v>
      </c>
      <c r="J273" s="370">
        <f t="shared" si="42"/>
        <v>473.0987875013958</v>
      </c>
      <c r="K273" s="428">
        <v>0</v>
      </c>
      <c r="L273" s="429">
        <v>0</v>
      </c>
      <c r="M273" s="402">
        <v>0</v>
      </c>
      <c r="N273" s="402">
        <v>0</v>
      </c>
      <c r="O273" s="403">
        <v>0</v>
      </c>
      <c r="P273" s="403">
        <v>0</v>
      </c>
      <c r="Q273" s="402">
        <v>0</v>
      </c>
      <c r="R273" s="403">
        <f>+J273</f>
        <v>473.0987875013958</v>
      </c>
      <c r="S273" s="403">
        <v>0</v>
      </c>
      <c r="T273" s="404">
        <v>0</v>
      </c>
      <c r="U273" s="387">
        <f>SUM(K273:T273)</f>
        <v>473.0987875013958</v>
      </c>
      <c r="V273" s="307"/>
    </row>
    <row r="274" spans="2:22" x14ac:dyDescent="0.25">
      <c r="B274" s="593">
        <v>20</v>
      </c>
      <c r="C274" s="565" t="s">
        <v>348</v>
      </c>
      <c r="D274" s="544" t="s">
        <v>291</v>
      </c>
      <c r="E274" s="268" t="s">
        <v>292</v>
      </c>
      <c r="F274" s="171" t="s">
        <v>319</v>
      </c>
      <c r="G274" s="193">
        <v>300</v>
      </c>
      <c r="H274" s="170">
        <v>5360</v>
      </c>
      <c r="I274" s="170">
        <f t="shared" si="41"/>
        <v>1608000</v>
      </c>
      <c r="J274" s="374">
        <f t="shared" si="42"/>
        <v>40.440092831138472</v>
      </c>
      <c r="K274" s="424"/>
      <c r="L274" s="405"/>
      <c r="M274" s="391"/>
      <c r="N274" s="391"/>
      <c r="O274" s="392"/>
      <c r="P274" s="392"/>
      <c r="Q274" s="391"/>
      <c r="R274" s="392"/>
      <c r="S274" s="392"/>
      <c r="T274" s="393"/>
      <c r="U274" s="384"/>
      <c r="V274" s="120"/>
    </row>
    <row r="275" spans="2:22" ht="27.75" customHeight="1" x14ac:dyDescent="0.25">
      <c r="B275" s="593"/>
      <c r="C275" s="583"/>
      <c r="D275" s="545"/>
      <c r="E275" s="249" t="s">
        <v>293</v>
      </c>
      <c r="F275" s="187" t="s">
        <v>319</v>
      </c>
      <c r="G275" s="536" t="s">
        <v>322</v>
      </c>
      <c r="H275" s="537"/>
      <c r="I275" s="174">
        <v>0</v>
      </c>
      <c r="J275" s="298">
        <f t="shared" si="42"/>
        <v>0</v>
      </c>
      <c r="K275" s="432"/>
      <c r="L275" s="433"/>
      <c r="M275" s="412"/>
      <c r="N275" s="412"/>
      <c r="O275" s="413"/>
      <c r="P275" s="413"/>
      <c r="Q275" s="412"/>
      <c r="R275" s="413"/>
      <c r="S275" s="413"/>
      <c r="T275" s="414"/>
      <c r="U275" s="389"/>
      <c r="V275" s="118"/>
    </row>
    <row r="276" spans="2:22" x14ac:dyDescent="0.25">
      <c r="B276" s="593"/>
      <c r="C276" s="583"/>
      <c r="D276" s="556" t="s">
        <v>294</v>
      </c>
      <c r="E276" s="249" t="s">
        <v>295</v>
      </c>
      <c r="F276" s="187" t="s">
        <v>318</v>
      </c>
      <c r="G276" s="192">
        <v>300</v>
      </c>
      <c r="H276" s="195">
        <v>48000</v>
      </c>
      <c r="I276" s="174">
        <f t="shared" si="41"/>
        <v>14400000</v>
      </c>
      <c r="J276" s="298">
        <f t="shared" si="42"/>
        <v>362.15008505497138</v>
      </c>
      <c r="K276" s="432"/>
      <c r="L276" s="433"/>
      <c r="M276" s="412"/>
      <c r="N276" s="412"/>
      <c r="O276" s="413"/>
      <c r="P276" s="413"/>
      <c r="Q276" s="412"/>
      <c r="R276" s="413"/>
      <c r="S276" s="413"/>
      <c r="T276" s="414"/>
      <c r="U276" s="389"/>
      <c r="V276" s="118"/>
    </row>
    <row r="277" spans="2:22" x14ac:dyDescent="0.25">
      <c r="B277" s="593"/>
      <c r="C277" s="583"/>
      <c r="D277" s="557"/>
      <c r="E277" s="250"/>
      <c r="F277" s="187"/>
      <c r="G277" s="192"/>
      <c r="H277" s="195"/>
      <c r="I277" s="174">
        <f t="shared" si="41"/>
        <v>0</v>
      </c>
      <c r="J277" s="298">
        <f t="shared" si="42"/>
        <v>0</v>
      </c>
      <c r="K277" s="432"/>
      <c r="L277" s="433"/>
      <c r="M277" s="412"/>
      <c r="N277" s="412"/>
      <c r="O277" s="413"/>
      <c r="P277" s="413"/>
      <c r="Q277" s="412"/>
      <c r="R277" s="413"/>
      <c r="S277" s="413"/>
      <c r="T277" s="414"/>
      <c r="U277" s="389"/>
      <c r="V277" s="118"/>
    </row>
    <row r="278" spans="2:22" ht="30" x14ac:dyDescent="0.25">
      <c r="B278" s="593"/>
      <c r="C278" s="583"/>
      <c r="D278" s="557"/>
      <c r="E278" s="250" t="s">
        <v>297</v>
      </c>
      <c r="F278" s="187" t="s">
        <v>318</v>
      </c>
      <c r="G278" s="192">
        <v>320</v>
      </c>
      <c r="H278" s="195">
        <v>28000</v>
      </c>
      <c r="I278" s="174">
        <f t="shared" si="41"/>
        <v>8960000</v>
      </c>
      <c r="J278" s="298">
        <f t="shared" si="42"/>
        <v>225.33783070087108</v>
      </c>
      <c r="K278" s="432"/>
      <c r="L278" s="433"/>
      <c r="M278" s="412"/>
      <c r="N278" s="412"/>
      <c r="O278" s="413"/>
      <c r="P278" s="413"/>
      <c r="Q278" s="412"/>
      <c r="R278" s="413"/>
      <c r="S278" s="413"/>
      <c r="T278" s="414"/>
      <c r="U278" s="389"/>
      <c r="V278" s="118"/>
    </row>
    <row r="279" spans="2:22" x14ac:dyDescent="0.25">
      <c r="B279" s="593"/>
      <c r="C279" s="583"/>
      <c r="D279" s="545"/>
      <c r="E279" s="250" t="s">
        <v>298</v>
      </c>
      <c r="F279" s="187" t="s">
        <v>318</v>
      </c>
      <c r="G279" s="192">
        <v>35</v>
      </c>
      <c r="H279" s="176">
        <v>379000</v>
      </c>
      <c r="I279" s="174">
        <f t="shared" si="41"/>
        <v>13265000</v>
      </c>
      <c r="J279" s="298">
        <f t="shared" si="42"/>
        <v>333.60561654543022</v>
      </c>
      <c r="K279" s="432"/>
      <c r="L279" s="433"/>
      <c r="M279" s="412"/>
      <c r="N279" s="412"/>
      <c r="O279" s="413"/>
      <c r="P279" s="413"/>
      <c r="Q279" s="412"/>
      <c r="R279" s="413"/>
      <c r="S279" s="413"/>
      <c r="T279" s="414"/>
      <c r="U279" s="389"/>
      <c r="V279" s="118"/>
    </row>
    <row r="280" spans="2:22" x14ac:dyDescent="0.25">
      <c r="B280" s="593"/>
      <c r="C280" s="583"/>
      <c r="D280" s="558" t="s">
        <v>299</v>
      </c>
      <c r="E280" s="250" t="s">
        <v>301</v>
      </c>
      <c r="F280" s="187" t="s">
        <v>318</v>
      </c>
      <c r="G280" s="192">
        <v>300</v>
      </c>
      <c r="H280" s="180">
        <v>23350</v>
      </c>
      <c r="I280" s="174">
        <f t="shared" si="41"/>
        <v>7005000</v>
      </c>
      <c r="J280" s="298">
        <f t="shared" si="42"/>
        <v>176.17092679236629</v>
      </c>
      <c r="K280" s="432"/>
      <c r="L280" s="433"/>
      <c r="M280" s="412"/>
      <c r="N280" s="412"/>
      <c r="O280" s="413"/>
      <c r="P280" s="413"/>
      <c r="Q280" s="412"/>
      <c r="R280" s="413"/>
      <c r="S280" s="413"/>
      <c r="T280" s="414"/>
      <c r="U280" s="389"/>
      <c r="V280" s="118"/>
    </row>
    <row r="281" spans="2:22" x14ac:dyDescent="0.25">
      <c r="B281" s="593"/>
      <c r="C281" s="583"/>
      <c r="D281" s="557"/>
      <c r="E281" s="250" t="s">
        <v>302</v>
      </c>
      <c r="F281" s="187"/>
      <c r="G281" s="192"/>
      <c r="H281" s="195"/>
      <c r="I281" s="174">
        <f t="shared" si="41"/>
        <v>0</v>
      </c>
      <c r="J281" s="298">
        <f t="shared" si="42"/>
        <v>0</v>
      </c>
      <c r="K281" s="432"/>
      <c r="L281" s="433"/>
      <c r="M281" s="412"/>
      <c r="N281" s="412"/>
      <c r="O281" s="413"/>
      <c r="P281" s="413"/>
      <c r="Q281" s="412"/>
      <c r="R281" s="413"/>
      <c r="S281" s="413"/>
      <c r="T281" s="414"/>
      <c r="U281" s="389"/>
      <c r="V281" s="118"/>
    </row>
    <row r="282" spans="2:22" x14ac:dyDescent="0.25">
      <c r="B282" s="593"/>
      <c r="C282" s="583"/>
      <c r="D282" s="557"/>
      <c r="E282" s="250" t="s">
        <v>303</v>
      </c>
      <c r="F282" s="187" t="s">
        <v>319</v>
      </c>
      <c r="G282" s="192">
        <v>1</v>
      </c>
      <c r="H282" s="195">
        <v>8500000</v>
      </c>
      <c r="I282" s="174">
        <f t="shared" si="41"/>
        <v>8500000</v>
      </c>
      <c r="J282" s="298">
        <f t="shared" si="42"/>
        <v>213.76914742828171</v>
      </c>
      <c r="K282" s="432"/>
      <c r="L282" s="433"/>
      <c r="M282" s="412"/>
      <c r="N282" s="412"/>
      <c r="O282" s="413"/>
      <c r="P282" s="413"/>
      <c r="Q282" s="412"/>
      <c r="R282" s="413"/>
      <c r="S282" s="413"/>
      <c r="T282" s="414"/>
      <c r="U282" s="389"/>
      <c r="V282" s="118"/>
    </row>
    <row r="283" spans="2:22" x14ac:dyDescent="0.25">
      <c r="B283" s="593"/>
      <c r="C283" s="583"/>
      <c r="D283" s="557"/>
      <c r="E283" s="251" t="s">
        <v>324</v>
      </c>
      <c r="F283" s="187"/>
      <c r="G283" s="192"/>
      <c r="H283" s="195"/>
      <c r="I283" s="174">
        <f t="shared" si="41"/>
        <v>0</v>
      </c>
      <c r="J283" s="298">
        <f t="shared" si="42"/>
        <v>0</v>
      </c>
      <c r="K283" s="432"/>
      <c r="L283" s="433"/>
      <c r="M283" s="412"/>
      <c r="N283" s="412"/>
      <c r="O283" s="413"/>
      <c r="P283" s="413"/>
      <c r="Q283" s="412"/>
      <c r="R283" s="413"/>
      <c r="S283" s="413"/>
      <c r="T283" s="414"/>
      <c r="U283" s="389"/>
      <c r="V283" s="118"/>
    </row>
    <row r="284" spans="2:22" ht="18" customHeight="1" x14ac:dyDescent="0.25">
      <c r="B284" s="593"/>
      <c r="C284" s="583"/>
      <c r="D284" s="599" t="s">
        <v>305</v>
      </c>
      <c r="E284" s="251" t="s">
        <v>221</v>
      </c>
      <c r="F284" s="187" t="s">
        <v>366</v>
      </c>
      <c r="G284" s="192">
        <v>3</v>
      </c>
      <c r="H284" s="195">
        <v>650000</v>
      </c>
      <c r="I284" s="174">
        <f t="shared" ref="I284" si="43">+H284*G284</f>
        <v>1950000</v>
      </c>
      <c r="J284" s="298">
        <f t="shared" ref="J284" si="44">+I284/$E$4</f>
        <v>49.041157351194045</v>
      </c>
      <c r="K284" s="432"/>
      <c r="L284" s="433"/>
      <c r="M284" s="412"/>
      <c r="N284" s="412"/>
      <c r="O284" s="413"/>
      <c r="P284" s="413"/>
      <c r="Q284" s="412"/>
      <c r="R284" s="413"/>
      <c r="S284" s="413"/>
      <c r="T284" s="414"/>
      <c r="U284" s="389"/>
      <c r="V284" s="118"/>
    </row>
    <row r="285" spans="2:22" x14ac:dyDescent="0.25">
      <c r="B285" s="593"/>
      <c r="C285" s="566"/>
      <c r="D285" s="558"/>
      <c r="E285" s="288" t="s">
        <v>359</v>
      </c>
      <c r="F285" s="247" t="s">
        <v>320</v>
      </c>
      <c r="G285" s="199">
        <v>8</v>
      </c>
      <c r="H285" s="180">
        <v>380000</v>
      </c>
      <c r="I285" s="174">
        <f t="shared" ref="I285:I291" si="45">+H285*G285</f>
        <v>3040000</v>
      </c>
      <c r="J285" s="298">
        <f>+I285/$E$4</f>
        <v>76.453906844938402</v>
      </c>
      <c r="K285" s="425"/>
      <c r="L285" s="407"/>
      <c r="M285" s="394"/>
      <c r="N285" s="394"/>
      <c r="O285" s="395"/>
      <c r="P285" s="395"/>
      <c r="Q285" s="394"/>
      <c r="R285" s="395"/>
      <c r="S285" s="395"/>
      <c r="T285" s="396"/>
      <c r="U285" s="385"/>
      <c r="V285" s="119"/>
    </row>
    <row r="286" spans="2:22" x14ac:dyDescent="0.25">
      <c r="B286" s="593"/>
      <c r="C286" s="566"/>
      <c r="D286" s="558"/>
      <c r="E286" s="258" t="s">
        <v>326</v>
      </c>
      <c r="F286" s="247"/>
      <c r="G286" s="257">
        <v>4</v>
      </c>
      <c r="H286" s="259">
        <v>200000</v>
      </c>
      <c r="I286" s="260">
        <f t="shared" si="45"/>
        <v>800000</v>
      </c>
      <c r="J286" s="378">
        <f>+I286/$E$4</f>
        <v>20.119449169720632</v>
      </c>
      <c r="K286" s="425"/>
      <c r="L286" s="407"/>
      <c r="M286" s="394"/>
      <c r="N286" s="394"/>
      <c r="O286" s="395"/>
      <c r="P286" s="395"/>
      <c r="Q286" s="394"/>
      <c r="R286" s="395"/>
      <c r="S286" s="395"/>
      <c r="T286" s="396"/>
      <c r="U286" s="385"/>
      <c r="V286" s="119"/>
    </row>
    <row r="287" spans="2:22" x14ac:dyDescent="0.25">
      <c r="B287" s="593"/>
      <c r="C287" s="566"/>
      <c r="D287" s="558"/>
      <c r="E287" s="289" t="s">
        <v>360</v>
      </c>
      <c r="F287" s="247" t="s">
        <v>320</v>
      </c>
      <c r="G287" s="201">
        <v>8</v>
      </c>
      <c r="H287" s="190">
        <v>120000</v>
      </c>
      <c r="I287" s="219">
        <f t="shared" si="45"/>
        <v>960000</v>
      </c>
      <c r="J287" s="298">
        <f t="shared" ref="J287:J290" si="46">+I287/$E$4</f>
        <v>24.14333900366476</v>
      </c>
      <c r="K287" s="425"/>
      <c r="L287" s="407"/>
      <c r="M287" s="394"/>
      <c r="N287" s="394"/>
      <c r="O287" s="395"/>
      <c r="P287" s="395"/>
      <c r="Q287" s="394"/>
      <c r="R287" s="395"/>
      <c r="S287" s="395"/>
      <c r="T287" s="396"/>
      <c r="U287" s="385"/>
      <c r="V287" s="119"/>
    </row>
    <row r="288" spans="2:22" x14ac:dyDescent="0.25">
      <c r="B288" s="593"/>
      <c r="C288" s="566"/>
      <c r="D288" s="558"/>
      <c r="E288" s="289" t="s">
        <v>361</v>
      </c>
      <c r="F288" s="248" t="s">
        <v>318</v>
      </c>
      <c r="G288" s="201">
        <v>6</v>
      </c>
      <c r="H288" s="220">
        <v>712530</v>
      </c>
      <c r="I288" s="219">
        <f t="shared" si="45"/>
        <v>4275180</v>
      </c>
      <c r="J288" s="298">
        <f t="shared" si="46"/>
        <v>107.51783337675782</v>
      </c>
      <c r="K288" s="430"/>
      <c r="L288" s="431"/>
      <c r="M288" s="409"/>
      <c r="N288" s="409"/>
      <c r="O288" s="410"/>
      <c r="P288" s="410"/>
      <c r="Q288" s="409"/>
      <c r="R288" s="410"/>
      <c r="S288" s="410"/>
      <c r="T288" s="411"/>
      <c r="U288" s="388"/>
      <c r="V288" s="145"/>
    </row>
    <row r="289" spans="2:22" ht="15.75" thickBot="1" x14ac:dyDescent="0.3">
      <c r="B289" s="593"/>
      <c r="C289" s="568"/>
      <c r="D289" s="559"/>
      <c r="E289" s="291" t="s">
        <v>310</v>
      </c>
      <c r="F289" s="252" t="s">
        <v>320</v>
      </c>
      <c r="G289" s="255">
        <v>8</v>
      </c>
      <c r="H289" s="184">
        <v>695000</v>
      </c>
      <c r="I289" s="185">
        <f t="shared" si="45"/>
        <v>5560000</v>
      </c>
      <c r="J289" s="373">
        <f t="shared" si="46"/>
        <v>139.8301717295584</v>
      </c>
      <c r="K289" s="426"/>
      <c r="L289" s="427"/>
      <c r="M289" s="399"/>
      <c r="N289" s="399"/>
      <c r="O289" s="400"/>
      <c r="P289" s="400"/>
      <c r="Q289" s="399"/>
      <c r="R289" s="400"/>
      <c r="S289" s="400"/>
      <c r="T289" s="401"/>
      <c r="U289" s="386"/>
      <c r="V289" s="117"/>
    </row>
    <row r="290" spans="2:22" ht="15.75" thickBot="1" x14ac:dyDescent="0.3">
      <c r="B290" s="449"/>
      <c r="C290" s="332"/>
      <c r="D290" s="286"/>
      <c r="E290" s="310"/>
      <c r="F290" s="313"/>
      <c r="G290" s="318"/>
      <c r="H290" s="308" t="s">
        <v>368</v>
      </c>
      <c r="I290" s="312">
        <f>SUM(I274:I289)</f>
        <v>70323180</v>
      </c>
      <c r="J290" s="370">
        <f t="shared" si="46"/>
        <v>1768.5795568288934</v>
      </c>
      <c r="K290" s="428">
        <v>0</v>
      </c>
      <c r="L290" s="429">
        <v>0</v>
      </c>
      <c r="M290" s="402">
        <v>0</v>
      </c>
      <c r="N290" s="402">
        <v>0</v>
      </c>
      <c r="O290" s="403">
        <v>0</v>
      </c>
      <c r="P290" s="403">
        <v>0</v>
      </c>
      <c r="Q290" s="402">
        <v>0</v>
      </c>
      <c r="R290" s="403">
        <f>+J290</f>
        <v>1768.5795568288934</v>
      </c>
      <c r="S290" s="403">
        <v>0</v>
      </c>
      <c r="T290" s="404">
        <v>0</v>
      </c>
      <c r="U290" s="387">
        <f>SUM(K290:T290)</f>
        <v>1768.5795568288934</v>
      </c>
      <c r="V290" s="307"/>
    </row>
    <row r="291" spans="2:22" x14ac:dyDescent="0.25">
      <c r="B291" s="593">
        <v>21</v>
      </c>
      <c r="C291" s="607" t="s">
        <v>342</v>
      </c>
      <c r="D291" s="544" t="s">
        <v>291</v>
      </c>
      <c r="E291" s="268" t="s">
        <v>292</v>
      </c>
      <c r="F291" s="171" t="s">
        <v>319</v>
      </c>
      <c r="G291" s="193">
        <v>199</v>
      </c>
      <c r="H291" s="170">
        <v>5360</v>
      </c>
      <c r="I291" s="170">
        <f t="shared" si="45"/>
        <v>1066640</v>
      </c>
      <c r="J291" s="374">
        <f t="shared" si="42"/>
        <v>26.82526157798852</v>
      </c>
      <c r="K291" s="424"/>
      <c r="L291" s="405"/>
      <c r="M291" s="391"/>
      <c r="N291" s="391"/>
      <c r="O291" s="392"/>
      <c r="P291" s="392"/>
      <c r="Q291" s="391"/>
      <c r="R291" s="392"/>
      <c r="S291" s="392"/>
      <c r="T291" s="393"/>
      <c r="U291" s="384"/>
      <c r="V291" s="120"/>
    </row>
    <row r="292" spans="2:22" x14ac:dyDescent="0.25">
      <c r="B292" s="593"/>
      <c r="C292" s="608"/>
      <c r="D292" s="545"/>
      <c r="E292" s="250" t="s">
        <v>293</v>
      </c>
      <c r="F292" s="187"/>
      <c r="G292" s="192"/>
      <c r="H292" s="195"/>
      <c r="I292" s="174">
        <f t="shared" ref="I292:I301" si="47">+H292*G292</f>
        <v>0</v>
      </c>
      <c r="J292" s="298">
        <f t="shared" si="42"/>
        <v>0</v>
      </c>
      <c r="K292" s="432"/>
      <c r="L292" s="433"/>
      <c r="M292" s="412"/>
      <c r="N292" s="412"/>
      <c r="O292" s="413"/>
      <c r="P292" s="413"/>
      <c r="Q292" s="412"/>
      <c r="R292" s="413"/>
      <c r="S292" s="413"/>
      <c r="T292" s="414"/>
      <c r="U292" s="389"/>
      <c r="V292" s="118"/>
    </row>
    <row r="293" spans="2:22" x14ac:dyDescent="0.25">
      <c r="B293" s="593"/>
      <c r="C293" s="608"/>
      <c r="D293" s="556" t="s">
        <v>294</v>
      </c>
      <c r="E293" s="249" t="s">
        <v>295</v>
      </c>
      <c r="F293" s="187" t="s">
        <v>318</v>
      </c>
      <c r="G293" s="192">
        <v>199</v>
      </c>
      <c r="H293" s="195">
        <v>48000</v>
      </c>
      <c r="I293" s="174">
        <f t="shared" si="47"/>
        <v>9552000</v>
      </c>
      <c r="J293" s="298">
        <f t="shared" si="42"/>
        <v>240.22622308646436</v>
      </c>
      <c r="K293" s="432"/>
      <c r="L293" s="433"/>
      <c r="M293" s="412"/>
      <c r="N293" s="412"/>
      <c r="O293" s="413"/>
      <c r="P293" s="413"/>
      <c r="Q293" s="412"/>
      <c r="R293" s="413"/>
      <c r="S293" s="413"/>
      <c r="T293" s="414"/>
      <c r="U293" s="389"/>
      <c r="V293" s="118"/>
    </row>
    <row r="294" spans="2:22" ht="30" x14ac:dyDescent="0.25">
      <c r="B294" s="593"/>
      <c r="C294" s="608"/>
      <c r="D294" s="557"/>
      <c r="E294" s="250" t="s">
        <v>297</v>
      </c>
      <c r="F294" s="187" t="s">
        <v>318</v>
      </c>
      <c r="G294" s="192">
        <v>200</v>
      </c>
      <c r="H294" s="195">
        <v>16000</v>
      </c>
      <c r="I294" s="174">
        <f t="shared" si="47"/>
        <v>3200000</v>
      </c>
      <c r="J294" s="298">
        <f t="shared" si="42"/>
        <v>80.477796678882527</v>
      </c>
      <c r="K294" s="432"/>
      <c r="L294" s="433"/>
      <c r="M294" s="412"/>
      <c r="N294" s="412"/>
      <c r="O294" s="413"/>
      <c r="P294" s="413"/>
      <c r="Q294" s="412"/>
      <c r="R294" s="413"/>
      <c r="S294" s="413"/>
      <c r="T294" s="414"/>
      <c r="U294" s="389"/>
      <c r="V294" s="118"/>
    </row>
    <row r="295" spans="2:22" x14ac:dyDescent="0.25">
      <c r="B295" s="593"/>
      <c r="C295" s="608"/>
      <c r="D295" s="545"/>
      <c r="E295" s="250" t="s">
        <v>298</v>
      </c>
      <c r="F295" s="187" t="s">
        <v>318</v>
      </c>
      <c r="G295" s="192">
        <v>70</v>
      </c>
      <c r="H295" s="176">
        <v>379000</v>
      </c>
      <c r="I295" s="174">
        <f t="shared" si="47"/>
        <v>26530000</v>
      </c>
      <c r="J295" s="298">
        <f t="shared" si="42"/>
        <v>667.21123309086045</v>
      </c>
      <c r="K295" s="432"/>
      <c r="L295" s="433"/>
      <c r="M295" s="412"/>
      <c r="N295" s="412"/>
      <c r="O295" s="413"/>
      <c r="P295" s="413"/>
      <c r="Q295" s="412"/>
      <c r="R295" s="413"/>
      <c r="S295" s="413"/>
      <c r="T295" s="414"/>
      <c r="U295" s="389"/>
      <c r="V295" s="118"/>
    </row>
    <row r="296" spans="2:22" x14ac:dyDescent="0.25">
      <c r="B296" s="593"/>
      <c r="C296" s="608"/>
      <c r="D296" s="599" t="s">
        <v>299</v>
      </c>
      <c r="E296" s="250" t="s">
        <v>301</v>
      </c>
      <c r="F296" s="187"/>
      <c r="G296" s="192">
        <f>+G291</f>
        <v>199</v>
      </c>
      <c r="H296" s="180">
        <v>23350</v>
      </c>
      <c r="I296" s="174">
        <f t="shared" si="47"/>
        <v>4646650</v>
      </c>
      <c r="J296" s="298">
        <f t="shared" si="42"/>
        <v>116.86004810560297</v>
      </c>
      <c r="K296" s="432"/>
      <c r="L296" s="433"/>
      <c r="M296" s="412"/>
      <c r="N296" s="412"/>
      <c r="O296" s="413"/>
      <c r="P296" s="413"/>
      <c r="Q296" s="412"/>
      <c r="R296" s="413"/>
      <c r="S296" s="413"/>
      <c r="T296" s="414"/>
      <c r="U296" s="389"/>
      <c r="V296" s="118"/>
    </row>
    <row r="297" spans="2:22" x14ac:dyDescent="0.25">
      <c r="B297" s="593"/>
      <c r="C297" s="608"/>
      <c r="D297" s="545"/>
      <c r="E297" s="251" t="s">
        <v>324</v>
      </c>
      <c r="F297" s="187"/>
      <c r="G297" s="192"/>
      <c r="H297" s="195"/>
      <c r="I297" s="174">
        <f t="shared" si="47"/>
        <v>0</v>
      </c>
      <c r="J297" s="298">
        <f t="shared" si="42"/>
        <v>0</v>
      </c>
      <c r="K297" s="432"/>
      <c r="L297" s="433"/>
      <c r="M297" s="412"/>
      <c r="N297" s="412"/>
      <c r="O297" s="413"/>
      <c r="P297" s="413"/>
      <c r="Q297" s="412"/>
      <c r="R297" s="413"/>
      <c r="S297" s="413"/>
      <c r="T297" s="414"/>
      <c r="U297" s="389"/>
      <c r="V297" s="118"/>
    </row>
    <row r="298" spans="2:22" ht="13.5" customHeight="1" x14ac:dyDescent="0.25">
      <c r="B298" s="593"/>
      <c r="C298" s="608"/>
      <c r="D298" s="558" t="s">
        <v>352</v>
      </c>
      <c r="E298" s="251" t="s">
        <v>353</v>
      </c>
      <c r="F298" s="175" t="s">
        <v>319</v>
      </c>
      <c r="G298" s="178">
        <v>1</v>
      </c>
      <c r="H298" s="180"/>
      <c r="I298" s="174">
        <f t="shared" si="47"/>
        <v>0</v>
      </c>
      <c r="J298" s="298">
        <f t="shared" si="42"/>
        <v>0</v>
      </c>
      <c r="K298" s="425"/>
      <c r="L298" s="407"/>
      <c r="M298" s="394"/>
      <c r="N298" s="394"/>
      <c r="O298" s="395"/>
      <c r="P298" s="395"/>
      <c r="Q298" s="394"/>
      <c r="R298" s="395"/>
      <c r="S298" s="395"/>
      <c r="T298" s="396"/>
      <c r="U298" s="385"/>
      <c r="V298" s="119"/>
    </row>
    <row r="299" spans="2:22" ht="13.5" customHeight="1" x14ac:dyDescent="0.25">
      <c r="B299" s="593"/>
      <c r="C299" s="608"/>
      <c r="D299" s="558"/>
      <c r="E299" s="341" t="s">
        <v>355</v>
      </c>
      <c r="F299" s="175" t="s">
        <v>319</v>
      </c>
      <c r="G299" s="189">
        <v>1</v>
      </c>
      <c r="H299" s="190"/>
      <c r="I299" s="219"/>
      <c r="J299" s="298">
        <f t="shared" si="42"/>
        <v>0</v>
      </c>
      <c r="K299" s="430"/>
      <c r="L299" s="431"/>
      <c r="M299" s="409"/>
      <c r="N299" s="409"/>
      <c r="O299" s="410"/>
      <c r="P299" s="410"/>
      <c r="Q299" s="409"/>
      <c r="R299" s="410"/>
      <c r="S299" s="410"/>
      <c r="T299" s="411"/>
      <c r="U299" s="388"/>
      <c r="V299" s="145"/>
    </row>
    <row r="300" spans="2:22" ht="13.5" customHeight="1" x14ac:dyDescent="0.25">
      <c r="B300" s="593"/>
      <c r="C300" s="608"/>
      <c r="D300" s="558"/>
      <c r="E300" s="341" t="s">
        <v>337</v>
      </c>
      <c r="F300" s="191" t="s">
        <v>319</v>
      </c>
      <c r="G300" s="189">
        <v>1</v>
      </c>
      <c r="H300" s="190"/>
      <c r="I300" s="219"/>
      <c r="J300" s="376">
        <f t="shared" si="42"/>
        <v>0</v>
      </c>
      <c r="K300" s="430"/>
      <c r="L300" s="431"/>
      <c r="M300" s="409"/>
      <c r="N300" s="409"/>
      <c r="O300" s="410"/>
      <c r="P300" s="410"/>
      <c r="Q300" s="409"/>
      <c r="R300" s="410"/>
      <c r="S300" s="410"/>
      <c r="T300" s="411"/>
      <c r="U300" s="388"/>
      <c r="V300" s="145"/>
    </row>
    <row r="301" spans="2:22" ht="13.5" customHeight="1" thickBot="1" x14ac:dyDescent="0.3">
      <c r="B301" s="593"/>
      <c r="C301" s="584"/>
      <c r="D301" s="582"/>
      <c r="E301" s="342" t="s">
        <v>354</v>
      </c>
      <c r="F301" s="186" t="s">
        <v>319</v>
      </c>
      <c r="G301" s="183">
        <v>1</v>
      </c>
      <c r="H301" s="184"/>
      <c r="I301" s="185">
        <f t="shared" si="47"/>
        <v>0</v>
      </c>
      <c r="J301" s="373">
        <f t="shared" ref="J301:J302" si="48">+I301/$E$4</f>
        <v>0</v>
      </c>
      <c r="K301" s="426"/>
      <c r="L301" s="427"/>
      <c r="M301" s="399"/>
      <c r="N301" s="399"/>
      <c r="O301" s="400"/>
      <c r="P301" s="400"/>
      <c r="Q301" s="399"/>
      <c r="R301" s="400"/>
      <c r="S301" s="400"/>
      <c r="T301" s="401"/>
      <c r="U301" s="386"/>
      <c r="V301" s="117"/>
    </row>
    <row r="302" spans="2:22" ht="13.5" customHeight="1" thickBot="1" x14ac:dyDescent="0.3">
      <c r="B302" s="449"/>
      <c r="C302" s="332"/>
      <c r="D302" s="347"/>
      <c r="E302" s="343"/>
      <c r="F302" s="306"/>
      <c r="G302" s="305"/>
      <c r="H302" s="308" t="s">
        <v>368</v>
      </c>
      <c r="I302" s="312">
        <f>SUM(I291:I301)</f>
        <v>44995290</v>
      </c>
      <c r="J302" s="370">
        <f t="shared" si="48"/>
        <v>1131.6005625397988</v>
      </c>
      <c r="K302" s="428">
        <v>0</v>
      </c>
      <c r="L302" s="429">
        <v>0</v>
      </c>
      <c r="M302" s="402">
        <v>0</v>
      </c>
      <c r="N302" s="402">
        <v>0</v>
      </c>
      <c r="O302" s="403">
        <v>0</v>
      </c>
      <c r="P302" s="403">
        <v>0</v>
      </c>
      <c r="Q302" s="402">
        <v>0</v>
      </c>
      <c r="R302" s="403">
        <f>+J302</f>
        <v>1131.6005625397988</v>
      </c>
      <c r="S302" s="403">
        <v>0</v>
      </c>
      <c r="T302" s="404">
        <v>0</v>
      </c>
      <c r="U302" s="387">
        <f>SUM(K302:T302)</f>
        <v>1131.6005625397988</v>
      </c>
      <c r="V302" s="307"/>
    </row>
    <row r="303" spans="2:22" ht="54" customHeight="1" x14ac:dyDescent="0.25">
      <c r="B303" s="593">
        <v>22</v>
      </c>
      <c r="C303" s="565" t="s">
        <v>120</v>
      </c>
      <c r="D303" s="541"/>
      <c r="E303" s="265" t="s">
        <v>230</v>
      </c>
      <c r="F303" s="271" t="s">
        <v>320</v>
      </c>
      <c r="G303" s="272">
        <v>2</v>
      </c>
      <c r="H303" s="273">
        <v>20000000</v>
      </c>
      <c r="I303" s="274">
        <f t="shared" si="41"/>
        <v>40000000</v>
      </c>
      <c r="J303" s="379">
        <f t="shared" si="42"/>
        <v>1005.9724584860317</v>
      </c>
      <c r="K303" s="424"/>
      <c r="L303" s="405"/>
      <c r="M303" s="391"/>
      <c r="N303" s="391"/>
      <c r="O303" s="392"/>
      <c r="P303" s="392"/>
      <c r="Q303" s="391"/>
      <c r="R303" s="392"/>
      <c r="S303" s="392"/>
      <c r="T303" s="393"/>
      <c r="U303" s="384"/>
      <c r="V303" s="121" t="s">
        <v>279</v>
      </c>
    </row>
    <row r="304" spans="2:22" ht="26.25" customHeight="1" x14ac:dyDescent="0.25">
      <c r="B304" s="593"/>
      <c r="C304" s="566"/>
      <c r="D304" s="542"/>
      <c r="E304" s="228" t="s">
        <v>229</v>
      </c>
      <c r="F304" s="275" t="s">
        <v>319</v>
      </c>
      <c r="G304" s="276">
        <v>3</v>
      </c>
      <c r="H304" s="277">
        <v>750000</v>
      </c>
      <c r="I304" s="278">
        <f t="shared" si="41"/>
        <v>2250000</v>
      </c>
      <c r="J304" s="380">
        <f t="shared" si="42"/>
        <v>56.585950789839281</v>
      </c>
      <c r="K304" s="425"/>
      <c r="L304" s="407"/>
      <c r="M304" s="394"/>
      <c r="N304" s="394"/>
      <c r="O304" s="395"/>
      <c r="P304" s="395"/>
      <c r="Q304" s="394"/>
      <c r="R304" s="395"/>
      <c r="S304" s="395"/>
      <c r="T304" s="396"/>
      <c r="U304" s="385"/>
      <c r="V304" s="119"/>
    </row>
    <row r="305" spans="2:22" ht="25.5" x14ac:dyDescent="0.25">
      <c r="B305" s="593"/>
      <c r="C305" s="566"/>
      <c r="D305" s="542"/>
      <c r="E305" s="228" t="s">
        <v>122</v>
      </c>
      <c r="F305" s="279" t="s">
        <v>320</v>
      </c>
      <c r="G305" s="276">
        <v>8</v>
      </c>
      <c r="H305" s="277">
        <v>8000000</v>
      </c>
      <c r="I305" s="278">
        <f t="shared" si="41"/>
        <v>64000000</v>
      </c>
      <c r="J305" s="380">
        <f t="shared" si="42"/>
        <v>1609.5559335776506</v>
      </c>
      <c r="K305" s="425"/>
      <c r="L305" s="407"/>
      <c r="M305" s="394"/>
      <c r="N305" s="394"/>
      <c r="O305" s="395"/>
      <c r="P305" s="395"/>
      <c r="Q305" s="394"/>
      <c r="R305" s="395"/>
      <c r="S305" s="395"/>
      <c r="T305" s="396"/>
      <c r="U305" s="385"/>
      <c r="V305" s="119"/>
    </row>
    <row r="306" spans="2:22" x14ac:dyDescent="0.25">
      <c r="B306" s="593"/>
      <c r="C306" s="566"/>
      <c r="D306" s="542"/>
      <c r="E306" s="228" t="s">
        <v>58</v>
      </c>
      <c r="F306" s="279" t="s">
        <v>319</v>
      </c>
      <c r="G306" s="276">
        <v>1</v>
      </c>
      <c r="H306" s="277"/>
      <c r="I306" s="278">
        <f t="shared" si="41"/>
        <v>0</v>
      </c>
      <c r="J306" s="380">
        <f t="shared" si="42"/>
        <v>0</v>
      </c>
      <c r="K306" s="425"/>
      <c r="L306" s="407"/>
      <c r="M306" s="394"/>
      <c r="N306" s="394"/>
      <c r="O306" s="395"/>
      <c r="P306" s="395"/>
      <c r="Q306" s="394"/>
      <c r="R306" s="395"/>
      <c r="S306" s="395"/>
      <c r="T306" s="396"/>
      <c r="U306" s="385"/>
      <c r="V306" s="119"/>
    </row>
    <row r="307" spans="2:22" x14ac:dyDescent="0.25">
      <c r="B307" s="593"/>
      <c r="C307" s="566"/>
      <c r="D307" s="542"/>
      <c r="E307" s="228" t="s">
        <v>123</v>
      </c>
      <c r="F307" s="275" t="s">
        <v>319</v>
      </c>
      <c r="G307" s="276">
        <v>1</v>
      </c>
      <c r="H307" s="277">
        <v>8500000</v>
      </c>
      <c r="I307" s="278">
        <f t="shared" si="41"/>
        <v>8500000</v>
      </c>
      <c r="J307" s="380">
        <f t="shared" si="42"/>
        <v>213.76914742828171</v>
      </c>
      <c r="K307" s="425"/>
      <c r="L307" s="407"/>
      <c r="M307" s="394"/>
      <c r="N307" s="394"/>
      <c r="O307" s="395"/>
      <c r="P307" s="395"/>
      <c r="Q307" s="394"/>
      <c r="R307" s="395"/>
      <c r="S307" s="395"/>
      <c r="T307" s="396"/>
      <c r="U307" s="385"/>
      <c r="V307" s="119"/>
    </row>
    <row r="308" spans="2:22" ht="15.75" thickBot="1" x14ac:dyDescent="0.3">
      <c r="B308" s="593"/>
      <c r="C308" s="568"/>
      <c r="D308" s="543"/>
      <c r="E308" s="262" t="s">
        <v>379</v>
      </c>
      <c r="F308" s="280" t="s">
        <v>319</v>
      </c>
      <c r="G308" s="281">
        <v>1</v>
      </c>
      <c r="H308" s="282"/>
      <c r="I308" s="283">
        <f t="shared" si="41"/>
        <v>0</v>
      </c>
      <c r="J308" s="381">
        <f t="shared" si="42"/>
        <v>0</v>
      </c>
      <c r="K308" s="426"/>
      <c r="L308" s="427"/>
      <c r="M308" s="399"/>
      <c r="N308" s="399"/>
      <c r="O308" s="400"/>
      <c r="P308" s="400"/>
      <c r="Q308" s="399"/>
      <c r="R308" s="400"/>
      <c r="S308" s="400"/>
      <c r="T308" s="401"/>
      <c r="U308" s="386"/>
      <c r="V308" s="117"/>
    </row>
    <row r="309" spans="2:22" ht="15.75" thickBot="1" x14ac:dyDescent="0.3">
      <c r="B309" s="449"/>
      <c r="C309" s="332"/>
      <c r="D309" s="332"/>
      <c r="E309" s="323"/>
      <c r="F309" s="333"/>
      <c r="G309" s="334"/>
      <c r="H309" s="308" t="s">
        <v>368</v>
      </c>
      <c r="I309" s="355">
        <f>SUM(I303:I308)</f>
        <v>114750000</v>
      </c>
      <c r="J309" s="382">
        <f>+I309/$E$4</f>
        <v>2885.8834902818035</v>
      </c>
      <c r="K309" s="428">
        <v>0</v>
      </c>
      <c r="L309" s="429">
        <v>0</v>
      </c>
      <c r="M309" s="402">
        <v>0</v>
      </c>
      <c r="N309" s="402">
        <v>0</v>
      </c>
      <c r="O309" s="403">
        <v>0</v>
      </c>
      <c r="P309" s="403">
        <v>0</v>
      </c>
      <c r="Q309" s="402">
        <v>0</v>
      </c>
      <c r="R309" s="403">
        <f>+J309</f>
        <v>2885.8834902818035</v>
      </c>
      <c r="S309" s="403">
        <v>0</v>
      </c>
      <c r="T309" s="404">
        <v>0</v>
      </c>
      <c r="U309" s="387">
        <f>SUM(K309:T309)</f>
        <v>2885.8834902818035</v>
      </c>
      <c r="V309" s="307"/>
    </row>
    <row r="310" spans="2:22" ht="33.75" customHeight="1" x14ac:dyDescent="0.25">
      <c r="B310" s="593">
        <v>23</v>
      </c>
      <c r="C310" s="585" t="s">
        <v>364</v>
      </c>
      <c r="D310" s="600"/>
      <c r="E310" s="154" t="s">
        <v>128</v>
      </c>
      <c r="F310" s="171"/>
      <c r="G310" s="193"/>
      <c r="H310" s="198"/>
      <c r="I310" s="170">
        <f t="shared" si="41"/>
        <v>0</v>
      </c>
      <c r="J310" s="371">
        <f t="shared" si="42"/>
        <v>0</v>
      </c>
      <c r="K310" s="424"/>
      <c r="L310" s="405"/>
      <c r="M310" s="391"/>
      <c r="N310" s="391"/>
      <c r="O310" s="392"/>
      <c r="P310" s="392"/>
      <c r="Q310" s="391"/>
      <c r="R310" s="392"/>
      <c r="S310" s="392"/>
      <c r="T310" s="393"/>
      <c r="U310" s="384"/>
      <c r="V310" s="120" t="s">
        <v>372</v>
      </c>
    </row>
    <row r="311" spans="2:22" ht="33.75" customHeight="1" x14ac:dyDescent="0.25">
      <c r="B311" s="593"/>
      <c r="C311" s="586"/>
      <c r="D311" s="601"/>
      <c r="E311" s="153" t="s">
        <v>129</v>
      </c>
      <c r="F311" s="175"/>
      <c r="G311" s="178"/>
      <c r="H311" s="180"/>
      <c r="I311" s="174">
        <f t="shared" si="41"/>
        <v>0</v>
      </c>
      <c r="J311" s="298">
        <f t="shared" si="42"/>
        <v>0</v>
      </c>
      <c r="K311" s="425"/>
      <c r="L311" s="407"/>
      <c r="M311" s="394"/>
      <c r="N311" s="394"/>
      <c r="O311" s="395"/>
      <c r="P311" s="395"/>
      <c r="Q311" s="394"/>
      <c r="R311" s="395"/>
      <c r="S311" s="395"/>
      <c r="T311" s="396"/>
      <c r="U311" s="385"/>
      <c r="V311" s="119"/>
    </row>
    <row r="312" spans="2:22" ht="33.75" customHeight="1" x14ac:dyDescent="0.25">
      <c r="B312" s="593"/>
      <c r="C312" s="586"/>
      <c r="D312" s="601"/>
      <c r="E312" s="153" t="s">
        <v>130</v>
      </c>
      <c r="F312" s="175"/>
      <c r="G312" s="178"/>
      <c r="H312" s="180"/>
      <c r="I312" s="174">
        <f t="shared" si="41"/>
        <v>0</v>
      </c>
      <c r="J312" s="298">
        <f t="shared" si="42"/>
        <v>0</v>
      </c>
      <c r="K312" s="425"/>
      <c r="L312" s="407"/>
      <c r="M312" s="394"/>
      <c r="N312" s="394"/>
      <c r="O312" s="395"/>
      <c r="P312" s="395"/>
      <c r="Q312" s="394"/>
      <c r="R312" s="395"/>
      <c r="S312" s="395"/>
      <c r="T312" s="396"/>
      <c r="U312" s="385"/>
      <c r="V312" s="119"/>
    </row>
    <row r="313" spans="2:22" ht="15.75" customHeight="1" x14ac:dyDescent="0.25">
      <c r="B313" s="593"/>
      <c r="C313" s="586"/>
      <c r="D313" s="601"/>
      <c r="E313" s="153" t="s">
        <v>224</v>
      </c>
      <c r="F313" s="175"/>
      <c r="G313" s="178"/>
      <c r="H313" s="180"/>
      <c r="I313" s="174">
        <f t="shared" si="41"/>
        <v>0</v>
      </c>
      <c r="J313" s="298">
        <f t="shared" si="42"/>
        <v>0</v>
      </c>
      <c r="K313" s="425"/>
      <c r="L313" s="407"/>
      <c r="M313" s="394"/>
      <c r="N313" s="394"/>
      <c r="O313" s="395"/>
      <c r="P313" s="395"/>
      <c r="Q313" s="394"/>
      <c r="R313" s="395"/>
      <c r="S313" s="395"/>
      <c r="T313" s="396"/>
      <c r="U313" s="385"/>
      <c r="V313" s="119"/>
    </row>
    <row r="314" spans="2:22" ht="15.75" customHeight="1" x14ac:dyDescent="0.25">
      <c r="B314" s="593"/>
      <c r="C314" s="587"/>
      <c r="D314" s="601"/>
      <c r="E314" s="464" t="s">
        <v>380</v>
      </c>
      <c r="F314" s="191"/>
      <c r="G314" s="189"/>
      <c r="H314" s="190"/>
      <c r="I314" s="219"/>
      <c r="J314" s="463"/>
      <c r="K314" s="430"/>
      <c r="L314" s="431"/>
      <c r="M314" s="409"/>
      <c r="N314" s="409"/>
      <c r="O314" s="410"/>
      <c r="P314" s="410"/>
      <c r="Q314" s="409"/>
      <c r="R314" s="410"/>
      <c r="S314" s="410"/>
      <c r="T314" s="411"/>
      <c r="U314" s="388"/>
      <c r="V314" s="145"/>
    </row>
    <row r="315" spans="2:22" ht="15.75" customHeight="1" thickBot="1" x14ac:dyDescent="0.3">
      <c r="B315" s="593"/>
      <c r="C315" s="588"/>
      <c r="D315" s="602"/>
      <c r="E315" s="155" t="s">
        <v>126</v>
      </c>
      <c r="F315" s="186"/>
      <c r="G315" s="183"/>
      <c r="H315" s="184"/>
      <c r="I315" s="185">
        <f t="shared" si="41"/>
        <v>0</v>
      </c>
      <c r="J315" s="373">
        <f t="shared" si="42"/>
        <v>0</v>
      </c>
      <c r="K315" s="426"/>
      <c r="L315" s="427"/>
      <c r="M315" s="399"/>
      <c r="N315" s="399"/>
      <c r="O315" s="400"/>
      <c r="P315" s="400"/>
      <c r="Q315" s="399"/>
      <c r="R315" s="400"/>
      <c r="S315" s="400"/>
      <c r="T315" s="401"/>
      <c r="U315" s="386"/>
      <c r="V315" s="117"/>
    </row>
    <row r="316" spans="2:22" ht="15.75" customHeight="1" thickBot="1" x14ac:dyDescent="0.3">
      <c r="B316" s="449"/>
      <c r="C316" s="327"/>
      <c r="D316" s="335"/>
      <c r="E316" s="303"/>
      <c r="F316" s="306"/>
      <c r="G316" s="305"/>
      <c r="H316" s="308" t="s">
        <v>368</v>
      </c>
      <c r="I316" s="312">
        <f>SUM(I310:I315)</f>
        <v>0</v>
      </c>
      <c r="J316" s="370">
        <f t="shared" si="42"/>
        <v>0</v>
      </c>
      <c r="K316" s="428">
        <v>0</v>
      </c>
      <c r="L316" s="429">
        <v>0</v>
      </c>
      <c r="M316" s="402">
        <v>0</v>
      </c>
      <c r="N316" s="402">
        <v>0</v>
      </c>
      <c r="O316" s="403">
        <v>0</v>
      </c>
      <c r="P316" s="403">
        <v>0</v>
      </c>
      <c r="Q316" s="402">
        <v>0</v>
      </c>
      <c r="R316" s="403">
        <v>0</v>
      </c>
      <c r="S316" s="403">
        <v>0</v>
      </c>
      <c r="T316" s="404">
        <v>0</v>
      </c>
      <c r="U316" s="387">
        <f>SUM(K316:T316)</f>
        <v>0</v>
      </c>
      <c r="V316" s="307"/>
    </row>
    <row r="317" spans="2:22" ht="53.25" customHeight="1" x14ac:dyDescent="0.25">
      <c r="B317" s="593">
        <v>24</v>
      </c>
      <c r="C317" s="585" t="s">
        <v>365</v>
      </c>
      <c r="D317" s="600"/>
      <c r="E317" s="154" t="s">
        <v>223</v>
      </c>
      <c r="F317" s="171"/>
      <c r="G317" s="193"/>
      <c r="H317" s="198"/>
      <c r="I317" s="170">
        <f t="shared" si="41"/>
        <v>0</v>
      </c>
      <c r="J317" s="371">
        <f t="shared" si="42"/>
        <v>0</v>
      </c>
      <c r="K317" s="424"/>
      <c r="L317" s="405"/>
      <c r="M317" s="391"/>
      <c r="N317" s="391"/>
      <c r="O317" s="392"/>
      <c r="P317" s="392"/>
      <c r="Q317" s="391"/>
      <c r="R317" s="392"/>
      <c r="S317" s="392"/>
      <c r="T317" s="393"/>
      <c r="U317" s="384"/>
      <c r="V317" s="227" t="s">
        <v>281</v>
      </c>
    </row>
    <row r="318" spans="2:22" ht="16.5" customHeight="1" x14ac:dyDescent="0.25">
      <c r="B318" s="593"/>
      <c r="C318" s="586"/>
      <c r="D318" s="601"/>
      <c r="E318" s="153" t="s">
        <v>222</v>
      </c>
      <c r="F318" s="175"/>
      <c r="G318" s="178"/>
      <c r="H318" s="180"/>
      <c r="I318" s="174">
        <f t="shared" si="41"/>
        <v>0</v>
      </c>
      <c r="J318" s="298">
        <f t="shared" si="42"/>
        <v>0</v>
      </c>
      <c r="K318" s="425"/>
      <c r="L318" s="407"/>
      <c r="M318" s="394"/>
      <c r="N318" s="394"/>
      <c r="O318" s="395"/>
      <c r="P318" s="395"/>
      <c r="Q318" s="394"/>
      <c r="R318" s="395"/>
      <c r="S318" s="395"/>
      <c r="T318" s="396"/>
      <c r="U318" s="385"/>
      <c r="V318" s="119"/>
    </row>
    <row r="319" spans="2:22" ht="16.5" customHeight="1" x14ac:dyDescent="0.25">
      <c r="B319" s="593"/>
      <c r="C319" s="586"/>
      <c r="D319" s="601"/>
      <c r="E319" s="153" t="s">
        <v>221</v>
      </c>
      <c r="F319" s="175"/>
      <c r="G319" s="199"/>
      <c r="H319" s="200"/>
      <c r="I319" s="174">
        <f t="shared" si="41"/>
        <v>0</v>
      </c>
      <c r="J319" s="298">
        <f t="shared" si="42"/>
        <v>0</v>
      </c>
      <c r="K319" s="425"/>
      <c r="L319" s="407"/>
      <c r="M319" s="394"/>
      <c r="N319" s="394"/>
      <c r="O319" s="397"/>
      <c r="P319" s="397"/>
      <c r="Q319" s="394"/>
      <c r="R319" s="397"/>
      <c r="S319" s="397"/>
      <c r="T319" s="398"/>
      <c r="U319" s="385"/>
      <c r="V319" s="119"/>
    </row>
    <row r="320" spans="2:22" ht="16.5" customHeight="1" x14ac:dyDescent="0.25">
      <c r="B320" s="593"/>
      <c r="C320" s="586"/>
      <c r="D320" s="601"/>
      <c r="E320" s="153" t="s">
        <v>125</v>
      </c>
      <c r="F320" s="175"/>
      <c r="G320" s="178"/>
      <c r="H320" s="180"/>
      <c r="I320" s="174">
        <f t="shared" si="41"/>
        <v>0</v>
      </c>
      <c r="J320" s="298">
        <f t="shared" si="42"/>
        <v>0</v>
      </c>
      <c r="K320" s="425"/>
      <c r="L320" s="407"/>
      <c r="M320" s="394"/>
      <c r="N320" s="394"/>
      <c r="O320" s="395"/>
      <c r="P320" s="395"/>
      <c r="Q320" s="394"/>
      <c r="R320" s="395"/>
      <c r="S320" s="395"/>
      <c r="T320" s="396"/>
      <c r="U320" s="385"/>
      <c r="V320" s="119"/>
    </row>
    <row r="321" spans="2:22" ht="16.5" customHeight="1" x14ac:dyDescent="0.25">
      <c r="B321" s="593"/>
      <c r="C321" s="586"/>
      <c r="D321" s="601"/>
      <c r="E321" s="153" t="s">
        <v>220</v>
      </c>
      <c r="F321" s="175"/>
      <c r="G321" s="178"/>
      <c r="H321" s="180"/>
      <c r="I321" s="174">
        <f t="shared" si="41"/>
        <v>0</v>
      </c>
      <c r="J321" s="298">
        <f t="shared" si="42"/>
        <v>0</v>
      </c>
      <c r="K321" s="425"/>
      <c r="L321" s="407"/>
      <c r="M321" s="394"/>
      <c r="N321" s="394"/>
      <c r="O321" s="395"/>
      <c r="P321" s="395"/>
      <c r="Q321" s="394"/>
      <c r="R321" s="395"/>
      <c r="S321" s="395"/>
      <c r="T321" s="396"/>
      <c r="U321" s="385"/>
      <c r="V321" s="119"/>
    </row>
    <row r="322" spans="2:22" ht="16.5" customHeight="1" thickBot="1" x14ac:dyDescent="0.3">
      <c r="B322" s="593"/>
      <c r="C322" s="588"/>
      <c r="D322" s="602"/>
      <c r="E322" s="155" t="s">
        <v>219</v>
      </c>
      <c r="F322" s="186"/>
      <c r="G322" s="183"/>
      <c r="H322" s="184"/>
      <c r="I322" s="185">
        <f t="shared" si="41"/>
        <v>0</v>
      </c>
      <c r="J322" s="373">
        <f t="shared" si="42"/>
        <v>0</v>
      </c>
      <c r="K322" s="426"/>
      <c r="L322" s="427"/>
      <c r="M322" s="399"/>
      <c r="N322" s="399"/>
      <c r="O322" s="400"/>
      <c r="P322" s="400"/>
      <c r="Q322" s="399"/>
      <c r="R322" s="400"/>
      <c r="S322" s="400"/>
      <c r="T322" s="401"/>
      <c r="U322" s="386"/>
      <c r="V322" s="117"/>
    </row>
    <row r="323" spans="2:22" ht="16.5" customHeight="1" thickBot="1" x14ac:dyDescent="0.3">
      <c r="B323" s="449"/>
      <c r="C323" s="327"/>
      <c r="D323" s="335"/>
      <c r="E323" s="303"/>
      <c r="F323" s="306"/>
      <c r="G323" s="305"/>
      <c r="H323" s="346" t="s">
        <v>368</v>
      </c>
      <c r="I323" s="312">
        <f>SUM(I317:I322)</f>
        <v>0</v>
      </c>
      <c r="J323" s="370">
        <f t="shared" si="42"/>
        <v>0</v>
      </c>
      <c r="K323" s="428">
        <v>0</v>
      </c>
      <c r="L323" s="429">
        <v>0</v>
      </c>
      <c r="M323" s="402">
        <v>0</v>
      </c>
      <c r="N323" s="402">
        <v>0</v>
      </c>
      <c r="O323" s="403">
        <v>0</v>
      </c>
      <c r="P323" s="403">
        <v>0</v>
      </c>
      <c r="Q323" s="402">
        <v>0</v>
      </c>
      <c r="R323" s="403">
        <v>0</v>
      </c>
      <c r="S323" s="403">
        <v>0</v>
      </c>
      <c r="T323" s="404">
        <v>0</v>
      </c>
      <c r="U323" s="387">
        <f>SUM(K323:T323)</f>
        <v>0</v>
      </c>
      <c r="V323" s="307"/>
    </row>
    <row r="324" spans="2:22" x14ac:dyDescent="0.25">
      <c r="B324" s="593">
        <v>25</v>
      </c>
      <c r="C324" s="565" t="s">
        <v>27</v>
      </c>
      <c r="D324" s="541"/>
      <c r="E324" s="265" t="s">
        <v>59</v>
      </c>
      <c r="F324" s="193" t="s">
        <v>369</v>
      </c>
      <c r="G324" s="193">
        <v>2250</v>
      </c>
      <c r="H324" s="198">
        <v>120000</v>
      </c>
      <c r="I324" s="170">
        <f t="shared" ref="I324" si="49">+H324*G324</f>
        <v>270000000</v>
      </c>
      <c r="J324" s="371">
        <f t="shared" ref="J324" si="50">+I324/$E$4</f>
        <v>6790.3140947807133</v>
      </c>
      <c r="K324" s="424"/>
      <c r="L324" s="405"/>
      <c r="M324" s="391"/>
      <c r="N324" s="391"/>
      <c r="O324" s="392"/>
      <c r="P324" s="392"/>
      <c r="Q324" s="391"/>
      <c r="R324" s="392"/>
      <c r="S324" s="392"/>
      <c r="T324" s="393"/>
      <c r="U324" s="384"/>
      <c r="V324" s="120"/>
    </row>
    <row r="325" spans="2:22" ht="15.75" customHeight="1" x14ac:dyDescent="0.25">
      <c r="B325" s="593"/>
      <c r="C325" s="566"/>
      <c r="D325" s="542"/>
      <c r="E325" s="261" t="s">
        <v>215</v>
      </c>
      <c r="F325" s="175" t="s">
        <v>320</v>
      </c>
      <c r="G325" s="178">
        <v>5</v>
      </c>
      <c r="H325" s="180">
        <v>8000000</v>
      </c>
      <c r="I325" s="174">
        <f t="shared" ref="I325:I329" si="51">+H325*G325</f>
        <v>40000000</v>
      </c>
      <c r="J325" s="298">
        <f t="shared" ref="J325:J329" si="52">+I325/$E$4</f>
        <v>1005.9724584860317</v>
      </c>
      <c r="K325" s="425"/>
      <c r="L325" s="407"/>
      <c r="M325" s="394"/>
      <c r="N325" s="394"/>
      <c r="O325" s="395"/>
      <c r="P325" s="395"/>
      <c r="Q325" s="394"/>
      <c r="R325" s="395"/>
      <c r="S325" s="395"/>
      <c r="T325" s="396"/>
      <c r="U325" s="385"/>
      <c r="V325" s="119"/>
    </row>
    <row r="326" spans="2:22" ht="15.75" customHeight="1" x14ac:dyDescent="0.25">
      <c r="B326" s="593"/>
      <c r="C326" s="566"/>
      <c r="D326" s="542"/>
      <c r="E326" s="263" t="s">
        <v>216</v>
      </c>
      <c r="F326" s="234" t="s">
        <v>319</v>
      </c>
      <c r="G326" s="221">
        <v>1</v>
      </c>
      <c r="H326" s="223"/>
      <c r="I326" s="174">
        <f t="shared" si="51"/>
        <v>0</v>
      </c>
      <c r="J326" s="298">
        <f t="shared" si="52"/>
        <v>0</v>
      </c>
      <c r="K326" s="425"/>
      <c r="L326" s="407"/>
      <c r="M326" s="394"/>
      <c r="N326" s="394"/>
      <c r="O326" s="397"/>
      <c r="P326" s="397"/>
      <c r="Q326" s="394"/>
      <c r="R326" s="397"/>
      <c r="S326" s="397"/>
      <c r="T326" s="398"/>
      <c r="U326" s="385"/>
      <c r="V326" s="119"/>
    </row>
    <row r="327" spans="2:22" ht="15.75" customHeight="1" x14ac:dyDescent="0.25">
      <c r="B327" s="593"/>
      <c r="C327" s="566"/>
      <c r="D327" s="542"/>
      <c r="E327" s="263" t="s">
        <v>60</v>
      </c>
      <c r="F327" s="234" t="s">
        <v>319</v>
      </c>
      <c r="G327" s="221">
        <v>1</v>
      </c>
      <c r="H327" s="233"/>
      <c r="I327" s="174">
        <f t="shared" si="51"/>
        <v>0</v>
      </c>
      <c r="J327" s="298">
        <f t="shared" si="52"/>
        <v>0</v>
      </c>
      <c r="K327" s="425"/>
      <c r="L327" s="407"/>
      <c r="M327" s="394"/>
      <c r="N327" s="394"/>
      <c r="O327" s="397"/>
      <c r="P327" s="397"/>
      <c r="Q327" s="394"/>
      <c r="R327" s="397"/>
      <c r="S327" s="397"/>
      <c r="T327" s="398"/>
      <c r="U327" s="385"/>
      <c r="V327" s="119"/>
    </row>
    <row r="328" spans="2:22" ht="15.75" customHeight="1" x14ac:dyDescent="0.25">
      <c r="B328" s="593"/>
      <c r="C328" s="566"/>
      <c r="D328" s="542"/>
      <c r="E328" s="228" t="s">
        <v>217</v>
      </c>
      <c r="F328" s="175" t="s">
        <v>319</v>
      </c>
      <c r="G328" s="199">
        <v>1</v>
      </c>
      <c r="H328" s="179">
        <v>8000000</v>
      </c>
      <c r="I328" s="174">
        <f t="shared" si="51"/>
        <v>8000000</v>
      </c>
      <c r="J328" s="298">
        <f t="shared" si="52"/>
        <v>201.19449169720633</v>
      </c>
      <c r="K328" s="425"/>
      <c r="L328" s="407"/>
      <c r="M328" s="394"/>
      <c r="N328" s="394"/>
      <c r="O328" s="397"/>
      <c r="P328" s="397"/>
      <c r="Q328" s="394"/>
      <c r="R328" s="397"/>
      <c r="S328" s="397"/>
      <c r="T328" s="398"/>
      <c r="U328" s="385"/>
      <c r="V328" s="119"/>
    </row>
    <row r="329" spans="2:22" ht="15.75" customHeight="1" x14ac:dyDescent="0.25">
      <c r="B329" s="593"/>
      <c r="C329" s="566"/>
      <c r="D329" s="542"/>
      <c r="E329" s="228" t="s">
        <v>344</v>
      </c>
      <c r="F329" s="175" t="s">
        <v>319</v>
      </c>
      <c r="G329" s="199">
        <v>1</v>
      </c>
      <c r="H329" s="202">
        <v>50000000</v>
      </c>
      <c r="I329" s="174">
        <f t="shared" si="51"/>
        <v>50000000</v>
      </c>
      <c r="J329" s="298">
        <f t="shared" si="52"/>
        <v>1257.4655731075395</v>
      </c>
      <c r="K329" s="425"/>
      <c r="L329" s="407"/>
      <c r="M329" s="394"/>
      <c r="N329" s="394"/>
      <c r="O329" s="397"/>
      <c r="P329" s="397"/>
      <c r="Q329" s="394"/>
      <c r="R329" s="397"/>
      <c r="S329" s="397"/>
      <c r="T329" s="398"/>
      <c r="U329" s="385"/>
      <c r="V329" s="119"/>
    </row>
    <row r="330" spans="2:22" ht="15.75" customHeight="1" x14ac:dyDescent="0.25">
      <c r="B330" s="593"/>
      <c r="C330" s="567"/>
      <c r="D330" s="542"/>
      <c r="E330" s="461" t="s">
        <v>381</v>
      </c>
      <c r="F330" s="175" t="s">
        <v>319</v>
      </c>
      <c r="G330" s="199">
        <v>2</v>
      </c>
      <c r="H330" s="462"/>
      <c r="I330" s="219"/>
      <c r="J330" s="463"/>
      <c r="K330" s="430"/>
      <c r="L330" s="431"/>
      <c r="M330" s="409"/>
      <c r="N330" s="409"/>
      <c r="O330" s="455"/>
      <c r="P330" s="455"/>
      <c r="Q330" s="409"/>
      <c r="R330" s="455"/>
      <c r="S330" s="455"/>
      <c r="T330" s="456"/>
      <c r="U330" s="388"/>
      <c r="V330" s="145"/>
    </row>
    <row r="331" spans="2:22" ht="15.75" customHeight="1" thickBot="1" x14ac:dyDescent="0.3">
      <c r="B331" s="593"/>
      <c r="C331" s="568"/>
      <c r="D331" s="543"/>
      <c r="E331" s="262" t="s">
        <v>345</v>
      </c>
      <c r="F331" s="186" t="s">
        <v>319</v>
      </c>
      <c r="G331" s="183">
        <v>1</v>
      </c>
      <c r="H331" s="184">
        <v>3000000</v>
      </c>
      <c r="I331" s="185"/>
      <c r="J331" s="373"/>
      <c r="K331" s="430"/>
      <c r="L331" s="431"/>
      <c r="M331" s="409"/>
      <c r="N331" s="409"/>
      <c r="O331" s="410"/>
      <c r="P331" s="410"/>
      <c r="Q331" s="409"/>
      <c r="R331" s="410"/>
      <c r="S331" s="410"/>
      <c r="T331" s="411"/>
      <c r="U331" s="388"/>
      <c r="V331" s="145"/>
    </row>
    <row r="332" spans="2:22" ht="15.75" customHeight="1" thickBot="1" x14ac:dyDescent="0.3">
      <c r="B332" s="451"/>
      <c r="C332" s="356"/>
      <c r="D332" s="356"/>
      <c r="E332" s="357"/>
      <c r="F332" s="358"/>
      <c r="G332" s="359"/>
      <c r="H332" s="438" t="s">
        <v>368</v>
      </c>
      <c r="I332" s="466">
        <f>SUM(I324:I331)</f>
        <v>368000000</v>
      </c>
      <c r="J332" s="467">
        <f>SUM(J324:J331)</f>
        <v>9254.9466180714899</v>
      </c>
      <c r="K332" s="443">
        <v>0</v>
      </c>
      <c r="L332" s="444">
        <f>+J332</f>
        <v>9254.9466180714899</v>
      </c>
      <c r="M332" s="444">
        <v>0</v>
      </c>
      <c r="N332" s="444">
        <v>0</v>
      </c>
      <c r="O332" s="444">
        <v>0</v>
      </c>
      <c r="P332" s="444">
        <v>0</v>
      </c>
      <c r="Q332" s="444">
        <v>0</v>
      </c>
      <c r="R332" s="444">
        <v>0</v>
      </c>
      <c r="S332" s="444">
        <v>0</v>
      </c>
      <c r="T332" s="444">
        <v>0</v>
      </c>
      <c r="U332" s="445">
        <f>SUM(K332:T332)</f>
        <v>9254.9466180714899</v>
      </c>
      <c r="V332" s="446"/>
    </row>
    <row r="333" spans="2:22" ht="15.75" customHeight="1" thickBot="1" x14ac:dyDescent="0.3">
      <c r="C333" s="360"/>
      <c r="D333" s="360"/>
      <c r="E333" s="361"/>
      <c r="F333" s="362"/>
      <c r="G333" s="363"/>
      <c r="H333" s="366"/>
      <c r="I333" s="336"/>
      <c r="J333" s="337"/>
      <c r="K333" s="439"/>
      <c r="L333" s="439"/>
      <c r="M333" s="440"/>
      <c r="N333" s="440"/>
      <c r="O333" s="441"/>
      <c r="P333" s="441"/>
      <c r="Q333" s="440"/>
      <c r="R333" s="441"/>
      <c r="S333" s="441"/>
      <c r="T333" s="441"/>
      <c r="U333" s="364"/>
      <c r="V333" s="365"/>
    </row>
    <row r="334" spans="2:22" ht="15.75" thickBot="1" x14ac:dyDescent="0.3">
      <c r="G334" s="367"/>
      <c r="H334" s="368" t="s">
        <v>314</v>
      </c>
      <c r="I334" s="203">
        <f>SUM(I7:I332)/2</f>
        <v>11419586699</v>
      </c>
      <c r="J334" s="213">
        <f>SUM(J7:J332)/2</f>
        <v>287194.74266218545</v>
      </c>
      <c r="K334" s="442">
        <f t="shared" ref="K334:T334" si="53">SUM(K7:K332)</f>
        <v>80051.020835701565</v>
      </c>
      <c r="L334" s="442">
        <f t="shared" si="53"/>
        <v>31263.551957974494</v>
      </c>
      <c r="M334" s="442">
        <f t="shared" si="53"/>
        <v>20176.883406786092</v>
      </c>
      <c r="N334" s="442">
        <f t="shared" si="53"/>
        <v>20818.096840944687</v>
      </c>
      <c r="O334" s="442">
        <f t="shared" si="53"/>
        <v>60599.122490224465</v>
      </c>
      <c r="P334" s="442">
        <f t="shared" si="53"/>
        <v>19592.191842971726</v>
      </c>
      <c r="Q334" s="442">
        <f t="shared" si="53"/>
        <v>9554.6720881875699</v>
      </c>
      <c r="R334" s="442">
        <f t="shared" si="53"/>
        <v>17268.624574096415</v>
      </c>
      <c r="S334" s="442">
        <f t="shared" si="53"/>
        <v>13356.156501147312</v>
      </c>
      <c r="T334" s="442">
        <f t="shared" si="53"/>
        <v>14514.422124151086</v>
      </c>
      <c r="U334" s="204"/>
    </row>
    <row r="335" spans="2:22" ht="30.75" customHeight="1" x14ac:dyDescent="0.25">
      <c r="K335" s="422" t="str">
        <f t="shared" ref="K335:U335" si="54">+K6</f>
        <v>AÑO 2026</v>
      </c>
      <c r="L335" s="422" t="str">
        <f t="shared" si="54"/>
        <v>AÑO 2027</v>
      </c>
      <c r="M335" s="422" t="str">
        <f t="shared" si="54"/>
        <v>AÑO 2028</v>
      </c>
      <c r="N335" s="422" t="str">
        <f t="shared" si="54"/>
        <v>AÑO 2029</v>
      </c>
      <c r="O335" s="422" t="str">
        <f t="shared" si="54"/>
        <v>AÑO 2030</v>
      </c>
      <c r="P335" s="422" t="str">
        <f t="shared" si="54"/>
        <v>AÑO 2031</v>
      </c>
      <c r="Q335" s="422" t="str">
        <f t="shared" si="54"/>
        <v>AÑO 2032</v>
      </c>
      <c r="R335" s="422" t="str">
        <f t="shared" si="54"/>
        <v>AÑO 2033</v>
      </c>
      <c r="S335" s="422" t="str">
        <f t="shared" si="54"/>
        <v>AÑO 2034</v>
      </c>
      <c r="T335" s="422" t="str">
        <f t="shared" si="54"/>
        <v>AÑO 2035</v>
      </c>
      <c r="U335" s="143" t="str">
        <f t="shared" si="54"/>
        <v>TOTAL EN 10 AÑOS</v>
      </c>
    </row>
    <row r="336" spans="2:22" x14ac:dyDescent="0.25">
      <c r="H336" s="205"/>
      <c r="I336" s="205"/>
      <c r="J336" s="214"/>
      <c r="K336" s="437">
        <v>1</v>
      </c>
      <c r="L336" s="437">
        <f>1+K336</f>
        <v>2</v>
      </c>
      <c r="M336" s="437">
        <f t="shared" ref="M336:T336" si="55">1+L336</f>
        <v>3</v>
      </c>
      <c r="N336" s="437">
        <f t="shared" si="55"/>
        <v>4</v>
      </c>
      <c r="O336" s="437">
        <f t="shared" si="55"/>
        <v>5</v>
      </c>
      <c r="P336" s="437">
        <f t="shared" si="55"/>
        <v>6</v>
      </c>
      <c r="Q336" s="437">
        <f t="shared" si="55"/>
        <v>7</v>
      </c>
      <c r="R336" s="437">
        <f t="shared" si="55"/>
        <v>8</v>
      </c>
      <c r="S336" s="437">
        <f t="shared" si="55"/>
        <v>9</v>
      </c>
      <c r="T336" s="437">
        <f t="shared" si="55"/>
        <v>10</v>
      </c>
      <c r="U336" s="206">
        <f>SUM(U105:U335)</f>
        <v>152388.41351101489</v>
      </c>
    </row>
    <row r="339" spans="3:16" ht="25.5" x14ac:dyDescent="0.25">
      <c r="C339" s="207" t="s">
        <v>288</v>
      </c>
      <c r="D339" s="207"/>
      <c r="E339" s="161" t="s">
        <v>257</v>
      </c>
    </row>
    <row r="340" spans="3:16" x14ac:dyDescent="0.25">
      <c r="C340" s="208"/>
      <c r="D340" s="208"/>
      <c r="E340" s="161"/>
    </row>
    <row r="341" spans="3:16" x14ac:dyDescent="0.25">
      <c r="C341" s="209"/>
      <c r="D341" s="209"/>
      <c r="E341" s="161"/>
    </row>
    <row r="342" spans="3:16" x14ac:dyDescent="0.25">
      <c r="C342" s="209"/>
      <c r="D342" s="209"/>
      <c r="E342" s="161"/>
      <c r="H342" s="210"/>
      <c r="I342" s="210"/>
      <c r="M342" s="165"/>
      <c r="N342" s="453"/>
      <c r="O342" s="453"/>
      <c r="P342" s="453"/>
    </row>
    <row r="343" spans="3:16" x14ac:dyDescent="0.25">
      <c r="M343" s="165"/>
      <c r="N343" s="453"/>
      <c r="O343" s="453"/>
      <c r="P343" s="453"/>
    </row>
    <row r="344" spans="3:16" x14ac:dyDescent="0.25">
      <c r="M344" s="165"/>
      <c r="N344" s="453"/>
      <c r="O344" s="453"/>
      <c r="P344" s="453"/>
    </row>
    <row r="345" spans="3:16" x14ac:dyDescent="0.25">
      <c r="E345" s="211"/>
      <c r="M345" s="165"/>
    </row>
    <row r="346" spans="3:16" x14ac:dyDescent="0.25">
      <c r="E346" s="211"/>
      <c r="M346" s="165"/>
    </row>
    <row r="347" spans="3:16" x14ac:dyDescent="0.25">
      <c r="E347" s="211"/>
      <c r="M347" s="165"/>
    </row>
    <row r="348" spans="3:16" x14ac:dyDescent="0.25">
      <c r="E348" s="211"/>
      <c r="M348" s="165"/>
    </row>
  </sheetData>
  <mergeCells count="143">
    <mergeCell ref="D310:D315"/>
    <mergeCell ref="D317:D322"/>
    <mergeCell ref="D324:D331"/>
    <mergeCell ref="V9:V25"/>
    <mergeCell ref="B317:B322"/>
    <mergeCell ref="B324:B331"/>
    <mergeCell ref="C4:D4"/>
    <mergeCell ref="B239:B241"/>
    <mergeCell ref="B243:B248"/>
    <mergeCell ref="B250:B251"/>
    <mergeCell ref="B253:B267"/>
    <mergeCell ref="B269:B272"/>
    <mergeCell ref="B274:B289"/>
    <mergeCell ref="B291:B301"/>
    <mergeCell ref="B303:B308"/>
    <mergeCell ref="B310:B315"/>
    <mergeCell ref="D291:D292"/>
    <mergeCell ref="D293:D295"/>
    <mergeCell ref="D296:D297"/>
    <mergeCell ref="D298:D301"/>
    <mergeCell ref="C291:C301"/>
    <mergeCell ref="D284:D289"/>
    <mergeCell ref="B174:B188"/>
    <mergeCell ref="B190:B203"/>
    <mergeCell ref="B205:B217"/>
    <mergeCell ref="B219:B237"/>
    <mergeCell ref="D146:D147"/>
    <mergeCell ref="D148:D150"/>
    <mergeCell ref="D151:D154"/>
    <mergeCell ref="D215:D217"/>
    <mergeCell ref="D211:D214"/>
    <mergeCell ref="C27:C43"/>
    <mergeCell ref="D56:D62"/>
    <mergeCell ref="D81:D83"/>
    <mergeCell ref="B105:B127"/>
    <mergeCell ref="B129:B144"/>
    <mergeCell ref="B146:B155"/>
    <mergeCell ref="B157:B172"/>
    <mergeCell ref="D176:D178"/>
    <mergeCell ref="D174:D175"/>
    <mergeCell ref="D207:D210"/>
    <mergeCell ref="B7:B25"/>
    <mergeCell ref="B27:B43"/>
    <mergeCell ref="B45:B62"/>
    <mergeCell ref="B64:B77"/>
    <mergeCell ref="B79:B93"/>
    <mergeCell ref="B95:B103"/>
    <mergeCell ref="D27:D28"/>
    <mergeCell ref="D45:D46"/>
    <mergeCell ref="D47:D49"/>
    <mergeCell ref="D50:D55"/>
    <mergeCell ref="D84:D88"/>
    <mergeCell ref="D89:D93"/>
    <mergeCell ref="D100:D103"/>
    <mergeCell ref="D97:D99"/>
    <mergeCell ref="D95:D96"/>
    <mergeCell ref="D29:D32"/>
    <mergeCell ref="D33:D37"/>
    <mergeCell ref="D38:D43"/>
    <mergeCell ref="D64:D65"/>
    <mergeCell ref="D70:D72"/>
    <mergeCell ref="D73:D77"/>
    <mergeCell ref="C324:C331"/>
    <mergeCell ref="C146:C155"/>
    <mergeCell ref="C269:C272"/>
    <mergeCell ref="C45:C62"/>
    <mergeCell ref="C274:C289"/>
    <mergeCell ref="C303:C308"/>
    <mergeCell ref="C310:C315"/>
    <mergeCell ref="C95:C103"/>
    <mergeCell ref="C253:C267"/>
    <mergeCell ref="C79:C93"/>
    <mergeCell ref="C174:C188"/>
    <mergeCell ref="C129:C144"/>
    <mergeCell ref="C219:C237"/>
    <mergeCell ref="C243:C248"/>
    <mergeCell ref="C190:C203"/>
    <mergeCell ref="C157:C172"/>
    <mergeCell ref="C250:C251"/>
    <mergeCell ref="C64:C77"/>
    <mergeCell ref="C239:C241"/>
    <mergeCell ref="C205:C217"/>
    <mergeCell ref="C317:C322"/>
    <mergeCell ref="G106:H106"/>
    <mergeCell ref="G111:H111"/>
    <mergeCell ref="D118:D127"/>
    <mergeCell ref="I7:I25"/>
    <mergeCell ref="J7:J25"/>
    <mergeCell ref="C7:C25"/>
    <mergeCell ref="D79:D80"/>
    <mergeCell ref="D66:D69"/>
    <mergeCell ref="D7:D8"/>
    <mergeCell ref="D9:D11"/>
    <mergeCell ref="D12:D17"/>
    <mergeCell ref="D18:D25"/>
    <mergeCell ref="D280:D283"/>
    <mergeCell ref="D205:D206"/>
    <mergeCell ref="D258:D261"/>
    <mergeCell ref="D262:D267"/>
    <mergeCell ref="D274:D275"/>
    <mergeCell ref="D276:D279"/>
    <mergeCell ref="D303:D308"/>
    <mergeCell ref="C105:C127"/>
    <mergeCell ref="D105:D106"/>
    <mergeCell ref="D107:D110"/>
    <mergeCell ref="D111:D117"/>
    <mergeCell ref="D253:D254"/>
    <mergeCell ref="D255:D257"/>
    <mergeCell ref="D162:D166"/>
    <mergeCell ref="D167:D172"/>
    <mergeCell ref="D159:D161"/>
    <mergeCell ref="D157:D158"/>
    <mergeCell ref="D219:D220"/>
    <mergeCell ref="D200:D203"/>
    <mergeCell ref="D195:D199"/>
    <mergeCell ref="D243:D248"/>
    <mergeCell ref="D231:D237"/>
    <mergeCell ref="D225:D230"/>
    <mergeCell ref="D221:D224"/>
    <mergeCell ref="C2:V3"/>
    <mergeCell ref="G275:H275"/>
    <mergeCell ref="G191:H191"/>
    <mergeCell ref="G175:H175"/>
    <mergeCell ref="G130:H130"/>
    <mergeCell ref="G158:H158"/>
    <mergeCell ref="G206:H206"/>
    <mergeCell ref="D239:D241"/>
    <mergeCell ref="D129:D130"/>
    <mergeCell ref="F7:F25"/>
    <mergeCell ref="G7:G25"/>
    <mergeCell ref="H7:H25"/>
    <mergeCell ref="G254:H254"/>
    <mergeCell ref="G147:H147"/>
    <mergeCell ref="G46:H46"/>
    <mergeCell ref="G65:H65"/>
    <mergeCell ref="G28:H28"/>
    <mergeCell ref="G220:H220"/>
    <mergeCell ref="G80:H80"/>
    <mergeCell ref="D131:D134"/>
    <mergeCell ref="D184:D188"/>
    <mergeCell ref="D179:D183"/>
    <mergeCell ref="D140:D144"/>
    <mergeCell ref="D135:D13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opLeftCell="A4" zoomScale="115" zoomScaleNormal="115" workbookViewId="0">
      <selection activeCell="G39" sqref="G39"/>
    </sheetView>
  </sheetViews>
  <sheetFormatPr baseColWidth="10" defaultRowHeight="15" x14ac:dyDescent="0.25"/>
  <cols>
    <col min="1" max="1" width="1.140625" style="144" customWidth="1"/>
    <col min="2" max="2" width="11.42578125" style="448" customWidth="1"/>
    <col min="3" max="3" width="46.140625" style="144" customWidth="1"/>
    <col min="4" max="4" width="17.42578125" style="144" customWidth="1"/>
    <col min="5" max="5" width="13" style="144" customWidth="1"/>
    <col min="6" max="6" width="18.7109375" style="165" customWidth="1"/>
    <col min="7" max="7" width="9.5703125" style="165" customWidth="1"/>
    <col min="8" max="8" width="14.42578125" style="165" customWidth="1"/>
    <col min="9" max="9" width="15" style="165" customWidth="1"/>
    <col min="10" max="10" width="16.85546875" style="165" customWidth="1"/>
    <col min="11" max="11" width="17.140625" style="144" customWidth="1"/>
    <col min="12" max="12" width="18.5703125" style="144" customWidth="1"/>
    <col min="13" max="16384" width="11.42578125" style="144"/>
  </cols>
  <sheetData>
    <row r="1" spans="2:12" x14ac:dyDescent="0.25">
      <c r="B1" s="471"/>
      <c r="C1" s="470"/>
      <c r="D1" s="470"/>
      <c r="E1" s="470"/>
      <c r="F1" s="473"/>
      <c r="G1" s="473"/>
      <c r="H1" s="473"/>
      <c r="I1" s="473"/>
      <c r="J1" s="473"/>
      <c r="K1" s="470"/>
      <c r="L1" s="470"/>
    </row>
    <row r="2" spans="2:12" ht="18.75" customHeight="1" x14ac:dyDescent="0.25">
      <c r="B2" s="609" t="s">
        <v>358</v>
      </c>
      <c r="C2" s="609"/>
      <c r="D2" s="609"/>
      <c r="E2" s="609"/>
      <c r="F2" s="496"/>
      <c r="G2" s="496"/>
      <c r="H2" s="496"/>
      <c r="I2" s="496"/>
      <c r="J2" s="496"/>
      <c r="K2" s="496"/>
      <c r="L2" s="470"/>
    </row>
    <row r="3" spans="2:12" ht="9.75" customHeight="1" x14ac:dyDescent="0.25">
      <c r="B3" s="471"/>
      <c r="C3" s="496"/>
      <c r="D3" s="496"/>
      <c r="E3" s="496"/>
      <c r="F3" s="496"/>
      <c r="G3" s="496"/>
      <c r="H3" s="496"/>
      <c r="I3" s="496"/>
      <c r="J3" s="496"/>
      <c r="K3" s="496"/>
      <c r="L3" s="470"/>
    </row>
    <row r="4" spans="2:12" ht="15" customHeight="1" thickBot="1" x14ac:dyDescent="0.3">
      <c r="B4" s="610" t="s">
        <v>373</v>
      </c>
      <c r="C4" s="610"/>
      <c r="D4" s="497"/>
      <c r="E4" s="498">
        <v>39762.519999999997</v>
      </c>
      <c r="F4" s="473"/>
      <c r="G4" s="473"/>
      <c r="H4" s="473"/>
      <c r="I4" s="473"/>
      <c r="J4" s="473"/>
      <c r="K4" s="470"/>
      <c r="L4" s="470"/>
    </row>
    <row r="5" spans="2:12" ht="12" customHeight="1" thickBot="1" x14ac:dyDescent="0.3">
      <c r="B5" s="471"/>
      <c r="C5" s="470"/>
      <c r="D5" s="470"/>
      <c r="E5" s="470"/>
      <c r="F5" s="473"/>
      <c r="G5" s="473"/>
      <c r="H5" s="611" t="s">
        <v>463</v>
      </c>
      <c r="I5" s="612"/>
      <c r="J5" s="612"/>
      <c r="K5" s="613"/>
      <c r="L5" s="470"/>
    </row>
    <row r="6" spans="2:12" s="167" customFormat="1" ht="45.75" thickBot="1" x14ac:dyDescent="0.3">
      <c r="B6" s="617" t="s">
        <v>370</v>
      </c>
      <c r="C6" s="618" t="s">
        <v>457</v>
      </c>
      <c r="D6" s="618" t="s">
        <v>435</v>
      </c>
      <c r="E6" s="619" t="s">
        <v>458</v>
      </c>
      <c r="F6" s="633" t="s">
        <v>464</v>
      </c>
      <c r="G6" s="499"/>
      <c r="H6" s="500" t="s">
        <v>459</v>
      </c>
      <c r="I6" s="501" t="s">
        <v>461</v>
      </c>
      <c r="J6" s="501" t="s">
        <v>460</v>
      </c>
      <c r="K6" s="502" t="s">
        <v>368</v>
      </c>
      <c r="L6" s="503" t="s">
        <v>464</v>
      </c>
    </row>
    <row r="7" spans="2:12" ht="14.25" customHeight="1" x14ac:dyDescent="0.25">
      <c r="B7" s="620">
        <v>1</v>
      </c>
      <c r="C7" s="621" t="s">
        <v>439</v>
      </c>
      <c r="D7" s="622">
        <f>+'PLAN RECUPERACIÓN '!I26</f>
        <v>3183030317</v>
      </c>
      <c r="E7" s="623">
        <f>+D7/E4</f>
        <v>80051.020835701565</v>
      </c>
      <c r="F7" s="505">
        <f>+D7</f>
        <v>3183030317</v>
      </c>
      <c r="G7" s="470"/>
      <c r="H7" s="506"/>
      <c r="I7" s="507"/>
      <c r="J7" s="507"/>
      <c r="K7" s="508"/>
      <c r="L7" s="470"/>
    </row>
    <row r="8" spans="2:12" ht="14.25" customHeight="1" x14ac:dyDescent="0.25">
      <c r="B8" s="624">
        <v>2</v>
      </c>
      <c r="C8" s="625" t="s">
        <v>440</v>
      </c>
      <c r="D8" s="626">
        <f>+'PLAN RECUPERACIÓN '!I44</f>
        <v>875117610</v>
      </c>
      <c r="E8" s="627">
        <f>+D8/E4</f>
        <v>22008.605339903006</v>
      </c>
      <c r="F8" s="509">
        <f>+D8+F7</f>
        <v>4058147927</v>
      </c>
      <c r="G8" s="470"/>
      <c r="H8" s="510">
        <f>+'PLAN RECUPERACIÓN '!I29+'PLAN RECUPERACIÓN '!I30</f>
        <v>20476000</v>
      </c>
      <c r="I8" s="511">
        <f>+'PLAN RECUPERACIÓN '!I31</f>
        <v>68640000</v>
      </c>
      <c r="J8" s="511">
        <f>+'PLAN RECUPERACIÓN '!I32</f>
        <v>492700000</v>
      </c>
      <c r="K8" s="512">
        <f>+J8+I8+H8</f>
        <v>581816000</v>
      </c>
      <c r="L8" s="487">
        <f>+K8</f>
        <v>581816000</v>
      </c>
    </row>
    <row r="9" spans="2:12" ht="14.25" customHeight="1" x14ac:dyDescent="0.25">
      <c r="B9" s="628">
        <v>3</v>
      </c>
      <c r="C9" s="625" t="s">
        <v>441</v>
      </c>
      <c r="D9" s="626">
        <f>+'PLAN RECUPERACIÓN '!I63</f>
        <v>229390060</v>
      </c>
      <c r="E9" s="627">
        <f>+D9/E4</f>
        <v>5769.0020652614576</v>
      </c>
      <c r="F9" s="509">
        <f>+D9+F8</f>
        <v>4287537987</v>
      </c>
      <c r="G9" s="470"/>
      <c r="H9" s="510">
        <f>+'PLAN RECUPERACIÓN '!I47</f>
        <v>45600000</v>
      </c>
      <c r="I9" s="511">
        <f>+'PLAN RECUPERACIÓN '!I48</f>
        <v>54912000</v>
      </c>
      <c r="J9" s="511">
        <f>+'PLAN RECUPERACIÓN '!I49</f>
        <v>45480000</v>
      </c>
      <c r="K9" s="512">
        <f t="shared" ref="K9:K27" si="0">+J9+I9+H9</f>
        <v>145992000</v>
      </c>
      <c r="L9" s="487">
        <f t="shared" ref="L9:L21" si="1">+K9+L8</f>
        <v>727808000</v>
      </c>
    </row>
    <row r="10" spans="2:12" ht="14.25" customHeight="1" x14ac:dyDescent="0.25">
      <c r="B10" s="628">
        <v>4</v>
      </c>
      <c r="C10" s="625" t="s">
        <v>442</v>
      </c>
      <c r="D10" s="626">
        <f>+'PLAN RECUPERACIÓN '!I78</f>
        <v>83639520</v>
      </c>
      <c r="E10" s="627">
        <f>+D10/E4</f>
        <v>2103.4763390247904</v>
      </c>
      <c r="F10" s="509">
        <f t="shared" ref="F10:F28" si="2">+D10+F9</f>
        <v>4371177507</v>
      </c>
      <c r="G10" s="470"/>
      <c r="H10" s="510">
        <f>+'PLAN RECUPERACIÓN '!I66+'PLAN RECUPERACIÓN '!I67</f>
        <v>34240000</v>
      </c>
      <c r="I10" s="511">
        <f>+'PLAN RECUPERACIÓN '!I68</f>
        <v>3136000</v>
      </c>
      <c r="J10" s="511">
        <f>+'PLAN RECUPERACIÓN '!I69</f>
        <v>22740000</v>
      </c>
      <c r="K10" s="512">
        <f t="shared" si="0"/>
        <v>60116000</v>
      </c>
      <c r="L10" s="487">
        <f t="shared" si="1"/>
        <v>787924000</v>
      </c>
    </row>
    <row r="11" spans="2:12" ht="14.25" customHeight="1" x14ac:dyDescent="0.25">
      <c r="B11" s="628">
        <v>5</v>
      </c>
      <c r="C11" s="625" t="s">
        <v>290</v>
      </c>
      <c r="D11" s="626">
        <f>+'PLAN RECUPERACIÓN '!I94</f>
        <v>489254150</v>
      </c>
      <c r="E11" s="627">
        <f>+D11/E4</f>
        <v>12304.405002499843</v>
      </c>
      <c r="F11" s="509">
        <f t="shared" si="2"/>
        <v>4860431657</v>
      </c>
      <c r="G11" s="470"/>
      <c r="H11" s="510">
        <f>+'PLAN RECUPERACIÓN '!I81</f>
        <v>42000000</v>
      </c>
      <c r="I11" s="511">
        <f>+'PLAN RECUPERACIÓN '!I82</f>
        <v>60480000</v>
      </c>
      <c r="J11" s="511">
        <f>+'PLAN RECUPERACIÓN '!I83</f>
        <v>246350000</v>
      </c>
      <c r="K11" s="512">
        <f t="shared" si="0"/>
        <v>348830000</v>
      </c>
      <c r="L11" s="487">
        <f t="shared" si="1"/>
        <v>1136754000</v>
      </c>
    </row>
    <row r="12" spans="2:12" ht="14.25" customHeight="1" x14ac:dyDescent="0.25">
      <c r="B12" s="628">
        <v>6</v>
      </c>
      <c r="C12" s="625" t="s">
        <v>471</v>
      </c>
      <c r="D12" s="626">
        <f>+'PLAN RECUPERACIÓN '!I104</f>
        <v>499807702</v>
      </c>
      <c r="E12" s="627">
        <f>+D12/E4</f>
        <v>12569.819568779847</v>
      </c>
      <c r="F12" s="509">
        <f t="shared" si="2"/>
        <v>5360239359</v>
      </c>
      <c r="G12" s="470"/>
      <c r="H12" s="513">
        <f>+'PLAN RECUPERACIÓN '!I97+'PLAN RECUPERACIÓN '!I96</f>
        <v>245861652</v>
      </c>
      <c r="I12" s="514">
        <f>+'PLAN RECUPERACIÓN '!I98</f>
        <v>4860000</v>
      </c>
      <c r="J12" s="514">
        <f>+'PLAN RECUPERACIÓN '!I99</f>
        <v>207313000</v>
      </c>
      <c r="K12" s="515">
        <f t="shared" si="0"/>
        <v>458034652</v>
      </c>
      <c r="L12" s="487">
        <f t="shared" si="1"/>
        <v>1594788652</v>
      </c>
    </row>
    <row r="13" spans="2:12" ht="14.25" customHeight="1" x14ac:dyDescent="0.25">
      <c r="B13" s="628">
        <v>7</v>
      </c>
      <c r="C13" s="625" t="s">
        <v>443</v>
      </c>
      <c r="D13" s="626">
        <f>+'PLAN RECUPERACIÓN '!I128</f>
        <v>2409573820</v>
      </c>
      <c r="E13" s="627">
        <f>+D13/E4</f>
        <v>60599.122490224465</v>
      </c>
      <c r="F13" s="509">
        <f t="shared" si="2"/>
        <v>7769813179</v>
      </c>
      <c r="G13" s="470"/>
      <c r="H13" s="510">
        <f>+'PLAN RECUPERACIÓN '!I107+'PLAN RECUPERACIÓN '!I108</f>
        <v>224240000</v>
      </c>
      <c r="I13" s="511">
        <f>+'PLAN RECUPERACIÓN '!I109</f>
        <v>163800000</v>
      </c>
      <c r="J13" s="511">
        <f>+'PLAN RECUPERACIÓN '!I110</f>
        <v>833800000</v>
      </c>
      <c r="K13" s="512">
        <f t="shared" si="0"/>
        <v>1221840000</v>
      </c>
      <c r="L13" s="487">
        <f t="shared" si="1"/>
        <v>2816628652</v>
      </c>
    </row>
    <row r="14" spans="2:12" ht="14.25" customHeight="1" x14ac:dyDescent="0.25">
      <c r="B14" s="628">
        <v>8</v>
      </c>
      <c r="C14" s="625" t="s">
        <v>340</v>
      </c>
      <c r="D14" s="626">
        <f>+'PLAN RECUPERACIÓN '!I145</f>
        <v>779034920</v>
      </c>
      <c r="E14" s="627">
        <f>+D14/E4</f>
        <v>19592.191842971726</v>
      </c>
      <c r="F14" s="509">
        <f t="shared" si="2"/>
        <v>8548848099</v>
      </c>
      <c r="G14" s="470"/>
      <c r="H14" s="510">
        <f>+'PLAN RECUPERACIÓN '!I131+'PLAN RECUPERACIÓN '!I132</f>
        <v>93970000</v>
      </c>
      <c r="I14" s="511">
        <f>+'PLAN RECUPERACIÓN '!I133</f>
        <v>165200000</v>
      </c>
      <c r="J14" s="511">
        <f>+'PLAN RECUPERACIÓN '!I134</f>
        <v>341100000</v>
      </c>
      <c r="K14" s="512">
        <f t="shared" si="0"/>
        <v>600270000</v>
      </c>
      <c r="L14" s="487">
        <f t="shared" si="1"/>
        <v>3416898652</v>
      </c>
    </row>
    <row r="15" spans="2:12" ht="14.25" customHeight="1" x14ac:dyDescent="0.25">
      <c r="B15" s="628">
        <v>9</v>
      </c>
      <c r="C15" s="625" t="s">
        <v>444</v>
      </c>
      <c r="D15" s="626">
        <f>+'PLAN RECUPERACIÓN '!I156</f>
        <v>70877250</v>
      </c>
      <c r="E15" s="627">
        <f>+D15/E4</f>
        <v>1782.5140358307272</v>
      </c>
      <c r="F15" s="516">
        <f t="shared" si="2"/>
        <v>8619725349</v>
      </c>
      <c r="G15" s="470"/>
      <c r="H15" s="510">
        <f>+'PLAN RECUPERACIÓN '!I148</f>
        <v>27500000</v>
      </c>
      <c r="I15" s="511">
        <f>+'PLAN RECUPERACIÓN '!I149</f>
        <v>6580000</v>
      </c>
      <c r="J15" s="511">
        <f>+'PLAN RECUPERACIÓN '!I150</f>
        <v>15160000</v>
      </c>
      <c r="K15" s="512">
        <f t="shared" si="0"/>
        <v>49240000</v>
      </c>
      <c r="L15" s="487">
        <f t="shared" si="1"/>
        <v>3466138652</v>
      </c>
    </row>
    <row r="16" spans="2:12" s="167" customFormat="1" ht="14.25" customHeight="1" x14ac:dyDescent="0.25">
      <c r="B16" s="628">
        <v>10</v>
      </c>
      <c r="C16" s="625" t="s">
        <v>445</v>
      </c>
      <c r="D16" s="626">
        <f>+'PLAN RECUPERACIÓN '!I173</f>
        <v>88860180</v>
      </c>
      <c r="E16" s="627">
        <f>+D16/E4</f>
        <v>2234.7723434027826</v>
      </c>
      <c r="F16" s="509">
        <f t="shared" si="2"/>
        <v>8708585529</v>
      </c>
      <c r="G16" s="499"/>
      <c r="H16" s="513">
        <f>+'PLAN RECUPERACIÓN '!I159</f>
        <v>9600000</v>
      </c>
      <c r="I16" s="514">
        <f>+'PLAN RECUPERACIÓN '!I160</f>
        <v>6440000</v>
      </c>
      <c r="J16" s="514">
        <f>+'PLAN RECUPERACIÓN '!I161</f>
        <v>3790000</v>
      </c>
      <c r="K16" s="512">
        <f t="shared" si="0"/>
        <v>19830000</v>
      </c>
      <c r="L16" s="517">
        <f t="shared" si="1"/>
        <v>3485968652</v>
      </c>
    </row>
    <row r="17" spans="2:15" ht="14.25" customHeight="1" x14ac:dyDescent="0.25">
      <c r="B17" s="628">
        <v>11</v>
      </c>
      <c r="C17" s="625" t="s">
        <v>177</v>
      </c>
      <c r="D17" s="626">
        <f>+'PLAN RECUPERACIÓN '!I189</f>
        <v>325549420</v>
      </c>
      <c r="E17" s="627">
        <f>+D17/E4</f>
        <v>8187.3437599025419</v>
      </c>
      <c r="F17" s="509">
        <f t="shared" si="2"/>
        <v>9034134949</v>
      </c>
      <c r="G17" s="470"/>
      <c r="H17" s="510">
        <f>+'PLAN RECUPERACIÓN '!I176</f>
        <v>26880000</v>
      </c>
      <c r="I17" s="511">
        <f>+'PLAN RECUPERACIÓN '!I177</f>
        <v>77000000</v>
      </c>
      <c r="J17" s="511">
        <f>+'PLAN RECUPERACIÓN '!I178</f>
        <v>159180000</v>
      </c>
      <c r="K17" s="512">
        <f t="shared" si="0"/>
        <v>263060000</v>
      </c>
      <c r="L17" s="487">
        <f t="shared" si="1"/>
        <v>3749028652</v>
      </c>
    </row>
    <row r="18" spans="2:15" ht="14.25" customHeight="1" x14ac:dyDescent="0.25">
      <c r="B18" s="628">
        <v>12</v>
      </c>
      <c r="C18" s="625" t="s">
        <v>341</v>
      </c>
      <c r="D18" s="626">
        <f>+'PLAN RECUPERACIÓN '!I204</f>
        <v>112214540</v>
      </c>
      <c r="E18" s="627">
        <f>+D18/E4</f>
        <v>2822.1184170419783</v>
      </c>
      <c r="F18" s="509">
        <f t="shared" si="2"/>
        <v>9146349489</v>
      </c>
      <c r="G18" s="470"/>
      <c r="H18" s="510">
        <f>+'PLAN RECUPERACIÓN '!I192</f>
        <v>32640000</v>
      </c>
      <c r="I18" s="511">
        <f>+'PLAN RECUPERACIÓN '!I193</f>
        <v>8960000</v>
      </c>
      <c r="J18" s="511">
        <f>+'PLAN RECUPERACIÓN '!I194</f>
        <v>56850000</v>
      </c>
      <c r="K18" s="512">
        <f t="shared" si="0"/>
        <v>98450000</v>
      </c>
      <c r="L18" s="487">
        <f t="shared" si="1"/>
        <v>3847478652</v>
      </c>
    </row>
    <row r="19" spans="2:15" ht="14.25" customHeight="1" x14ac:dyDescent="0.25">
      <c r="B19" s="628">
        <v>13</v>
      </c>
      <c r="C19" s="625" t="s">
        <v>446</v>
      </c>
      <c r="D19" s="626">
        <f>+'PLAN RECUPERACIÓN '!I218</f>
        <v>531074440</v>
      </c>
      <c r="E19" s="627">
        <f>+D19/E4</f>
        <v>13356.156501147312</v>
      </c>
      <c r="F19" s="509">
        <f t="shared" si="2"/>
        <v>9677423929</v>
      </c>
      <c r="G19" s="470"/>
      <c r="H19" s="510">
        <f>+'PLAN RECUPERACIÓN '!I207+'PLAN RECUPERACIÓN '!I208</f>
        <v>10710000</v>
      </c>
      <c r="I19" s="511">
        <f>+'PLAN RECUPERACIÓN '!I209</f>
        <v>560000</v>
      </c>
      <c r="J19" s="511">
        <f>+'PLAN RECUPERACIÓN '!I210</f>
        <v>12507000</v>
      </c>
      <c r="K19" s="512">
        <f t="shared" si="0"/>
        <v>23777000</v>
      </c>
      <c r="L19" s="487">
        <f t="shared" si="1"/>
        <v>3871255652</v>
      </c>
    </row>
    <row r="20" spans="2:15" ht="14.25" customHeight="1" x14ac:dyDescent="0.25">
      <c r="B20" s="628">
        <v>14</v>
      </c>
      <c r="C20" s="625" t="s">
        <v>447</v>
      </c>
      <c r="D20" s="626">
        <f>+'PLAN RECUPERACIÓN '!I238</f>
        <v>243770040</v>
      </c>
      <c r="E20" s="627">
        <f>+D20/E4</f>
        <v>6130.6486611009568</v>
      </c>
      <c r="F20" s="509">
        <f t="shared" si="2"/>
        <v>9921193969</v>
      </c>
      <c r="G20" s="470"/>
      <c r="H20" s="510">
        <f>+'PLAN RECUPERACIÓN '!I221+'PLAN RECUPERACIÓN '!I222</f>
        <v>27604000</v>
      </c>
      <c r="I20" s="511">
        <f>+'PLAN RECUPERACIÓN '!I223</f>
        <v>6160000</v>
      </c>
      <c r="J20" s="511">
        <f>+'PLAN RECUPERACIÓN '!I224</f>
        <v>125070000</v>
      </c>
      <c r="K20" s="512">
        <f t="shared" si="0"/>
        <v>158834000</v>
      </c>
      <c r="L20" s="487">
        <f t="shared" si="1"/>
        <v>4030089652</v>
      </c>
    </row>
    <row r="21" spans="2:15" ht="14.25" customHeight="1" x14ac:dyDescent="0.25">
      <c r="B21" s="628">
        <v>15</v>
      </c>
      <c r="C21" s="625" t="s">
        <v>462</v>
      </c>
      <c r="D21" s="626">
        <f>+'PLAN RECUPERACIÓN '!I242</f>
        <v>7875000</v>
      </c>
      <c r="E21" s="627">
        <f>+D21/E4</f>
        <v>198.05082776443749</v>
      </c>
      <c r="F21" s="509">
        <f t="shared" si="2"/>
        <v>9929068969</v>
      </c>
      <c r="G21" s="470"/>
      <c r="H21" s="510">
        <f>+'PLAN RECUPERACIÓN '!I239</f>
        <v>960000</v>
      </c>
      <c r="I21" s="511">
        <f>+'PLAN RECUPERACIÓN '!I240</f>
        <v>675000</v>
      </c>
      <c r="J21" s="511">
        <f>+'PLAN RECUPERACIÓN '!I241</f>
        <v>6240000</v>
      </c>
      <c r="K21" s="512">
        <f t="shared" si="0"/>
        <v>7875000</v>
      </c>
      <c r="L21" s="487">
        <f t="shared" si="1"/>
        <v>4037964652</v>
      </c>
    </row>
    <row r="22" spans="2:15" ht="14.25" customHeight="1" x14ac:dyDescent="0.25">
      <c r="B22" s="628">
        <v>16</v>
      </c>
      <c r="C22" s="625" t="s">
        <v>448</v>
      </c>
      <c r="D22" s="626">
        <f>+'PLAN RECUPERACIÓN '!I249</f>
        <v>577130000</v>
      </c>
      <c r="E22" s="627">
        <f>+D22/E4</f>
        <v>14514.422124151086</v>
      </c>
      <c r="F22" s="509">
        <f t="shared" si="2"/>
        <v>10506198969</v>
      </c>
      <c r="G22" s="470"/>
      <c r="H22" s="518"/>
      <c r="I22" s="519"/>
      <c r="J22" s="519"/>
      <c r="K22" s="512"/>
      <c r="L22" s="487"/>
    </row>
    <row r="23" spans="2:15" ht="14.25" customHeight="1" x14ac:dyDescent="0.25">
      <c r="B23" s="628">
        <v>17</v>
      </c>
      <c r="C23" s="625" t="s">
        <v>449</v>
      </c>
      <c r="D23" s="626">
        <f>+'PLAN RECUPERACIÓN '!I252</f>
        <v>5450000</v>
      </c>
      <c r="E23" s="627">
        <f>+D23/E4</f>
        <v>137.0637474687218</v>
      </c>
      <c r="F23" s="509">
        <f t="shared" si="2"/>
        <v>10511648969</v>
      </c>
      <c r="G23" s="470"/>
      <c r="H23" s="518"/>
      <c r="I23" s="519"/>
      <c r="J23" s="519"/>
      <c r="K23" s="512"/>
      <c r="L23" s="487"/>
      <c r="O23" s="470"/>
    </row>
    <row r="24" spans="2:15" ht="14.25" customHeight="1" x14ac:dyDescent="0.25">
      <c r="B24" s="628">
        <v>18</v>
      </c>
      <c r="C24" s="625" t="s">
        <v>450</v>
      </c>
      <c r="D24" s="626">
        <f>+'PLAN RECUPERACIÓN '!I268</f>
        <v>291057660</v>
      </c>
      <c r="E24" s="627">
        <f>+D24/E4</f>
        <v>7319.8997447847878</v>
      </c>
      <c r="F24" s="509">
        <f t="shared" si="2"/>
        <v>10802706629</v>
      </c>
      <c r="G24" s="470"/>
      <c r="H24" s="510">
        <f>+'PLAN RECUPERACIÓN '!I255</f>
        <v>59400000</v>
      </c>
      <c r="I24" s="511">
        <f>+'PLAN RECUPERACIÓN '!I256</f>
        <v>41160000</v>
      </c>
      <c r="J24" s="511">
        <f>+'PLAN RECUPERACIÓN '!I257</f>
        <v>140230000</v>
      </c>
      <c r="K24" s="512">
        <f t="shared" si="0"/>
        <v>240790000</v>
      </c>
      <c r="L24" s="487">
        <f>+K24+L21</f>
        <v>4278754652</v>
      </c>
    </row>
    <row r="25" spans="2:15" ht="14.25" customHeight="1" x14ac:dyDescent="0.25">
      <c r="B25" s="628">
        <v>19</v>
      </c>
      <c r="C25" s="625" t="s">
        <v>451</v>
      </c>
      <c r="D25" s="626">
        <f>+'PLAN RECUPERACIÓN '!I273</f>
        <v>18811600</v>
      </c>
      <c r="E25" s="627">
        <f>+D25/E4</f>
        <v>473.0987875013958</v>
      </c>
      <c r="F25" s="509">
        <f t="shared" si="2"/>
        <v>10821518229</v>
      </c>
      <c r="G25" s="470"/>
      <c r="H25" s="510">
        <f>+'PLAN RECUPERACIÓN '!I269</f>
        <v>2688000</v>
      </c>
      <c r="I25" s="511">
        <f>+'PLAN RECUPERACIÓN '!I271</f>
        <v>2688000</v>
      </c>
      <c r="J25" s="511">
        <f>+'PLAN RECUPERACIÓN '!I272</f>
        <v>12128000</v>
      </c>
      <c r="K25" s="512">
        <f t="shared" si="0"/>
        <v>17504000</v>
      </c>
      <c r="L25" s="487">
        <f>+K25+L24</f>
        <v>4296258652</v>
      </c>
    </row>
    <row r="26" spans="2:15" ht="14.25" customHeight="1" x14ac:dyDescent="0.25">
      <c r="B26" s="628">
        <v>20</v>
      </c>
      <c r="C26" s="625" t="s">
        <v>452</v>
      </c>
      <c r="D26" s="626">
        <f>+'PLAN RECUPERACIÓN '!I290</f>
        <v>70323180</v>
      </c>
      <c r="E26" s="627">
        <f>+D26/E4</f>
        <v>1768.5795568288934</v>
      </c>
      <c r="F26" s="509">
        <f t="shared" si="2"/>
        <v>10891841409</v>
      </c>
      <c r="G26" s="470"/>
      <c r="H26" s="510">
        <f>+'PLAN RECUPERACIÓN '!I276</f>
        <v>14400000</v>
      </c>
      <c r="I26" s="511">
        <f>+'PLAN RECUPERACIÓN '!I278</f>
        <v>8960000</v>
      </c>
      <c r="J26" s="511">
        <f>+'PLAN RECUPERACIÓN '!I279</f>
        <v>13265000</v>
      </c>
      <c r="K26" s="512">
        <f t="shared" si="0"/>
        <v>36625000</v>
      </c>
      <c r="L26" s="487">
        <f>+K26+L25</f>
        <v>4332883652</v>
      </c>
    </row>
    <row r="27" spans="2:15" ht="14.25" customHeight="1" x14ac:dyDescent="0.25">
      <c r="B27" s="628">
        <v>21</v>
      </c>
      <c r="C27" s="625" t="s">
        <v>453</v>
      </c>
      <c r="D27" s="626">
        <f>+'PLAN RECUPERACIÓN '!I302</f>
        <v>44995290</v>
      </c>
      <c r="E27" s="627">
        <f>+D27/E4</f>
        <v>1131.6005625397988</v>
      </c>
      <c r="F27" s="509">
        <f t="shared" si="2"/>
        <v>10936836699</v>
      </c>
      <c r="G27" s="470"/>
      <c r="H27" s="510">
        <f>+'PLAN RECUPERACIÓN '!I293</f>
        <v>9552000</v>
      </c>
      <c r="I27" s="511">
        <f>+'PLAN RECUPERACIÓN '!I294</f>
        <v>3200000</v>
      </c>
      <c r="J27" s="511">
        <f>+'PLAN RECUPERACIÓN '!I295</f>
        <v>26530000</v>
      </c>
      <c r="K27" s="512">
        <f t="shared" si="0"/>
        <v>39282000</v>
      </c>
      <c r="L27" s="487">
        <f>+K27+L26</f>
        <v>4372165652</v>
      </c>
    </row>
    <row r="28" spans="2:15" ht="14.25" customHeight="1" x14ac:dyDescent="0.25">
      <c r="B28" s="628">
        <v>22</v>
      </c>
      <c r="C28" s="625" t="s">
        <v>454</v>
      </c>
      <c r="D28" s="626">
        <f>+'PLAN RECUPERACIÓN '!I309</f>
        <v>114750000</v>
      </c>
      <c r="E28" s="627">
        <f>+D28/E4</f>
        <v>2885.8834902818035</v>
      </c>
      <c r="F28" s="509">
        <f t="shared" si="2"/>
        <v>11051586699</v>
      </c>
      <c r="G28" s="470"/>
      <c r="H28" s="518"/>
      <c r="I28" s="519"/>
      <c r="J28" s="519"/>
      <c r="K28" s="512"/>
      <c r="L28" s="487"/>
    </row>
    <row r="29" spans="2:15" ht="14.25" customHeight="1" x14ac:dyDescent="0.25">
      <c r="B29" s="628">
        <v>23</v>
      </c>
      <c r="C29" s="625" t="s">
        <v>437</v>
      </c>
      <c r="D29" s="626" t="s">
        <v>438</v>
      </c>
      <c r="E29" s="627">
        <v>0</v>
      </c>
      <c r="F29" s="509">
        <v>0</v>
      </c>
      <c r="G29" s="470"/>
      <c r="H29" s="518"/>
      <c r="I29" s="519"/>
      <c r="J29" s="519"/>
      <c r="K29" s="512"/>
      <c r="L29" s="487"/>
    </row>
    <row r="30" spans="2:15" ht="14.25" customHeight="1" x14ac:dyDescent="0.25">
      <c r="B30" s="628">
        <v>24</v>
      </c>
      <c r="C30" s="625" t="s">
        <v>455</v>
      </c>
      <c r="D30" s="626" t="s">
        <v>438</v>
      </c>
      <c r="E30" s="627">
        <v>0</v>
      </c>
      <c r="F30" s="509">
        <v>0</v>
      </c>
      <c r="G30" s="470"/>
      <c r="H30" s="518"/>
      <c r="I30" s="519"/>
      <c r="J30" s="519"/>
      <c r="K30" s="512"/>
      <c r="L30" s="487"/>
    </row>
    <row r="31" spans="2:15" ht="14.25" customHeight="1" thickBot="1" x14ac:dyDescent="0.3">
      <c r="B31" s="629">
        <v>25</v>
      </c>
      <c r="C31" s="630" t="s">
        <v>456</v>
      </c>
      <c r="D31" s="631">
        <f>+'PLAN RECUPERACIÓN '!I332</f>
        <v>368000000</v>
      </c>
      <c r="E31" s="632">
        <f>+D31/E4</f>
        <v>9254.9466180714917</v>
      </c>
      <c r="F31" s="520">
        <f>+D31+F28</f>
        <v>11419586699</v>
      </c>
      <c r="G31" s="470"/>
      <c r="H31" s="521"/>
      <c r="I31" s="522"/>
      <c r="J31" s="522"/>
      <c r="K31" s="523"/>
      <c r="L31" s="487"/>
    </row>
    <row r="32" spans="2:15" ht="15.75" thickBot="1" x14ac:dyDescent="0.3">
      <c r="B32" s="471"/>
      <c r="C32" s="614" t="s">
        <v>436</v>
      </c>
      <c r="D32" s="615">
        <f>SUM(D7:D31)</f>
        <v>11419586699</v>
      </c>
      <c r="E32" s="616">
        <f>SUM(E7:E31)</f>
        <v>287194.74266218545</v>
      </c>
      <c r="F32" s="473"/>
      <c r="G32" s="473"/>
      <c r="H32" s="524">
        <f>SUM(H8:H31)</f>
        <v>928321652</v>
      </c>
      <c r="I32" s="524">
        <f>SUM(I8:I31)</f>
        <v>683411000</v>
      </c>
      <c r="J32" s="524">
        <f>SUM(J8:J31)</f>
        <v>2760433000</v>
      </c>
      <c r="K32" s="470"/>
      <c r="L32" s="470"/>
    </row>
    <row r="33" spans="1:12" x14ac:dyDescent="0.25">
      <c r="B33" s="471"/>
      <c r="C33" s="470"/>
      <c r="D33" s="470"/>
      <c r="E33" s="470"/>
      <c r="F33" s="473"/>
      <c r="G33" s="473"/>
      <c r="H33" s="473"/>
      <c r="I33" s="473"/>
      <c r="J33" s="473"/>
      <c r="K33" s="470"/>
      <c r="L33" s="470"/>
    </row>
    <row r="34" spans="1:12" x14ac:dyDescent="0.25">
      <c r="B34" s="471"/>
      <c r="C34" s="470"/>
      <c r="D34" s="470"/>
      <c r="E34" s="525"/>
      <c r="F34" s="473"/>
      <c r="G34" s="473"/>
      <c r="H34" s="473"/>
      <c r="I34" s="473"/>
      <c r="J34" s="473"/>
      <c r="K34" s="470"/>
      <c r="L34" s="470"/>
    </row>
    <row r="35" spans="1:12" x14ac:dyDescent="0.25">
      <c r="A35" s="470"/>
      <c r="B35" s="471"/>
      <c r="C35" s="470"/>
      <c r="D35" s="470"/>
      <c r="E35" s="472"/>
      <c r="F35" s="473"/>
      <c r="G35" s="473"/>
      <c r="H35" s="473"/>
      <c r="I35" s="473"/>
      <c r="J35" s="473"/>
      <c r="K35" s="470"/>
      <c r="L35" s="470"/>
    </row>
    <row r="36" spans="1:12" ht="15.75" thickBot="1" x14ac:dyDescent="0.3">
      <c r="A36" s="470"/>
      <c r="B36" s="471"/>
      <c r="C36" s="470"/>
      <c r="D36" s="470"/>
      <c r="E36" s="472"/>
      <c r="F36" s="473"/>
      <c r="G36" s="473"/>
      <c r="H36" s="473"/>
      <c r="I36" s="473"/>
      <c r="J36" s="473"/>
      <c r="K36" s="470"/>
      <c r="L36" s="470"/>
    </row>
    <row r="37" spans="1:12" s="469" customFormat="1" ht="15.75" thickBot="1" x14ac:dyDescent="0.3">
      <c r="A37" s="474"/>
      <c r="B37" s="148" t="s">
        <v>465</v>
      </c>
      <c r="C37" s="475" t="s">
        <v>384</v>
      </c>
      <c r="D37" s="475" t="s">
        <v>469</v>
      </c>
      <c r="E37" s="476" t="s">
        <v>466</v>
      </c>
      <c r="F37" s="477"/>
      <c r="G37" s="477"/>
      <c r="H37" s="477"/>
      <c r="I37" s="477"/>
      <c r="J37" s="477"/>
      <c r="K37" s="474"/>
      <c r="L37" s="474"/>
    </row>
    <row r="38" spans="1:12" ht="29.25" customHeight="1" x14ac:dyDescent="0.25">
      <c r="A38" s="470"/>
      <c r="B38" s="478">
        <v>1</v>
      </c>
      <c r="C38" s="479" t="s">
        <v>467</v>
      </c>
      <c r="D38" s="480">
        <v>591858697</v>
      </c>
      <c r="E38" s="481">
        <v>14925</v>
      </c>
      <c r="F38" s="473"/>
      <c r="G38" s="473"/>
      <c r="H38" s="473"/>
      <c r="I38" s="473"/>
      <c r="J38" s="473"/>
      <c r="K38" s="470"/>
      <c r="L38" s="470"/>
    </row>
    <row r="39" spans="1:12" ht="36" customHeight="1" thickBot="1" x14ac:dyDescent="0.3">
      <c r="A39" s="470"/>
      <c r="B39" s="482">
        <v>2</v>
      </c>
      <c r="C39" s="483" t="s">
        <v>468</v>
      </c>
      <c r="D39" s="484">
        <f>+D32</f>
        <v>11419586699</v>
      </c>
      <c r="E39" s="485">
        <f>+E32</f>
        <v>287194.74266218545</v>
      </c>
      <c r="F39" s="473"/>
      <c r="G39" s="473"/>
      <c r="H39" s="473"/>
      <c r="I39" s="473"/>
      <c r="J39" s="473"/>
      <c r="K39" s="470"/>
      <c r="L39" s="470"/>
    </row>
    <row r="40" spans="1:12" x14ac:dyDescent="0.25">
      <c r="A40" s="470"/>
      <c r="B40" s="471"/>
      <c r="C40" s="486"/>
      <c r="D40" s="487"/>
      <c r="E40" s="488"/>
      <c r="F40" s="473"/>
      <c r="G40" s="473"/>
      <c r="H40" s="473"/>
      <c r="I40" s="473"/>
      <c r="J40" s="473"/>
      <c r="K40" s="470"/>
      <c r="L40" s="470"/>
    </row>
    <row r="41" spans="1:12" ht="15.75" thickBot="1" x14ac:dyDescent="0.3">
      <c r="A41" s="470"/>
      <c r="B41" s="471"/>
      <c r="C41" s="470"/>
      <c r="D41" s="470"/>
      <c r="E41" s="470"/>
      <c r="F41" s="473"/>
    </row>
    <row r="42" spans="1:12" x14ac:dyDescent="0.25">
      <c r="A42" s="470"/>
      <c r="B42" s="489"/>
      <c r="C42" s="490" t="str">
        <f>+B4</f>
        <v>Valor UF 09-01-2026</v>
      </c>
      <c r="D42" s="470"/>
      <c r="E42" s="470"/>
      <c r="F42" s="473"/>
    </row>
    <row r="43" spans="1:12" ht="15.75" thickBot="1" x14ac:dyDescent="0.3">
      <c r="A43" s="470"/>
      <c r="B43" s="471"/>
      <c r="C43" s="491">
        <f>+E4</f>
        <v>39762.519999999997</v>
      </c>
      <c r="D43" s="470"/>
      <c r="E43" s="470"/>
      <c r="F43" s="473"/>
    </row>
    <row r="44" spans="1:12" x14ac:dyDescent="0.25">
      <c r="A44" s="470"/>
      <c r="B44" s="471"/>
      <c r="C44" s="470"/>
      <c r="D44" s="470"/>
      <c r="E44" s="470"/>
      <c r="F44" s="473"/>
    </row>
    <row r="45" spans="1:12" x14ac:dyDescent="0.25">
      <c r="A45" s="470"/>
      <c r="B45" s="471"/>
      <c r="C45" s="470"/>
      <c r="D45" s="470"/>
      <c r="E45" s="470"/>
      <c r="F45" s="473"/>
    </row>
  </sheetData>
  <mergeCells count="3">
    <mergeCell ref="B2:E2"/>
    <mergeCell ref="B4:C4"/>
    <mergeCell ref="H5:K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4"/>
  <sheetViews>
    <sheetView showGridLines="0" zoomScale="90" zoomScaleNormal="90" workbookViewId="0">
      <selection activeCell="Q18" sqref="Q18"/>
    </sheetView>
  </sheetViews>
  <sheetFormatPr baseColWidth="10" defaultRowHeight="14.25" x14ac:dyDescent="0.2"/>
  <cols>
    <col min="1" max="1" width="4.5703125" style="634" customWidth="1"/>
    <col min="2" max="2" width="15.7109375" style="634" customWidth="1"/>
    <col min="3" max="3" width="13.28515625" style="635" customWidth="1"/>
    <col min="4" max="4" width="32.42578125" style="634" customWidth="1"/>
    <col min="5" max="5" width="11.5703125" style="634" hidden="1" customWidth="1"/>
    <col min="6" max="6" width="11.140625" style="636" hidden="1" customWidth="1"/>
    <col min="7" max="7" width="14.28515625" style="635" hidden="1" customWidth="1"/>
    <col min="8" max="8" width="17" style="634" hidden="1" customWidth="1"/>
    <col min="9" max="9" width="17" style="634" customWidth="1"/>
    <col min="10" max="10" width="16.42578125" style="634" customWidth="1"/>
    <col min="11" max="11" width="16.85546875" style="634" customWidth="1"/>
    <col min="12" max="12" width="20" style="634" customWidth="1"/>
    <col min="13" max="13" width="16.140625" style="634" customWidth="1"/>
    <col min="14" max="14" width="15.42578125" style="634" customWidth="1"/>
    <col min="15" max="15" width="22.5703125" style="634" customWidth="1"/>
    <col min="16" max="16" width="19.28515625" style="634" customWidth="1"/>
    <col min="17" max="19" width="11.42578125" style="634"/>
    <col min="20" max="20" width="13" style="634" customWidth="1"/>
    <col min="21" max="21" width="14.5703125" style="634" customWidth="1"/>
    <col min="22" max="16384" width="11.42578125" style="634"/>
  </cols>
  <sheetData>
    <row r="1" spans="2:13" ht="5.25" customHeight="1" x14ac:dyDescent="0.2"/>
    <row r="2" spans="2:13" ht="18" x14ac:dyDescent="0.25">
      <c r="B2" s="637" t="s">
        <v>382</v>
      </c>
      <c r="C2" s="637"/>
      <c r="D2" s="638"/>
    </row>
    <row r="3" spans="2:13" ht="8.25" customHeight="1" x14ac:dyDescent="0.25">
      <c r="B3" s="639"/>
      <c r="C3" s="640"/>
    </row>
    <row r="4" spans="2:13" ht="15.75" customHeight="1" thickBot="1" x14ac:dyDescent="0.25">
      <c r="B4" s="641" t="s">
        <v>470</v>
      </c>
      <c r="C4" s="640"/>
    </row>
    <row r="5" spans="2:13" ht="17.25" customHeight="1" thickBot="1" x14ac:dyDescent="0.3">
      <c r="B5" s="642"/>
      <c r="J5" s="687" t="s">
        <v>383</v>
      </c>
      <c r="K5" s="688"/>
      <c r="L5" s="688"/>
      <c r="M5" s="689"/>
    </row>
    <row r="6" spans="2:13" s="635" customFormat="1" ht="47.25" customHeight="1" thickBot="1" x14ac:dyDescent="0.3">
      <c r="B6" s="492" t="s">
        <v>384</v>
      </c>
      <c r="C6" s="493" t="s">
        <v>249</v>
      </c>
      <c r="D6" s="493" t="s">
        <v>385</v>
      </c>
      <c r="E6" s="494" t="s">
        <v>386</v>
      </c>
      <c r="F6" s="494" t="s">
        <v>387</v>
      </c>
      <c r="G6" s="494" t="s">
        <v>388</v>
      </c>
      <c r="H6" s="495" t="s">
        <v>433</v>
      </c>
      <c r="I6" s="693" t="s">
        <v>475</v>
      </c>
      <c r="J6" s="699" t="s">
        <v>473</v>
      </c>
      <c r="K6" s="707" t="s">
        <v>474</v>
      </c>
      <c r="L6" s="721" t="s">
        <v>389</v>
      </c>
      <c r="M6" s="714" t="s">
        <v>472</v>
      </c>
    </row>
    <row r="7" spans="2:13" s="647" customFormat="1" ht="15.75" customHeight="1" x14ac:dyDescent="0.25">
      <c r="B7" s="643" t="s">
        <v>390</v>
      </c>
      <c r="C7" s="644" t="s">
        <v>391</v>
      </c>
      <c r="D7" s="645" t="s">
        <v>392</v>
      </c>
      <c r="E7" s="646" t="s">
        <v>318</v>
      </c>
      <c r="F7" s="646">
        <v>1922</v>
      </c>
      <c r="G7" s="504"/>
      <c r="H7" s="504"/>
      <c r="I7" s="694" t="s">
        <v>393</v>
      </c>
      <c r="J7" s="700" t="s">
        <v>393</v>
      </c>
      <c r="K7" s="708" t="s">
        <v>393</v>
      </c>
      <c r="L7" s="700" t="s">
        <v>393</v>
      </c>
      <c r="M7" s="715" t="s">
        <v>402</v>
      </c>
    </row>
    <row r="8" spans="2:13" s="647" customFormat="1" ht="15" customHeight="1" x14ac:dyDescent="0.25">
      <c r="B8" s="648"/>
      <c r="C8" s="649"/>
      <c r="D8" s="38" t="s">
        <v>403</v>
      </c>
      <c r="E8" s="246" t="s">
        <v>318</v>
      </c>
      <c r="F8" s="246">
        <v>1922</v>
      </c>
      <c r="G8" s="245"/>
      <c r="H8" s="245"/>
      <c r="I8" s="695" t="s">
        <v>393</v>
      </c>
      <c r="J8" s="701" t="s">
        <v>393</v>
      </c>
      <c r="K8" s="709" t="s">
        <v>393</v>
      </c>
      <c r="L8" s="701" t="s">
        <v>393</v>
      </c>
      <c r="M8" s="716" t="s">
        <v>402</v>
      </c>
    </row>
    <row r="9" spans="2:13" s="652" customFormat="1" ht="15" customHeight="1" x14ac:dyDescent="0.2">
      <c r="B9" s="648"/>
      <c r="C9" s="649" t="s">
        <v>394</v>
      </c>
      <c r="D9" s="650" t="s">
        <v>395</v>
      </c>
      <c r="E9" s="246" t="s">
        <v>318</v>
      </c>
      <c r="F9" s="246">
        <f>320+340</f>
        <v>660</v>
      </c>
      <c r="G9" s="651"/>
      <c r="H9" s="651"/>
      <c r="I9" s="695" t="s">
        <v>393</v>
      </c>
      <c r="J9" s="701" t="s">
        <v>393</v>
      </c>
      <c r="K9" s="709" t="s">
        <v>393</v>
      </c>
      <c r="L9" s="701" t="s">
        <v>393</v>
      </c>
      <c r="M9" s="716" t="s">
        <v>402</v>
      </c>
    </row>
    <row r="10" spans="2:13" s="652" customFormat="1" ht="15.75" customHeight="1" x14ac:dyDescent="0.2">
      <c r="B10" s="648"/>
      <c r="C10" s="649"/>
      <c r="D10" s="653" t="s">
        <v>396</v>
      </c>
      <c r="E10" s="246" t="s">
        <v>318</v>
      </c>
      <c r="F10" s="246">
        <f>+F9</f>
        <v>660</v>
      </c>
      <c r="G10" s="654"/>
      <c r="H10" s="651"/>
      <c r="I10" s="695" t="s">
        <v>393</v>
      </c>
      <c r="J10" s="701" t="s">
        <v>393</v>
      </c>
      <c r="K10" s="709" t="s">
        <v>393</v>
      </c>
      <c r="L10" s="701" t="s">
        <v>393</v>
      </c>
      <c r="M10" s="716" t="s">
        <v>402</v>
      </c>
    </row>
    <row r="11" spans="2:13" s="652" customFormat="1" ht="15" customHeight="1" x14ac:dyDescent="0.2">
      <c r="B11" s="648"/>
      <c r="C11" s="649"/>
      <c r="D11" s="653" t="s">
        <v>397</v>
      </c>
      <c r="E11" s="246" t="s">
        <v>318</v>
      </c>
      <c r="F11" s="246">
        <f>330+215+54+50+106+3.2+43+18</f>
        <v>819.2</v>
      </c>
      <c r="G11" s="651">
        <v>379000</v>
      </c>
      <c r="H11" s="651">
        <f>+G11*F11</f>
        <v>310476800</v>
      </c>
      <c r="I11" s="696" t="s">
        <v>393</v>
      </c>
      <c r="J11" s="702" t="s">
        <v>398</v>
      </c>
      <c r="K11" s="710" t="s">
        <v>399</v>
      </c>
      <c r="L11" s="702" t="s">
        <v>398</v>
      </c>
      <c r="M11" s="716" t="s">
        <v>402</v>
      </c>
    </row>
    <row r="12" spans="2:13" s="652" customFormat="1" ht="20.25" customHeight="1" x14ac:dyDescent="0.2">
      <c r="B12" s="655" t="s">
        <v>400</v>
      </c>
      <c r="C12" s="656" t="s">
        <v>391</v>
      </c>
      <c r="D12" s="650" t="s">
        <v>401</v>
      </c>
      <c r="E12" s="246" t="s">
        <v>318</v>
      </c>
      <c r="F12" s="246">
        <f>373+364+630</f>
        <v>1367</v>
      </c>
      <c r="G12" s="245"/>
      <c r="H12" s="657">
        <v>932362560</v>
      </c>
      <c r="I12" s="695" t="s">
        <v>393</v>
      </c>
      <c r="J12" s="702" t="s">
        <v>402</v>
      </c>
      <c r="K12" s="709" t="s">
        <v>393</v>
      </c>
      <c r="L12" s="701" t="s">
        <v>393</v>
      </c>
      <c r="M12" s="717" t="s">
        <v>393</v>
      </c>
    </row>
    <row r="13" spans="2:13" s="652" customFormat="1" ht="17.25" customHeight="1" x14ac:dyDescent="0.2">
      <c r="B13" s="655"/>
      <c r="C13" s="656"/>
      <c r="D13" s="658" t="s">
        <v>403</v>
      </c>
      <c r="E13" s="246" t="s">
        <v>318</v>
      </c>
      <c r="F13" s="246">
        <f>+F12</f>
        <v>1367</v>
      </c>
      <c r="G13" s="651"/>
      <c r="H13" s="657"/>
      <c r="I13" s="695" t="s">
        <v>393</v>
      </c>
      <c r="J13" s="703" t="s">
        <v>402</v>
      </c>
      <c r="K13" s="709" t="s">
        <v>393</v>
      </c>
      <c r="L13" s="701" t="s">
        <v>393</v>
      </c>
      <c r="M13" s="717" t="s">
        <v>393</v>
      </c>
    </row>
    <row r="14" spans="2:13" s="652" customFormat="1" ht="25.5" x14ac:dyDescent="0.2">
      <c r="B14" s="655"/>
      <c r="C14" s="656" t="s">
        <v>394</v>
      </c>
      <c r="D14" s="38" t="s">
        <v>404</v>
      </c>
      <c r="E14" s="246" t="s">
        <v>318</v>
      </c>
      <c r="F14" s="246">
        <v>3104</v>
      </c>
      <c r="G14" s="651"/>
      <c r="H14" s="657"/>
      <c r="I14" s="695" t="s">
        <v>393</v>
      </c>
      <c r="J14" s="702" t="s">
        <v>402</v>
      </c>
      <c r="K14" s="709" t="s">
        <v>393</v>
      </c>
      <c r="L14" s="702" t="s">
        <v>402</v>
      </c>
      <c r="M14" s="717" t="s">
        <v>393</v>
      </c>
    </row>
    <row r="15" spans="2:13" s="652" customFormat="1" ht="14.25" customHeight="1" x14ac:dyDescent="0.2">
      <c r="B15" s="655"/>
      <c r="C15" s="656"/>
      <c r="D15" s="38" t="s">
        <v>405</v>
      </c>
      <c r="E15" s="246" t="s">
        <v>318</v>
      </c>
      <c r="F15" s="246">
        <v>3104</v>
      </c>
      <c r="G15" s="654"/>
      <c r="H15" s="657"/>
      <c r="I15" s="695" t="s">
        <v>393</v>
      </c>
      <c r="J15" s="702" t="s">
        <v>402</v>
      </c>
      <c r="K15" s="709" t="s">
        <v>393</v>
      </c>
      <c r="L15" s="702" t="s">
        <v>402</v>
      </c>
      <c r="M15" s="717" t="s">
        <v>393</v>
      </c>
    </row>
    <row r="16" spans="2:13" s="652" customFormat="1" ht="13.5" customHeight="1" x14ac:dyDescent="0.2">
      <c r="B16" s="655"/>
      <c r="C16" s="656"/>
      <c r="D16" s="653" t="s">
        <v>397</v>
      </c>
      <c r="E16" s="246" t="s">
        <v>318</v>
      </c>
      <c r="F16" s="246">
        <f>3.8+3.8+10.8+6.3+4.2+3.2+15+11+16+0.7+64+11+13+4.2+0.6+4.2</f>
        <v>171.79999999999998</v>
      </c>
      <c r="G16" s="651">
        <v>379000</v>
      </c>
      <c r="H16" s="651">
        <f>+G16*F16</f>
        <v>65112199.999999993</v>
      </c>
      <c r="I16" s="695" t="s">
        <v>393</v>
      </c>
      <c r="J16" s="702" t="s">
        <v>402</v>
      </c>
      <c r="K16" s="710" t="s">
        <v>402</v>
      </c>
      <c r="L16" s="702" t="s">
        <v>402</v>
      </c>
      <c r="M16" s="716" t="s">
        <v>402</v>
      </c>
    </row>
    <row r="17" spans="2:13" s="662" customFormat="1" ht="15" customHeight="1" x14ac:dyDescent="0.2">
      <c r="B17" s="659" t="s">
        <v>406</v>
      </c>
      <c r="C17" s="656" t="s">
        <v>407</v>
      </c>
      <c r="D17" s="653" t="s">
        <v>408</v>
      </c>
      <c r="E17" s="649" t="s">
        <v>409</v>
      </c>
      <c r="F17" s="656">
        <v>1</v>
      </c>
      <c r="G17" s="660">
        <v>171333344</v>
      </c>
      <c r="H17" s="657">
        <f t="shared" ref="H17" si="0">+G17*F17</f>
        <v>171333344</v>
      </c>
      <c r="I17" s="697" t="s">
        <v>393</v>
      </c>
      <c r="J17" s="704" t="s">
        <v>393</v>
      </c>
      <c r="K17" s="711" t="s">
        <v>402</v>
      </c>
      <c r="L17" s="703" t="s">
        <v>402</v>
      </c>
      <c r="M17" s="718" t="s">
        <v>402</v>
      </c>
    </row>
    <row r="18" spans="2:13" s="662" customFormat="1" ht="12.75" customHeight="1" x14ac:dyDescent="0.2">
      <c r="B18" s="659"/>
      <c r="C18" s="656"/>
      <c r="D18" s="653" t="s">
        <v>410</v>
      </c>
      <c r="E18" s="649"/>
      <c r="F18" s="656"/>
      <c r="G18" s="660"/>
      <c r="H18" s="657"/>
      <c r="I18" s="697" t="s">
        <v>393</v>
      </c>
      <c r="J18" s="704" t="s">
        <v>393</v>
      </c>
      <c r="K18" s="711" t="s">
        <v>402</v>
      </c>
      <c r="L18" s="703" t="s">
        <v>402</v>
      </c>
      <c r="M18" s="718" t="s">
        <v>402</v>
      </c>
    </row>
    <row r="19" spans="2:13" s="662" customFormat="1" ht="12.75" x14ac:dyDescent="0.2">
      <c r="B19" s="659"/>
      <c r="C19" s="656"/>
      <c r="D19" s="653" t="s">
        <v>411</v>
      </c>
      <c r="E19" s="649"/>
      <c r="F19" s="656"/>
      <c r="G19" s="660"/>
      <c r="H19" s="657"/>
      <c r="I19" s="697" t="s">
        <v>393</v>
      </c>
      <c r="J19" s="705" t="s">
        <v>393</v>
      </c>
      <c r="K19" s="711" t="s">
        <v>402</v>
      </c>
      <c r="L19" s="703" t="s">
        <v>402</v>
      </c>
      <c r="M19" s="718" t="s">
        <v>402</v>
      </c>
    </row>
    <row r="20" spans="2:13" s="662" customFormat="1" ht="12.75" x14ac:dyDescent="0.2">
      <c r="B20" s="659"/>
      <c r="C20" s="656" t="s">
        <v>400</v>
      </c>
      <c r="D20" s="653" t="s">
        <v>408</v>
      </c>
      <c r="E20" s="649" t="s">
        <v>409</v>
      </c>
      <c r="F20" s="656">
        <v>1</v>
      </c>
      <c r="G20" s="660">
        <f>1367*23450</f>
        <v>32056150</v>
      </c>
      <c r="H20" s="657">
        <f>+G20*F20</f>
        <v>32056150</v>
      </c>
      <c r="I20" s="697" t="s">
        <v>393</v>
      </c>
      <c r="J20" s="703" t="s">
        <v>402</v>
      </c>
      <c r="K20" s="711" t="s">
        <v>402</v>
      </c>
      <c r="L20" s="703" t="s">
        <v>402</v>
      </c>
      <c r="M20" s="718" t="s">
        <v>402</v>
      </c>
    </row>
    <row r="21" spans="2:13" s="662" customFormat="1" ht="12.75" x14ac:dyDescent="0.2">
      <c r="B21" s="659"/>
      <c r="C21" s="656"/>
      <c r="D21" s="653" t="s">
        <v>410</v>
      </c>
      <c r="E21" s="649"/>
      <c r="F21" s="656"/>
      <c r="G21" s="660"/>
      <c r="H21" s="657"/>
      <c r="I21" s="697" t="s">
        <v>393</v>
      </c>
      <c r="J21" s="703" t="s">
        <v>402</v>
      </c>
      <c r="K21" s="712" t="s">
        <v>393</v>
      </c>
      <c r="L21" s="703" t="s">
        <v>402</v>
      </c>
      <c r="M21" s="718" t="s">
        <v>402</v>
      </c>
    </row>
    <row r="22" spans="2:13" s="663" customFormat="1" ht="24" customHeight="1" x14ac:dyDescent="0.25">
      <c r="B22" s="655" t="s">
        <v>411</v>
      </c>
      <c r="C22" s="656" t="s">
        <v>407</v>
      </c>
      <c r="D22" s="38" t="s">
        <v>412</v>
      </c>
      <c r="E22" s="649" t="s">
        <v>409</v>
      </c>
      <c r="F22" s="656">
        <v>1</v>
      </c>
      <c r="G22" s="660">
        <v>650602993</v>
      </c>
      <c r="H22" s="660">
        <f t="shared" ref="H22:H29" si="1">+G22*F22</f>
        <v>650602993</v>
      </c>
      <c r="I22" s="697" t="s">
        <v>393</v>
      </c>
      <c r="J22" s="703" t="s">
        <v>398</v>
      </c>
      <c r="K22" s="711" t="s">
        <v>402</v>
      </c>
      <c r="L22" s="703" t="s">
        <v>402</v>
      </c>
      <c r="M22" s="718" t="s">
        <v>402</v>
      </c>
    </row>
    <row r="23" spans="2:13" s="663" customFormat="1" ht="15" customHeight="1" x14ac:dyDescent="0.25">
      <c r="B23" s="655"/>
      <c r="C23" s="656"/>
      <c r="D23" s="38" t="s">
        <v>413</v>
      </c>
      <c r="E23" s="649"/>
      <c r="F23" s="656"/>
      <c r="G23" s="660"/>
      <c r="H23" s="660"/>
      <c r="I23" s="697" t="s">
        <v>393</v>
      </c>
      <c r="J23" s="703" t="s">
        <v>398</v>
      </c>
      <c r="K23" s="711" t="s">
        <v>402</v>
      </c>
      <c r="L23" s="703" t="s">
        <v>402</v>
      </c>
      <c r="M23" s="718" t="s">
        <v>402</v>
      </c>
    </row>
    <row r="24" spans="2:13" s="662" customFormat="1" ht="13.5" customHeight="1" x14ac:dyDescent="0.2">
      <c r="B24" s="655"/>
      <c r="C24" s="656"/>
      <c r="D24" s="653" t="s">
        <v>414</v>
      </c>
      <c r="E24" s="246" t="s">
        <v>409</v>
      </c>
      <c r="F24" s="661">
        <v>1</v>
      </c>
      <c r="G24" s="664">
        <v>35000000</v>
      </c>
      <c r="H24" s="665">
        <f>+F24*G24</f>
        <v>35000000</v>
      </c>
      <c r="I24" s="697" t="s">
        <v>393</v>
      </c>
      <c r="J24" s="703" t="s">
        <v>398</v>
      </c>
      <c r="K24" s="711" t="s">
        <v>402</v>
      </c>
      <c r="L24" s="703" t="s">
        <v>402</v>
      </c>
      <c r="M24" s="718" t="s">
        <v>402</v>
      </c>
    </row>
    <row r="25" spans="2:13" s="652" customFormat="1" ht="15" customHeight="1" x14ac:dyDescent="0.2">
      <c r="B25" s="659" t="s">
        <v>415</v>
      </c>
      <c r="C25" s="649" t="s">
        <v>416</v>
      </c>
      <c r="D25" s="666" t="s">
        <v>417</v>
      </c>
      <c r="E25" s="246" t="s">
        <v>318</v>
      </c>
      <c r="F25" s="656">
        <v>1</v>
      </c>
      <c r="G25" s="660"/>
      <c r="H25" s="660"/>
      <c r="I25" s="695" t="s">
        <v>393</v>
      </c>
      <c r="J25" s="701" t="s">
        <v>393</v>
      </c>
      <c r="K25" s="711" t="s">
        <v>402</v>
      </c>
      <c r="L25" s="702" t="s">
        <v>402</v>
      </c>
      <c r="M25" s="716" t="s">
        <v>402</v>
      </c>
    </row>
    <row r="26" spans="2:13" s="652" customFormat="1" ht="12.75" customHeight="1" x14ac:dyDescent="0.2">
      <c r="B26" s="659"/>
      <c r="C26" s="649"/>
      <c r="D26" s="666" t="s">
        <v>418</v>
      </c>
      <c r="E26" s="246" t="s">
        <v>318</v>
      </c>
      <c r="F26" s="656"/>
      <c r="G26" s="660"/>
      <c r="H26" s="660"/>
      <c r="I26" s="695" t="s">
        <v>393</v>
      </c>
      <c r="J26" s="701" t="s">
        <v>393</v>
      </c>
      <c r="K26" s="711" t="s">
        <v>402</v>
      </c>
      <c r="L26" s="702" t="s">
        <v>402</v>
      </c>
      <c r="M26" s="716" t="s">
        <v>402</v>
      </c>
    </row>
    <row r="27" spans="2:13" s="652" customFormat="1" ht="12.75" x14ac:dyDescent="0.2">
      <c r="B27" s="659"/>
      <c r="C27" s="649"/>
      <c r="D27" s="666" t="s">
        <v>419</v>
      </c>
      <c r="E27" s="246" t="s">
        <v>318</v>
      </c>
      <c r="F27" s="656"/>
      <c r="G27" s="660"/>
      <c r="H27" s="660"/>
      <c r="I27" s="695" t="s">
        <v>393</v>
      </c>
      <c r="J27" s="701" t="s">
        <v>393</v>
      </c>
      <c r="K27" s="711" t="s">
        <v>402</v>
      </c>
      <c r="L27" s="702" t="s">
        <v>402</v>
      </c>
      <c r="M27" s="716" t="s">
        <v>402</v>
      </c>
    </row>
    <row r="28" spans="2:13" s="662" customFormat="1" ht="12.75" x14ac:dyDescent="0.2">
      <c r="B28" s="655" t="s">
        <v>407</v>
      </c>
      <c r="C28" s="656" t="s">
        <v>420</v>
      </c>
      <c r="D28" s="666" t="s">
        <v>421</v>
      </c>
      <c r="E28" s="246" t="s">
        <v>318</v>
      </c>
      <c r="F28" s="661">
        <v>1</v>
      </c>
      <c r="G28" s="665">
        <v>920993</v>
      </c>
      <c r="H28" s="664">
        <f t="shared" si="1"/>
        <v>920993</v>
      </c>
      <c r="I28" s="697" t="s">
        <v>393</v>
      </c>
      <c r="J28" s="705" t="s">
        <v>393</v>
      </c>
      <c r="K28" s="711" t="s">
        <v>402</v>
      </c>
      <c r="L28" s="703" t="s">
        <v>402</v>
      </c>
      <c r="M28" s="718" t="s">
        <v>402</v>
      </c>
    </row>
    <row r="29" spans="2:13" s="662" customFormat="1" ht="12.75" x14ac:dyDescent="0.2">
      <c r="B29" s="655"/>
      <c r="C29" s="656"/>
      <c r="D29" s="666" t="s">
        <v>422</v>
      </c>
      <c r="E29" s="246" t="s">
        <v>318</v>
      </c>
      <c r="F29" s="661">
        <v>1</v>
      </c>
      <c r="G29" s="665">
        <v>124189402</v>
      </c>
      <c r="H29" s="664">
        <f t="shared" si="1"/>
        <v>124189402</v>
      </c>
      <c r="I29" s="697" t="s">
        <v>393</v>
      </c>
      <c r="J29" s="705" t="s">
        <v>393</v>
      </c>
      <c r="K29" s="711" t="s">
        <v>402</v>
      </c>
      <c r="L29" s="703" t="s">
        <v>402</v>
      </c>
      <c r="M29" s="718" t="s">
        <v>402</v>
      </c>
    </row>
    <row r="30" spans="2:13" s="662" customFormat="1" ht="12.75" x14ac:dyDescent="0.2">
      <c r="B30" s="655"/>
      <c r="C30" s="656"/>
      <c r="D30" s="666" t="s">
        <v>423</v>
      </c>
      <c r="E30" s="246" t="s">
        <v>318</v>
      </c>
      <c r="F30" s="661">
        <v>1</v>
      </c>
      <c r="G30" s="665"/>
      <c r="H30" s="664"/>
      <c r="I30" s="697" t="s">
        <v>393</v>
      </c>
      <c r="J30" s="705" t="s">
        <v>393</v>
      </c>
      <c r="K30" s="711" t="s">
        <v>402</v>
      </c>
      <c r="L30" s="703" t="s">
        <v>402</v>
      </c>
      <c r="M30" s="718" t="s">
        <v>402</v>
      </c>
    </row>
    <row r="31" spans="2:13" s="662" customFormat="1" ht="12.75" x14ac:dyDescent="0.2">
      <c r="B31" s="655"/>
      <c r="C31" s="656"/>
      <c r="D31" s="666" t="s">
        <v>424</v>
      </c>
      <c r="E31" s="667" t="s">
        <v>409</v>
      </c>
      <c r="F31" s="661">
        <v>1</v>
      </c>
      <c r="G31" s="665"/>
      <c r="H31" s="664"/>
      <c r="I31" s="697" t="s">
        <v>393</v>
      </c>
      <c r="J31" s="705" t="s">
        <v>393</v>
      </c>
      <c r="K31" s="711" t="s">
        <v>402</v>
      </c>
      <c r="L31" s="705" t="s">
        <v>393</v>
      </c>
      <c r="M31" s="719" t="s">
        <v>393</v>
      </c>
    </row>
    <row r="32" spans="2:13" s="673" customFormat="1" ht="39.75" customHeight="1" thickBot="1" x14ac:dyDescent="0.3">
      <c r="B32" s="668"/>
      <c r="C32" s="669"/>
      <c r="D32" s="670" t="s">
        <v>425</v>
      </c>
      <c r="E32" s="671" t="s">
        <v>409</v>
      </c>
      <c r="F32" s="671">
        <v>1</v>
      </c>
      <c r="G32" s="672"/>
      <c r="H32" s="672"/>
      <c r="I32" s="698" t="s">
        <v>393</v>
      </c>
      <c r="J32" s="706" t="s">
        <v>393</v>
      </c>
      <c r="K32" s="713" t="s">
        <v>402</v>
      </c>
      <c r="L32" s="722" t="s">
        <v>426</v>
      </c>
      <c r="M32" s="720" t="s">
        <v>402</v>
      </c>
    </row>
    <row r="33" spans="2:15" s="678" customFormat="1" ht="30" customHeight="1" x14ac:dyDescent="0.25">
      <c r="B33" s="635"/>
      <c r="C33" s="674"/>
      <c r="D33" s="674"/>
      <c r="E33" s="675"/>
      <c r="F33" s="675"/>
      <c r="G33" s="676"/>
      <c r="H33" s="677" t="s">
        <v>427</v>
      </c>
      <c r="I33" s="690">
        <f>+J33+M33</f>
        <v>3183030317</v>
      </c>
      <c r="J33" s="691">
        <f>2119557362+H28+H29</f>
        <v>2244667757</v>
      </c>
      <c r="K33" s="692">
        <v>3352029075</v>
      </c>
      <c r="L33" s="692">
        <v>2237065353</v>
      </c>
      <c r="M33" s="692">
        <v>938362560</v>
      </c>
      <c r="O33" s="679"/>
    </row>
    <row r="34" spans="2:15" ht="15" customHeight="1" x14ac:dyDescent="0.25">
      <c r="B34" s="635"/>
      <c r="C34" s="634"/>
      <c r="E34" s="636"/>
      <c r="F34" s="635"/>
      <c r="G34" s="634"/>
      <c r="H34" s="680"/>
      <c r="I34" s="681"/>
      <c r="J34" s="682">
        <f>+J33+H24+H22+H17+H11</f>
        <v>3412080894</v>
      </c>
      <c r="K34" s="681"/>
      <c r="L34" s="681"/>
      <c r="M34" s="681"/>
    </row>
    <row r="35" spans="2:15" ht="15" x14ac:dyDescent="0.25">
      <c r="B35" s="635"/>
      <c r="C35" s="634"/>
      <c r="E35" s="636"/>
      <c r="F35" s="635"/>
      <c r="G35" s="634"/>
      <c r="H35" s="683" t="s">
        <v>428</v>
      </c>
      <c r="I35" s="684" t="s">
        <v>429</v>
      </c>
      <c r="J35" s="684" t="s">
        <v>429</v>
      </c>
      <c r="K35" s="684" t="s">
        <v>430</v>
      </c>
      <c r="L35" s="684" t="s">
        <v>431</v>
      </c>
      <c r="M35" s="684" t="s">
        <v>431</v>
      </c>
    </row>
    <row r="36" spans="2:15" ht="36" x14ac:dyDescent="0.2">
      <c r="B36" s="635"/>
      <c r="C36" s="634"/>
      <c r="E36" s="636"/>
      <c r="F36" s="635"/>
      <c r="G36" s="634"/>
      <c r="H36" s="685"/>
      <c r="I36" s="685"/>
      <c r="J36" s="635"/>
      <c r="K36" s="686" t="s">
        <v>432</v>
      </c>
    </row>
    <row r="37" spans="2:15" x14ac:dyDescent="0.2">
      <c r="B37" s="635"/>
      <c r="C37" s="634"/>
      <c r="E37" s="636"/>
      <c r="F37" s="635"/>
      <c r="G37" s="634"/>
      <c r="H37" s="685"/>
      <c r="I37" s="685"/>
      <c r="J37" s="635"/>
    </row>
    <row r="38" spans="2:15" x14ac:dyDescent="0.2">
      <c r="B38" s="635"/>
      <c r="C38" s="634"/>
      <c r="E38" s="636"/>
      <c r="F38" s="635"/>
      <c r="G38" s="634"/>
      <c r="H38" s="685"/>
      <c r="I38" s="685"/>
      <c r="J38" s="635"/>
    </row>
    <row r="39" spans="2:15" x14ac:dyDescent="0.2">
      <c r="B39" s="635"/>
      <c r="C39" s="634"/>
      <c r="E39" s="636"/>
      <c r="F39" s="635"/>
      <c r="G39" s="634"/>
      <c r="H39" s="685"/>
      <c r="I39" s="685"/>
      <c r="J39" s="635"/>
      <c r="K39" s="635"/>
    </row>
    <row r="40" spans="2:15" x14ac:dyDescent="0.2">
      <c r="B40" s="635"/>
      <c r="C40" s="634"/>
      <c r="E40" s="636"/>
      <c r="F40" s="635"/>
      <c r="G40" s="634"/>
      <c r="H40" s="685"/>
      <c r="I40" s="685"/>
      <c r="J40" s="635"/>
    </row>
    <row r="41" spans="2:15" x14ac:dyDescent="0.2">
      <c r="B41" s="635"/>
      <c r="C41" s="634"/>
      <c r="E41" s="636"/>
      <c r="F41" s="635"/>
      <c r="G41" s="634"/>
      <c r="H41" s="685"/>
      <c r="I41" s="685"/>
      <c r="J41" s="635"/>
    </row>
    <row r="42" spans="2:15" x14ac:dyDescent="0.2">
      <c r="B42" s="635"/>
      <c r="C42" s="634"/>
      <c r="E42" s="636"/>
      <c r="F42" s="635"/>
      <c r="G42" s="634"/>
      <c r="H42" s="685"/>
      <c r="I42" s="685"/>
      <c r="J42" s="635"/>
    </row>
    <row r="43" spans="2:15" x14ac:dyDescent="0.2">
      <c r="B43" s="635"/>
      <c r="C43" s="634"/>
      <c r="E43" s="636"/>
      <c r="F43" s="635"/>
      <c r="G43" s="634"/>
      <c r="H43" s="685"/>
      <c r="I43" s="685"/>
      <c r="J43" s="635"/>
    </row>
    <row r="44" spans="2:15" x14ac:dyDescent="0.2">
      <c r="B44" s="635"/>
      <c r="C44" s="634"/>
      <c r="E44" s="636"/>
      <c r="F44" s="635"/>
      <c r="G44" s="634"/>
      <c r="H44" s="685"/>
      <c r="I44" s="685"/>
      <c r="J44" s="635"/>
    </row>
    <row r="45" spans="2:15" x14ac:dyDescent="0.2">
      <c r="B45" s="635"/>
      <c r="C45" s="634"/>
      <c r="E45" s="636"/>
      <c r="F45" s="635"/>
      <c r="G45" s="634"/>
      <c r="H45" s="685"/>
      <c r="I45" s="685"/>
      <c r="J45" s="635"/>
    </row>
    <row r="46" spans="2:15" x14ac:dyDescent="0.2">
      <c r="B46" s="635"/>
      <c r="C46" s="634"/>
      <c r="E46" s="636"/>
      <c r="F46" s="635"/>
      <c r="G46" s="634"/>
      <c r="H46" s="685"/>
      <c r="I46" s="685"/>
      <c r="J46" s="635"/>
    </row>
    <row r="47" spans="2:15" x14ac:dyDescent="0.2">
      <c r="B47" s="635"/>
      <c r="C47" s="634"/>
      <c r="E47" s="636"/>
      <c r="F47" s="635"/>
      <c r="G47" s="634"/>
      <c r="H47" s="685"/>
      <c r="I47" s="685"/>
      <c r="J47" s="635"/>
    </row>
    <row r="48" spans="2:15" x14ac:dyDescent="0.2">
      <c r="B48" s="635"/>
      <c r="C48" s="634"/>
      <c r="E48" s="636"/>
      <c r="F48" s="635"/>
      <c r="G48" s="634"/>
      <c r="H48" s="685"/>
      <c r="I48" s="685"/>
      <c r="J48" s="635"/>
    </row>
    <row r="49" spans="2:10" x14ac:dyDescent="0.2">
      <c r="B49" s="635"/>
      <c r="C49" s="634"/>
      <c r="E49" s="636"/>
      <c r="F49" s="635"/>
      <c r="G49" s="634"/>
      <c r="H49" s="685"/>
      <c r="I49" s="685"/>
      <c r="J49" s="635"/>
    </row>
    <row r="50" spans="2:10" x14ac:dyDescent="0.2">
      <c r="B50" s="635"/>
      <c r="C50" s="634"/>
      <c r="E50" s="636"/>
      <c r="F50" s="635"/>
      <c r="G50" s="634"/>
      <c r="H50" s="685"/>
      <c r="I50" s="685"/>
      <c r="J50" s="635"/>
    </row>
    <row r="51" spans="2:10" x14ac:dyDescent="0.2">
      <c r="B51" s="635"/>
      <c r="C51" s="634"/>
      <c r="E51" s="636"/>
      <c r="F51" s="635"/>
      <c r="G51" s="634"/>
      <c r="H51" s="685"/>
      <c r="I51" s="685"/>
      <c r="J51" s="635"/>
    </row>
    <row r="52" spans="2:10" x14ac:dyDescent="0.2">
      <c r="B52" s="635"/>
      <c r="C52" s="634"/>
      <c r="E52" s="636"/>
      <c r="F52" s="635"/>
      <c r="G52" s="634"/>
      <c r="H52" s="685"/>
      <c r="I52" s="685"/>
      <c r="J52" s="635"/>
    </row>
    <row r="53" spans="2:10" x14ac:dyDescent="0.2">
      <c r="B53" s="635"/>
      <c r="C53" s="634"/>
      <c r="E53" s="636"/>
      <c r="F53" s="635"/>
      <c r="G53" s="634"/>
      <c r="H53" s="685"/>
      <c r="I53" s="685"/>
      <c r="J53" s="635"/>
    </row>
    <row r="54" spans="2:10" x14ac:dyDescent="0.2">
      <c r="B54" s="635"/>
      <c r="C54" s="634"/>
      <c r="E54" s="636"/>
      <c r="F54" s="635"/>
      <c r="G54" s="634"/>
      <c r="H54" s="685"/>
      <c r="I54" s="685"/>
      <c r="J54" s="635"/>
    </row>
    <row r="55" spans="2:10" x14ac:dyDescent="0.2">
      <c r="B55" s="635"/>
      <c r="C55" s="634"/>
      <c r="E55" s="636"/>
      <c r="F55" s="635"/>
      <c r="G55" s="634"/>
      <c r="H55" s="685"/>
      <c r="I55" s="685"/>
      <c r="J55" s="635"/>
    </row>
    <row r="56" spans="2:10" x14ac:dyDescent="0.2">
      <c r="B56" s="635"/>
      <c r="C56" s="634"/>
      <c r="E56" s="636"/>
      <c r="F56" s="635"/>
      <c r="G56" s="634"/>
      <c r="H56" s="685"/>
      <c r="I56" s="685"/>
      <c r="J56" s="635"/>
    </row>
    <row r="57" spans="2:10" x14ac:dyDescent="0.2">
      <c r="B57" s="635"/>
      <c r="C57" s="634"/>
      <c r="E57" s="636"/>
      <c r="F57" s="635"/>
      <c r="G57" s="634"/>
      <c r="H57" s="685"/>
      <c r="I57" s="685"/>
      <c r="J57" s="635"/>
    </row>
    <row r="58" spans="2:10" x14ac:dyDescent="0.2">
      <c r="B58" s="635"/>
      <c r="C58" s="634"/>
      <c r="E58" s="636"/>
      <c r="F58" s="635"/>
      <c r="G58" s="634"/>
      <c r="H58" s="685"/>
      <c r="I58" s="685"/>
      <c r="J58" s="635"/>
    </row>
    <row r="59" spans="2:10" x14ac:dyDescent="0.2">
      <c r="B59" s="635"/>
      <c r="C59" s="634"/>
      <c r="E59" s="636"/>
      <c r="F59" s="635"/>
      <c r="G59" s="634"/>
      <c r="H59" s="685"/>
      <c r="I59" s="685"/>
      <c r="J59" s="635"/>
    </row>
    <row r="60" spans="2:10" x14ac:dyDescent="0.2">
      <c r="B60" s="635"/>
      <c r="C60" s="634"/>
      <c r="E60" s="636"/>
      <c r="F60" s="635"/>
      <c r="G60" s="634"/>
      <c r="H60" s="685"/>
      <c r="I60" s="685"/>
      <c r="J60" s="635"/>
    </row>
    <row r="61" spans="2:10" x14ac:dyDescent="0.2">
      <c r="B61" s="635"/>
      <c r="C61" s="634"/>
      <c r="E61" s="636"/>
      <c r="F61" s="635"/>
      <c r="G61" s="634"/>
      <c r="H61" s="685"/>
      <c r="I61" s="685"/>
      <c r="J61" s="635"/>
    </row>
    <row r="62" spans="2:10" x14ac:dyDescent="0.2">
      <c r="B62" s="635"/>
      <c r="C62" s="634"/>
      <c r="E62" s="636"/>
      <c r="F62" s="635"/>
      <c r="G62" s="634"/>
      <c r="H62" s="685"/>
      <c r="I62" s="685"/>
      <c r="J62" s="635"/>
    </row>
    <row r="63" spans="2:10" x14ac:dyDescent="0.2">
      <c r="B63" s="635"/>
      <c r="C63" s="634"/>
      <c r="E63" s="636"/>
      <c r="F63" s="635"/>
      <c r="G63" s="634"/>
      <c r="H63" s="685"/>
      <c r="I63" s="685"/>
      <c r="J63" s="635"/>
    </row>
    <row r="64" spans="2:10" x14ac:dyDescent="0.2">
      <c r="B64" s="635"/>
      <c r="C64" s="634"/>
      <c r="E64" s="636"/>
      <c r="F64" s="635"/>
      <c r="G64" s="634"/>
      <c r="H64" s="685"/>
      <c r="I64" s="685"/>
      <c r="J64" s="635"/>
    </row>
  </sheetData>
  <mergeCells count="33">
    <mergeCell ref="J5:M5"/>
    <mergeCell ref="H12:H15"/>
    <mergeCell ref="H17:H19"/>
    <mergeCell ref="B17:B21"/>
    <mergeCell ref="C17:C19"/>
    <mergeCell ref="E17:E19"/>
    <mergeCell ref="F17:F19"/>
    <mergeCell ref="G17:G19"/>
    <mergeCell ref="B7:B11"/>
    <mergeCell ref="C7:C8"/>
    <mergeCell ref="C9:C11"/>
    <mergeCell ref="B12:B16"/>
    <mergeCell ref="C12:C13"/>
    <mergeCell ref="C14:C16"/>
    <mergeCell ref="C20:C21"/>
    <mergeCell ref="E20:E21"/>
    <mergeCell ref="F20:F21"/>
    <mergeCell ref="G20:G21"/>
    <mergeCell ref="H20:H21"/>
    <mergeCell ref="B28:B32"/>
    <mergeCell ref="C28:C32"/>
    <mergeCell ref="H33:H34"/>
    <mergeCell ref="H22:H23"/>
    <mergeCell ref="B25:B27"/>
    <mergeCell ref="C25:C27"/>
    <mergeCell ref="F25:F27"/>
    <mergeCell ref="G25:G27"/>
    <mergeCell ref="H25:H27"/>
    <mergeCell ref="B22:B24"/>
    <mergeCell ref="C22:C24"/>
    <mergeCell ref="E22:E23"/>
    <mergeCell ref="F22:F23"/>
    <mergeCell ref="G22:G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PLAN SOSTENIMIENTO</vt:lpstr>
      <vt:lpstr>PLAN RECUPERACIÓN </vt:lpstr>
      <vt:lpstr>RESUMEN RECUP. POR EDIFICIO</vt:lpstr>
      <vt:lpstr>TABLA DE COMPARACIÓN 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Jimena Correa Alid</dc:creator>
  <cp:lastModifiedBy>11548193-2</cp:lastModifiedBy>
  <cp:lastPrinted>2025-09-03T14:43:10Z</cp:lastPrinted>
  <dcterms:created xsi:type="dcterms:W3CDTF">2024-06-13T15:15:00Z</dcterms:created>
  <dcterms:modified xsi:type="dcterms:W3CDTF">2026-01-19T15:05:38Z</dcterms:modified>
</cp:coreProperties>
</file>