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06\DEPARTAMENTAL\06 DEPTO ABASTECIMIENTO\03 FINANZAS\Presupuesto 2025\CONTROL PRESUPUESTARIO\9.- CIERRE SEPTIEMBRE BANCO 4\"/>
    </mc:Choice>
  </mc:AlternateContent>
  <bookViews>
    <workbookView xWindow="0" yWindow="0" windowWidth="28800" windowHeight="11676" activeTab="1"/>
  </bookViews>
  <sheets>
    <sheet name="CARTOLA INGRESOS SEP" sheetId="19" r:id="rId1"/>
    <sheet name="DESIVACIÓN DE CAJA" sheetId="9" r:id="rId2"/>
    <sheet name="PROYECCIÓN PRESUPUESTARIA" sheetId="10" r:id="rId3"/>
    <sheet name="REGISTRO DE RETIROS" sheetId="11" r:id="rId4"/>
    <sheet name="PRESUPUESTO" sheetId="16" r:id="rId5"/>
    <sheet name="CTAS X COBRAR" sheetId="13" r:id="rId6"/>
    <sheet name="CADETES" sheetId="12" r:id="rId7"/>
    <sheet name="FLUJOS 2022-2024" sheetId="7" r:id="rId8"/>
    <sheet name="REFERENCIAS" sheetId="6" r:id="rId9"/>
    <sheet name="DETALLE MOVIMIENTOS CF 3" sheetId="17" r:id="rId10"/>
    <sheet name="DETALLE NOVIMIENTOS CF 10" sheetId="18" r:id="rId11"/>
  </sheets>
  <definedNames>
    <definedName name="_xlnm._FilterDatabase" localSheetId="6" hidden="1">CADETES!$A$4:$I$465</definedName>
    <definedName name="_xlnm._FilterDatabase" localSheetId="8" hidden="1">REFERENCIAS!$A$8:$AB$29</definedName>
    <definedName name="_xlnm._FilterDatabase" localSheetId="3" hidden="1">'REGISTRO DE RETIROS'!$B$23:$J$83</definedName>
    <definedName name="_xlnm.Print_Area" localSheetId="1">'DESIVACIÓN DE CAJA'!$A$1:$P$130</definedName>
    <definedName name="_xlnm.Print_Area" localSheetId="9">'DETALLE MOVIMIENTOS CF 3'!$A$1:$C$153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9" l="1"/>
  <c r="E118" i="9" l="1"/>
  <c r="I294" i="19"/>
  <c r="H210" i="19"/>
  <c r="E87" i="9"/>
  <c r="I210" i="19"/>
  <c r="C161" i="17" l="1"/>
  <c r="E56" i="11" l="1"/>
  <c r="D56" i="11"/>
  <c r="C56" i="11"/>
  <c r="C55" i="11"/>
  <c r="M45" i="16" l="1"/>
  <c r="K45" i="16"/>
  <c r="H45" i="16"/>
  <c r="I45" i="16" s="1"/>
  <c r="F45" i="16"/>
  <c r="G45" i="16" s="1"/>
  <c r="E45" i="16"/>
  <c r="L44" i="16"/>
  <c r="J44" i="16"/>
  <c r="I44" i="16"/>
  <c r="G44" i="16"/>
  <c r="L43" i="16"/>
  <c r="J43" i="16"/>
  <c r="I43" i="16"/>
  <c r="G43" i="16"/>
  <c r="L42" i="16"/>
  <c r="J42" i="16"/>
  <c r="I42" i="16"/>
  <c r="G42" i="16"/>
  <c r="L41" i="16"/>
  <c r="J41" i="16"/>
  <c r="I41" i="16"/>
  <c r="G41" i="16"/>
  <c r="L40" i="16"/>
  <c r="J40" i="16"/>
  <c r="I40" i="16"/>
  <c r="G40" i="16"/>
  <c r="L39" i="16"/>
  <c r="J39" i="16"/>
  <c r="I39" i="16"/>
  <c r="G39" i="16"/>
  <c r="L38" i="16"/>
  <c r="J38" i="16"/>
  <c r="I38" i="16"/>
  <c r="G38" i="16"/>
  <c r="L37" i="16"/>
  <c r="J37" i="16"/>
  <c r="I37" i="16"/>
  <c r="G37" i="16"/>
  <c r="L36" i="16"/>
  <c r="J36" i="16"/>
  <c r="I36" i="16"/>
  <c r="G36" i="16"/>
  <c r="L35" i="16"/>
  <c r="J35" i="16"/>
  <c r="I35" i="16"/>
  <c r="G35" i="16"/>
  <c r="L34" i="16"/>
  <c r="J34" i="16"/>
  <c r="I34" i="16"/>
  <c r="G34" i="16"/>
  <c r="L33" i="16"/>
  <c r="J33" i="16"/>
  <c r="I33" i="16"/>
  <c r="G33" i="16"/>
  <c r="L32" i="16"/>
  <c r="J32" i="16"/>
  <c r="I32" i="16"/>
  <c r="G32" i="16"/>
  <c r="L31" i="16"/>
  <c r="J31" i="16"/>
  <c r="I31" i="16"/>
  <c r="G31" i="16"/>
  <c r="L30" i="16"/>
  <c r="J30" i="16"/>
  <c r="I30" i="16"/>
  <c r="G30" i="16"/>
  <c r="L29" i="16"/>
  <c r="L45" i="16" s="1"/>
  <c r="J29" i="16"/>
  <c r="I29" i="16"/>
  <c r="G29" i="16"/>
  <c r="P29" i="16"/>
  <c r="N43" i="16"/>
  <c r="J45" i="16" l="1"/>
  <c r="K18" i="16"/>
  <c r="H18" i="16"/>
  <c r="I18" i="16" s="1"/>
  <c r="G18" i="16"/>
  <c r="F18" i="16"/>
  <c r="E18" i="16"/>
  <c r="L17" i="16"/>
  <c r="N17" i="16" s="1"/>
  <c r="O17" i="16" s="1"/>
  <c r="J17" i="16"/>
  <c r="I17" i="16"/>
  <c r="G17" i="16"/>
  <c r="L16" i="16"/>
  <c r="N16" i="16" s="1"/>
  <c r="O16" i="16" s="1"/>
  <c r="J16" i="16"/>
  <c r="I16" i="16"/>
  <c r="G16" i="16"/>
  <c r="L15" i="16"/>
  <c r="N15" i="16" s="1"/>
  <c r="O15" i="16" s="1"/>
  <c r="J15" i="16"/>
  <c r="I15" i="16"/>
  <c r="G15" i="16"/>
  <c r="L14" i="16"/>
  <c r="P14" i="16" s="1"/>
  <c r="J14" i="16"/>
  <c r="I14" i="16"/>
  <c r="G14" i="16"/>
  <c r="L13" i="16"/>
  <c r="N13" i="16" s="1"/>
  <c r="O13" i="16" s="1"/>
  <c r="J13" i="16"/>
  <c r="I13" i="16"/>
  <c r="G13" i="16"/>
  <c r="L12" i="16"/>
  <c r="J12" i="16"/>
  <c r="I12" i="16"/>
  <c r="G12" i="16"/>
  <c r="L11" i="16"/>
  <c r="L18" i="16" s="1"/>
  <c r="J11" i="16"/>
  <c r="J18" i="16" s="1"/>
  <c r="I11" i="16"/>
  <c r="G11" i="16"/>
  <c r="N11" i="16"/>
  <c r="N12" i="16"/>
  <c r="O12" i="16" s="1"/>
  <c r="M18" i="16"/>
  <c r="N14" i="16" l="1"/>
  <c r="O14" i="16" s="1"/>
  <c r="O11" i="16"/>
  <c r="N18" i="16"/>
  <c r="O18" i="16" s="1"/>
  <c r="F24" i="9" l="1"/>
  <c r="P51" i="10" l="1"/>
  <c r="C122" i="17" l="1"/>
  <c r="C121" i="17"/>
  <c r="C119" i="17"/>
  <c r="C105" i="17" l="1"/>
  <c r="C101" i="17"/>
  <c r="C151" i="17" s="1"/>
  <c r="C34" i="17"/>
  <c r="C83" i="17" s="1"/>
  <c r="C4" i="17"/>
  <c r="F98" i="9" s="1"/>
  <c r="E91" i="9"/>
  <c r="G99" i="9" s="1"/>
  <c r="C153" i="17" l="1"/>
  <c r="F30" i="9"/>
  <c r="C6" i="13" l="1"/>
  <c r="Q17" i="16" l="1"/>
  <c r="R17" i="16" s="1"/>
  <c r="Q14" i="16"/>
  <c r="R14" i="16" s="1"/>
  <c r="F5" i="6"/>
  <c r="F4" i="6"/>
  <c r="F3" i="6"/>
  <c r="F99" i="9" l="1"/>
  <c r="C45" i="16"/>
  <c r="D44" i="16"/>
  <c r="D43" i="16"/>
  <c r="N41" i="16"/>
  <c r="O41" i="16" s="1"/>
  <c r="P41" i="16"/>
  <c r="Q41" i="16" s="1"/>
  <c r="R41" i="16" s="1"/>
  <c r="D41" i="16"/>
  <c r="D40" i="16"/>
  <c r="D39" i="16"/>
  <c r="D38" i="16"/>
  <c r="D37" i="16"/>
  <c r="D36" i="16"/>
  <c r="D35" i="16"/>
  <c r="D34" i="16"/>
  <c r="D33" i="16"/>
  <c r="D31" i="16"/>
  <c r="D30" i="16"/>
  <c r="F130" i="9"/>
  <c r="C18" i="16"/>
  <c r="D11" i="16"/>
  <c r="D18" i="16" s="1"/>
  <c r="P13" i="16" l="1"/>
  <c r="Q13" i="16"/>
  <c r="R13" i="16" s="1"/>
  <c r="P12" i="16"/>
  <c r="Q12" i="16" s="1"/>
  <c r="R12" i="16" s="1"/>
  <c r="P16" i="16"/>
  <c r="Q16" i="16" s="1"/>
  <c r="R16" i="16" s="1"/>
  <c r="P15" i="16"/>
  <c r="Q15" i="16" s="1"/>
  <c r="R15" i="16" s="1"/>
  <c r="P11" i="16"/>
  <c r="N30" i="16"/>
  <c r="O30" i="16" s="1"/>
  <c r="P30" i="16"/>
  <c r="Q30" i="16" s="1"/>
  <c r="R30" i="16" s="1"/>
  <c r="N34" i="16"/>
  <c r="O34" i="16" s="1"/>
  <c r="P34" i="16"/>
  <c r="Q34" i="16" s="1"/>
  <c r="R34" i="16" s="1"/>
  <c r="N38" i="16"/>
  <c r="O38" i="16" s="1"/>
  <c r="P38" i="16"/>
  <c r="Q38" i="16" s="1"/>
  <c r="R38" i="16" s="1"/>
  <c r="N39" i="16"/>
  <c r="O39" i="16" s="1"/>
  <c r="P39" i="16"/>
  <c r="Q39" i="16" s="1"/>
  <c r="R39" i="16" s="1"/>
  <c r="O43" i="16"/>
  <c r="P43" i="16"/>
  <c r="Q43" i="16" s="1"/>
  <c r="R43" i="16" s="1"/>
  <c r="N32" i="16"/>
  <c r="O32" i="16" s="1"/>
  <c r="P32" i="16"/>
  <c r="Q32" i="16" s="1"/>
  <c r="R32" i="16" s="1"/>
  <c r="N36" i="16"/>
  <c r="O36" i="16" s="1"/>
  <c r="P36" i="16"/>
  <c r="Q36" i="16" s="1"/>
  <c r="R36" i="16" s="1"/>
  <c r="N40" i="16"/>
  <c r="O40" i="16" s="1"/>
  <c r="Q40" i="16"/>
  <c r="R40" i="16" s="1"/>
  <c r="N44" i="16"/>
  <c r="O44" i="16" s="1"/>
  <c r="P44" i="16"/>
  <c r="Q44" i="16" s="1"/>
  <c r="R44" i="16" s="1"/>
  <c r="N42" i="16"/>
  <c r="O42" i="16" s="1"/>
  <c r="P42" i="16"/>
  <c r="Q42" i="16" s="1"/>
  <c r="R42" i="16" s="1"/>
  <c r="N35" i="16"/>
  <c r="O35" i="16" s="1"/>
  <c r="P35" i="16"/>
  <c r="Q35" i="16" s="1"/>
  <c r="R35" i="16" s="1"/>
  <c r="N31" i="16"/>
  <c r="O31" i="16" s="1"/>
  <c r="P31" i="16"/>
  <c r="Q31" i="16" s="1"/>
  <c r="R31" i="16" s="1"/>
  <c r="N29" i="16"/>
  <c r="N33" i="16"/>
  <c r="O33" i="16" s="1"/>
  <c r="P33" i="16"/>
  <c r="Q33" i="16" s="1"/>
  <c r="R33" i="16" s="1"/>
  <c r="N37" i="16"/>
  <c r="O37" i="16" s="1"/>
  <c r="P37" i="16"/>
  <c r="Q37" i="16" s="1"/>
  <c r="R37" i="16" s="1"/>
  <c r="D45" i="16"/>
  <c r="Q11" i="16" l="1"/>
  <c r="R11" i="16" s="1"/>
  <c r="P18" i="16"/>
  <c r="Q18" i="16" s="1"/>
  <c r="R18" i="16" s="1"/>
  <c r="N45" i="16"/>
  <c r="O45" i="16" s="1"/>
  <c r="O29" i="16"/>
  <c r="Q29" i="16"/>
  <c r="R29" i="16" s="1"/>
  <c r="P45" i="16"/>
  <c r="Q45" i="16" s="1"/>
  <c r="R45" i="16" l="1"/>
  <c r="C50" i="11"/>
  <c r="D50" i="11"/>
  <c r="E50" i="11"/>
  <c r="C51" i="11"/>
  <c r="D51" i="11"/>
  <c r="E51" i="11"/>
  <c r="C52" i="11"/>
  <c r="D52" i="11"/>
  <c r="E52" i="11"/>
  <c r="C53" i="11"/>
  <c r="D53" i="11"/>
  <c r="E53" i="11"/>
  <c r="C54" i="11"/>
  <c r="D54" i="11"/>
  <c r="E54" i="11"/>
  <c r="D55" i="11"/>
  <c r="E55" i="11"/>
  <c r="C57" i="11"/>
  <c r="D57" i="11"/>
  <c r="E57" i="11"/>
  <c r="C58" i="11"/>
  <c r="D58" i="11"/>
  <c r="E58" i="11"/>
  <c r="C59" i="11"/>
  <c r="D59" i="11"/>
  <c r="E59" i="11"/>
  <c r="C60" i="11"/>
  <c r="D60" i="11"/>
  <c r="E60" i="11"/>
  <c r="C61" i="11"/>
  <c r="D61" i="11"/>
  <c r="E61" i="11"/>
  <c r="C62" i="11"/>
  <c r="D62" i="11"/>
  <c r="E62" i="11"/>
  <c r="C63" i="11"/>
  <c r="D63" i="11"/>
  <c r="E63" i="11"/>
  <c r="C64" i="11"/>
  <c r="D64" i="11"/>
  <c r="E64" i="11"/>
  <c r="C65" i="11"/>
  <c r="D65" i="11"/>
  <c r="E65" i="11"/>
  <c r="C66" i="11"/>
  <c r="D66" i="11"/>
  <c r="E66" i="11"/>
  <c r="C67" i="11"/>
  <c r="D67" i="11"/>
  <c r="E67" i="11"/>
  <c r="C68" i="11"/>
  <c r="D68" i="11"/>
  <c r="E68" i="11"/>
  <c r="C69" i="11"/>
  <c r="D69" i="11"/>
  <c r="E69" i="11"/>
  <c r="C70" i="11"/>
  <c r="D70" i="11"/>
  <c r="E70" i="11"/>
  <c r="C71" i="11"/>
  <c r="D71" i="11"/>
  <c r="E71" i="11"/>
  <c r="C72" i="11"/>
  <c r="D72" i="11"/>
  <c r="E72" i="11"/>
  <c r="C73" i="11"/>
  <c r="D73" i="11"/>
  <c r="E73" i="11"/>
  <c r="C74" i="11"/>
  <c r="D74" i="11"/>
  <c r="E74" i="11"/>
  <c r="C75" i="11"/>
  <c r="D75" i="11"/>
  <c r="E75" i="11"/>
  <c r="C76" i="11"/>
  <c r="D76" i="11"/>
  <c r="E76" i="11"/>
  <c r="C77" i="11"/>
  <c r="D77" i="11"/>
  <c r="E77" i="11"/>
  <c r="C78" i="11"/>
  <c r="D78" i="11"/>
  <c r="E78" i="11"/>
  <c r="C79" i="11"/>
  <c r="D79" i="11"/>
  <c r="E79" i="11"/>
  <c r="C80" i="11"/>
  <c r="D80" i="11"/>
  <c r="E80" i="11"/>
  <c r="C81" i="11"/>
  <c r="D81" i="11"/>
  <c r="E81" i="11"/>
  <c r="C82" i="11"/>
  <c r="D82" i="11"/>
  <c r="E82" i="11"/>
  <c r="C83" i="11"/>
  <c r="D83" i="11"/>
  <c r="E83" i="11"/>
  <c r="C35" i="11"/>
  <c r="D35" i="11"/>
  <c r="E35" i="11"/>
  <c r="C36" i="11"/>
  <c r="D36" i="11"/>
  <c r="E36" i="11"/>
  <c r="C37" i="11"/>
  <c r="D37" i="11"/>
  <c r="E37" i="11"/>
  <c r="C38" i="11"/>
  <c r="D38" i="11"/>
  <c r="E38" i="11"/>
  <c r="C39" i="11"/>
  <c r="D39" i="11"/>
  <c r="E39" i="11"/>
  <c r="C40" i="11"/>
  <c r="D40" i="11"/>
  <c r="E40" i="11"/>
  <c r="C41" i="11"/>
  <c r="D41" i="11"/>
  <c r="E41" i="11"/>
  <c r="C42" i="11"/>
  <c r="D42" i="11"/>
  <c r="E42" i="11"/>
  <c r="C43" i="11"/>
  <c r="D43" i="11"/>
  <c r="E43" i="11"/>
  <c r="C44" i="11"/>
  <c r="D44" i="11"/>
  <c r="E44" i="11"/>
  <c r="C45" i="11"/>
  <c r="D45" i="11"/>
  <c r="E45" i="11"/>
  <c r="C46" i="11"/>
  <c r="D46" i="11"/>
  <c r="E46" i="11"/>
  <c r="C47" i="11"/>
  <c r="D47" i="11"/>
  <c r="E47" i="11"/>
  <c r="C49" i="11"/>
  <c r="D49" i="11"/>
  <c r="E49" i="11"/>
  <c r="F93" i="9" l="1"/>
  <c r="C48" i="11" l="1"/>
  <c r="C25" i="11"/>
  <c r="C26" i="11"/>
  <c r="C27" i="11"/>
  <c r="C28" i="11"/>
  <c r="C29" i="11"/>
  <c r="C30" i="11"/>
  <c r="C31" i="11"/>
  <c r="C32" i="11"/>
  <c r="C33" i="11"/>
  <c r="C34" i="11"/>
  <c r="D48" i="11" l="1"/>
  <c r="E48" i="11"/>
  <c r="F28" i="9" l="1"/>
  <c r="F29" i="9" l="1"/>
  <c r="F31" i="9" s="1"/>
  <c r="J59" i="10" l="1"/>
  <c r="D59" i="10"/>
  <c r="B6" i="13" l="1"/>
  <c r="E13" i="9" l="1"/>
  <c r="E28" i="11" l="1"/>
  <c r="D28" i="11"/>
  <c r="E29" i="11"/>
  <c r="C27" i="13" l="1"/>
  <c r="C28" i="13"/>
  <c r="C29" i="13"/>
  <c r="C30" i="13"/>
  <c r="C33" i="13"/>
  <c r="C34" i="13"/>
  <c r="C37" i="13"/>
  <c r="C38" i="13"/>
  <c r="C42" i="13"/>
  <c r="C43" i="13"/>
  <c r="C44" i="13"/>
  <c r="C106" i="9" l="1"/>
  <c r="C19" i="13" l="1"/>
  <c r="AB49" i="10"/>
  <c r="AB50" i="10"/>
  <c r="AB51" i="10"/>
  <c r="AB46" i="10"/>
  <c r="AB47" i="10"/>
  <c r="C17" i="10"/>
  <c r="D34" i="13" l="1"/>
  <c r="F52" i="13"/>
  <c r="G52" i="13" s="1"/>
  <c r="H52" i="13"/>
  <c r="I52" i="13" s="1"/>
  <c r="J52" i="13"/>
  <c r="K52" i="13" s="1"/>
  <c r="F53" i="13"/>
  <c r="G53" i="13" s="1"/>
  <c r="H53" i="13"/>
  <c r="I53" i="13" s="1"/>
  <c r="J53" i="13"/>
  <c r="K53" i="13" s="1"/>
  <c r="F54" i="13"/>
  <c r="G54" i="13" s="1"/>
  <c r="H54" i="13"/>
  <c r="I54" i="13" s="1"/>
  <c r="J54" i="13"/>
  <c r="K54" i="13" s="1"/>
  <c r="J51" i="13"/>
  <c r="J55" i="13" s="1"/>
  <c r="H51" i="13"/>
  <c r="F51" i="13"/>
  <c r="D52" i="13"/>
  <c r="D53" i="13"/>
  <c r="D54" i="13"/>
  <c r="D51" i="13"/>
  <c r="C54" i="13"/>
  <c r="C53" i="13"/>
  <c r="C52" i="13"/>
  <c r="C51" i="13"/>
  <c r="J46" i="13"/>
  <c r="H46" i="13"/>
  <c r="F46" i="13"/>
  <c r="D46" i="13"/>
  <c r="K44" i="13"/>
  <c r="I44" i="13"/>
  <c r="E44" i="13"/>
  <c r="G44" i="13"/>
  <c r="K43" i="13"/>
  <c r="G43" i="13"/>
  <c r="E43" i="13"/>
  <c r="I43" i="13"/>
  <c r="I42" i="13"/>
  <c r="E42" i="13"/>
  <c r="K42" i="13"/>
  <c r="K38" i="13"/>
  <c r="I38" i="13"/>
  <c r="G38" i="13"/>
  <c r="E38" i="13"/>
  <c r="G37" i="13"/>
  <c r="K34" i="13"/>
  <c r="I33" i="13"/>
  <c r="G33" i="13"/>
  <c r="K33" i="13"/>
  <c r="E30" i="13"/>
  <c r="K29" i="13"/>
  <c r="I29" i="13"/>
  <c r="K28" i="13"/>
  <c r="G28" i="13"/>
  <c r="E28" i="13"/>
  <c r="I28" i="13"/>
  <c r="E27" i="13"/>
  <c r="K27" i="13"/>
  <c r="D55" i="13" l="1"/>
  <c r="F55" i="13"/>
  <c r="F56" i="13"/>
  <c r="J56" i="13"/>
  <c r="H55" i="13"/>
  <c r="H56" i="13" s="1"/>
  <c r="I51" i="13"/>
  <c r="I55" i="13" s="1"/>
  <c r="K51" i="13"/>
  <c r="G30" i="13"/>
  <c r="I37" i="13"/>
  <c r="G27" i="13"/>
  <c r="I30" i="13"/>
  <c r="E34" i="13"/>
  <c r="I56" i="13" s="1"/>
  <c r="K37" i="13"/>
  <c r="G42" i="13"/>
  <c r="E52" i="13"/>
  <c r="I27" i="13"/>
  <c r="E29" i="13"/>
  <c r="K30" i="13"/>
  <c r="G34" i="13"/>
  <c r="G51" i="13"/>
  <c r="E53" i="13"/>
  <c r="E37" i="13"/>
  <c r="E51" i="13"/>
  <c r="G29" i="13"/>
  <c r="I34" i="13"/>
  <c r="E54" i="13"/>
  <c r="E33" i="13"/>
  <c r="S49" i="10"/>
  <c r="Q49" i="10"/>
  <c r="O49" i="10"/>
  <c r="M49" i="10"/>
  <c r="K49" i="10"/>
  <c r="I49" i="10"/>
  <c r="K46" i="13" l="1"/>
  <c r="G46" i="13"/>
  <c r="E45" i="13"/>
  <c r="I46" i="13"/>
  <c r="E55" i="13"/>
  <c r="K55" i="13"/>
  <c r="K56" i="13" s="1"/>
  <c r="G55" i="13"/>
  <c r="G56" i="13" s="1"/>
  <c r="AA49" i="10"/>
  <c r="B51" i="10" l="1"/>
  <c r="B50" i="10"/>
  <c r="S50" i="10" l="1"/>
  <c r="C50" i="10"/>
  <c r="Q50" i="10"/>
  <c r="W50" i="10"/>
  <c r="Y50" i="10"/>
  <c r="G50" i="10"/>
  <c r="U50" i="10"/>
  <c r="O50" i="10"/>
  <c r="M50" i="10"/>
  <c r="K50" i="10"/>
  <c r="E50" i="10"/>
  <c r="I50" i="10"/>
  <c r="M51" i="10"/>
  <c r="K51" i="10"/>
  <c r="I51" i="10"/>
  <c r="W51" i="10"/>
  <c r="G51" i="10"/>
  <c r="U51" i="10"/>
  <c r="S51" i="10"/>
  <c r="Q51" i="10"/>
  <c r="O51" i="10"/>
  <c r="J22" i="11"/>
  <c r="D25" i="11"/>
  <c r="E25" i="11"/>
  <c r="D26" i="11"/>
  <c r="E26" i="11"/>
  <c r="D27" i="11"/>
  <c r="E27" i="11"/>
  <c r="D29" i="11"/>
  <c r="D30" i="11"/>
  <c r="E30" i="11"/>
  <c r="D31" i="11"/>
  <c r="E31" i="11"/>
  <c r="D32" i="11"/>
  <c r="E32" i="11"/>
  <c r="D33" i="11"/>
  <c r="E33" i="11"/>
  <c r="D34" i="11"/>
  <c r="E34" i="11"/>
  <c r="E24" i="11"/>
  <c r="D24" i="11"/>
  <c r="C24" i="11"/>
  <c r="H7" i="11"/>
  <c r="J7" i="11"/>
  <c r="K7" i="11"/>
  <c r="L7" i="11"/>
  <c r="M7" i="11"/>
  <c r="H8" i="11"/>
  <c r="J8" i="11"/>
  <c r="K8" i="11"/>
  <c r="L8" i="11"/>
  <c r="M8" i="11"/>
  <c r="H9" i="11"/>
  <c r="J9" i="11"/>
  <c r="K9" i="11"/>
  <c r="L9" i="11"/>
  <c r="M9" i="11"/>
  <c r="H10" i="11"/>
  <c r="J10" i="11"/>
  <c r="L10" i="11"/>
  <c r="M10" i="11"/>
  <c r="H11" i="11"/>
  <c r="K11" i="11"/>
  <c r="L11" i="11"/>
  <c r="M11" i="11"/>
  <c r="I12" i="11"/>
  <c r="J12" i="11"/>
  <c r="K12" i="11"/>
  <c r="L12" i="11"/>
  <c r="M12" i="11"/>
  <c r="G13" i="11"/>
  <c r="I13" i="11"/>
  <c r="J13" i="11"/>
  <c r="K13" i="11"/>
  <c r="L13" i="11"/>
  <c r="M13" i="11"/>
  <c r="G14" i="11"/>
  <c r="I14" i="11"/>
  <c r="J14" i="11"/>
  <c r="K14" i="11"/>
  <c r="L14" i="11"/>
  <c r="M14" i="11"/>
  <c r="G15" i="11"/>
  <c r="H15" i="11"/>
  <c r="I15" i="11"/>
  <c r="J15" i="11"/>
  <c r="K15" i="11"/>
  <c r="L15" i="11"/>
  <c r="M15" i="11"/>
  <c r="G16" i="11"/>
  <c r="H16" i="11"/>
  <c r="I16" i="11"/>
  <c r="J16" i="11"/>
  <c r="K16" i="11"/>
  <c r="L16" i="11"/>
  <c r="M16" i="11"/>
  <c r="G17" i="11"/>
  <c r="H17" i="11"/>
  <c r="I17" i="11"/>
  <c r="J17" i="11"/>
  <c r="K17" i="11"/>
  <c r="L17" i="11"/>
  <c r="M17" i="11"/>
  <c r="M6" i="11"/>
  <c r="L6" i="11"/>
  <c r="K6" i="11"/>
  <c r="J6" i="11"/>
  <c r="I6" i="11"/>
  <c r="H6" i="11"/>
  <c r="Y47" i="10"/>
  <c r="W47" i="10"/>
  <c r="U47" i="10"/>
  <c r="S47" i="10"/>
  <c r="Q47" i="10"/>
  <c r="O47" i="10"/>
  <c r="M47" i="10"/>
  <c r="K47" i="10"/>
  <c r="I47" i="10"/>
  <c r="G47" i="10"/>
  <c r="E47" i="10"/>
  <c r="C47" i="10"/>
  <c r="B47" i="10"/>
  <c r="Y46" i="10"/>
  <c r="W46" i="10"/>
  <c r="U46" i="10"/>
  <c r="S46" i="10"/>
  <c r="Q46" i="10"/>
  <c r="O46" i="10"/>
  <c r="M46" i="10"/>
  <c r="K46" i="10"/>
  <c r="I46" i="10"/>
  <c r="G46" i="10"/>
  <c r="E46" i="10"/>
  <c r="C46" i="10"/>
  <c r="B46" i="10"/>
  <c r="J56" i="11" l="1"/>
  <c r="J41" i="11"/>
  <c r="J40" i="11"/>
  <c r="J42" i="11"/>
  <c r="J43" i="11"/>
  <c r="J45" i="11"/>
  <c r="AA46" i="10"/>
  <c r="AA47" i="10"/>
  <c r="J33" i="11"/>
  <c r="I8" i="11" s="1"/>
  <c r="J37" i="11"/>
  <c r="J34" i="11"/>
  <c r="J35" i="11"/>
  <c r="J32" i="11"/>
  <c r="J31" i="11"/>
  <c r="AA50" i="10"/>
  <c r="AA51" i="10"/>
  <c r="W45" i="10"/>
  <c r="I45" i="10"/>
  <c r="Q45" i="10"/>
  <c r="Y45" i="10"/>
  <c r="C45" i="10"/>
  <c r="K45" i="10"/>
  <c r="S45" i="10"/>
  <c r="E45" i="10"/>
  <c r="M45" i="10"/>
  <c r="U45" i="10"/>
  <c r="G45" i="10"/>
  <c r="O45" i="10"/>
  <c r="N6" i="11"/>
  <c r="J29" i="11" s="1"/>
  <c r="N15" i="11"/>
  <c r="V45" i="10" s="1"/>
  <c r="B16" i="13" s="1"/>
  <c r="N16" i="11"/>
  <c r="X45" i="10" s="1"/>
  <c r="B17" i="13" s="1"/>
  <c r="N17" i="11"/>
  <c r="Z45" i="10" s="1"/>
  <c r="B18" i="13" s="1"/>
  <c r="J38" i="11" l="1"/>
  <c r="J44" i="11"/>
  <c r="J48" i="11"/>
  <c r="J49" i="11"/>
  <c r="J52" i="11"/>
  <c r="I11" i="11" s="1"/>
  <c r="J50" i="11"/>
  <c r="J11" i="11" s="1"/>
  <c r="J51" i="11"/>
  <c r="J47" i="11"/>
  <c r="J46" i="11"/>
  <c r="J36" i="11"/>
  <c r="J39" i="11"/>
  <c r="J30" i="11"/>
  <c r="J28" i="11"/>
  <c r="J54" i="11"/>
  <c r="J68" i="11"/>
  <c r="J65" i="11"/>
  <c r="J57" i="11"/>
  <c r="H13" i="11" s="1"/>
  <c r="N13" i="11" s="1"/>
  <c r="R45" i="10" s="1"/>
  <c r="B14" i="13" s="1"/>
  <c r="J82" i="11"/>
  <c r="J66" i="11"/>
  <c r="J81" i="11"/>
  <c r="J59" i="11"/>
  <c r="J77" i="11"/>
  <c r="J73" i="11"/>
  <c r="J80" i="11"/>
  <c r="J64" i="11"/>
  <c r="J75" i="11"/>
  <c r="J55" i="11"/>
  <c r="J78" i="11"/>
  <c r="J62" i="11"/>
  <c r="J63" i="11"/>
  <c r="J71" i="11"/>
  <c r="J76" i="11"/>
  <c r="J60" i="11"/>
  <c r="J79" i="11"/>
  <c r="D45" i="10"/>
  <c r="B7" i="13" s="1"/>
  <c r="J70" i="11"/>
  <c r="J53" i="11"/>
  <c r="G12" i="11" s="1"/>
  <c r="J74" i="11"/>
  <c r="J58" i="11"/>
  <c r="J67" i="11"/>
  <c r="K10" i="11"/>
  <c r="J69" i="11"/>
  <c r="J72" i="11"/>
  <c r="H14" i="11"/>
  <c r="N14" i="11" s="1"/>
  <c r="T45" i="10" s="1"/>
  <c r="B15" i="13" s="1"/>
  <c r="J83" i="11"/>
  <c r="J61" i="11"/>
  <c r="H12" i="11" l="1"/>
  <c r="N12" i="11" s="1"/>
  <c r="P45" i="10" s="1"/>
  <c r="G11" i="11"/>
  <c r="N11" i="11" s="1"/>
  <c r="N45" i="10" s="1"/>
  <c r="B12" i="13" s="1"/>
  <c r="G10" i="11"/>
  <c r="I10" i="11"/>
  <c r="D23" i="9"/>
  <c r="D25" i="9" s="1"/>
  <c r="C23" i="9"/>
  <c r="C25" i="9" s="1"/>
  <c r="W56" i="10"/>
  <c r="U56" i="10"/>
  <c r="S56" i="10"/>
  <c r="Q56" i="10"/>
  <c r="O56" i="10"/>
  <c r="M56" i="10"/>
  <c r="K56" i="10"/>
  <c r="I56" i="10"/>
  <c r="G56" i="10"/>
  <c r="E56" i="10"/>
  <c r="AA45" i="10"/>
  <c r="AB48" i="10"/>
  <c r="AB56" i="10"/>
  <c r="W48" i="10"/>
  <c r="U48" i="10"/>
  <c r="S48" i="10"/>
  <c r="Q48" i="10"/>
  <c r="O48" i="10"/>
  <c r="M48" i="10"/>
  <c r="K48" i="10"/>
  <c r="I48" i="10"/>
  <c r="G48" i="10"/>
  <c r="E48" i="10"/>
  <c r="G12" i="10"/>
  <c r="C11" i="10"/>
  <c r="D52" i="10" s="1"/>
  <c r="C9" i="10"/>
  <c r="B13" i="13" l="1"/>
  <c r="D54" i="10"/>
  <c r="D53" i="10"/>
  <c r="B54" i="10"/>
  <c r="B53" i="10"/>
  <c r="AB54" i="10"/>
  <c r="AB53" i="10"/>
  <c r="AB52" i="10"/>
  <c r="C54" i="10"/>
  <c r="AA54" i="10" s="1"/>
  <c r="C53" i="10"/>
  <c r="AA53" i="10" s="1"/>
  <c r="N10" i="11"/>
  <c r="L45" i="10" s="1"/>
  <c r="B11" i="13" s="1"/>
  <c r="C52" i="10"/>
  <c r="AA52" i="10" s="1"/>
  <c r="B52" i="10"/>
  <c r="AA48" i="10"/>
  <c r="AA56" i="10"/>
  <c r="B4" i="10" l="1"/>
  <c r="F121" i="9"/>
  <c r="G121" i="9" s="1"/>
  <c r="F120" i="9"/>
  <c r="G120" i="9" s="1"/>
  <c r="F119" i="9"/>
  <c r="G119" i="9" s="1"/>
  <c r="F115" i="9"/>
  <c r="G115" i="9" s="1"/>
  <c r="F90" i="9"/>
  <c r="G90" i="9" s="1"/>
  <c r="F89" i="9"/>
  <c r="G89" i="9" s="1"/>
  <c r="F88" i="9"/>
  <c r="G88" i="9" s="1"/>
  <c r="E10" i="9"/>
  <c r="E11" i="9"/>
  <c r="E12" i="9"/>
  <c r="E14" i="9"/>
  <c r="E15" i="9"/>
  <c r="E16" i="9"/>
  <c r="E17" i="9"/>
  <c r="E19" i="9"/>
  <c r="F19" i="9" s="1"/>
  <c r="G19" i="9" s="1"/>
  <c r="E20" i="9"/>
  <c r="F20" i="9" s="1"/>
  <c r="G20" i="9" s="1"/>
  <c r="E21" i="9"/>
  <c r="F21" i="9" s="1"/>
  <c r="G21" i="9" s="1"/>
  <c r="C6" i="9"/>
  <c r="E9" i="9" s="1"/>
  <c r="D109" i="9"/>
  <c r="C109" i="9"/>
  <c r="D125" i="9"/>
  <c r="C125" i="9"/>
  <c r="E109" i="9"/>
  <c r="E122" i="9" s="1"/>
  <c r="G130" i="9" s="1"/>
  <c r="D78" i="9"/>
  <c r="C78" i="9"/>
  <c r="E22" i="9" l="1"/>
  <c r="G31" i="9" s="1"/>
  <c r="H121" i="9"/>
  <c r="C9" i="9"/>
  <c r="H120" i="9"/>
  <c r="H90" i="9"/>
  <c r="H20" i="9"/>
  <c r="H89" i="9"/>
  <c r="H21" i="9"/>
  <c r="F109" i="9"/>
  <c r="G109" i="9" s="1"/>
  <c r="H109" i="9" s="1"/>
  <c r="D9" i="9"/>
  <c r="F9" i="9" s="1"/>
  <c r="G9" i="9" s="1"/>
  <c r="H9" i="9" s="1"/>
  <c r="C13" i="10"/>
  <c r="E78" i="9"/>
  <c r="F78" i="9" l="1"/>
  <c r="G78" i="9" s="1"/>
  <c r="H78" i="9" s="1"/>
  <c r="C55" i="10"/>
  <c r="AA55" i="10" s="1"/>
  <c r="D55" i="10"/>
  <c r="AB55" i="10" s="1"/>
  <c r="B55" i="10"/>
  <c r="Z59" i="10"/>
  <c r="D121" i="9" s="1"/>
  <c r="Y59" i="10"/>
  <c r="C121" i="9" s="1"/>
  <c r="X59" i="10"/>
  <c r="W59" i="10"/>
  <c r="C120" i="9" s="1"/>
  <c r="V59" i="10"/>
  <c r="D119" i="9" s="1"/>
  <c r="U59" i="10"/>
  <c r="C119" i="9" s="1"/>
  <c r="T59" i="10"/>
  <c r="D118" i="9" s="1"/>
  <c r="F118" i="9" s="1"/>
  <c r="G118" i="9" s="1"/>
  <c r="H119" i="9" s="1"/>
  <c r="S59" i="10"/>
  <c r="C118" i="9" s="1"/>
  <c r="R59" i="10"/>
  <c r="D117" i="9" s="1"/>
  <c r="F117" i="9" s="1"/>
  <c r="G117" i="9" s="1"/>
  <c r="Q59" i="10"/>
  <c r="C117" i="9" s="1"/>
  <c r="P59" i="10"/>
  <c r="D116" i="9" s="1"/>
  <c r="F116" i="9" s="1"/>
  <c r="G116" i="9" s="1"/>
  <c r="O59" i="10"/>
  <c r="C116" i="9" s="1"/>
  <c r="N59" i="10"/>
  <c r="M59" i="10"/>
  <c r="C115" i="9" s="1"/>
  <c r="L59" i="10"/>
  <c r="D114" i="9" s="1"/>
  <c r="F114" i="9" s="1"/>
  <c r="G114" i="9" s="1"/>
  <c r="H115" i="9" s="1"/>
  <c r="K59" i="10"/>
  <c r="C114" i="9" s="1"/>
  <c r="D113" i="9"/>
  <c r="F113" i="9" s="1"/>
  <c r="G113" i="9" s="1"/>
  <c r="F59" i="10"/>
  <c r="I59" i="10"/>
  <c r="C113" i="9" s="1"/>
  <c r="H59" i="10"/>
  <c r="G59" i="10"/>
  <c r="C112" i="9" s="1"/>
  <c r="C59" i="10"/>
  <c r="E59" i="10"/>
  <c r="C111" i="9" s="1"/>
  <c r="H118" i="9" l="1"/>
  <c r="H117" i="9"/>
  <c r="H116" i="9"/>
  <c r="H114" i="9"/>
  <c r="D112" i="9"/>
  <c r="F112" i="9" s="1"/>
  <c r="G112" i="9" s="1"/>
  <c r="H113" i="9" s="1"/>
  <c r="D111" i="9"/>
  <c r="F111" i="9" s="1"/>
  <c r="G111" i="9" s="1"/>
  <c r="AA59" i="10"/>
  <c r="B30" i="10" s="1"/>
  <c r="AB59" i="10"/>
  <c r="B31" i="10" s="1"/>
  <c r="O60" i="10"/>
  <c r="D110" i="9"/>
  <c r="D115" i="9"/>
  <c r="C110" i="9"/>
  <c r="W60" i="10"/>
  <c r="D120" i="9"/>
  <c r="I60" i="10"/>
  <c r="K60" i="10"/>
  <c r="E60" i="10"/>
  <c r="S60" i="10"/>
  <c r="C60" i="10"/>
  <c r="M60" i="10"/>
  <c r="U60" i="10"/>
  <c r="G60" i="10"/>
  <c r="Q60" i="10"/>
  <c r="Y60" i="10"/>
  <c r="B59" i="10"/>
  <c r="H112" i="9" l="1"/>
  <c r="B32" i="10"/>
  <c r="C122" i="9"/>
  <c r="F110" i="9"/>
  <c r="D122" i="9"/>
  <c r="AA38" i="10"/>
  <c r="AB38" i="10"/>
  <c r="AA39" i="10"/>
  <c r="AB39" i="10"/>
  <c r="AA40" i="10"/>
  <c r="AB40" i="10"/>
  <c r="AB37" i="10"/>
  <c r="AA37" i="10"/>
  <c r="E41" i="10"/>
  <c r="P7" i="10" s="1"/>
  <c r="F41" i="10"/>
  <c r="R7" i="10" s="1"/>
  <c r="G41" i="10"/>
  <c r="P8" i="10" s="1"/>
  <c r="H41" i="10"/>
  <c r="R8" i="10" s="1"/>
  <c r="I41" i="10"/>
  <c r="P9" i="10" s="1"/>
  <c r="J41" i="10"/>
  <c r="R9" i="10" s="1"/>
  <c r="K41" i="10"/>
  <c r="P10" i="10" s="1"/>
  <c r="L41" i="10"/>
  <c r="R10" i="10" s="1"/>
  <c r="M41" i="10"/>
  <c r="P11" i="10" s="1"/>
  <c r="N41" i="10"/>
  <c r="R11" i="10" s="1"/>
  <c r="O41" i="10"/>
  <c r="P12" i="10" s="1"/>
  <c r="P41" i="10"/>
  <c r="R12" i="10" s="1"/>
  <c r="Q41" i="10"/>
  <c r="P13" i="10" s="1"/>
  <c r="R41" i="10"/>
  <c r="R13" i="10" s="1"/>
  <c r="S41" i="10"/>
  <c r="P14" i="10" s="1"/>
  <c r="T41" i="10"/>
  <c r="R14" i="10" s="1"/>
  <c r="U41" i="10"/>
  <c r="P15" i="10" s="1"/>
  <c r="V41" i="10"/>
  <c r="R15" i="10" s="1"/>
  <c r="W41" i="10"/>
  <c r="P16" i="10" s="1"/>
  <c r="X41" i="10"/>
  <c r="R16" i="10" s="1"/>
  <c r="Y41" i="10"/>
  <c r="P17" i="10" s="1"/>
  <c r="Z41" i="10"/>
  <c r="R17" i="10" s="1"/>
  <c r="C41" i="10"/>
  <c r="B41" i="10"/>
  <c r="B44" i="10" s="1"/>
  <c r="B57" i="10" s="1"/>
  <c r="F122" i="9" l="1"/>
  <c r="F124" i="9" s="1"/>
  <c r="G110" i="9"/>
  <c r="D42" i="10"/>
  <c r="F42" i="10" s="1"/>
  <c r="F44" i="10" s="1"/>
  <c r="R6" i="10"/>
  <c r="S6" i="10" s="1"/>
  <c r="S7" i="10" s="1"/>
  <c r="S8" i="10" s="1"/>
  <c r="S9" i="10" s="1"/>
  <c r="S10" i="10" s="1"/>
  <c r="S11" i="10" s="1"/>
  <c r="S12" i="10" s="1"/>
  <c r="S13" i="10" s="1"/>
  <c r="S14" i="10" s="1"/>
  <c r="S15" i="10" s="1"/>
  <c r="S16" i="10" s="1"/>
  <c r="S17" i="10" s="1"/>
  <c r="C42" i="10"/>
  <c r="P6" i="10"/>
  <c r="Q6" i="10" s="1"/>
  <c r="Q7" i="10" s="1"/>
  <c r="Q8" i="10" s="1"/>
  <c r="Q9" i="10" s="1"/>
  <c r="Q10" i="10" s="1"/>
  <c r="Q11" i="10" s="1"/>
  <c r="Q12" i="10" s="1"/>
  <c r="Q13" i="10" s="1"/>
  <c r="Q14" i="10" s="1"/>
  <c r="Q15" i="10" s="1"/>
  <c r="Q16" i="10" s="1"/>
  <c r="Q17" i="10" s="1"/>
  <c r="AB41" i="10"/>
  <c r="AB42" i="10" s="1"/>
  <c r="AA41" i="10"/>
  <c r="AA42" i="10" s="1"/>
  <c r="G46" i="6"/>
  <c r="G122" i="9" l="1"/>
  <c r="H110" i="9"/>
  <c r="H111" i="9"/>
  <c r="E42" i="10"/>
  <c r="E44" i="10" s="1"/>
  <c r="C57" i="10"/>
  <c r="C43" i="10"/>
  <c r="AA60" i="10"/>
  <c r="AA43" i="10"/>
  <c r="H42" i="10"/>
  <c r="H44" i="10" s="1"/>
  <c r="G38" i="6"/>
  <c r="E43" i="10" l="1"/>
  <c r="G42" i="10"/>
  <c r="G44" i="10" s="1"/>
  <c r="H122" i="9"/>
  <c r="E57" i="10"/>
  <c r="C80" i="9" s="1"/>
  <c r="C11" i="9" s="1"/>
  <c r="C79" i="9"/>
  <c r="G57" i="10"/>
  <c r="C81" i="9" s="1"/>
  <c r="C12" i="9" s="1"/>
  <c r="J42" i="10"/>
  <c r="G43" i="10" l="1"/>
  <c r="I42" i="10"/>
  <c r="C10" i="9"/>
  <c r="K42" i="10"/>
  <c r="I44" i="10"/>
  <c r="I57" i="10" s="1"/>
  <c r="C82" i="9" s="1"/>
  <c r="C13" i="9" s="1"/>
  <c r="I43" i="10"/>
  <c r="L42" i="10"/>
  <c r="J44" i="10"/>
  <c r="M42" i="10" l="1"/>
  <c r="K44" i="10"/>
  <c r="K43" i="10"/>
  <c r="N42" i="10"/>
  <c r="L44" i="10"/>
  <c r="G91" i="6"/>
  <c r="G87" i="6"/>
  <c r="G48" i="6"/>
  <c r="G50" i="6"/>
  <c r="F54" i="7"/>
  <c r="E54" i="7"/>
  <c r="D54" i="7"/>
  <c r="F50" i="7"/>
  <c r="E50" i="7"/>
  <c r="D50" i="7"/>
  <c r="D58" i="7" s="1"/>
  <c r="E35" i="7"/>
  <c r="E12" i="7" s="1"/>
  <c r="E11" i="7" s="1"/>
  <c r="F34" i="7"/>
  <c r="D34" i="7"/>
  <c r="F30" i="7"/>
  <c r="E30" i="7"/>
  <c r="D30" i="7"/>
  <c r="D38" i="7" s="1"/>
  <c r="F19" i="7"/>
  <c r="E19" i="7"/>
  <c r="D19" i="7"/>
  <c r="F18" i="7"/>
  <c r="E18" i="7"/>
  <c r="D18" i="7"/>
  <c r="F17" i="7"/>
  <c r="E17" i="7"/>
  <c r="D17" i="7"/>
  <c r="F16" i="7"/>
  <c r="E16" i="7"/>
  <c r="D16" i="7"/>
  <c r="F14" i="7"/>
  <c r="E14" i="7"/>
  <c r="D14" i="7"/>
  <c r="F13" i="7"/>
  <c r="E13" i="7"/>
  <c r="D13" i="7"/>
  <c r="D11" i="7" s="1"/>
  <c r="F12" i="7"/>
  <c r="D12" i="7"/>
  <c r="F10" i="7"/>
  <c r="E10" i="7"/>
  <c r="D10" i="7"/>
  <c r="F9" i="7"/>
  <c r="E9" i="7"/>
  <c r="E7" i="7" s="1"/>
  <c r="D9" i="7"/>
  <c r="D7" i="7" s="1"/>
  <c r="F8" i="7"/>
  <c r="F7" i="7" s="1"/>
  <c r="E8" i="7"/>
  <c r="D8" i="7"/>
  <c r="D6" i="7"/>
  <c r="G96" i="6"/>
  <c r="G83" i="6"/>
  <c r="G25" i="6"/>
  <c r="G43" i="6"/>
  <c r="G31" i="6"/>
  <c r="K57" i="10" l="1"/>
  <c r="L57" i="10"/>
  <c r="D83" i="9" s="1"/>
  <c r="F83" i="9" s="1"/>
  <c r="G83" i="9" s="1"/>
  <c r="O42" i="10"/>
  <c r="M44" i="10"/>
  <c r="M57" i="10" s="1"/>
  <c r="C84" i="9" s="1"/>
  <c r="C15" i="9" s="1"/>
  <c r="M43" i="10"/>
  <c r="P42" i="10"/>
  <c r="N44" i="10"/>
  <c r="N57" i="10" s="1"/>
  <c r="D84" i="9" s="1"/>
  <c r="F11" i="7"/>
  <c r="E34" i="7"/>
  <c r="D43" i="7"/>
  <c r="D15" i="7"/>
  <c r="D20" i="7" s="1"/>
  <c r="E29" i="7"/>
  <c r="D63" i="7"/>
  <c r="E49" i="7"/>
  <c r="E58" i="7" s="1"/>
  <c r="D15" i="9" l="1"/>
  <c r="F15" i="9" s="1"/>
  <c r="G15" i="9" s="1"/>
  <c r="F84" i="9"/>
  <c r="G84" i="9" s="1"/>
  <c r="K58" i="10"/>
  <c r="C83" i="9"/>
  <c r="D14" i="9"/>
  <c r="F14" i="9" s="1"/>
  <c r="G14" i="9" s="1"/>
  <c r="M58" i="10"/>
  <c r="Q42" i="10"/>
  <c r="O44" i="10"/>
  <c r="O57" i="10" s="1"/>
  <c r="C85" i="9" s="1"/>
  <c r="O43" i="10"/>
  <c r="R42" i="10"/>
  <c r="P44" i="10"/>
  <c r="P57" i="10" s="1"/>
  <c r="D85" i="9" s="1"/>
  <c r="F85" i="9" s="1"/>
  <c r="E63" i="7"/>
  <c r="F49" i="7"/>
  <c r="F58" i="7" s="1"/>
  <c r="E6" i="7"/>
  <c r="E38" i="7"/>
  <c r="H15" i="9" l="1"/>
  <c r="H84" i="9"/>
  <c r="C14" i="9"/>
  <c r="C16" i="9"/>
  <c r="S42" i="10"/>
  <c r="Q44" i="10"/>
  <c r="Q57" i="10" s="1"/>
  <c r="C86" i="9" s="1"/>
  <c r="C17" i="9" s="1"/>
  <c r="Q43" i="10"/>
  <c r="T42" i="10"/>
  <c r="R44" i="10"/>
  <c r="R57" i="10" s="1"/>
  <c r="E43" i="7"/>
  <c r="F29" i="7"/>
  <c r="E15" i="7"/>
  <c r="E20" i="7" s="1"/>
  <c r="F63" i="7"/>
  <c r="D16" i="9" l="1"/>
  <c r="F16" i="9" s="1"/>
  <c r="G16" i="9" s="1"/>
  <c r="G85" i="9"/>
  <c r="O58" i="10"/>
  <c r="Q58" i="10"/>
  <c r="D86" i="9"/>
  <c r="F86" i="9" s="1"/>
  <c r="G86" i="9" s="1"/>
  <c r="S43" i="10"/>
  <c r="U42" i="10"/>
  <c r="S44" i="10"/>
  <c r="S57" i="10" s="1"/>
  <c r="C87" i="9" s="1"/>
  <c r="C18" i="9" s="1"/>
  <c r="V42" i="10"/>
  <c r="T44" i="10"/>
  <c r="F38" i="7"/>
  <c r="F6" i="7"/>
  <c r="H86" i="9" l="1"/>
  <c r="H85" i="9"/>
  <c r="H16" i="9"/>
  <c r="T57" i="10"/>
  <c r="D87" i="9" s="1"/>
  <c r="D17" i="9"/>
  <c r="F17" i="9" s="1"/>
  <c r="G17" i="9" s="1"/>
  <c r="U43" i="10"/>
  <c r="W42" i="10"/>
  <c r="U44" i="10"/>
  <c r="U57" i="10" s="1"/>
  <c r="C88" i="9" s="1"/>
  <c r="X42" i="10"/>
  <c r="V44" i="10"/>
  <c r="V57" i="10" s="1"/>
  <c r="D88" i="9" s="1"/>
  <c r="D19" i="9" s="1"/>
  <c r="F43" i="7"/>
  <c r="F15" i="7"/>
  <c r="F20" i="7" s="1"/>
  <c r="D18" i="9" l="1"/>
  <c r="F18" i="9" s="1"/>
  <c r="G18" i="9" s="1"/>
  <c r="H19" i="9" s="1"/>
  <c r="F87" i="9"/>
  <c r="G87" i="9" s="1"/>
  <c r="H17" i="9"/>
  <c r="S58" i="10"/>
  <c r="C19" i="9"/>
  <c r="U58" i="10"/>
  <c r="Y42" i="10"/>
  <c r="Y44" i="10" s="1"/>
  <c r="Y57" i="10" s="1"/>
  <c r="C90" i="9" s="1"/>
  <c r="W44" i="10"/>
  <c r="W43" i="10"/>
  <c r="Z42" i="10"/>
  <c r="X44" i="10"/>
  <c r="H18" i="9" l="1"/>
  <c r="H88" i="9"/>
  <c r="H87" i="9"/>
  <c r="C21" i="9"/>
  <c r="X57" i="10"/>
  <c r="W57" i="10"/>
  <c r="C89" i="9" s="1"/>
  <c r="C91" i="9" s="1"/>
  <c r="AA44" i="10"/>
  <c r="AA57" i="10" s="1"/>
  <c r="B25" i="10" s="1"/>
  <c r="Z44" i="10"/>
  <c r="Z57" i="10" s="1"/>
  <c r="D90" i="9" s="1"/>
  <c r="D21" i="9" s="1"/>
  <c r="Y43" i="10"/>
  <c r="W58" i="10" l="1"/>
  <c r="D89" i="9"/>
  <c r="D20" i="9" s="1"/>
  <c r="AB44" i="10"/>
  <c r="B20" i="10"/>
  <c r="C20" i="9"/>
  <c r="Y58" i="10"/>
  <c r="C93" i="9" l="1"/>
  <c r="C22" i="9"/>
  <c r="C26" i="9" s="1"/>
  <c r="B10" i="6" l="1"/>
  <c r="G121" i="6" l="1"/>
  <c r="G86" i="6"/>
  <c r="G141" i="6" l="1"/>
  <c r="B59" i="6"/>
  <c r="B87" i="6"/>
  <c r="B70" i="6"/>
  <c r="B17" i="6"/>
  <c r="B18" i="6"/>
  <c r="B14" i="6"/>
  <c r="B144" i="6" l="1"/>
  <c r="J26" i="11" l="1"/>
  <c r="J27" i="11"/>
  <c r="G9" i="11"/>
  <c r="G8" i="11"/>
  <c r="N8" i="11" s="1"/>
  <c r="H45" i="10" s="1"/>
  <c r="B9" i="13" s="1"/>
  <c r="J24" i="11"/>
  <c r="G6" i="11"/>
  <c r="J25" i="11"/>
  <c r="I9" i="11"/>
  <c r="I7" i="11" l="1"/>
  <c r="H57" i="10"/>
  <c r="G58" i="10" s="1"/>
  <c r="G7" i="11"/>
  <c r="D57" i="10"/>
  <c r="N9" i="11"/>
  <c r="J45" i="10" s="1"/>
  <c r="B10" i="13" s="1"/>
  <c r="N7" i="11" l="1"/>
  <c r="F45" i="10" s="1"/>
  <c r="B8" i="13" s="1"/>
  <c r="B19" i="13" s="1"/>
  <c r="B20" i="13" s="1"/>
  <c r="F92" i="9" s="1"/>
  <c r="D81" i="9"/>
  <c r="D12" i="9" s="1"/>
  <c r="F12" i="9" s="1"/>
  <c r="G12" i="9" s="1"/>
  <c r="J57" i="10"/>
  <c r="I58" i="10" s="1"/>
  <c r="D79" i="9"/>
  <c r="C58" i="10"/>
  <c r="F23" i="9" l="1"/>
  <c r="F81" i="9"/>
  <c r="G81" i="9" s="1"/>
  <c r="F57" i="10"/>
  <c r="D80" i="9" s="1"/>
  <c r="F80" i="9" s="1"/>
  <c r="G80" i="9" s="1"/>
  <c r="AB45" i="10"/>
  <c r="AB57" i="10" s="1"/>
  <c r="B26" i="10" s="1"/>
  <c r="D82" i="9"/>
  <c r="D10" i="9"/>
  <c r="F10" i="9" s="1"/>
  <c r="F79" i="9"/>
  <c r="D13" i="9" l="1"/>
  <c r="F13" i="9" s="1"/>
  <c r="G13" i="9" s="1"/>
  <c r="F82" i="9"/>
  <c r="G82" i="9" s="1"/>
  <c r="H83" i="9" s="1"/>
  <c r="H81" i="9"/>
  <c r="D11" i="9"/>
  <c r="F11" i="9" s="1"/>
  <c r="G11" i="9" s="1"/>
  <c r="H12" i="9" s="1"/>
  <c r="E58" i="10"/>
  <c r="D91" i="9"/>
  <c r="AA58" i="10"/>
  <c r="G79" i="9"/>
  <c r="G10" i="9"/>
  <c r="F91" i="9" l="1"/>
  <c r="F94" i="9" s="1"/>
  <c r="H82" i="9"/>
  <c r="F22" i="9"/>
  <c r="H14" i="9"/>
  <c r="H13" i="9"/>
  <c r="D93" i="9"/>
  <c r="D22" i="9"/>
  <c r="D26" i="9" s="1"/>
  <c r="F25" i="9" s="1"/>
  <c r="B21" i="10"/>
  <c r="B22" i="10" s="1"/>
  <c r="B27" i="10"/>
  <c r="H11" i="9"/>
  <c r="H10" i="9"/>
  <c r="H79" i="9"/>
  <c r="H80" i="9"/>
  <c r="F26" i="9" l="1"/>
  <c r="G91" i="9"/>
  <c r="G22" i="9"/>
  <c r="H91" i="9"/>
  <c r="H22" i="9"/>
</calcChain>
</file>

<file path=xl/comments1.xml><?xml version="1.0" encoding="utf-8"?>
<comments xmlns="http://schemas.openxmlformats.org/spreadsheetml/2006/main">
  <authors>
    <author>13692879-1</author>
  </authors>
  <commentList>
    <comment ref="B48" authorId="0" shapeId="0">
      <text>
        <r>
          <rPr>
            <b/>
            <sz val="9"/>
            <color indexed="81"/>
            <rFont val="Tahoma"/>
            <family val="2"/>
          </rPr>
          <t>INGRESO PROMEDIO QUE SE DIVIDE EN 10 MESES LINEALMENTE</t>
        </r>
      </text>
    </comment>
    <comment ref="B56" authorId="0" shapeId="0">
      <text>
        <r>
          <rPr>
            <b/>
            <sz val="9"/>
            <color indexed="81"/>
            <rFont val="Tahoma"/>
            <family val="2"/>
          </rPr>
          <t>INGRESO PROMEDIO QUE SE DIVIDE EN 10 MESES LINEALMENTE</t>
        </r>
      </text>
    </comment>
  </commentList>
</comments>
</file>

<file path=xl/comments2.xml><?xml version="1.0" encoding="utf-8"?>
<comments xmlns="http://schemas.openxmlformats.org/spreadsheetml/2006/main">
  <authors>
    <author>F1-05 Encargado Deudores Carolina Donoso Godoy</author>
  </authors>
  <commentList>
    <comment ref="F38" authorId="0" shapeId="0">
      <text>
        <r>
          <rPr>
            <b/>
            <sz val="9"/>
            <color indexed="81"/>
            <rFont val="Tahoma"/>
            <family val="2"/>
          </rPr>
          <t>F1-05 Encargado Deudores Carolina Donoso Godoy:</t>
        </r>
        <r>
          <rPr>
            <sz val="9"/>
            <color indexed="81"/>
            <rFont val="Tahoma"/>
            <family val="2"/>
          </rPr>
          <t xml:space="preserve">
EXIMICIÓN PAGO CAUCIÓN RETIRO X SALUD</t>
        </r>
      </text>
    </comment>
  </commentList>
</comments>
</file>

<file path=xl/comments3.xml><?xml version="1.0" encoding="utf-8"?>
<comments xmlns="http://schemas.openxmlformats.org/spreadsheetml/2006/main">
  <authors>
    <author>10046608-2</author>
  </authors>
  <commentList>
    <comment ref="G38" authorId="0" shapeId="0">
      <text>
        <r>
          <rPr>
            <b/>
            <sz val="12"/>
            <color indexed="81"/>
            <rFont val="Arial"/>
            <family val="2"/>
          </rPr>
          <t>1173.690.770 AFL
286.955.638 BCO4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46" authorId="0" shapeId="0">
      <text>
        <r>
          <rPr>
            <sz val="12"/>
            <color indexed="81"/>
            <rFont val="Arial"/>
            <family val="2"/>
          </rPr>
          <t xml:space="preserve">516.833.060 BCO4
9.120.000 AFL
</t>
        </r>
      </text>
    </comment>
  </commentList>
</comments>
</file>

<file path=xl/sharedStrings.xml><?xml version="1.0" encoding="utf-8"?>
<sst xmlns="http://schemas.openxmlformats.org/spreadsheetml/2006/main" count="5365" uniqueCount="1858">
  <si>
    <t>Biblioteca</t>
  </si>
  <si>
    <t>Seleccionados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</si>
  <si>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</si>
  <si>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</si>
  <si>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</si>
  <si>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</si>
  <si>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</si>
  <si>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</si>
  <si>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</si>
  <si>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</si>
  <si>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</si>
  <si>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</si>
  <si>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</si>
  <si>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</si>
  <si>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Alimentación AFL</t>
  </si>
  <si>
    <t>Presupuestos año anterior</t>
  </si>
  <si>
    <t>Equipo Inicial apoderados</t>
  </si>
  <si>
    <t>Impuestos (Sala de ventas)</t>
  </si>
  <si>
    <t>Pañol de consumo</t>
  </si>
  <si>
    <t>Sala de Ventas</t>
  </si>
  <si>
    <t>Seguro Escolar</t>
  </si>
  <si>
    <t>Academia Cultural</t>
  </si>
  <si>
    <t>Act. Culturales</t>
  </si>
  <si>
    <t>Curso de Inglés</t>
  </si>
  <si>
    <t>Estadisticas</t>
  </si>
  <si>
    <t>FOFI Educación</t>
  </si>
  <si>
    <t>Simulador de Navegación</t>
  </si>
  <si>
    <t>Sost. Educación</t>
  </si>
  <si>
    <t>Acreditación</t>
  </si>
  <si>
    <t>Archivo Histórico</t>
  </si>
  <si>
    <t>Museo</t>
  </si>
  <si>
    <t>Vinculación con el Medio</t>
  </si>
  <si>
    <t>Actividades Batallón de Reclutas</t>
  </si>
  <si>
    <t>Casino Cadete</t>
  </si>
  <si>
    <t>Fiesta Aniversario ESNAVAL</t>
  </si>
  <si>
    <t>Mantenimiento Ejecutivo</t>
  </si>
  <si>
    <t>Semana Aniversario ESNAVAL</t>
  </si>
  <si>
    <t>Sost. Ejecutivo</t>
  </si>
  <si>
    <t>Tramoya Fiesta aniversario</t>
  </si>
  <si>
    <t>Centro Fotocopiado</t>
  </si>
  <si>
    <t>Consumos Básicos</t>
  </si>
  <si>
    <t>Desahucios e Indemnizaciones</t>
  </si>
  <si>
    <t>FOFI Adquisiciones</t>
  </si>
  <si>
    <t>Menaje y Equipo General</t>
  </si>
  <si>
    <t>Prestadores de servicios - Finanzas</t>
  </si>
  <si>
    <t>Sueldos y Honorarios</t>
  </si>
  <si>
    <t>Viáticos</t>
  </si>
  <si>
    <t>Fofi Sanidad</t>
  </si>
  <si>
    <t>Insumos y Medicamentos</t>
  </si>
  <si>
    <t>Mantenimiento  Equipo Sanidad</t>
  </si>
  <si>
    <t>Mantenimiento Sanidad</t>
  </si>
  <si>
    <t>Prevención de Riesgo</t>
  </si>
  <si>
    <t>Sanidad Equipo General</t>
  </si>
  <si>
    <t>Sost. Sanidad y Prevención Riesgos</t>
  </si>
  <si>
    <t>Banda Regimiento Presentación</t>
  </si>
  <si>
    <t>Caldera</t>
  </si>
  <si>
    <t>Mantención y Servicios</t>
  </si>
  <si>
    <t>Movilización Cadetes</t>
  </si>
  <si>
    <t>Otros Traslados Movilización</t>
  </si>
  <si>
    <t>Banda Brigada Planta</t>
  </si>
  <si>
    <t>Sost. Brigada Escuela</t>
  </si>
  <si>
    <t>Apoyo deportivo casa yates -bote</t>
  </si>
  <si>
    <t>Mantención Apoyo dep casa yates-bote</t>
  </si>
  <si>
    <t>Mantención de vehículos</t>
  </si>
  <si>
    <t xml:space="preserve">Mantención redes apoyo </t>
  </si>
  <si>
    <t xml:space="preserve">Mantención yates </t>
  </si>
  <si>
    <t>Plan Vela</t>
  </si>
  <si>
    <t>Admisión</t>
  </si>
  <si>
    <t>Difusion</t>
  </si>
  <si>
    <t>Fases Admisión</t>
  </si>
  <si>
    <t>Participación en seminario</t>
  </si>
  <si>
    <t>FOFI Complejo Deportivo</t>
  </si>
  <si>
    <t>IImplementación Apoyo Deportivo</t>
  </si>
  <si>
    <t>Implementación Apoyo Deportivo</t>
  </si>
  <si>
    <t>Sost complejo poligono</t>
  </si>
  <si>
    <t>Sost. Complejo Deportivo</t>
  </si>
  <si>
    <t>Informatica</t>
  </si>
  <si>
    <t>ODM</t>
  </si>
  <si>
    <t xml:space="preserve">	Regata de Vela en España</t>
  </si>
  <si>
    <t>Escapularios</t>
  </si>
  <si>
    <t>Regata de Vela en Brasil</t>
  </si>
  <si>
    <t>Regata mes del mar</t>
  </si>
  <si>
    <t>Regata Off-Valpo</t>
  </si>
  <si>
    <t>ACTIVIDADES Y CE</t>
  </si>
  <si>
    <t>CAMPEONATOS INT</t>
  </si>
  <si>
    <t>CEREMONIAS CIVIC</t>
  </si>
  <si>
    <t>CEREMONIAS DE ANIV</t>
  </si>
  <si>
    <t>Dirección</t>
  </si>
  <si>
    <t xml:space="preserve">FOFI Dirección </t>
  </si>
  <si>
    <t>INCENTIVOS Y CORREOS</t>
  </si>
  <si>
    <t>MANT VEHICULO</t>
  </si>
  <si>
    <t>PUELCHE</t>
  </si>
  <si>
    <t>Interescuelas</t>
  </si>
  <si>
    <t>Act. profesionales</t>
  </si>
  <si>
    <t>Campaña Escalafón IM.</t>
  </si>
  <si>
    <t>Curso Fusileros 2° año</t>
  </si>
  <si>
    <t>Intercambio Cadete Ejecutivo (USNA)</t>
  </si>
  <si>
    <t>Raid Costero</t>
  </si>
  <si>
    <t>Actividades Militares</t>
  </si>
  <si>
    <t>Sur-3</t>
  </si>
  <si>
    <t>Actividades Academicas</t>
  </si>
  <si>
    <t>Biblioteca control de inventarios</t>
  </si>
  <si>
    <t>Biblioteca Cursos e inscripciones</t>
  </si>
  <si>
    <t>Biblioteca Mant sistemas computacionales</t>
  </si>
  <si>
    <t xml:space="preserve">Biblioteca Operación de la repartición </t>
  </si>
  <si>
    <t>Biblioteca Seminarios</t>
  </si>
  <si>
    <t>Biblioteca Servicio de aseo</t>
  </si>
  <si>
    <t>Pañol Ayudas a Educación</t>
  </si>
  <si>
    <t>Alimentación</t>
  </si>
  <si>
    <t>Mantención de casino y camarotes</t>
  </si>
  <si>
    <t>Obligaciones años anteriores</t>
  </si>
  <si>
    <t>Sur-2</t>
  </si>
  <si>
    <t>Pa&amp;nacute;ol de Consumos</t>
  </si>
  <si>
    <t>Puelche Bravo</t>
  </si>
  <si>
    <t>Intercambio Cadete Abastecimiento</t>
  </si>
  <si>
    <t>Curso Fusileros 2° Año</t>
  </si>
  <si>
    <t>Sost. Act. Fisicas</t>
  </si>
  <si>
    <t>Seleccionado Voleibol</t>
  </si>
  <si>
    <t>Seleccionado Vela</t>
  </si>
  <si>
    <t>Seleccionado Triatlón</t>
  </si>
  <si>
    <t>Seleccionado Tiro al Blanco</t>
  </si>
  <si>
    <t>Seleccionado Tenis</t>
  </si>
  <si>
    <t>Seleccionado Rugby</t>
  </si>
  <si>
    <t>Seleccionado Pentatlón Militar</t>
  </si>
  <si>
    <t>Seleccionado Orientación Terrestre</t>
  </si>
  <si>
    <t>Seleccionado Natación</t>
  </si>
  <si>
    <t>Seleccionado Judo</t>
  </si>
  <si>
    <t>Seleccionado Fútbol</t>
  </si>
  <si>
    <t>Seleccionado Esgrima</t>
  </si>
  <si>
    <t>Seleccionado Boga</t>
  </si>
  <si>
    <t>Seleccionado Básquetbol</t>
  </si>
  <si>
    <t>Seleccionado Atletismo</t>
  </si>
  <si>
    <t>Act. de Vela</t>
  </si>
  <si>
    <t>Sost. SubDirector y secretaria</t>
  </si>
  <si>
    <t>Seminario de Liderazgo en Italia</t>
  </si>
  <si>
    <t>Regata de Vela en Italia</t>
  </si>
  <si>
    <t>Regata de Vela en Indonesia</t>
  </si>
  <si>
    <t>Regata de Vela en España</t>
  </si>
  <si>
    <t>Regata de Vela en China</t>
  </si>
  <si>
    <t>Regata de Remo en Brasil</t>
  </si>
  <si>
    <t>Regata Copa ESNAVAL Vela</t>
  </si>
  <si>
    <t>Competencia Remo en Argentina</t>
  </si>
  <si>
    <t>Aniversario ESNAVAL Ecuador</t>
  </si>
  <si>
    <t>PROTAGONISTA 2030</t>
  </si>
  <si>
    <t>Gasto Sostenimiento Admisión</t>
  </si>
  <si>
    <t>Recreo Club de Yates</t>
  </si>
  <si>
    <t>Mant. Flota de Yates</t>
  </si>
  <si>
    <t>Embarcación de Seguridad</t>
  </si>
  <si>
    <t>Combustible Botes y Yates</t>
  </si>
  <si>
    <t>Casa de Botes de Curauma</t>
  </si>
  <si>
    <t>Arriendo Muelle</t>
  </si>
  <si>
    <t>Trabajo de Mantenimiento (Verano)</t>
  </si>
  <si>
    <t>Sala de Armas Regimiento de Presentación</t>
  </si>
  <si>
    <t>Mantenimiento Infraestructura Habitabilidad Cadete</t>
  </si>
  <si>
    <t>Mantenimiento Infraestructura Apoyo</t>
  </si>
  <si>
    <t>Mantención Vehiculos</t>
  </si>
  <si>
    <t>Imprenta</t>
  </si>
  <si>
    <t>FOFI Mantención</t>
  </si>
  <si>
    <t>Combustible Maquinaria Auxiliar</t>
  </si>
  <si>
    <t>Ceremonia de Graduación Gamas</t>
  </si>
  <si>
    <t>Banda de Guerra</t>
  </si>
  <si>
    <t>VIATICOS CENFIN 03</t>
  </si>
  <si>
    <t>SALA MUSCULACIÓN</t>
  </si>
  <si>
    <t>Proyecto Reparación Piscina</t>
  </si>
  <si>
    <t>PROYECTO ESNAVAL 2024</t>
  </si>
  <si>
    <t>Obligaciones año anterior</t>
  </si>
  <si>
    <t>Mayordomo General</t>
  </si>
  <si>
    <t>Lavadora II</t>
  </si>
  <si>
    <t>Finanzas y secretaria</t>
  </si>
  <si>
    <t>EDUCACION</t>
  </si>
  <si>
    <t>Consumos Basicos</t>
  </si>
  <si>
    <t>Adquisiciones</t>
  </si>
  <si>
    <t>Fiestas Generacionales</t>
  </si>
  <si>
    <t>Fiesta Graduación Gamas</t>
  </si>
  <si>
    <t>Conferencia Annapolis</t>
  </si>
  <si>
    <t>Actv. batallon de reclutas</t>
  </si>
  <si>
    <t>Secretaria Aconges</t>
  </si>
  <si>
    <t>Simulador de navegación</t>
  </si>
  <si>
    <t>Revista Ancla</t>
  </si>
  <si>
    <t>Curso de Ingles</t>
  </si>
  <si>
    <t>Actividades Culturales</t>
  </si>
  <si>
    <t>Deuda Flotante</t>
  </si>
  <si>
    <t>TOTAL COSTOS VARIABLES 2024</t>
  </si>
  <si>
    <t>Detalle</t>
  </si>
  <si>
    <t>Montos</t>
  </si>
  <si>
    <t xml:space="preserve">Gastos Sostenimiento Mantención y Servicio </t>
  </si>
  <si>
    <t>Otros Costos</t>
  </si>
  <si>
    <t>Sueldos PC (DGPA)</t>
  </si>
  <si>
    <t xml:space="preserve"> Brigada Planta</t>
  </si>
  <si>
    <t>FOFI Marina</t>
  </si>
  <si>
    <t>FOFI Mantencion</t>
  </si>
  <si>
    <t>FOFI Depto. Ejecutivo</t>
  </si>
  <si>
    <t>FOFI Admisión y RR.PP.</t>
  </si>
  <si>
    <t>FOFI ACTIVIDADES  FISICAS</t>
  </si>
  <si>
    <t>COSTOS VARIABLES</t>
  </si>
  <si>
    <t>COSTOS FIJOS</t>
  </si>
  <si>
    <t>INGRESOS</t>
  </si>
  <si>
    <t>EGRESOS</t>
  </si>
  <si>
    <t>COSTO</t>
  </si>
  <si>
    <t>SALDO INICIAL DE CAJA</t>
  </si>
  <si>
    <t>COSTOS 2025</t>
  </si>
  <si>
    <t>Sost. Complejo Deportivo(mant  piscina)</t>
  </si>
  <si>
    <t>Sost. Complejo Deportivo(mant de vehiculos</t>
  </si>
  <si>
    <t>Sost. Complejo Deportivo(mant de canchas)</t>
  </si>
  <si>
    <t>Sost. Complejo Deportivo(mant infra terrestre)</t>
  </si>
  <si>
    <t>Sost. Complejo Deportivo(art limpieza multi cancha)</t>
  </si>
  <si>
    <t>COSTOS 2024</t>
  </si>
  <si>
    <t>Sostenimiento Infraestrusctura</t>
  </si>
  <si>
    <t>FLUJOS DE CAJA Y PRESUPUESTO 2022-2024</t>
  </si>
  <si>
    <t>CONSOLIDADO CENFIN 3 Y 10</t>
  </si>
  <si>
    <t>OPERACIONAL</t>
  </si>
  <si>
    <t>ACTIVIDADES DE INVERSIÓN</t>
  </si>
  <si>
    <t>AUMENTO PRESUPUESTO</t>
  </si>
  <si>
    <t>INVERSIÓN</t>
  </si>
  <si>
    <t>REDUCCIÓN PRESUPUESTO</t>
  </si>
  <si>
    <t>SALDO FINAL DE CAJA</t>
  </si>
  <si>
    <t>PRESUPUESTO VIGENTE AL CIERRE</t>
  </si>
  <si>
    <t>DEUDA EXIGIBLE</t>
  </si>
  <si>
    <t>COMPROMISOS AS</t>
  </si>
  <si>
    <t>SUBEJECUTADO</t>
  </si>
  <si>
    <t>SALDO FLUJO FINANCIERO</t>
  </si>
  <si>
    <t>ASIGNACIÓN CAPITAL</t>
  </si>
  <si>
    <t>CENFIN 3</t>
  </si>
  <si>
    <t>ASIGNACIÓN ALUMNOS</t>
  </si>
  <si>
    <t>CENFIN 10</t>
  </si>
  <si>
    <t>AÑO</t>
  </si>
  <si>
    <t>CENFIN</t>
  </si>
  <si>
    <t>SALDO INICIAL CAJA</t>
  </si>
  <si>
    <t>MES</t>
  </si>
  <si>
    <t>INGRESO LINEAL PROYECTADO</t>
  </si>
  <si>
    <t>DESVIACIÓN DE CAJA MENSUAL</t>
  </si>
  <si>
    <t>DESVIACIÓN DE CAJA ACUMULADA</t>
  </si>
  <si>
    <t>PROYECCIÓN DE GASTO</t>
  </si>
  <si>
    <t>OBLIGADO</t>
  </si>
  <si>
    <t>DEVENGADO</t>
  </si>
  <si>
    <t>GASTO MENSUAL</t>
  </si>
  <si>
    <t>TOTALES</t>
  </si>
  <si>
    <t>03</t>
  </si>
  <si>
    <t>Servicios de bienestar</t>
  </si>
  <si>
    <t>Actividades físicas Seleccionados</t>
  </si>
  <si>
    <t>Sostenimiento servicios de alimentación</t>
  </si>
  <si>
    <t>FOFI Abastecimiento</t>
  </si>
  <si>
    <t>Representación Dirección</t>
  </si>
  <si>
    <t>Visitas profesionales Batallón de Reclutas</t>
  </si>
  <si>
    <t>Deuda exigible</t>
  </si>
  <si>
    <t>Capacitación profesores</t>
  </si>
  <si>
    <t>PRESUPUESTO VIGENTE</t>
  </si>
  <si>
    <t>DIFERENCIA</t>
  </si>
  <si>
    <t>TOTAL</t>
  </si>
  <si>
    <t>CURSOS</t>
  </si>
  <si>
    <t>EFECTIVA ENE 2025</t>
  </si>
  <si>
    <t>REAL</t>
  </si>
  <si>
    <t>PROY</t>
  </si>
  <si>
    <t>VALOR UF FIJADO</t>
  </si>
  <si>
    <t>MENSUALIDAD UF</t>
  </si>
  <si>
    <t>MENSUALIDAD $CLP</t>
  </si>
  <si>
    <t>N°</t>
  </si>
  <si>
    <t>CSO</t>
  </si>
  <si>
    <t>NRO</t>
  </si>
  <si>
    <t>SEXO</t>
  </si>
  <si>
    <t>APELLIDO Y NOMBRE</t>
  </si>
  <si>
    <t>FECHA RETIRO</t>
  </si>
  <si>
    <t>1E</t>
  </si>
  <si>
    <t>M</t>
  </si>
  <si>
    <t>1K</t>
  </si>
  <si>
    <t>F</t>
  </si>
  <si>
    <t>CASTRO PALOMO ANDREA</t>
  </si>
  <si>
    <t>1H</t>
  </si>
  <si>
    <t>1C</t>
  </si>
  <si>
    <t>2B</t>
  </si>
  <si>
    <t>QUEZADA DEVOTO BENJAMÍN</t>
  </si>
  <si>
    <t>HURTADO VIAL FELIPE</t>
  </si>
  <si>
    <t>EFECTIVA POR MES</t>
  </si>
  <si>
    <t>DIFERNECIA +/-</t>
  </si>
  <si>
    <t>MENSUALIDADES</t>
  </si>
  <si>
    <t>ALUMNO</t>
  </si>
  <si>
    <t>ALUMNO NIVEL I</t>
  </si>
  <si>
    <t>ALUMNO NIVEL II</t>
  </si>
  <si>
    <t>PROY ENE</t>
  </si>
  <si>
    <t>PROYECCIÓN</t>
  </si>
  <si>
    <t>DIFERENCIA CF03</t>
  </si>
  <si>
    <t>DIFERENCIA CF10</t>
  </si>
  <si>
    <t>SALA DE VENTA</t>
  </si>
  <si>
    <t>FOTOCOPIA</t>
  </si>
  <si>
    <t>TOTAL CF 03</t>
  </si>
  <si>
    <t>INGRESO EFECTIVO DE CAJA</t>
  </si>
  <si>
    <t>INGRESO REAL DE CAJA COMPROMETIDO</t>
  </si>
  <si>
    <t>DESVIACIÓN DE CAJA REAL</t>
  </si>
  <si>
    <t>EQUIPO DE INGRESO UF</t>
  </si>
  <si>
    <t>PRESUPUESTO</t>
  </si>
  <si>
    <t>PROYECTADO</t>
  </si>
  <si>
    <t>REAL ESPERADO</t>
  </si>
  <si>
    <t>PRESUPUESTO CF03</t>
  </si>
  <si>
    <t>PROYECCIÓN PRESUPUESTARIA ESCUELA NAVAL "ARTURO PRAT"</t>
  </si>
  <si>
    <t>SALDO INICIAL DE CAJA CF03</t>
  </si>
  <si>
    <t>SALDO INICIAL DE CAJA CF10</t>
  </si>
  <si>
    <t>PRESUPUESTO CF10</t>
  </si>
  <si>
    <t>ADMINOGASTO 10</t>
  </si>
  <si>
    <t>PRESUPUESTO DISTRIBUIDO</t>
  </si>
  <si>
    <t>CONSOLIDADO</t>
  </si>
  <si>
    <t>GUAGAMA GARAY ANTONIO</t>
  </si>
  <si>
    <t>RETIROS</t>
  </si>
  <si>
    <t>FECHA</t>
  </si>
  <si>
    <t>MATRÍCULA UF</t>
  </si>
  <si>
    <t>MATRÍCULA $CLP</t>
  </si>
  <si>
    <t>MATRÍCULA</t>
  </si>
  <si>
    <t>R1</t>
  </si>
  <si>
    <t>REINCORPORADOS 1°</t>
  </si>
  <si>
    <t>TOTAL ANTIGUOS 1°</t>
  </si>
  <si>
    <t>CD ANTIGUOS 1ER AÑO</t>
  </si>
  <si>
    <t>PRESUPUESTO CONSOLIDADO</t>
  </si>
  <si>
    <t>DESVIACIÓN PROY</t>
  </si>
  <si>
    <t>CAJA</t>
  </si>
  <si>
    <t>AÑOS DE PERMANENCIA</t>
  </si>
  <si>
    <t>DAGOWAY</t>
  </si>
  <si>
    <t>UTM</t>
  </si>
  <si>
    <t>UF AL 01 DEL MES</t>
  </si>
  <si>
    <t>CASA N°1</t>
  </si>
  <si>
    <t>NIVELES</t>
  </si>
  <si>
    <t>1° I</t>
  </si>
  <si>
    <t>1° II</t>
  </si>
  <si>
    <t xml:space="preserve">2° </t>
  </si>
  <si>
    <t xml:space="preserve">3° </t>
  </si>
  <si>
    <t xml:space="preserve">4° </t>
  </si>
  <si>
    <t xml:space="preserve">5° </t>
  </si>
  <si>
    <t xml:space="preserve">6° </t>
  </si>
  <si>
    <t xml:space="preserve">INGRESOS POR SEGURO </t>
  </si>
  <si>
    <t>RETIROS Y PERMANENCIA</t>
  </si>
  <si>
    <t>CÓD.</t>
  </si>
  <si>
    <t>UF</t>
  </si>
  <si>
    <t>RESUMEN UTM POR AÑOS DE PERMANENCIA POR MES</t>
  </si>
  <si>
    <t>TOTAL UTM MES</t>
  </si>
  <si>
    <t>&lt;15 DIAS</t>
  </si>
  <si>
    <t>( = ) DESVIACIÓN TOTAL</t>
  </si>
  <si>
    <t>( + ) SEGUROS POR COBRAR</t>
  </si>
  <si>
    <t>CHIRINO ACEVEDO MAYTE</t>
  </si>
  <si>
    <t>PRECHT ARANEDA TOMÁS ANDRES</t>
  </si>
  <si>
    <t>LISTADO DE CURSOS PRIMER A CUARTO AÑO 2025 (ACTUALIZADO AL 28 DE ENERO)</t>
  </si>
  <si>
    <t>RUT</t>
  </si>
  <si>
    <t>DV</t>
  </si>
  <si>
    <t>NIE</t>
  </si>
  <si>
    <t>N.P.I.</t>
  </si>
  <si>
    <t>NOMBRE</t>
  </si>
  <si>
    <t>CURSO 2025</t>
  </si>
  <si>
    <t>CONDICION</t>
  </si>
  <si>
    <t>AGUAYO CHACÓN  MARÍA JOSEFA</t>
  </si>
  <si>
    <t>1A</t>
  </si>
  <si>
    <t>409624-8</t>
  </si>
  <si>
    <t>ANDULCE  PAVEZ IGNACIA PAMELA</t>
  </si>
  <si>
    <t>RC</t>
  </si>
  <si>
    <t>401823-4</t>
  </si>
  <si>
    <t>BORCOSKI ZILLERUELO FERNANDO TOMÁS</t>
  </si>
  <si>
    <t>REINCORP.</t>
  </si>
  <si>
    <t>FERNANDEZ FLORES DAVID INGACIO</t>
  </si>
  <si>
    <t xml:space="preserve">FUENTES LUFER TRINIDAD </t>
  </si>
  <si>
    <t>GÓMEZ  CAVIERES RODRIGO</t>
  </si>
  <si>
    <t>INZUNZA QUINTEROS FELIPE IGNACIO</t>
  </si>
  <si>
    <t xml:space="preserve">LOPEZ HERRERA CRISTOBAL MARTÍN </t>
  </si>
  <si>
    <t xml:space="preserve">MILLAR  VILLALOBOS  NICOLAS </t>
  </si>
  <si>
    <t>MONTENEGRO RAMOS TOMAS</t>
  </si>
  <si>
    <t>MUJICA CANALES BENJAMIN</t>
  </si>
  <si>
    <t xml:space="preserve">NOVOA  CASTRO  GERARDO </t>
  </si>
  <si>
    <t>OPAZO MOLINA SHANNONT JISLENY</t>
  </si>
  <si>
    <t>PACHECO MAKRAY MAXIMILIANO AGUSTÍN</t>
  </si>
  <si>
    <t>PEÑALOZA BAEZA MARTINA ISIDORA</t>
  </si>
  <si>
    <t>RIQUELME FARFAN IGNACIO</t>
  </si>
  <si>
    <t>SALGADO MOLINA OSCAR FERNANDO</t>
  </si>
  <si>
    <t xml:space="preserve">SAN MARTIN  JIMENEZ  FRANCISCO IGNACIO </t>
  </si>
  <si>
    <t>k</t>
  </si>
  <si>
    <t>SILVA BARBOSA MAXIMILIANO</t>
  </si>
  <si>
    <t>STUHL ZIMMERMANN GÜNTHER</t>
  </si>
  <si>
    <t>TAPPEN  ESCOBAR JOSÉ TOMÁS</t>
  </si>
  <si>
    <t>TIZNADO GARCÉS JAVIERA ANDREA</t>
  </si>
  <si>
    <t>VICUÑA COVARRUBIAS PEDRO</t>
  </si>
  <si>
    <t xml:space="preserve">VILLEGAS ACEVEDO CRISTIHAN IGNACIO </t>
  </si>
  <si>
    <t>ANGERMAYER CARRASCO FRANCISCO</t>
  </si>
  <si>
    <t>1B</t>
  </si>
  <si>
    <t>ARTECHE FIGUEROA  FERNANDO</t>
  </si>
  <si>
    <t>404124-9</t>
  </si>
  <si>
    <t>BRAVO OCHOA ÁLVARO FRANCISCO</t>
  </si>
  <si>
    <t>CARIPAN ANDRADES NATANIEL ALEXIS</t>
  </si>
  <si>
    <t>CLEMENTE BRIONES MATÍAS IGNACIO</t>
  </si>
  <si>
    <t xml:space="preserve">ESPINOSA  LEON  FRANCISCO JAVIER </t>
  </si>
  <si>
    <t>405624-6</t>
  </si>
  <si>
    <t>FERRER GONZÁLEZ  CAMILO AMARO</t>
  </si>
  <si>
    <t>FUENTEALBA  FLORES CATALINA ANTONIA</t>
  </si>
  <si>
    <t>FUENTES JAQUE BENJAMÍN</t>
  </si>
  <si>
    <t>K</t>
  </si>
  <si>
    <t>GARCÉS NÚÑEZ SAMUEL</t>
  </si>
  <si>
    <t>GUERRERO HERRERA RICARDO</t>
  </si>
  <si>
    <t>HUERTA OLEA DARÍO</t>
  </si>
  <si>
    <t>INOSTROZA  PARRA VICENTE</t>
  </si>
  <si>
    <t>MEDIC PARIS MILAN</t>
  </si>
  <si>
    <t>MELENDEZ DE LA ROSA HELEN</t>
  </si>
  <si>
    <t>MENA  CANALES  BENJAMIN FABIAN</t>
  </si>
  <si>
    <t>MERCADO LAZZERINI JAVIER</t>
  </si>
  <si>
    <t>OTAROLA MALDONADO BENJAMIN</t>
  </si>
  <si>
    <t xml:space="preserve">PÉREZ COTAPOS  ESCOBAR  JUAN IGNACIO EDUARDO </t>
  </si>
  <si>
    <t>SANDOVAL CID PAZ IGNACIA</t>
  </si>
  <si>
    <t xml:space="preserve">SILVA BUSTOS  CONSTANZA BELÉN </t>
  </si>
  <si>
    <t>UGARTE ARROS ISIDORA</t>
  </si>
  <si>
    <t>VERA GAJARDO JOAQUIN</t>
  </si>
  <si>
    <t>ARIAS CASTILLO  NAYARETH</t>
  </si>
  <si>
    <t>CARTES FLORES ROGER IGNACIO</t>
  </si>
  <si>
    <t xml:space="preserve">ECHIBURÚ ARANCIBIA FELIPE ALONSO </t>
  </si>
  <si>
    <t xml:space="preserve">GONZÁLEZ TRUJILLO JAVIERA VALENTINA </t>
  </si>
  <si>
    <t>GUTIERREZ GOMEZ RENATA</t>
  </si>
  <si>
    <t>IZQUIERDO MUJICA JACINTA MARÍA</t>
  </si>
  <si>
    <t>LAGOS  ASTUDILLO  IGNACIO JAVIER</t>
  </si>
  <si>
    <t>MIRANDA UGARTE DOMINGO</t>
  </si>
  <si>
    <t>MONTES DE LA CERDA PEDRO PABLO</t>
  </si>
  <si>
    <t>406624-2</t>
  </si>
  <si>
    <t>OYARZÚN SILVA  BASTIAN ANDRÉS</t>
  </si>
  <si>
    <t>PALMA SÁNCHEZ BENJAMÍN</t>
  </si>
  <si>
    <t>PERKINS ROJAS CONSTANZA</t>
  </si>
  <si>
    <t xml:space="preserve">PÉREZ MENDOZA MARTÍN </t>
  </si>
  <si>
    <t>RODRÍGUEZ  STOWHAS  TOMÁS</t>
  </si>
  <si>
    <t>SAEZ VILLARROEL JAVIER</t>
  </si>
  <si>
    <t>SANHUEZA CHAMORRO FRANCO MAXIMILIANO</t>
  </si>
  <si>
    <t>SÁNCHEZ VERGARA FERNANDO</t>
  </si>
  <si>
    <t xml:space="preserve">SEPÚLVEDA ARANCIBIA LUCAS </t>
  </si>
  <si>
    <t>SERÓN ROZAS NEFI ANTONIO</t>
  </si>
  <si>
    <t>VALENCIA NARVAÉZ ISIDORA</t>
  </si>
  <si>
    <t>VARGAS PEÑA DIEGO</t>
  </si>
  <si>
    <t>413924-8</t>
  </si>
  <si>
    <t>VEGA  SALGADO FRANCO IGNACIO</t>
  </si>
  <si>
    <t>ZUÑIGA MIÑO SEBASTIAN</t>
  </si>
  <si>
    <t>SOTO VAN CAPEL JUAN IGNACIO</t>
  </si>
  <si>
    <t>1D</t>
  </si>
  <si>
    <t>408724-5</t>
  </si>
  <si>
    <t>PULGAR VALLEJOS  MARÍA IGNACIA</t>
  </si>
  <si>
    <t>AGUIRRE GAJARDO NICOLAS</t>
  </si>
  <si>
    <t>ALLENDES CADENA SANTIAGO IGNACIO</t>
  </si>
  <si>
    <t>ALMENDRAS GONZÁLEZ  CATALINA</t>
  </si>
  <si>
    <t>ARAYA MEZA BENJAMIN</t>
  </si>
  <si>
    <t>BAHAMONDES  RIVAS  JOSEFA</t>
  </si>
  <si>
    <t>CABELLO DE LA HOZ BENJAMIN IGNACIO</t>
  </si>
  <si>
    <t>402824-4</t>
  </si>
  <si>
    <t>CABRALES  SUAZO  YONATHAN</t>
  </si>
  <si>
    <t>CASTRO VILLAGRA JORGE IGNACIO</t>
  </si>
  <si>
    <t>HERRERA DUARTE IGNACIO</t>
  </si>
  <si>
    <t xml:space="preserve">HUERTA FRITIS ANTONIA CATALINA </t>
  </si>
  <si>
    <t>MELO PEÑA FABIAN</t>
  </si>
  <si>
    <t xml:space="preserve">MORALES VARGAS MATIAS </t>
  </si>
  <si>
    <t>NAVARRETE KUSCH SANTIAGO</t>
  </si>
  <si>
    <t>OPAZO MONTECINOS DANIEL IGNACIO</t>
  </si>
  <si>
    <t>ORTEGA SILVA  LORENA</t>
  </si>
  <si>
    <t xml:space="preserve">ORTIZ OBREQUE MARCELO </t>
  </si>
  <si>
    <t>RAMIREZ   CASTRO  CATHERINNE DAIANA</t>
  </si>
  <si>
    <t>REYES CUROTTO JOAQUIN</t>
  </si>
  <si>
    <t>ROMERO GUTIÉRREZ ALBERTO</t>
  </si>
  <si>
    <t>TORRETTI PEÑAILILLO ENZO</t>
  </si>
  <si>
    <t>ZAMORA LAZO IGNACIO</t>
  </si>
  <si>
    <t>ZELAYA ARELLANO NICOLAS</t>
  </si>
  <si>
    <t>ÁLVAREZ HERRERA  MARTÍN</t>
  </si>
  <si>
    <t xml:space="preserve">BADILLA ECHEVERRIA VITTORIO ALFREDO </t>
  </si>
  <si>
    <t>BENAVIDES SOUGARRET MATIAS IGNACIO</t>
  </si>
  <si>
    <t>CARREÑO URIBE VICENTE EDUARDO</t>
  </si>
  <si>
    <t xml:space="preserve">CASAS CRUCES SOFIA </t>
  </si>
  <si>
    <t>CASTRO AROS MAXIMILIANO ISMAEL</t>
  </si>
  <si>
    <t>CARTAGENA  MIRANDA SOFIA ALEJANDRA</t>
  </si>
  <si>
    <t>CORNEJO CORREA LEONARDO</t>
  </si>
  <si>
    <t xml:space="preserve">CONTADOR  ALVAREZ  MATÍAS </t>
  </si>
  <si>
    <t>ESCOBAR VASQUEZ VICENTE</t>
  </si>
  <si>
    <t>403324-8</t>
  </si>
  <si>
    <t>FLORES YÁÑEZ ROBERTO IGNACIO</t>
  </si>
  <si>
    <t xml:space="preserve">GALEB LARROULET  SEBASTIAN ALEJANDRO </t>
  </si>
  <si>
    <t>GÓMEZ  ANTHONNY ABDIEL</t>
  </si>
  <si>
    <t>PANAMEÑO</t>
  </si>
  <si>
    <t>HOWARD PINOCHET IAN PATRICK</t>
  </si>
  <si>
    <t xml:space="preserve">IBARRA  RAMÍREZ  ANTONIA </t>
  </si>
  <si>
    <t>LABRA HANSON JOAQUIN ESTEBAN</t>
  </si>
  <si>
    <t>LILLO RAMÍREZ DANIELA</t>
  </si>
  <si>
    <t>MUÑOZ ANGUITA TOMÁS ENRIQUE</t>
  </si>
  <si>
    <t>REYES BRONFMAN IGNACIO</t>
  </si>
  <si>
    <t xml:space="preserve">SALAS CHANCEREL BENJAMIN </t>
  </si>
  <si>
    <t>SAN MARTIN VENEZIAN PABLO JOSE</t>
  </si>
  <si>
    <t>SPENCER SUAREZ JOAQUÍN AGUSTÍN</t>
  </si>
  <si>
    <t>TIZNADO GARCÉS CRISTIAN</t>
  </si>
  <si>
    <t>VENERE GONZALEZ NICOLAS</t>
  </si>
  <si>
    <t>ZEHMKE NEGRONI AILINE</t>
  </si>
  <si>
    <t>ÁLVAREZ DURÁN JUAN CRISTÓBAL HERNÁN</t>
  </si>
  <si>
    <t xml:space="preserve">BADILLA GALLARDO FLORENCIA </t>
  </si>
  <si>
    <t>BRICEÑO PRADO AGUSTÍN EMILIO</t>
  </si>
  <si>
    <t>BURGOS SANCHEZ DIEGO</t>
  </si>
  <si>
    <t xml:space="preserve">CÁCERES NAVARRETE  ANTONELLA </t>
  </si>
  <si>
    <t>CARRASCO TRONCOSO SOFIA</t>
  </si>
  <si>
    <t>CASTRO BARRIA DIEGO SEBASTIAN</t>
  </si>
  <si>
    <t>CONTRERAS  MOLINA TOMÁS FRANCISCO</t>
  </si>
  <si>
    <t>407524-5</t>
  </si>
  <si>
    <t xml:space="preserve">COX  MACAYA FELIPE ANDRÉS </t>
  </si>
  <si>
    <t>CURIMAN ARANEDA VICENTE</t>
  </si>
  <si>
    <t xml:space="preserve"> 412824-1</t>
  </si>
  <si>
    <t>ESPINOZA  ASTETE AGUSTIN</t>
  </si>
  <si>
    <t>FERBOL MONSAVEL SEBASTIÁN</t>
  </si>
  <si>
    <t>FOITZICK RIVERA ROMINA ANDREA</t>
  </si>
  <si>
    <t>FLORES  COIGÜIN NICOLÁS</t>
  </si>
  <si>
    <t>GODOY MARAMBIO NICOLÁS PATRICIO</t>
  </si>
  <si>
    <t>GONZÁLEZ  BELMAR AMANDA ESPERANZA</t>
  </si>
  <si>
    <t xml:space="preserve">HENRIQUEZ  ALCAINO BENJAMIN </t>
  </si>
  <si>
    <t>MORALES PONCE NICOLAS IGNACIO</t>
  </si>
  <si>
    <t xml:space="preserve">OLFOS DE LA FUENTE AUSTIN </t>
  </si>
  <si>
    <t xml:space="preserve">PEDREROS OREÑA MARTIN </t>
  </si>
  <si>
    <t>PÉREZ ALARCÓN MARTÍN FERNANDO</t>
  </si>
  <si>
    <t xml:space="preserve">RUMINOT YAÑEZ BENJAMIN </t>
  </si>
  <si>
    <t>SANDOVAL LAFERTTE JOSÉ TOMÁS</t>
  </si>
  <si>
    <t xml:space="preserve">THIBAUT  BOBADILLA  JEAN </t>
  </si>
  <si>
    <t>ZAMORA  SOTO FERNANDO ESTEBAN</t>
  </si>
  <si>
    <t>AGUILERA DE LA FUENTE MAXIMO SEBASTIAN</t>
  </si>
  <si>
    <t>ALLAMAND DARRIGRANDI JUAN DOMINGO</t>
  </si>
  <si>
    <t xml:space="preserve"> 411924-7</t>
  </si>
  <si>
    <t>ÁNGEL  DÍAZ  SOFÍA CONSTANZA</t>
  </si>
  <si>
    <t xml:space="preserve">ARAOS ARRATIA MATYAS </t>
  </si>
  <si>
    <t>BARCKHAHN BERRIOS PABLO ARNOLDO</t>
  </si>
  <si>
    <t xml:space="preserve">BARRIGA SOTO SEBASTIÁN </t>
  </si>
  <si>
    <t xml:space="preserve">BASTIDAS ROSENBERG AMPARO </t>
  </si>
  <si>
    <t>BULL DAVIDSON BENJAMIN</t>
  </si>
  <si>
    <t>CAMPOS TAPIA GABRIEL ALEJANDRO</t>
  </si>
  <si>
    <t xml:space="preserve">ECHEVERRÍA  HELFMANN  SEBASTIÁN </t>
  </si>
  <si>
    <t>GARCÍA CONTADOR RODRIGO ANDRÉS</t>
  </si>
  <si>
    <t xml:space="preserve">GUTIÉRREZ  SALAZAR FLORENCIA </t>
  </si>
  <si>
    <t xml:space="preserve">LEIVA  HENRÍQUEZ  ISIDORA </t>
  </si>
  <si>
    <t>MOLINA GONZALEZ IGNACIO</t>
  </si>
  <si>
    <t>401724-6</t>
  </si>
  <si>
    <t>ORELLANA  TRENCH MARTÍN</t>
  </si>
  <si>
    <t>PAREDES MUÑOZ BENJAMIN</t>
  </si>
  <si>
    <t xml:space="preserve">PATIÑO  DURALDE GIANCARLO </t>
  </si>
  <si>
    <t>PÉREZ KIRKMAN MAXIMILIANO</t>
  </si>
  <si>
    <t>SAVINI DEMETRIO FRANCO</t>
  </si>
  <si>
    <t>SEPÚLVEDA ALARCÓN DIEGO</t>
  </si>
  <si>
    <t>YEPSEN LAGOS NATALIA PAOLA</t>
  </si>
  <si>
    <t xml:space="preserve"> 402624-9</t>
  </si>
  <si>
    <t>ARRIAGADA VENTURELLI ABIGAIL</t>
  </si>
  <si>
    <t>2A</t>
  </si>
  <si>
    <t xml:space="preserve"> 412224-7</t>
  </si>
  <si>
    <t>ASTUDILLO BERRÍOS GONZALO</t>
  </si>
  <si>
    <t xml:space="preserve"> 412324-9</t>
  </si>
  <si>
    <t>BRICEÑO VEGA ANTONIA</t>
  </si>
  <si>
    <t xml:space="preserve"> 412624-6</t>
  </si>
  <si>
    <t>CASTRO BAEZA MAXIMILIANO</t>
  </si>
  <si>
    <t xml:space="preserve"> 404823-1</t>
  </si>
  <si>
    <t>DUARTE NAVARRO RAIMUNDO</t>
  </si>
  <si>
    <t xml:space="preserve"> 405324-9</t>
  </si>
  <si>
    <t>DÍAZ BARRERA JOAQUIN</t>
  </si>
  <si>
    <t xml:space="preserve"> 405824-1</t>
  </si>
  <si>
    <t>GUERRERO ECHEVERRÍA ARTURO</t>
  </si>
  <si>
    <t xml:space="preserve"> 410624-5</t>
  </si>
  <si>
    <t>HORMAZÁBAL FEHRENBERG JOAQUÍN</t>
  </si>
  <si>
    <t xml:space="preserve"> 410724-7</t>
  </si>
  <si>
    <t>ILLANES GAZMURI DIEGO</t>
  </si>
  <si>
    <t xml:space="preserve"> 409923-1</t>
  </si>
  <si>
    <t>MARAMBIO LAVÍN MARÍA AUGUSTA</t>
  </si>
  <si>
    <t xml:space="preserve"> 413124-1</t>
  </si>
  <si>
    <t>MUÑOZ COFRE MARTIN</t>
  </si>
  <si>
    <t xml:space="preserve"> 408224-4</t>
  </si>
  <si>
    <t>NAVEA JARA VICENTE</t>
  </si>
  <si>
    <t xml:space="preserve"> 405523-9</t>
  </si>
  <si>
    <t>OYANEDER PAVEZ CRISTÓBAL IGNACIO</t>
  </si>
  <si>
    <t xml:space="preserve"> 408524-1</t>
  </si>
  <si>
    <t>PINEDA TABILO MARTÍN</t>
  </si>
  <si>
    <t xml:space="preserve"> 411524-8</t>
  </si>
  <si>
    <t>SÁNCHEZ CISTERNAS VICENTE</t>
  </si>
  <si>
    <t xml:space="preserve"> 402224-1</t>
  </si>
  <si>
    <t>SEPÚLVEDA SÁNCHEZ MARTÍN</t>
  </si>
  <si>
    <t xml:space="preserve"> 413824-6</t>
  </si>
  <si>
    <t>URQUIZA CASAS-CORDERO FABIÁN</t>
  </si>
  <si>
    <t xml:space="preserve"> 404424-6</t>
  </si>
  <si>
    <t>VÁSQUEZ GÓMEZ SEBASTIÁN</t>
  </si>
  <si>
    <t xml:space="preserve"> 404624-1</t>
  </si>
  <si>
    <t>VINES URZÚA DAMARY</t>
  </si>
  <si>
    <t xml:space="preserve"> 400124-7</t>
  </si>
  <si>
    <t>ARRATIA VERA MATEO</t>
  </si>
  <si>
    <t xml:space="preserve"> 400224-9</t>
  </si>
  <si>
    <t>BAHAMONDES CONTRERAS IAN</t>
  </si>
  <si>
    <t xml:space="preserve"> 400123-3</t>
  </si>
  <si>
    <t>BUGUEÑO FUENTES EMILIA GRACIA</t>
  </si>
  <si>
    <t xml:space="preserve"> 405224-7</t>
  </si>
  <si>
    <t>CASTRO ROJAS LUCIANO</t>
  </si>
  <si>
    <t xml:space="preserve"> 412023-8</t>
  </si>
  <si>
    <t>DÍAZ GUZMÁN GONZALO</t>
  </si>
  <si>
    <t xml:space="preserve"> 400924-5</t>
  </si>
  <si>
    <t>GONZÁLEZ IBACACHE CATALINA</t>
  </si>
  <si>
    <t xml:space="preserve"> 413024-8</t>
  </si>
  <si>
    <t>HIDALGO GARCÍA ANDRÉS</t>
  </si>
  <si>
    <t xml:space="preserve"> 406024-8</t>
  </si>
  <si>
    <t xml:space="preserve"> 410824-9</t>
  </si>
  <si>
    <t>LEIVA ALVARADO MATÍAS</t>
  </si>
  <si>
    <t xml:space="preserve"> 401324-7</t>
  </si>
  <si>
    <t>MIRANDA PÉREZ DAVID</t>
  </si>
  <si>
    <t xml:space="preserve"> 401524-2</t>
  </si>
  <si>
    <t>MOYANO DELGADO KEVIN</t>
  </si>
  <si>
    <t xml:space="preserve"> 402723-7</t>
  </si>
  <si>
    <t>PACHECO MAKRAY SEBASTIÁN IGNACIO</t>
  </si>
  <si>
    <t xml:space="preserve"> 406724-4</t>
  </si>
  <si>
    <t>PALMA DÍAZ FIDEL</t>
  </si>
  <si>
    <t xml:space="preserve"> 406824-6</t>
  </si>
  <si>
    <t>PINO LATOJA LEONARDO</t>
  </si>
  <si>
    <t xml:space="preserve"> 404324-4</t>
  </si>
  <si>
    <t>STAGNO GUTIÉRREZ VINCENZO</t>
  </si>
  <si>
    <t xml:space="preserve"> 413524-9</t>
  </si>
  <si>
    <t>TAVRA ESPINOZA ALBERTO</t>
  </si>
  <si>
    <t xml:space="preserve"> 402424-5</t>
  </si>
  <si>
    <t>TSUKAME BAVESTRELLO AMELIA</t>
  </si>
  <si>
    <t xml:space="preserve"> 409324-2</t>
  </si>
  <si>
    <t>URRUTIA GONZÁLEZ TOMÁS</t>
  </si>
  <si>
    <t xml:space="preserve"> 407024-4</t>
  </si>
  <si>
    <t>VILLAVICENCIO NOGUERA CONSTANZA</t>
  </si>
  <si>
    <t xml:space="preserve"> 412124-5</t>
  </si>
  <si>
    <t xml:space="preserve">ARAGÓN VILLANUEVA MARCO </t>
  </si>
  <si>
    <t>2C</t>
  </si>
  <si>
    <t xml:space="preserve"> 404123-5</t>
  </si>
  <si>
    <t>BARRERA VERA VALENTINA PAZ</t>
  </si>
  <si>
    <t xml:space="preserve"> 405024-3</t>
  </si>
  <si>
    <t>BETANCUR MORALES MICHAEL</t>
  </si>
  <si>
    <t xml:space="preserve"> 402724-2</t>
  </si>
  <si>
    <t>BRASH LAGO GEFERSSON</t>
  </si>
  <si>
    <t xml:space="preserve"> 403124-4</t>
  </si>
  <si>
    <t>CELEDÓN ALARCÓN MARÍA</t>
  </si>
  <si>
    <t xml:space="preserve"> 407624-7</t>
  </si>
  <si>
    <t>CUBILLOS VILLOUTA ALONSO</t>
  </si>
  <si>
    <t xml:space="preserve"> 402223-6</t>
  </si>
  <si>
    <t>DONOSO PÉREZ BENJAMIN IGNACIO</t>
  </si>
  <si>
    <t xml:space="preserve"> 410224-6</t>
  </si>
  <si>
    <t>ESPINOZA SAAVEDRA ALEJANDRO</t>
  </si>
  <si>
    <t xml:space="preserve"> 407924-4</t>
  </si>
  <si>
    <t>FIGUEROA BECERRA TOMÁS</t>
  </si>
  <si>
    <t xml:space="preserve"> 405924-3</t>
  </si>
  <si>
    <t>HERNÁNDEZ VERDUGO SEBASTIÁN</t>
  </si>
  <si>
    <t xml:space="preserve"> 406124-1</t>
  </si>
  <si>
    <t>LEÓN GARRIDO MARTINA</t>
  </si>
  <si>
    <t xml:space="preserve"> 403724-7</t>
  </si>
  <si>
    <t>LETELIER KORNER RICARDO</t>
  </si>
  <si>
    <t xml:space="preserve"> 403824-9</t>
  </si>
  <si>
    <t>LÓPEZ QUEZADA CAMILO</t>
  </si>
  <si>
    <t xml:space="preserve"> 410924-2</t>
  </si>
  <si>
    <t>MARDONES VERGARA BENJAMÍN</t>
  </si>
  <si>
    <t xml:space="preserve"> 404024-7</t>
  </si>
  <si>
    <t>MILOTT ÁLVAREZ GIANCARLO</t>
  </si>
  <si>
    <t xml:space="preserve"> 408824-7</t>
  </si>
  <si>
    <t>ROCA ZEREGA JOAQUÍN</t>
  </si>
  <si>
    <t xml:space="preserve"> 402324-3</t>
  </si>
  <si>
    <t>TAPIA FLORES CATALINA</t>
  </si>
  <si>
    <t xml:space="preserve"> 413624-2</t>
  </si>
  <si>
    <t>TOLEDO LEAL ALBERTO</t>
  </si>
  <si>
    <t xml:space="preserve"> 409224-9</t>
  </si>
  <si>
    <t>TORRES PARRA SEBASTIÁN</t>
  </si>
  <si>
    <t xml:space="preserve"> 413724-4</t>
  </si>
  <si>
    <t>ULLOA LUENGO SEBASTIÁN</t>
  </si>
  <si>
    <t xml:space="preserve"> 402524-7</t>
  </si>
  <si>
    <t>AGUILERA GODOY DIEGO</t>
  </si>
  <si>
    <t>2D</t>
  </si>
  <si>
    <t xml:space="preserve"> 403224-6</t>
  </si>
  <si>
    <t>ÁLVAREZ ORTIZ BENJAMÍN</t>
  </si>
  <si>
    <t xml:space="preserve"> 410424-1</t>
  </si>
  <si>
    <t>FRIZ ACEVEDO GONZALO</t>
  </si>
  <si>
    <t xml:space="preserve"> 403524-3</t>
  </si>
  <si>
    <t>GÓMEZ ARMAND FELIPE</t>
  </si>
  <si>
    <t xml:space="preserve"> 401024-1</t>
  </si>
  <si>
    <t>GUERRERO ZÚÑIGA PABLO</t>
  </si>
  <si>
    <t xml:space="preserve"> 408124-2</t>
  </si>
  <si>
    <t>LEVIANTE URBINA CRISTÓBAL</t>
  </si>
  <si>
    <t xml:space="preserve"> 407523-1</t>
  </si>
  <si>
    <t>LIRA VARELA IGNACIO ALEJANDRO</t>
  </si>
  <si>
    <t xml:space="preserve"> 406224-3</t>
  </si>
  <si>
    <t>MELINAO MANSILLA LUIS</t>
  </si>
  <si>
    <t xml:space="preserve"> 403924-2</t>
  </si>
  <si>
    <t>MIDDLETON SEPÚLVEDA JUAN</t>
  </si>
  <si>
    <t xml:space="preserve"> 401624-4</t>
  </si>
  <si>
    <t>NIETO BECERRA LUCIANO</t>
  </si>
  <si>
    <t xml:space="preserve"> 413224-3</t>
  </si>
  <si>
    <t>PÉREZ SALINAS JAVIERA</t>
  </si>
  <si>
    <t xml:space="preserve"> 408924-9</t>
  </si>
  <si>
    <t>RODRÍGUEZ BLANCO NICOLÁS</t>
  </si>
  <si>
    <t xml:space="preserve"> 411224-2</t>
  </si>
  <si>
    <t>ROMÁN VALENZUELA AGUSTÍN</t>
  </si>
  <si>
    <t xml:space="preserve"> 402124-8</t>
  </si>
  <si>
    <t>SAN MARTÍN SUAZO VICENTE</t>
  </si>
  <si>
    <t xml:space="preserve"> 413324-5</t>
  </si>
  <si>
    <t>SÁNCHEZ BARRERA TOMAS</t>
  </si>
  <si>
    <t xml:space="preserve"> 413424-7</t>
  </si>
  <si>
    <t>SOTO AGÜERO GERMÁN</t>
  </si>
  <si>
    <t xml:space="preserve"> 409124-7</t>
  </si>
  <si>
    <t>TORREALBA TAPIA MATIAS</t>
  </si>
  <si>
    <t xml:space="preserve"> 411824-5</t>
  </si>
  <si>
    <t>VERA ULLOA MAGDALENA</t>
  </si>
  <si>
    <t xml:space="preserve"> 409424-4</t>
  </si>
  <si>
    <t>ZÁRATE SOTO JAVIERA</t>
  </si>
  <si>
    <t xml:space="preserve"> 404524-8</t>
  </si>
  <si>
    <t>VILLALOBOS BERNAL JOAQUÍN</t>
  </si>
  <si>
    <t>2I</t>
  </si>
  <si>
    <t xml:space="preserve"> 401424-9</t>
  </si>
  <si>
    <t xml:space="preserve">MONTECINO SAN MARTÍN LUCAS </t>
  </si>
  <si>
    <t xml:space="preserve"> 404724-3</t>
  </si>
  <si>
    <t>WIDOW LIRA ANDRÉS</t>
  </si>
  <si>
    <t xml:space="preserve"> 404224-2</t>
  </si>
  <si>
    <t>RODRÍGUEZ BARRIENTOS BENJAMÍN</t>
  </si>
  <si>
    <t xml:space="preserve"> 414124-6</t>
  </si>
  <si>
    <t>ZEPEDA PARADA BENJAMÍN</t>
  </si>
  <si>
    <t xml:space="preserve"> 403424-1</t>
  </si>
  <si>
    <t>GILARDI ÓRDENES ERWIN</t>
  </si>
  <si>
    <t xml:space="preserve"> 411024-7</t>
  </si>
  <si>
    <t>MORALES CÓRDOVA JOAQUÍN</t>
  </si>
  <si>
    <t xml:space="preserve"> 401824-8</t>
  </si>
  <si>
    <t xml:space="preserve"> 410324-8</t>
  </si>
  <si>
    <t>FIGUEROA SALDAÑA SEBASTIÁN</t>
  </si>
  <si>
    <t>2J</t>
  </si>
  <si>
    <t xml:space="preserve"> 411124-9</t>
  </si>
  <si>
    <t>ROJAS OLGUÍN DANIEL</t>
  </si>
  <si>
    <t xml:space="preserve"> 405424-2</t>
  </si>
  <si>
    <t>DONOSO URZÚA NICOLÁS</t>
  </si>
  <si>
    <t xml:space="preserve"> 403223-2</t>
  </si>
  <si>
    <t>SAN MARTÍN MARCHANT FLORENCIA</t>
  </si>
  <si>
    <t xml:space="preserve"> 400424-4</t>
  </si>
  <si>
    <t>CASTRO VERGARA CRISTHIÁN</t>
  </si>
  <si>
    <t xml:space="preserve"> 400724-1</t>
  </si>
  <si>
    <t>GALLEGOS GUZMÁN ADOLFO</t>
  </si>
  <si>
    <t xml:space="preserve"> 407124-6</t>
  </si>
  <si>
    <t>ALFARO VERGARA GABRIEL</t>
  </si>
  <si>
    <t xml:space="preserve"> 408324-6</t>
  </si>
  <si>
    <t>OVIEDO MALDONADO ANTONIA</t>
  </si>
  <si>
    <t xml:space="preserve"> 408624-3</t>
  </si>
  <si>
    <t>PROVIDELL LLANOS BENJAMÍN</t>
  </si>
  <si>
    <t xml:space="preserve"> 405724-8</t>
  </si>
  <si>
    <t>FLORES CUNEO EMILIA</t>
  </si>
  <si>
    <t>2L</t>
  </si>
  <si>
    <t xml:space="preserve"> 409924-5</t>
  </si>
  <si>
    <t>COLIPÍ MONTERO VICENTE</t>
  </si>
  <si>
    <t xml:space="preserve"> 406524-9</t>
  </si>
  <si>
    <t>ORTEGA CORTÉS MÁXIMO</t>
  </si>
  <si>
    <t xml:space="preserve"> 412524-4</t>
  </si>
  <si>
    <t>CARVAJAL VÁSQUEZ BENJAMÍN</t>
  </si>
  <si>
    <t xml:space="preserve"> 412024-3</t>
  </si>
  <si>
    <t>ANGULO MUNITA MARTÍN</t>
  </si>
  <si>
    <t xml:space="preserve"> 409824-3</t>
  </si>
  <si>
    <t>CASTILLO FUENTEALBA DARYL</t>
  </si>
  <si>
    <t xml:space="preserve"> 400824-3</t>
  </si>
  <si>
    <t>GÓMEZ MENA BRUNO</t>
  </si>
  <si>
    <t xml:space="preserve"> 400624-8</t>
  </si>
  <si>
    <t>FERRADA BUSTOS CATALINA</t>
  </si>
  <si>
    <t xml:space="preserve"> 407723-5</t>
  </si>
  <si>
    <t>MONARDES BERNHARDT IGNACIO</t>
  </si>
  <si>
    <t xml:space="preserve"> 407324-1</t>
  </si>
  <si>
    <t>CÁCERES MARAMBIO BENJAMÍN</t>
  </si>
  <si>
    <t xml:space="preserve"> 406924-8</t>
  </si>
  <si>
    <t>RICARTES HUENUL VALENTINA</t>
  </si>
  <si>
    <t xml:space="preserve"> 403024-2</t>
  </si>
  <si>
    <t>CARREÑO AMAYA ALEXANDRA</t>
  </si>
  <si>
    <t xml:space="preserve"> 408024-9</t>
  </si>
  <si>
    <t>GOICOCHEA ZÚÑIGA MARTÍN</t>
  </si>
  <si>
    <t xml:space="preserve"> 410323-4</t>
  </si>
  <si>
    <t>NUÑEZ ACUÑA TOMAS</t>
  </si>
  <si>
    <t xml:space="preserve"> 400524-6</t>
  </si>
  <si>
    <t>CATALÁN ABACA ALFONSO</t>
  </si>
  <si>
    <t xml:space="preserve"> 412924-3</t>
  </si>
  <si>
    <t>FAÚNDEZ SOTO BENJAMÍN</t>
  </si>
  <si>
    <t xml:space="preserve"> 407224-8</t>
  </si>
  <si>
    <t>ALTAMIRANO PONTIGO ANTONELLA</t>
  </si>
  <si>
    <t xml:space="preserve"> 409524-6</t>
  </si>
  <si>
    <t>ALVEAR GONZÁLEZ IVÓN</t>
  </si>
  <si>
    <t xml:space="preserve"> 400323-7</t>
  </si>
  <si>
    <t>ACUÑA GÓMEZ ANTONIA</t>
  </si>
  <si>
    <t>3A</t>
  </si>
  <si>
    <t xml:space="preserve"> 401223-1</t>
  </si>
  <si>
    <t>ARAVENA VARGAS BENJAMÍN EDUARDO</t>
  </si>
  <si>
    <t xml:space="preserve"> 400223-5</t>
  </si>
  <si>
    <t>ARDILES QUILA CAMILO  IGNACIO</t>
  </si>
  <si>
    <t xml:space="preserve"> 407223-4</t>
  </si>
  <si>
    <t>CARRASCO DONOSO GABRIELA PAZ</t>
  </si>
  <si>
    <t xml:space="preserve"> 407023-9</t>
  </si>
  <si>
    <t>CASTILLO MARTÍNEZ MARTÍN IGNACIO</t>
  </si>
  <si>
    <t xml:space="preserve"> 410623-1</t>
  </si>
  <si>
    <t>CHÁVEZ CÁRDENAS JUAN PABLO</t>
  </si>
  <si>
    <t xml:space="preserve"> 400823-8</t>
  </si>
  <si>
    <t>CÓRDOVA JACCARD JOSÉ IGNACIO</t>
  </si>
  <si>
    <t xml:space="preserve"> 404023-3</t>
  </si>
  <si>
    <t>GONZÁLEZ ARENAS ANDRÉS IGNACIO</t>
  </si>
  <si>
    <t xml:space="preserve"> 401623-9</t>
  </si>
  <si>
    <t>MELÉNDEZ MOLINA GASPAR SALVADOR</t>
  </si>
  <si>
    <t xml:space="preserve"> 402823-9</t>
  </si>
  <si>
    <t>NARANJO GARCÍA CLAUDIO HERNÁN</t>
  </si>
  <si>
    <t xml:space="preserve"> 408123-7</t>
  </si>
  <si>
    <t>NAVARRO LARRAÍN ALYSON MARIELLA</t>
  </si>
  <si>
    <t xml:space="preserve"> 406723-9</t>
  </si>
  <si>
    <t>PEREZ GODOY ÁLVARO IGNACIO</t>
  </si>
  <si>
    <t xml:space="preserve"> 402922-7</t>
  </si>
  <si>
    <t>PIZARRO PASTÉN SALVADOR HARAWI</t>
  </si>
  <si>
    <t xml:space="preserve"> 410223-2</t>
  </si>
  <si>
    <t>TUKI QUEZADA CÉSAR IETU</t>
  </si>
  <si>
    <t xml:space="preserve"> 405823-6</t>
  </si>
  <si>
    <t>ROZAS AVILÉS IGNACIO JAVIER</t>
  </si>
  <si>
    <t xml:space="preserve"> 406223-8</t>
  </si>
  <si>
    <t>VILLABLANCA SOTO GUILLERMO ALFREDO</t>
  </si>
  <si>
    <t xml:space="preserve"> 408623-8</t>
  </si>
  <si>
    <t>AZAS GÓNGORA SEBASTIÁN ANÍBAL</t>
  </si>
  <si>
    <t>3B</t>
  </si>
  <si>
    <t xml:space="preserve"> 413623-7</t>
  </si>
  <si>
    <t>CARNÉ CASTRO ESTEBAN AARÓN</t>
  </si>
  <si>
    <t xml:space="preserve"> 411523-4</t>
  </si>
  <si>
    <t>CUSICANQUI AGUIRRE MATEO HERNÁN</t>
  </si>
  <si>
    <t xml:space="preserve"> 405723-4</t>
  </si>
  <si>
    <t>DÍAZ PÁEZ KONSTANZA CAROLINA</t>
  </si>
  <si>
    <t xml:space="preserve"> 401023-6</t>
  </si>
  <si>
    <t>DOMÍNGUEZ CAMPOS EDUARDO NICOLÁS</t>
  </si>
  <si>
    <t xml:space="preserve"> 411123-5</t>
  </si>
  <si>
    <t>GONZÁLEZ BICHETT NICOLÁS EDUARDO</t>
  </si>
  <si>
    <t xml:space="preserve"> 401423-5</t>
  </si>
  <si>
    <t>MEZA PALACIOS SOFÍA JESÚS</t>
  </si>
  <si>
    <t xml:space="preserve"> 411623-6</t>
  </si>
  <si>
    <t>MONSÁLVEZ LIRA EDUARDO ANDRÉS</t>
  </si>
  <si>
    <t>402423-1</t>
  </si>
  <si>
    <t>MUÑOZ ORTIZ JOSE PABLO</t>
  </si>
  <si>
    <t xml:space="preserve"> 402623-5</t>
  </si>
  <si>
    <t>MUÑOZ PADILLA VICENTE ALEXIS</t>
  </si>
  <si>
    <t xml:space="preserve"> 407123-2</t>
  </si>
  <si>
    <t>OJEDA GUAJARDO CHRISTIAN JEREMÍAS</t>
  </si>
  <si>
    <t xml:space="preserve"> 404623-6</t>
  </si>
  <si>
    <t>PINCHEIRA BURGOS MANUEL JESÚS</t>
  </si>
  <si>
    <t xml:space="preserve"> 402523-3</t>
  </si>
  <si>
    <t>TSUKAME BAVESTRELLO HIDENOBU HUMBERTO</t>
  </si>
  <si>
    <t xml:space="preserve"> 403923-7</t>
  </si>
  <si>
    <t>VEGA MARTÍNEZ TOMÁS PABLO</t>
  </si>
  <si>
    <t xml:space="preserve"> 405623-2</t>
  </si>
  <si>
    <t>VERA QUELOPANA LEONOR GIOVANNA</t>
  </si>
  <si>
    <t xml:space="preserve"> 412723-4</t>
  </si>
  <si>
    <t>VILLEGAS ACEVEDO VICENTE ALONSO</t>
  </si>
  <si>
    <t xml:space="preserve"> 405123-1</t>
  </si>
  <si>
    <t>ACUÑA BENAVIDES JAIME CRISTÓBAL</t>
  </si>
  <si>
    <t>3C</t>
  </si>
  <si>
    <t xml:space="preserve"> 411323-9</t>
  </si>
  <si>
    <t>BARRIOS LIRA ENRIQUE PATRICIO</t>
  </si>
  <si>
    <t>401722-7</t>
  </si>
  <si>
    <t>CÉSPEDES TRONCOSO DIEGO</t>
  </si>
  <si>
    <t xml:space="preserve"> 410723-3</t>
  </si>
  <si>
    <t>CHIMINELLI DEL BARRIO RAIMUNDO ANDRÉS</t>
  </si>
  <si>
    <t xml:space="preserve"> 400623-4</t>
  </si>
  <si>
    <t>FUENTES BASÁEZ GABRIEL ALFONSO</t>
  </si>
  <si>
    <t xml:space="preserve"> 408121-8</t>
  </si>
  <si>
    <t>GONZÁLEZ ESTRADA GABRIELA SCARLETT</t>
  </si>
  <si>
    <t xml:space="preserve"> 404423-2</t>
  </si>
  <si>
    <t>HERNÁNDEZ CARVAJAL CRISTOBAL ISAAC</t>
  </si>
  <si>
    <t xml:space="preserve"> 407923-9</t>
  </si>
  <si>
    <t>MEDINA VALENCIA NICOLÁS ALBERTO</t>
  </si>
  <si>
    <t xml:space="preserve"> 408923-5</t>
  </si>
  <si>
    <t>MUIRHEAD ESCALA CLEMENTE</t>
  </si>
  <si>
    <t xml:space="preserve"> 402323-8</t>
  </si>
  <si>
    <t>MUÑOZ MONTERO CATALINA IGNACIA</t>
  </si>
  <si>
    <t xml:space="preserve"> 412423-7</t>
  </si>
  <si>
    <t>NOVOA ACEVEDO CATALINA BELÉN</t>
  </si>
  <si>
    <t xml:space="preserve"> 400522-7</t>
  </si>
  <si>
    <t>OLIVA ALARCÓN SEBASTIÁN ENRIQUE</t>
  </si>
  <si>
    <t>407823-7</t>
  </si>
  <si>
    <t>PORTALUPPI MARZAL JOAQUÍN RODRIGO</t>
  </si>
  <si>
    <t xml:space="preserve"> 400523-2</t>
  </si>
  <si>
    <t>SCHWARZENBERG PINOCHET CLEMENTE</t>
  </si>
  <si>
    <t xml:space="preserve"> 412223-3</t>
  </si>
  <si>
    <t>YÁÑEZ DOREN CLEMENTE FELIPE</t>
  </si>
  <si>
    <t xml:space="preserve"> 403323-4</t>
  </si>
  <si>
    <t>GALLEGUILLOS CASTILLO JOAQUÍN ANDRÉS</t>
  </si>
  <si>
    <t xml:space="preserve"> 408723-1</t>
  </si>
  <si>
    <t>BEAUVALLET KEMP TOMÁS EMILIO</t>
  </si>
  <si>
    <t>3D</t>
  </si>
  <si>
    <t xml:space="preserve"> 409023-1</t>
  </si>
  <si>
    <t>BECERRA TORRES EDUARDO JOSÉ</t>
  </si>
  <si>
    <t xml:space="preserve"> 401323-3</t>
  </si>
  <si>
    <t>CALDERÓN SILVA JOAQUÍN VICENTE</t>
  </si>
  <si>
    <t xml:space="preserve"> 406923-4</t>
  </si>
  <si>
    <t>CAMPOS SOTO MEYLHIN VERONICA</t>
  </si>
  <si>
    <t xml:space="preserve"> 408223-9</t>
  </si>
  <si>
    <t>GONZÁLEZ HUERTA MARTIN ALONSO</t>
  </si>
  <si>
    <t xml:space="preserve"> 409523-2</t>
  </si>
  <si>
    <t>GUERRERO SANHUEZA BENJAMÍN RODRIGO</t>
  </si>
  <si>
    <t xml:space="preserve"> 404523-4</t>
  </si>
  <si>
    <t>GUTIÉRREZ OCAMPOS JOAQUÍN ENRIQUE</t>
  </si>
  <si>
    <t xml:space="preserve"> 412823-6</t>
  </si>
  <si>
    <t>IZQUIERDO MUJICA MARIA IGNACIA</t>
  </si>
  <si>
    <t xml:space="preserve"> 404323-9</t>
  </si>
  <si>
    <t>LIRA VARELA RODOLFO BENJAMÍN</t>
  </si>
  <si>
    <t xml:space="preserve"> 405423-7</t>
  </si>
  <si>
    <t>MALDONADO DEL CANTO NICOLÁS ALONSO</t>
  </si>
  <si>
    <t xml:space="preserve"> 409123-3</t>
  </si>
  <si>
    <t>OPAZO GONZÁLEZ TOMÁS JESÚS</t>
  </si>
  <si>
    <t xml:space="preserve"> 412923-8</t>
  </si>
  <si>
    <t>OYANEDEL SÁNCHEZ JOAQUÍN IGNACIO</t>
  </si>
  <si>
    <t xml:space="preserve"> 408722-6</t>
  </si>
  <si>
    <t>SALAZAR VILLALÓN DIEGO ANDRÉS</t>
  </si>
  <si>
    <t xml:space="preserve"> 404923-3</t>
  </si>
  <si>
    <t>SAMORA ESPINOZA JOAQUÍN IGNACIO</t>
  </si>
  <si>
    <t xml:space="preserve"> 413323-1</t>
  </si>
  <si>
    <t>VARGAS LAGOS GABRIEL ANTONIO</t>
  </si>
  <si>
    <t>VEGA SANTIBÁÑEZ EDUARDO ALEJANDRO</t>
  </si>
  <si>
    <t xml:space="preserve"> 400322-3</t>
  </si>
  <si>
    <t>JIMÉNEZ VARGAS JAMYLA ANDREA</t>
  </si>
  <si>
    <t xml:space="preserve"> 404622-2</t>
  </si>
  <si>
    <t>AUBAZARTT VELÁSQUEZ GERARDO GABRIEL</t>
  </si>
  <si>
    <t>3I</t>
  </si>
  <si>
    <t xml:space="preserve"> 409423-9</t>
  </si>
  <si>
    <t>GONZÁLEZ SALAS FRANCISCO JAVIER</t>
  </si>
  <si>
    <t xml:space="preserve"> 405223-3</t>
  </si>
  <si>
    <t>KOTTMANN RAMÍREZ SANTIAGO</t>
  </si>
  <si>
    <t xml:space="preserve"> 405323-5</t>
  </si>
  <si>
    <t>LINARES VALDENEGRO JORGE ESTEBAN</t>
  </si>
  <si>
    <t xml:space="preserve"> 412523-9</t>
  </si>
  <si>
    <t>MORA BAQUEDANO MATÍAS IGNACIO</t>
  </si>
  <si>
    <t xml:space="preserve"> 412623-2</t>
  </si>
  <si>
    <t>MUIRHEAD ESCALA AGUSTÍN GONZALO</t>
  </si>
  <si>
    <t xml:space="preserve"> 402923-2</t>
  </si>
  <si>
    <t>RAIMANN CASTRO RICARDO FERNANDO</t>
  </si>
  <si>
    <t xml:space="preserve"> 410823-5</t>
  </si>
  <si>
    <t>SEPÚLVEDA GUARDIA PABLO ANTONIO</t>
  </si>
  <si>
    <t xml:space="preserve"> 402123-4</t>
  </si>
  <si>
    <t>PEÑARANDA HOZVEN RENATO IGNACIO</t>
  </si>
  <si>
    <t xml:space="preserve"> 411923-3</t>
  </si>
  <si>
    <t>COFRÉ MARÍN BÁRBARA YASMIN</t>
  </si>
  <si>
    <t>3J</t>
  </si>
  <si>
    <t xml:space="preserve"> 402023-2</t>
  </si>
  <si>
    <t>DÍAZ HENRÍQUEZ SEBASTIÁN NICOLÁS</t>
  </si>
  <si>
    <t xml:space="preserve"> 404723-8</t>
  </si>
  <si>
    <t>DONOSO UMAÑA ISMAEL ANTONIO</t>
  </si>
  <si>
    <t xml:space="preserve"> 413223-8</t>
  </si>
  <si>
    <t>RIVAS ESPINOZA DANIEL JOAQUÍN</t>
  </si>
  <si>
    <t xml:space="preserve"> 408423-4</t>
  </si>
  <si>
    <t>RIVERA PEREIRA JAVIERA FERNANDA</t>
  </si>
  <si>
    <t xml:space="preserve"> 403623-1</t>
  </si>
  <si>
    <t>TALVAC GARCÍA DANIELA XIMENA</t>
  </si>
  <si>
    <t xml:space="preserve"> 411023-3</t>
  </si>
  <si>
    <t>VÁSQUEZ HIDALGO EDUARDO ANDRÉS</t>
  </si>
  <si>
    <t xml:space="preserve"> 403823-5</t>
  </si>
  <si>
    <t>VERGARA ZAMORA VALENTINA</t>
  </si>
  <si>
    <t xml:space="preserve"> 406623-7</t>
  </si>
  <si>
    <t>ÁLVAREZ SIMONETTI ANTONIA PAZ</t>
  </si>
  <si>
    <t>3L</t>
  </si>
  <si>
    <t xml:space="preserve"> 409223-5</t>
  </si>
  <si>
    <t>GARCÍA CHÁVEZ BENJAMÍN IGNACIO</t>
  </si>
  <si>
    <t xml:space="preserve"> 407323-6</t>
  </si>
  <si>
    <t>GONZÁLEZ RIVANO DIEGO MAXIMILIANO</t>
  </si>
  <si>
    <t xml:space="preserve"> 412323-5</t>
  </si>
  <si>
    <t>LARA GARCÍA VICENTE ANTONIO</t>
  </si>
  <si>
    <t xml:space="preserve"> 406423-3</t>
  </si>
  <si>
    <t>LEAL BASCUÑAN SEBASTIÁN ALBERTO</t>
  </si>
  <si>
    <t xml:space="preserve"> 408023-5</t>
  </si>
  <si>
    <t>PALMA MELO JOAQUÍN EDUARDO</t>
  </si>
  <si>
    <t xml:space="preserve"> 413123-6</t>
  </si>
  <si>
    <t>RAMÍREZ LETELIER BENJAMÍN ANDRÉS</t>
  </si>
  <si>
    <t xml:space="preserve"> 408523-6</t>
  </si>
  <si>
    <t>RUIZ ESPINOZA ITALO ANDRES</t>
  </si>
  <si>
    <t xml:space="preserve"> 403123-9</t>
  </si>
  <si>
    <t>RUIZ FUENTES JUAN PABLO</t>
  </si>
  <si>
    <t xml:space="preserve"> 405923-8</t>
  </si>
  <si>
    <t>SÁNCHEZ SANTAMBROGIO IGNACIO ANDRÉS</t>
  </si>
  <si>
    <t xml:space="preserve"> 413423-3</t>
  </si>
  <si>
    <t>ULLOA SERRANO ANTONIA KATES</t>
  </si>
  <si>
    <t xml:space="preserve"> 407622-8</t>
  </si>
  <si>
    <t>BURGOS MARAMBIO LISBETH</t>
  </si>
  <si>
    <t>4A</t>
  </si>
  <si>
    <t xml:space="preserve"> 408822-8</t>
  </si>
  <si>
    <t>CÁRCAMO ELIZALDE MARTÍN</t>
  </si>
  <si>
    <t xml:space="preserve"> 408622-4</t>
  </si>
  <si>
    <t>CASTILLO QUIJANO FRANCISCO</t>
  </si>
  <si>
    <t xml:space="preserve"> 402222-2</t>
  </si>
  <si>
    <t>CRISÓSTOMO MORALES DANIEL</t>
  </si>
  <si>
    <t xml:space="preserve"> 406322-6</t>
  </si>
  <si>
    <t>DÍAZ CÁRDENAS TIARE</t>
  </si>
  <si>
    <t xml:space="preserve"> 401122-4</t>
  </si>
  <si>
    <t>FUENTES FERNÁNDEZ VALENTINA</t>
  </si>
  <si>
    <t xml:space="preserve"> 409222-1</t>
  </si>
  <si>
    <t>GARRIDO FUENTES JOSEFA</t>
  </si>
  <si>
    <t xml:space="preserve"> 401322-8</t>
  </si>
  <si>
    <t>GÓMEZ BARRIENTOS TOMÁS</t>
  </si>
  <si>
    <t>405520-6</t>
  </si>
  <si>
    <t>HERNÁNDEZ TORRES IGNACIO</t>
  </si>
  <si>
    <t xml:space="preserve"> 406921-5</t>
  </si>
  <si>
    <t>LIRA ORELLANA JOSÉ IGNACIO</t>
  </si>
  <si>
    <t xml:space="preserve"> 407021-1</t>
  </si>
  <si>
    <t>LÓPEZ CUADRA JOAQUÍN</t>
  </si>
  <si>
    <t xml:space="preserve"> 459922-9</t>
  </si>
  <si>
    <t>MARULANDA REYES JULIAN</t>
  </si>
  <si>
    <t xml:space="preserve"> 404722-4</t>
  </si>
  <si>
    <t>MUÑOZ MUÑOZ MATÍAS</t>
  </si>
  <si>
    <t xml:space="preserve"> 404222-3</t>
  </si>
  <si>
    <t>ORTIZ CARVAJAL MATÍAS</t>
  </si>
  <si>
    <t xml:space="preserve"> 400722-2</t>
  </si>
  <si>
    <t>VARGAS ROMERO SEBASTIÁN</t>
  </si>
  <si>
    <t xml:space="preserve"> 405722-9</t>
  </si>
  <si>
    <t>VÁSQUEZ LATORRE FERNANDO</t>
  </si>
  <si>
    <t xml:space="preserve"> 407722-1</t>
  </si>
  <si>
    <t>VIDAL OLMEDO JAVIER</t>
  </si>
  <si>
    <t xml:space="preserve"> 406622-3</t>
  </si>
  <si>
    <t>YAEGER LEAL VICENTE</t>
  </si>
  <si>
    <t xml:space="preserve"> 407122-7</t>
  </si>
  <si>
    <t>ZAPATA AGUAYO BENJAMIN</t>
  </si>
  <si>
    <t xml:space="preserve"> 408022-1</t>
  </si>
  <si>
    <t>ZÚÑIGA HERLITZ MARTÍN</t>
  </si>
  <si>
    <t xml:space="preserve"> 401821-5</t>
  </si>
  <si>
    <t>ASEM LEIVA RODOLFO</t>
  </si>
  <si>
    <t>4B</t>
  </si>
  <si>
    <t xml:space="preserve"> 402221-7</t>
  </si>
  <si>
    <t>BAASCH SCHEEL ROBERT</t>
  </si>
  <si>
    <t xml:space="preserve"> 403122-5</t>
  </si>
  <si>
    <t>CABELLO SCHADE FRANCISCO</t>
  </si>
  <si>
    <t xml:space="preserve"> 409022-6</t>
  </si>
  <si>
    <t>CURILEF BARRA CAMILA</t>
  </si>
  <si>
    <t xml:space="preserve"> 400822-4</t>
  </si>
  <si>
    <t>FERNÁNDEZ SEPÚLVEDA CHRISTIAN</t>
  </si>
  <si>
    <t xml:space="preserve"> 400622-9</t>
  </si>
  <si>
    <t>FLORES CASTRO JUAN</t>
  </si>
  <si>
    <t xml:space="preserve"> 459822-7</t>
  </si>
  <si>
    <t>FORERO GAMEZ LINA</t>
  </si>
  <si>
    <t xml:space="preserve"> 403022-3</t>
  </si>
  <si>
    <t>LORCA DURÁN CAMILA</t>
  </si>
  <si>
    <t xml:space="preserve"> 405922-4</t>
  </si>
  <si>
    <t>LOZANO TORRES CLEMENTE</t>
  </si>
  <si>
    <t xml:space="preserve"> 408122-3</t>
  </si>
  <si>
    <t>MALTEZ JIMÉNEZ MAXIMILIANO</t>
  </si>
  <si>
    <t xml:space="preserve"> 409522-7</t>
  </si>
  <si>
    <t>MEDINA VÁSQUEZ VICENTE</t>
  </si>
  <si>
    <t xml:space="preserve"> 403322-9</t>
  </si>
  <si>
    <t>MORA DÍAZ RENATO</t>
  </si>
  <si>
    <t xml:space="preserve"> 403222-7</t>
  </si>
  <si>
    <t>MUÑOZ ROZAS LUIS</t>
  </si>
  <si>
    <t xml:space="preserve"> 409822-4</t>
  </si>
  <si>
    <t>RIVERA SÁNCHEZ MARTÍN</t>
  </si>
  <si>
    <t xml:space="preserve"> 410022-3</t>
  </si>
  <si>
    <t>SOTO MANRÍQUEZ AGUSTÍN</t>
  </si>
  <si>
    <t xml:space="preserve"> 402022-7</t>
  </si>
  <si>
    <t>VALENZUELA YUBANO JORGE</t>
  </si>
  <si>
    <t xml:space="preserve"> 412221-4</t>
  </si>
  <si>
    <t>VALLEJOS AYALA FELIPE</t>
  </si>
  <si>
    <t xml:space="preserve"> 401022-2</t>
  </si>
  <si>
    <t>VARGAS MEDINA CARLOS</t>
  </si>
  <si>
    <t xml:space="preserve"> 407322-2</t>
  </si>
  <si>
    <t>VERGARA URIARTE VICENTE</t>
  </si>
  <si>
    <t xml:space="preserve"> 400121-4</t>
  </si>
  <si>
    <t>ANCALEF SAN MARTÍN NICOLÁS</t>
  </si>
  <si>
    <t>4C</t>
  </si>
  <si>
    <t xml:space="preserve"> 404422-7</t>
  </si>
  <si>
    <t>CASTRO GUTIÉRREZ CAMILA</t>
  </si>
  <si>
    <t xml:space="preserve"> 406022-9</t>
  </si>
  <si>
    <t>ESTRADA NAVARRO CRISTÓBAL</t>
  </si>
  <si>
    <t xml:space="preserve"> 403622-6</t>
  </si>
  <si>
    <t>GALLARDO CASTILLO IGNACIO</t>
  </si>
  <si>
    <t xml:space="preserve"> 403922-3</t>
  </si>
  <si>
    <t>GONZÁLEZ CAMPOS CLAUDIO</t>
  </si>
  <si>
    <t xml:space="preserve"> 405621-3</t>
  </si>
  <si>
    <t>HINRICHSEN ARIAS ANDRÉS</t>
  </si>
  <si>
    <t xml:space="preserve"> 408922-1</t>
  </si>
  <si>
    <t>HUGO TORRES JOSÉ</t>
  </si>
  <si>
    <t xml:space="preserve"> 405822-2</t>
  </si>
  <si>
    <t>LÓPEZ GONZÁLEZ ÁLVARO</t>
  </si>
  <si>
    <t xml:space="preserve"> 406922-9</t>
  </si>
  <si>
    <t>MARTÍNEZ CUEVAS MICAELA</t>
  </si>
  <si>
    <t xml:space="preserve"> 402622-1</t>
  </si>
  <si>
    <t>MARTÍNEZ ESCOBAR IGNACIO</t>
  </si>
  <si>
    <t xml:space="preserve"> 408221-1</t>
  </si>
  <si>
    <t>MUÑOZ SOLOGUREN FELIPE</t>
  </si>
  <si>
    <t xml:space="preserve"> 409021-2</t>
  </si>
  <si>
    <t>PARADA YUNIS ADRIÁN</t>
  </si>
  <si>
    <t xml:space="preserve"> 401422-1</t>
  </si>
  <si>
    <t xml:space="preserve">PARRA  ESCALONA DIEGO </t>
  </si>
  <si>
    <t xml:space="preserve"> 402722-3</t>
  </si>
  <si>
    <t>PAZZARO FREIRE GIOVANNI</t>
  </si>
  <si>
    <t xml:space="preserve"> 407222-9</t>
  </si>
  <si>
    <t>PEÑA CABRERA EDUARDO</t>
  </si>
  <si>
    <t xml:space="preserve"> 407422-4</t>
  </si>
  <si>
    <t>QUIJADA FUENZALIDA FERNANDA</t>
  </si>
  <si>
    <t xml:space="preserve"> 410222-7</t>
  </si>
  <si>
    <t>SALDÍAS MUNZENMAYER VÍCTOR</t>
  </si>
  <si>
    <t xml:space="preserve"> 410721-4</t>
  </si>
  <si>
    <t>SÁNCHEZ BARRERA BENJAMÍN</t>
  </si>
  <si>
    <t xml:space="preserve"> 400122-8</t>
  </si>
  <si>
    <t>VERA ULLOA ALBERTO</t>
  </si>
  <si>
    <t xml:space="preserve"> 401321-4</t>
  </si>
  <si>
    <t>ARDILES ROSAS VICENTE JAVIER</t>
  </si>
  <si>
    <t>4I</t>
  </si>
  <si>
    <t xml:space="preserve"> 402422-6</t>
  </si>
  <si>
    <t>ARENAS GAJARDO IGNACIO ANDRÉS</t>
  </si>
  <si>
    <t xml:space="preserve"> 407022-5</t>
  </si>
  <si>
    <t>ITURRIAGA ARÁNGUIZ TOMÁS ALEJANDRO</t>
  </si>
  <si>
    <t xml:space="preserve"> 407121-3</t>
  </si>
  <si>
    <t>MALDONADO MANRÍQUEZ DAVID ISMAEL</t>
  </si>
  <si>
    <t xml:space="preserve"> 407521-2</t>
  </si>
  <si>
    <t>MATURANA SÁNCHEZ DILAN IGNACIO</t>
  </si>
  <si>
    <t xml:space="preserve"> 403822-1</t>
  </si>
  <si>
    <t>MONTALVA PURCELL LUIS AGUSTÍN</t>
  </si>
  <si>
    <t xml:space="preserve"> 406222-4</t>
  </si>
  <si>
    <t>SANDOVAL GALDAMES AGUSTÍN RENATO</t>
  </si>
  <si>
    <t xml:space="preserve"> 411821-2</t>
  </si>
  <si>
    <t>VALDÉS CORTEZ BENJAMÍN ALEJANDRO</t>
  </si>
  <si>
    <t xml:space="preserve"> 400222-1</t>
  </si>
  <si>
    <t>ALESSANDRINI GILDEMEISTER MIGUEL LUIS</t>
  </si>
  <si>
    <t>4J</t>
  </si>
  <si>
    <t xml:space="preserve"> 400821-9</t>
  </si>
  <si>
    <t>ÁLVAREZ MONDACA MONSERRAT ANTONIA</t>
  </si>
  <si>
    <t xml:space="preserve"> 401521-8</t>
  </si>
  <si>
    <t>ARIAS ROJAS IGNACIO ANDRÉS</t>
  </si>
  <si>
    <t xml:space="preserve"> 404922-8</t>
  </si>
  <si>
    <t>FABILA MUÑOZ ROBERTO FRANCO</t>
  </si>
  <si>
    <t xml:space="preserve"> 403522-4</t>
  </si>
  <si>
    <t>FLORES ACOSTA JOAQUÍN IGNACIO</t>
  </si>
  <si>
    <t xml:space="preserve"> 405221-4</t>
  </si>
  <si>
    <t>GONZÁLEZ PACHECO CATALINA ALMENDRA</t>
  </si>
  <si>
    <t xml:space="preserve"> 409121-4</t>
  </si>
  <si>
    <t>PARRA ÁVALOS ANDRÉS BENJAMÍN</t>
  </si>
  <si>
    <t xml:space="preserve"> 406822-7</t>
  </si>
  <si>
    <t>PARRA LUENGO ANDRÉS NICOLÁS</t>
  </si>
  <si>
    <t xml:space="preserve"> 402522-8</t>
  </si>
  <si>
    <t>VACCAREZZA SILVA ENZO GIANLUCCA</t>
  </si>
  <si>
    <t xml:space="preserve"> 405422-3</t>
  </si>
  <si>
    <t>VILLEGAS MUÑOZ JOAQUÍN SEBASTIÁN</t>
  </si>
  <si>
    <t xml:space="preserve"> 403722-8</t>
  </si>
  <si>
    <t>AMIGO ARAYA VICENTE IGNACIO</t>
  </si>
  <si>
    <t>4L</t>
  </si>
  <si>
    <t xml:space="preserve"> 404022-8</t>
  </si>
  <si>
    <t>ANDRADE GALLARDO ALEJANDRO ANDRÉS</t>
  </si>
  <si>
    <t xml:space="preserve"> 401121-9</t>
  </si>
  <si>
    <t>ARAVENA IBARRA MARTÍN ARIEL</t>
  </si>
  <si>
    <t xml:space="preserve"> 404122-1</t>
  </si>
  <si>
    <t>CEPEDA RIVERA VANIA FABIOLA</t>
  </si>
  <si>
    <t xml:space="preserve"> 402822-5</t>
  </si>
  <si>
    <t>CHAMORRO MERINO DANIEL IGNACIO</t>
  </si>
  <si>
    <t xml:space="preserve"> 405921-9</t>
  </si>
  <si>
    <t>HOTT CONTRERAS TOMÁS ALBERTO</t>
  </si>
  <si>
    <t xml:space="preserve"> 401222-6</t>
  </si>
  <si>
    <t>PÉREZ SALAUN SEBASTIÁN ANDRÉS</t>
  </si>
  <si>
    <t xml:space="preserve"> 406122-2</t>
  </si>
  <si>
    <t>PONCE LAGOS BÁRBARA ANDREA</t>
  </si>
  <si>
    <t xml:space="preserve"> 408422-9</t>
  </si>
  <si>
    <t>RAMÍREZ NAVARRO FABIÁN ELIECER</t>
  </si>
  <si>
    <t xml:space="preserve"> 400922-6</t>
  </si>
  <si>
    <t>VARGAS BRAVO DIEGO ALBERTO</t>
  </si>
  <si>
    <t>ADMISIÓN</t>
  </si>
  <si>
    <t>CASA DE YATES</t>
  </si>
  <si>
    <t>COMPLEJO DEP.</t>
  </si>
  <si>
    <t>INGRESO EFECTIVO</t>
  </si>
  <si>
    <t>SUBTOTAL</t>
  </si>
  <si>
    <t>REAL X COBRAR</t>
  </si>
  <si>
    <t>TOTAL X COBRAR</t>
  </si>
  <si>
    <t>SEGUROS X COBRAR</t>
  </si>
  <si>
    <t>CUENTAS X COBRAR</t>
  </si>
  <si>
    <t>DETALLE BECAS Y SUBVENCIONES ESCUELA NAVAL 2025</t>
  </si>
  <si>
    <t>PRIMER AÑO</t>
  </si>
  <si>
    <t>BECA</t>
  </si>
  <si>
    <t xml:space="preserve"> MENSUAL </t>
  </si>
  <si>
    <t>SOLICITADO</t>
  </si>
  <si>
    <t>COA 1</t>
  </si>
  <si>
    <t>COA 2</t>
  </si>
  <si>
    <t>COA 3</t>
  </si>
  <si>
    <t>BECADOS</t>
  </si>
  <si>
    <t>HIJOS CON SUBVENCIÓN</t>
  </si>
  <si>
    <t>EXTRANJEROS</t>
  </si>
  <si>
    <t>EQUIPO DE INGRESO EXTRANJEROS</t>
  </si>
  <si>
    <t>SEGUNDO AÑO</t>
  </si>
  <si>
    <t>TERCER AÑO</t>
  </si>
  <si>
    <t>CUARTO AÑO</t>
  </si>
  <si>
    <t xml:space="preserve">TOTAL </t>
  </si>
  <si>
    <t>RESUMEN</t>
  </si>
  <si>
    <t>DIFERECIAS A SOLICITADO</t>
  </si>
  <si>
    <t>NÚMERO</t>
  </si>
  <si>
    <t>DETALLE</t>
  </si>
  <si>
    <t>IMPACTO SOCIAL</t>
  </si>
  <si>
    <t>Conforme a directiva</t>
  </si>
  <si>
    <t>Sin observaciones</t>
  </si>
  <si>
    <t>Extranjeros y Primeras Antigüedades</t>
  </si>
  <si>
    <t>Hijos de Personal Naval y militar de planta pagan 11 UF mensual en lugar de 5.5</t>
  </si>
  <si>
    <t>Sólo extranjeros</t>
  </si>
  <si>
    <t>Todos pagan 11 UF, excepto extranjeros</t>
  </si>
  <si>
    <t>( + ) BECAS POR COBRAR</t>
  </si>
  <si>
    <t>SEGURO ESCOLAR 1ER AÑO</t>
  </si>
  <si>
    <t>SEGURO PERMANENCIA 1ER AÑO</t>
  </si>
  <si>
    <t>SEGURO ESCOLAR 1ER AÑO UF</t>
  </si>
  <si>
    <t>SEGURO PERMANENCIA 1ER AÑO UF</t>
  </si>
  <si>
    <t>SEGURO PERMANENCIA 1ER AÑO $CLP</t>
  </si>
  <si>
    <t>SEGURO ESCOLAR 1ER AÑO CLP</t>
  </si>
  <si>
    <t>EQUIPO DE INGRESO $CLP</t>
  </si>
  <si>
    <t>AÑO ANTERIOR</t>
  </si>
  <si>
    <t>RODOLFO CIFUENTES VELÁSQUEZ</t>
  </si>
  <si>
    <t>EC GDO 10 CONT.AUD.</t>
  </si>
  <si>
    <t>CRISTÓBAL MELKONIAN ID</t>
  </si>
  <si>
    <t>PABLO UGARTE BENAVIDES</t>
  </si>
  <si>
    <t>CAPITÁN DE CORBETA AB</t>
  </si>
  <si>
    <t xml:space="preserve">CAPITÁN DE FRAGATA </t>
  </si>
  <si>
    <t xml:space="preserve"> JEFE DEPTO. ABASTECIMIENTO Y FZAS</t>
  </si>
  <si>
    <t xml:space="preserve">SUBDIRECTOR </t>
  </si>
  <si>
    <t>JUAN PABLO CASTRO BRAHM</t>
  </si>
  <si>
    <t>CAPITÁN DE NAVÍO</t>
  </si>
  <si>
    <t>DIRECTOR DE LA ESCUELA NAVAL "A.P."</t>
  </si>
  <si>
    <t>JEFE DIVISIÓN FINANZAS</t>
  </si>
  <si>
    <t>DESVIACIÓN DE CAJA PRESUPUESTARIA CENFIN 3</t>
  </si>
  <si>
    <t>DESVIACIÓN DE CAJA PRESUPUESTARIA CENFIN 10</t>
  </si>
  <si>
    <t>PAC GDO. 9 FUNC ADM.</t>
  </si>
  <si>
    <t>PAOLA VALDÉS LÓPEZ</t>
  </si>
  <si>
    <t>PAC GDO. 7 CONT.AUD.</t>
  </si>
  <si>
    <t>TESORERO CENFIN 3</t>
  </si>
  <si>
    <t>TESORERO CENFIN 10</t>
  </si>
  <si>
    <t>MATRICULA MOTES - EQUIPO INICIAL</t>
  </si>
  <si>
    <t>( + ) PAGADO ACUMULADO</t>
  </si>
  <si>
    <t>( = ) TOTAL INGRESOS</t>
  </si>
  <si>
    <t>( + ) SALDO FINAL DE CAJA MES</t>
  </si>
  <si>
    <t>CONCILIACIÓN</t>
  </si>
  <si>
    <t>( - ) CUENTAS POR PAGAR</t>
  </si>
  <si>
    <t>OBSERVACIONES:</t>
  </si>
  <si>
    <t>COBRO FEB</t>
  </si>
  <si>
    <t>COBRO MAR</t>
  </si>
  <si>
    <t>COBRO ABR</t>
  </si>
  <si>
    <t>COBRO MAY</t>
  </si>
  <si>
    <t>CAUCIONES POR RETIRO</t>
  </si>
  <si>
    <t>PAGADO</t>
  </si>
  <si>
    <t>UU.EE.</t>
  </si>
  <si>
    <t>PRESUPUESTO INICIAL</t>
  </si>
  <si>
    <t>AUMENTOS Y DISMINUCIONES</t>
  </si>
  <si>
    <t>OBLIGADO 
CGU</t>
  </si>
  <si>
    <t>%
 OBLIG.</t>
  </si>
  <si>
    <t>DEVENGADO
 CGU</t>
  </si>
  <si>
    <t>%
 DEV.</t>
  </si>
  <si>
    <t>POR 
DEVENGAR</t>
  </si>
  <si>
    <t>SALDO DISPONIBLE POR OBLIGAR CGU</t>
  </si>
  <si>
    <t>PROCESOS CON FOLIO RESERVADO</t>
  </si>
  <si>
    <t>RECURSOS 
DISPONIBLES</t>
  </si>
  <si>
    <t>AVANCE TOTAL</t>
  </si>
  <si>
    <t>DEPTO. EDUCACIÓN</t>
  </si>
  <si>
    <t>ACTIVIDADES FÍSICAS</t>
  </si>
  <si>
    <t>ACTIVIDADES PROFESION.</t>
  </si>
  <si>
    <t>ACTIVIDADES MILITARES</t>
  </si>
  <si>
    <t>ACTIVIDADES ACADÉMICAS</t>
  </si>
  <si>
    <t>ALIMENTACIÓN</t>
  </si>
  <si>
    <t>TOTAL PRESUPUESTO CF 10</t>
  </si>
  <si>
    <t>CAPITAL ESNAVAL</t>
  </si>
  <si>
    <t>CONTROL DE GESTIÓN</t>
  </si>
  <si>
    <t>DEPTO. EJECUTIVO</t>
  </si>
  <si>
    <t>DEPTO. ABASTECIMIENTO</t>
  </si>
  <si>
    <t>DEPTO. SANIDAD</t>
  </si>
  <si>
    <t>DEPTO. MANT. Y SERVICIO</t>
  </si>
  <si>
    <t>BRIGADA</t>
  </si>
  <si>
    <t>MARINA</t>
  </si>
  <si>
    <t>DEPTO. ADMISIÓN Y RR.PP.</t>
  </si>
  <si>
    <t>COMPLEJO DEPORTIVO</t>
  </si>
  <si>
    <t>ADMINOGASTO 03</t>
  </si>
  <si>
    <t>INFORMÁTICA</t>
  </si>
  <si>
    <t>SUBDIRECCIÓN</t>
  </si>
  <si>
    <t>DIRECCIÓN</t>
  </si>
  <si>
    <t>SERVICIOS DE BIENESTAR</t>
  </si>
  <si>
    <t>TOTAL PRESUPUESTO CF 03</t>
  </si>
  <si>
    <t>PROYECCIÓN DE GASTO SOBRE EL DISPONIBLE</t>
  </si>
  <si>
    <t>SALDO PROYECTADO AL CIERRE</t>
  </si>
  <si>
    <t>% AVANCE PROYECTADO</t>
  </si>
  <si>
    <t>CIERRE PRESUPUESTARIO BANCO 4 ESCUELA NAVAL "ARTURO PRAT"</t>
  </si>
  <si>
    <t>CGU</t>
  </si>
  <si>
    <t>CONTROL INTERNO ESNAVAL</t>
  </si>
  <si>
    <t>( + ) OTROS DEVENGOS</t>
  </si>
  <si>
    <t>EXIMICIÓN colegiaturas febrero a abril  - PAGO RES. ORD. N°10200/03/64 DE 14 MAYO 2025</t>
  </si>
  <si>
    <t>( + ) PAGADO ACUMULADO C.G.U.</t>
  </si>
  <si>
    <t xml:space="preserve"> CARLOS AGUIRRE RAMÍREZ</t>
  </si>
  <si>
    <t>Gastos Bancarios Acumulados</t>
  </si>
  <si>
    <t>Gastos Presupuestarios Acumulados</t>
  </si>
  <si>
    <t>Diferencia por Justificar</t>
  </si>
  <si>
    <t>Justificacion de Diferencia:</t>
  </si>
  <si>
    <t>Periodo</t>
  </si>
  <si>
    <t>Detalle Moviemiento Bancarios no consideraros en C.G.U.</t>
  </si>
  <si>
    <t>enero</t>
  </si>
  <si>
    <t>Transferencia otro banco a rut 9060664-6 concha garcia marcela elisa</t>
  </si>
  <si>
    <t>Transferencia otro banco a rut 14469310-8 munoz salinas jorge omar</t>
  </si>
  <si>
    <t>Apertura FOFI SO. Pablo ARANCIBIA Fuenzalida</t>
  </si>
  <si>
    <t>Transferencia otro banco a rut 97011000-3 banco internacional</t>
  </si>
  <si>
    <t>Transferencia bancoestado a rut 97030000-7 banco del estado de chile</t>
  </si>
  <si>
    <t>Transferencia otro banco a rut 97004000-5 banco de chile</t>
  </si>
  <si>
    <t>Cambios internacionales</t>
  </si>
  <si>
    <t>FORE C1. Edgardo FUENTES Fuentes</t>
  </si>
  <si>
    <t>Documento devuelto protestado banco santander-chile ch. 0000012</t>
  </si>
  <si>
    <t>Provision en linea convenio abonos varios numero 0010419259 nomina 00002313423</t>
  </si>
  <si>
    <t>Emision vale a la vista</t>
  </si>
  <si>
    <t>Viático T1. Casas-Cordero</t>
  </si>
  <si>
    <t>febrero</t>
  </si>
  <si>
    <t>Transferencia otro banco a rut 76119711-8 comercializadora voda chile limitada</t>
  </si>
  <si>
    <t>Transferencia otro banco a rut 96928510-k empresas lipigas sa</t>
  </si>
  <si>
    <t>Provision en linea convenio abonos varios numero 0010419259 nomina 00002396383</t>
  </si>
  <si>
    <t>Provision en linea convenio abonos varios numero 0010419259 nomina 00002447837</t>
  </si>
  <si>
    <t>marzo</t>
  </si>
  <si>
    <t>Transferencia otro banco a rut 18149525-1 suazo valle veronica solange</t>
  </si>
  <si>
    <t>FORE CC. Carter</t>
  </si>
  <si>
    <t>Transferencia bancoestado a rut 14315888-8 torrealba paez salomon abidan</t>
  </si>
  <si>
    <t>abril</t>
  </si>
  <si>
    <t>Transferencia bancoestado a rut 16777257-9 arancibia fuenzalida pablo gustavo</t>
  </si>
  <si>
    <t>Transferencia otro banco a rut 11620630-7 vasquez aguilar paula lorena</t>
  </si>
  <si>
    <t>Transferencia otro banco a rut 17898845-k cerda matamala raissa catalina</t>
  </si>
  <si>
    <t>Transferencia otro banco a rut 10972454-8 allamand wedeles juan pablo</t>
  </si>
  <si>
    <t>Transferencia otro banco a rut 10339847-9 barckhahn rubio ricardo ignacio</t>
  </si>
  <si>
    <t>Transferencia otro banco a rut 15547061-5 castro palomo andrea francisca de los angeles</t>
  </si>
  <si>
    <t>Apertura FOFI SO. Araneda</t>
  </si>
  <si>
    <t>mayo</t>
  </si>
  <si>
    <t>Transferencia bancoestado a rubio flores rolando andres</t>
  </si>
  <si>
    <t>Transferencia bancoestado a rut 12735476-6 huenteman munoz pablo cesar</t>
  </si>
  <si>
    <t>Transferencia otro banco a rut 15080484-1 hernandez santoro elizabeth alejandra</t>
  </si>
  <si>
    <t>Transferencia otro banco a rut 13164283-0 diaz arias juan carlos</t>
  </si>
  <si>
    <t>Transferencia bancoestado a rut 13751474-5 arancibia pinilla jane adison</t>
  </si>
  <si>
    <t>Transferencia otro banco a rut 15426833-2 quezada valenzuela rodrigo andres</t>
  </si>
  <si>
    <t>Transferencia bancoestado a rut 12205372-5 alarcon sepulveda sylvia elena</t>
  </si>
  <si>
    <t>Transferencia otro banco a rut 8739734-3 benavides fritis alfredo leonardo</t>
  </si>
  <si>
    <t>Provision en linea convenio abonos varios numero 0010419259 nomina 00002728679</t>
  </si>
  <si>
    <t>Menos: Cargos Presupuestarios No Reconocidos en Movimentos Bancarios:</t>
  </si>
  <si>
    <t>Diferencia en depósito en efectivo</t>
  </si>
  <si>
    <t>Transbank</t>
  </si>
  <si>
    <t>Reintegro Obligación Nro. 79752 Deveng. Nro. 253</t>
  </si>
  <si>
    <t>FOFI SO. Contreras</t>
  </si>
  <si>
    <t>Tesoreria General de la República</t>
  </si>
  <si>
    <t>Rendicuenta FORE CC. Carter</t>
  </si>
  <si>
    <t>Reintegro Obligación Nro. 80356 Deveng. Nro. 10430</t>
  </si>
  <si>
    <t>RINDE CUENTA FORE 58/2025 CC. M. CARTER M. 16992438-4</t>
  </si>
  <si>
    <t>COMPLEMENTA E-193 DOS BOLETAS DE GARANTÍA TOMADAS EN UF</t>
  </si>
  <si>
    <t>RINDE CUENTA FORE Nº 79/2025 S2 R. RUBIO F. 16054217-9</t>
  </si>
  <si>
    <t>TRANSBANK - TARJETAS DE CRÉDITO (96.689.310)</t>
  </si>
  <si>
    <t>AJUSTE COLEGIATURAS AJUSTE COLEGIATURAS DESCUENTO A TRA</t>
  </si>
  <si>
    <t>AJUSTE DESCUENTO COL AJUSTE DESCUENTO COLEGIATURA POR E</t>
  </si>
  <si>
    <t>TRANSBANK - TARJETAS DE DÉBITO (96.689.310)</t>
  </si>
  <si>
    <t>AJUSTE A DESCUENTO POR 1% COMISIÓN BIENESTAR ENERO 2025</t>
  </si>
  <si>
    <t>AJUSTE DESCUENTO BIENESTAR MES DE MARZO</t>
  </si>
  <si>
    <t>CONSTRUCCIONES JAVIER ALBORNOZ RIQU F 187</t>
  </si>
  <si>
    <t>Cargos Presupuestarios No Considerados en Movimientos Bancarios</t>
  </si>
  <si>
    <t>COSAN Y POR CONSEJO 16 DE JUNIO NO COBRAR COLEGIATURA ABRIL A JUNIO</t>
  </si>
  <si>
    <t>COBRO JUN</t>
  </si>
  <si>
    <t>( + ) MOVIMIENTOS BANCARIOS NO CONSIDERADOS EN CGU</t>
  </si>
  <si>
    <t>01-121-1X</t>
  </si>
  <si>
    <t>Apertura FOFI C1. Vilma MUÑOZ Vásquez</t>
  </si>
  <si>
    <t>01-121-DM</t>
  </si>
  <si>
    <t>Apertura FOFI C2. Karina GUZMÁN Vergara</t>
  </si>
  <si>
    <t>03-320-VA</t>
  </si>
  <si>
    <t>Banco Estado CAE</t>
  </si>
  <si>
    <t>Apertura de FORE CF-10</t>
  </si>
  <si>
    <t>02-444-BH</t>
  </si>
  <si>
    <t>junio</t>
  </si>
  <si>
    <t>Transferencia bancoestado a rut 902344-5ulloa quezada juan alberto</t>
  </si>
  <si>
    <t>Transferencia otro banco a rut 20485041-0 contreras rojas monica belen</t>
  </si>
  <si>
    <t>Transferencia bancoestado a rut 10297798-k mercado navarrete patricio alejandro</t>
  </si>
  <si>
    <t>Transferencia otro banco a rut 25337631-7 de la rosa tejeda carmencita</t>
  </si>
  <si>
    <t>Transferencia otro banco a rut 10193840-9 contador zelada maria carolina</t>
  </si>
  <si>
    <t>Transferencia otro banco a rut 20365359-k ortiz leal bastian fernando</t>
  </si>
  <si>
    <t>Transferencia otro banco a rut 20360326-6 luttges palma joaquin ignacio</t>
  </si>
  <si>
    <t>Transferencia otro banco a rut 20251732-3 gonzalez ortiz wladimir javier abdon</t>
  </si>
  <si>
    <t>Apertura FOFI de S1. Exequiel Hidalgo Soto</t>
  </si>
  <si>
    <t>Transferencia otro banco a rut 76693083-2 siete cumbres factoring spa</t>
  </si>
  <si>
    <t>Transferencia a cuenta 24509000073 esc naval arturo prat asignacion alumno</t>
  </si>
  <si>
    <t>TRANSBANK - TARJETAS DE CRÉDITO (96.689.310) - ENERO/25</t>
  </si>
  <si>
    <t>TRANSBANK - TARJETAS DE CRÉDITO (96.689.310) - FEBRERO</t>
  </si>
  <si>
    <t>TRANSBANK - TARJETAS DE DÉBITO (96.689.310) - FEBRERO</t>
  </si>
  <si>
    <t>TRANSBANK - TARJETAS DE DÉBITO (96.689.310) - ENERO 202</t>
  </si>
  <si>
    <t>DESCUENTO BIENESTAR POR CONCEPTO DE COLEGIATURA MARZO</t>
  </si>
  <si>
    <t>01-246-S5</t>
  </si>
  <si>
    <t>P2-284-MW</t>
  </si>
  <si>
    <t>01-104-R1</t>
  </si>
  <si>
    <t>05-181-08</t>
  </si>
  <si>
    <t>01-320-VA</t>
  </si>
  <si>
    <t>COMPLEMENTA I-3266 E-888 I-3388 DESCTO BIENESTAR JUNIO</t>
  </si>
  <si>
    <t>COBRO JUL</t>
  </si>
  <si>
    <t>Transferencia otro banco a rut 16992438-4 carter mena matias andres</t>
  </si>
  <si>
    <t>Transferencia otro banco a rut 12626303-1 precht mendoza raul daniel</t>
  </si>
  <si>
    <t>Transferencia otro banco a rut 19153749-1 carrasco catalan barbara rocio</t>
  </si>
  <si>
    <t>Transferencia otro banco a rut 17752789-0 appelgren ruckoldt sebastian andres</t>
  </si>
  <si>
    <t>julio</t>
  </si>
  <si>
    <t>FORE ADM 2026 - PROTAGONISTAS 2030</t>
  </si>
  <si>
    <t>DEV SALDO AF EX KDT 173/25 TOMAS PRECHT</t>
  </si>
  <si>
    <t>FORE PRACTICA KDTS PRIMER AÑO A BORDO AP AQUILES</t>
  </si>
  <si>
    <t>FORE ANIVERSARIO ESNAVAL</t>
  </si>
  <si>
    <t>GASTOS BANCARIOS</t>
  </si>
  <si>
    <t>RINDE CUENTA FOFI Nº 02/2025 SO L. ARANEDA P. 13853178-</t>
  </si>
  <si>
    <t>RINDE CUENTA FORE Nº 122/2025 CC. M. CARTER M. 16992438-4</t>
  </si>
  <si>
    <t>Total de Movimientos Bancarios No Considerados en CGU</t>
  </si>
  <si>
    <t>TOTAL DIFERENCIA POR JUSTIFICAR</t>
  </si>
  <si>
    <t>DESCUENTO BIENESTAR POR CONCEPTO DE COLEGIATURA JULIO</t>
  </si>
  <si>
    <t xml:space="preserve">ARRIENDO MAQUINAS TRANSBANK - TARJETAS DE CRÉDITO </t>
  </si>
  <si>
    <t>03-309-5K</t>
  </si>
  <si>
    <t>03-309-H2</t>
  </si>
  <si>
    <t>01-151-E1</t>
  </si>
  <si>
    <t>UU.EE</t>
  </si>
  <si>
    <t>ITEM</t>
  </si>
  <si>
    <t>TA-ACT-SUB.ACT</t>
  </si>
  <si>
    <t>SUBEJECUCIÓN POR INGRESOS</t>
  </si>
  <si>
    <t>DESVIACIÓN DE CAJA PRESUPUESTARIA (AGOSTO)</t>
  </si>
  <si>
    <t>COBRO AGO</t>
  </si>
  <si>
    <t>Conciliación Agosto</t>
  </si>
  <si>
    <t>agosto</t>
  </si>
  <si>
    <t>PREPAGO KDT 050/22 RUT 21359359-5 BARBARA PONCE LAGOS</t>
  </si>
  <si>
    <t>Transferencia otro banco a rut 21292549-7 marro arenas maria paz</t>
  </si>
  <si>
    <t>DEVOLUCION SALDO AF KDT 364/21 MARIA MARRO ARENAS</t>
  </si>
  <si>
    <t>Provision en linea convenio abonos varios numero 0010419259 nomina 00003067718</t>
  </si>
  <si>
    <t>FORE ADMISION 2026 - TALCAHUANO CC. M. CARTER M.</t>
  </si>
  <si>
    <t>FOFI N°2 DEL CF3 FUE FINANCIADO POR ERROR CON CF10</t>
  </si>
  <si>
    <t>Provision en linea convenio abonos varios numero 0010419259 nomina 00003050346</t>
  </si>
  <si>
    <t>FORE GTOS REGATA COPA ESCUELA NAVAL</t>
  </si>
  <si>
    <t>Provision en linea convenio abonos varios numero 0010419259 nomina 00003020179</t>
  </si>
  <si>
    <t>FORE CC. CARTER</t>
  </si>
  <si>
    <t>PREPAGO KDT 422/23 RUT 21256407-9 ANTONIA CARREÑO HERNANDEZ</t>
  </si>
  <si>
    <t>Transferencia otro banco a rut 13442371-4 macaya opitz maria paz</t>
  </si>
  <si>
    <t>DEVOLUCION KDT RETIRADO 306/24 FELIPE COX MACAYA</t>
  </si>
  <si>
    <t>PREPAGO KDT 309/24 RUT 21130940-7 MAIKOL CARDOZA PARDO</t>
  </si>
  <si>
    <t>PREPAGO KDT 383/24 RUT 21672560-3 MATIAS PACHECO MUÑOZ</t>
  </si>
  <si>
    <t>1/2 GARANTÍA DEL CAE EX KDT 274/19 NICOLAS VERA PEREIRA</t>
  </si>
  <si>
    <t>2/2 GARANTÍA DEL CAE EX KDT 274/19 NICOLAS VERA PEREIRA</t>
  </si>
  <si>
    <t>PREPAGO KDT 299/24 RUT 20589045-9 IVON ALVEAR GONZALEZ</t>
  </si>
  <si>
    <t>Reintegro Obligación Nro. 80589 Deveng. Nro. 8151</t>
  </si>
  <si>
    <t>DESCUENTO BIENESTAR POR CONCEPTO DE COLEGIATURA AGOSTO</t>
  </si>
  <si>
    <t>RINDE CUENTA FORE Nº 163/2025 CC M. CARTER M. 16992438-</t>
  </si>
  <si>
    <t>RINDE CUENTA FOFI Nº 06/2025 C2 K. GUZMAN V. 19324855-1</t>
  </si>
  <si>
    <t>BANCO CHILE - 97.0 Boleta de Garantía en efectivo a l</t>
  </si>
  <si>
    <t>RINDE CUENTA FOFI Nº 05/2025 C2 K. GUZMAN V. 19324855-1</t>
  </si>
  <si>
    <t>RINDE CUENTA FOFI Nº 10/2025 C1 V. MUÑOZ V. 17975862-8</t>
  </si>
  <si>
    <t>RINDE CUENTA FOFI Nº 08/2025 C1 C. ORDOÑEZ C. 16932918-</t>
  </si>
  <si>
    <t>RINDE CUENTA FOFI Nº 04/2025 T1 C. VALENZUELA F. 181653</t>
  </si>
  <si>
    <t>RINDE CUENTA FORE Nº 136/2025 CC. M. CARTER M. 16992438</t>
  </si>
  <si>
    <t>RINDE CUENTA FOFI Nº 08/2025 PAC J. CONSTENLA P. 862944</t>
  </si>
  <si>
    <t>Emision vale a la vista - Boleta de Garantia Comisión Ingresa 2024</t>
  </si>
  <si>
    <t>Emision vale a la vista - Boleta de Garantia Comisión Ingresa 2025</t>
  </si>
  <si>
    <t xml:space="preserve"> AGOSTO 2025</t>
  </si>
  <si>
    <t>CENFIN 10 AL 31 DE AGOSTO DE 2025</t>
  </si>
  <si>
    <t>CENFIN 03 AL 31 DE AGOSTO DE 2025</t>
  </si>
  <si>
    <t>Boleta de Garantía en efectivo a la Vista por un valor de UF 897,508 a favor de Comisión Administradora Sistema de Crédito deserción Académica de los alumnos.</t>
  </si>
  <si>
    <t xml:space="preserve">CARLOS AGUIRRE RAMÍREZ </t>
  </si>
  <si>
    <t>RODRÍGUEZ SÁNCHEZ DANIEL ALEXIS</t>
  </si>
  <si>
    <t>Fecha</t>
  </si>
  <si>
    <t>Sucursal</t>
  </si>
  <si>
    <t>N° Cuenta Corriente</t>
  </si>
  <si>
    <t>Alias</t>
  </si>
  <si>
    <t>N° Cartola</t>
  </si>
  <si>
    <t>N° Operación</t>
  </si>
  <si>
    <t>Descripción</t>
  </si>
  <si>
    <t>Cheques / Cargos</t>
  </si>
  <si>
    <t>Depósitos / Abonos</t>
  </si>
  <si>
    <t>Saldo</t>
  </si>
  <si>
    <t>30/09/2025</t>
  </si>
  <si>
    <t>Stgo.principal</t>
  </si>
  <si>
    <t>23909229090</t>
  </si>
  <si>
    <t>ESC NAVAL ARTURO PRAT ASIGNACION CAPITAL</t>
  </si>
  <si>
    <t>010</t>
  </si>
  <si>
    <t>7087606</t>
  </si>
  <si>
    <t>Transferencia bancoestado a rut 18842453-8 mesias quezada greck gonzalo</t>
  </si>
  <si>
    <t>7087601</t>
  </si>
  <si>
    <t>Transferencia otro banco a rut 18299181-3 zapico lafuente vicente</t>
  </si>
  <si>
    <t>7087620</t>
  </si>
  <si>
    <t>Transferencia bancoestado a cabezas contreras patricio antonio</t>
  </si>
  <si>
    <t>7087612</t>
  </si>
  <si>
    <t>Transferencia otro banco a rut 89862200-2 latam airlines s a</t>
  </si>
  <si>
    <t>7087616</t>
  </si>
  <si>
    <t>Transferencia bancoestado a rut 77342151-k maxisoluciones arandu spa</t>
  </si>
  <si>
    <t>7087610</t>
  </si>
  <si>
    <t>7087600</t>
  </si>
  <si>
    <t>Transferencia bancoestado a rut 61102017-1 hospital naval almirante nef</t>
  </si>
  <si>
    <t>7087609</t>
  </si>
  <si>
    <t>7087622</t>
  </si>
  <si>
    <t>7087613</t>
  </si>
  <si>
    <t>7087608</t>
  </si>
  <si>
    <t>Transferencia otro banco a rut 61102006-6 departamento bienestar social armada valparaiso</t>
  </si>
  <si>
    <t>7087604</t>
  </si>
  <si>
    <t>Transferencia bancoestado a rut 77757285-7 asesorias contables financieras carolina donoso go</t>
  </si>
  <si>
    <t>7087611</t>
  </si>
  <si>
    <t>0001720</t>
  </si>
  <si>
    <t>Provision en linea convenio abonos varios numero 0010419259 nomina 00003180981</t>
  </si>
  <si>
    <t>0001077</t>
  </si>
  <si>
    <t>Transferencia otro banco de rut 19153749-1 carrasco catalan barbara rocio</t>
  </si>
  <si>
    <t>1800192</t>
  </si>
  <si>
    <t>Abono</t>
  </si>
  <si>
    <t>1800958</t>
  </si>
  <si>
    <t>Abono transbank tarjeta debito</t>
  </si>
  <si>
    <t>Transferencia otro banco de rut 10692511-9 vera borquez fabian marcelo</t>
  </si>
  <si>
    <t>29/09/2025</t>
  </si>
  <si>
    <t>Provision en linea convenio abonos varios numero 0010419259 nomina 00003167874</t>
  </si>
  <si>
    <t>26/09/2025</t>
  </si>
  <si>
    <t>7081438</t>
  </si>
  <si>
    <t>7081428</t>
  </si>
  <si>
    <t>Transferencia bancoestado a rut 70417100-5 club deportivo de playa ancha</t>
  </si>
  <si>
    <t>7081433</t>
  </si>
  <si>
    <t>Transferencia otro banco a rut 50092210-9 manuel olave e hijos limitada</t>
  </si>
  <si>
    <t>7081424</t>
  </si>
  <si>
    <t>Transferencia otro banco a rut 96827350-7 altavoz sociedad anonima</t>
  </si>
  <si>
    <t>7081423</t>
  </si>
  <si>
    <t>Transferencia bancoestado a rut 9876893-9 dimter mancilla marcia susana</t>
  </si>
  <si>
    <t>7081437</t>
  </si>
  <si>
    <t>Transferencia otro banco a rut 78133921-0</t>
  </si>
  <si>
    <t>7081431</t>
  </si>
  <si>
    <t>Transferencia otro banco a rut 77269272-2</t>
  </si>
  <si>
    <t>7081435</t>
  </si>
  <si>
    <t>Transferencia otro banco a rut 78071955-9</t>
  </si>
  <si>
    <t>7081426</t>
  </si>
  <si>
    <t>Transferencia bancoestado a rut 76084712-7 soto y yanez limitada</t>
  </si>
  <si>
    <t>7081436</t>
  </si>
  <si>
    <t>Transferencia otro banco a rut 76706390-3 esell sa</t>
  </si>
  <si>
    <t>7081434</t>
  </si>
  <si>
    <t>Transferencia otro banco a rut 76163106-3 banpro factoring sa</t>
  </si>
  <si>
    <t>7081429</t>
  </si>
  <si>
    <t>Transferencia otro banco a rut 77961856-0</t>
  </si>
  <si>
    <t>7081430</t>
  </si>
  <si>
    <t>7088706</t>
  </si>
  <si>
    <t>Transferencia de cuenta 24509000073 esc naval arturo prat asignacion alumno</t>
  </si>
  <si>
    <t>7088704</t>
  </si>
  <si>
    <t>Provision en linea convenio abonos varios numero 0010419259 nomina 00003159481</t>
  </si>
  <si>
    <t>25/09/2025</t>
  </si>
  <si>
    <t>7021295</t>
  </si>
  <si>
    <t>Transferencia otro banco a rut 76574879-8 jetsmart airlines spa</t>
  </si>
  <si>
    <t>7021294</t>
  </si>
  <si>
    <t>Transferencia bancoestado a rut 77047453-1 pin r spa</t>
  </si>
  <si>
    <t>7021300</t>
  </si>
  <si>
    <t>Transferencia otro banco a rut 77686613-k pym comercial limitada</t>
  </si>
  <si>
    <t>7021304</t>
  </si>
  <si>
    <t>Transferencia otro banco a rut 76636477-2</t>
  </si>
  <si>
    <t>7021291</t>
  </si>
  <si>
    <t>Transferencia otro banco a rut 76109298-7 mwl telecomunicaciones ingenieria y proyectos spa</t>
  </si>
  <si>
    <t>7021297</t>
  </si>
  <si>
    <t>Transferencia otro banco a rut 77777134-5 saam towage chile spa</t>
  </si>
  <si>
    <t>7021298</t>
  </si>
  <si>
    <t>Transferencia otro banco a rut 99520000-7 copec s a</t>
  </si>
  <si>
    <t>7021296</t>
  </si>
  <si>
    <t>Transferencia otro banco a rut 76396682-8 turismo victor fabian araya rojas eirl</t>
  </si>
  <si>
    <t>7021299</t>
  </si>
  <si>
    <t>Transferencia otro banco a rut 76938028-0 joker servicios spa</t>
  </si>
  <si>
    <t>7021292</t>
  </si>
  <si>
    <t>24/09/2025</t>
  </si>
  <si>
    <t>1350001</t>
  </si>
  <si>
    <t>Pagos varios banco de chile rut 61102033-3 direccion bienes</t>
  </si>
  <si>
    <t>23/09/2025</t>
  </si>
  <si>
    <t>7022620</t>
  </si>
  <si>
    <t>Transferencia bancoestado a rut 16627811-2 arriagada nunez moises isaac</t>
  </si>
  <si>
    <t>7022622</t>
  </si>
  <si>
    <t>Transferencia otro banco a rut 77193876-0 comercializadora garace spa</t>
  </si>
  <si>
    <t>7022623</t>
  </si>
  <si>
    <t>Transferencia otro banco a rut 8407751-8 bierwirth sinclair federico</t>
  </si>
  <si>
    <t>Provision en linea convenio abonos varios numero 0010419259 nomina 00003153214</t>
  </si>
  <si>
    <t>7023849</t>
  </si>
  <si>
    <t>Pago en linea internet cge</t>
  </si>
  <si>
    <t>7023845</t>
  </si>
  <si>
    <t>Pago en linea internet chilquinta</t>
  </si>
  <si>
    <t>22/09/2025</t>
  </si>
  <si>
    <t>17/09/2025</t>
  </si>
  <si>
    <t>7064157</t>
  </si>
  <si>
    <t>7064164</t>
  </si>
  <si>
    <t>Transferencia otro banco a rut 15828818-4 fuentes fuentes edgardo emilio</t>
  </si>
  <si>
    <t>7075893</t>
  </si>
  <si>
    <t>7064159</t>
  </si>
  <si>
    <t>7064155</t>
  </si>
  <si>
    <t>Transferencia bancoestado a rut 16046360-0 sanhueza huenchun iris roxana</t>
  </si>
  <si>
    <t>7075915</t>
  </si>
  <si>
    <t>Transferencia otro banco a rut 16018528-7 teichelmann pincheira cristian alberto</t>
  </si>
  <si>
    <t>7075908</t>
  </si>
  <si>
    <t>Transferencia bancoestado a rut 7909215-0 bello retamal daniel moises</t>
  </si>
  <si>
    <t>7064177</t>
  </si>
  <si>
    <t>Transferencia bancoestado a rodriguez vasquez guillermo alfonso</t>
  </si>
  <si>
    <t>7064172</t>
  </si>
  <si>
    <t>Transferencia bancoestado a quilahuilque salazar emilio ignacio</t>
  </si>
  <si>
    <t>7064180</t>
  </si>
  <si>
    <t>Transferencia bancoestado a perez mateluna eduardo andres</t>
  </si>
  <si>
    <t>7064165</t>
  </si>
  <si>
    <t>Transferencia otro banco a rut 21189906-9 vargas obreque maria jose</t>
  </si>
  <si>
    <t>7064161</t>
  </si>
  <si>
    <t>Transferencia bancoestado a rut 19383232-6 espinoza espinoza elizabeth yesenia</t>
  </si>
  <si>
    <t>7064151</t>
  </si>
  <si>
    <t>Transferencia bancoestado a rut 14902277-5 inostroza loaiza beltazar saul</t>
  </si>
  <si>
    <t>7064169</t>
  </si>
  <si>
    <t>7064153</t>
  </si>
  <si>
    <t>Transferencia otro banco a rut 18998141-4 grimaldi gonzalez silvio paolo lucciano</t>
  </si>
  <si>
    <t>7078295</t>
  </si>
  <si>
    <t>Transferencia otro banco a rut 17591979-1 sanchez baeza luis alfonso felipe</t>
  </si>
  <si>
    <t>7075897</t>
  </si>
  <si>
    <t>Transferencia otro banco a rut 18299475-8 casas cordero menendez cristina macaren</t>
  </si>
  <si>
    <t>7064166</t>
  </si>
  <si>
    <t>Transferencia otro banco a rut 18165302-7 valenzuela farfan constanza francisca</t>
  </si>
  <si>
    <t>7078291</t>
  </si>
  <si>
    <t>7029956</t>
  </si>
  <si>
    <t>Pago en linea internet vtr cuenta</t>
  </si>
  <si>
    <t>7028082</t>
  </si>
  <si>
    <t>Transferencia internet a banco estado s/tc cliente</t>
  </si>
  <si>
    <t>7078290</t>
  </si>
  <si>
    <t>Transferencia otro banco a rut 17202197-2 ruiz gonzalez cristobal antonio</t>
  </si>
  <si>
    <t>7075918</t>
  </si>
  <si>
    <t>Transferencia otro banco a rut 18207526-4 silva andrade diego andres</t>
  </si>
  <si>
    <t>7075895</t>
  </si>
  <si>
    <t>Transferencia bancoestado a rut 13793765-4 contreras de la fuente nain ricardo</t>
  </si>
  <si>
    <t>7075902</t>
  </si>
  <si>
    <t>Transferencia otro banco a rut 18201838-4 vargas aranguiz nelson alejandro</t>
  </si>
  <si>
    <t>7075910</t>
  </si>
  <si>
    <t>Transferencia otro banco a rut 7321246-4 leiva araos yanina</t>
  </si>
  <si>
    <t>7064168</t>
  </si>
  <si>
    <t>Transferencia otro banco a rut 16485313-6 nunez valencia miguel alvaro</t>
  </si>
  <si>
    <t>7075909</t>
  </si>
  <si>
    <t>Transferencia otro banco a rut 16863653-9 von der weth pettinelli friedrich ronal</t>
  </si>
  <si>
    <t>7075906</t>
  </si>
  <si>
    <t>7075898</t>
  </si>
  <si>
    <t>Transferencia otro banco a rut 15099249-4 ugarte benavides pablo andres</t>
  </si>
  <si>
    <t>7075913</t>
  </si>
  <si>
    <t>Transferencia bancoestado a rut 11605908-8 roman cuellar maria lorena</t>
  </si>
  <si>
    <t>7064152</t>
  </si>
  <si>
    <t>Transferencia otro banco a rut 10961733-4 de la fuente cornejo victor hugo</t>
  </si>
  <si>
    <t>7075903</t>
  </si>
  <si>
    <t>Transferencia otro banco a rut 9238412-8 maldonado valdes gonzalo andres</t>
  </si>
  <si>
    <t>7075904</t>
  </si>
  <si>
    <t>Transferencia otro banco a rut 13635453-1 castro brahm juan pablo</t>
  </si>
  <si>
    <t>7029953</t>
  </si>
  <si>
    <t>Pago en linea internet gasvalpo</t>
  </si>
  <si>
    <t>7075901</t>
  </si>
  <si>
    <t>Transferencia otro banco a rut 76512530-8 sociedad comercial snapoli limitada</t>
  </si>
  <si>
    <t>Provision en linea convenio abonos varios numero 0010419259 nomina 00003146907</t>
  </si>
  <si>
    <t>Provision en linea convenio abonos varios numero 0010419259 nomina 00003146937</t>
  </si>
  <si>
    <t>16/09/2025</t>
  </si>
  <si>
    <t>0000000</t>
  </si>
  <si>
    <t>Seccion creditos</t>
  </si>
  <si>
    <t>15/09/2025</t>
  </si>
  <si>
    <t>Provision en linea convenio abonos varios numero 0010419259 nomina 00003134179</t>
  </si>
  <si>
    <t>Transferencia otro banco de rut 16992438-4 carter mena matias andres</t>
  </si>
  <si>
    <t>Transferencia otro banco de rut 10950501-3 maldonado moreno ismael moises</t>
  </si>
  <si>
    <t>12/09/2025</t>
  </si>
  <si>
    <t>7074673</t>
  </si>
  <si>
    <t>Transferencia otro banco a rut 76060256-6 greensystems sa</t>
  </si>
  <si>
    <t>7074659</t>
  </si>
  <si>
    <t>Transferencia bancoestado a rut 77039868-1 comercial electrica spa</t>
  </si>
  <si>
    <t>7074672</t>
  </si>
  <si>
    <t>Transferencia otro banco a rut 76859814-2 technical spa</t>
  </si>
  <si>
    <t>7074667</t>
  </si>
  <si>
    <t>Transferencia otro banco a rut 97018000-1 scotiabank chile</t>
  </si>
  <si>
    <t>7074671</t>
  </si>
  <si>
    <t>Transferencia bancoestado a rut 18618337-1 nunez guerrero claudio javier</t>
  </si>
  <si>
    <t>7074665</t>
  </si>
  <si>
    <t>Transferencia otro banco a rut 76811980-5 samsonite chile sa</t>
  </si>
  <si>
    <t>7074661</t>
  </si>
  <si>
    <t>7074664</t>
  </si>
  <si>
    <t>Transferencia otro banco a rut 77911731-6</t>
  </si>
  <si>
    <t>7074674</t>
  </si>
  <si>
    <t>Transferencia otro banco a rut 77081451-0 cordada spa</t>
  </si>
  <si>
    <t>7074676</t>
  </si>
  <si>
    <t>Transferencia otro banco a rut 88842000-2 veolia si chile s a</t>
  </si>
  <si>
    <t>7074666</t>
  </si>
  <si>
    <t>Transferencia otro banco a rut 77991952-8 comercializadora nautica fermar limitad</t>
  </si>
  <si>
    <t>7074668</t>
  </si>
  <si>
    <t>Provision en linea convenio abonos varios numero 0010419259 nomina 00003130780</t>
  </si>
  <si>
    <t>11/09/2025</t>
  </si>
  <si>
    <t>7024856</t>
  </si>
  <si>
    <t>Transferencia otro banco a rut 78703410-1 telefonica empresas chile sa</t>
  </si>
  <si>
    <t>7024860</t>
  </si>
  <si>
    <t>Transferencia otro banco a rut 17199244-3 stock alvarez gino francesco</t>
  </si>
  <si>
    <t>7024852</t>
  </si>
  <si>
    <t>7024862</t>
  </si>
  <si>
    <t>Transferencia otro banco a rut 18272445-9 ferruzola cabello aracely alejandra</t>
  </si>
  <si>
    <t>7024859</t>
  </si>
  <si>
    <t>Transferencia otro banco a rut 15438652-1 rios gallardo jorge luis</t>
  </si>
  <si>
    <t>7024848</t>
  </si>
  <si>
    <t>Transferencia otro banco a rut 16763525-3 poblete cretier eduardo alexis</t>
  </si>
  <si>
    <t>7024865</t>
  </si>
  <si>
    <t>Transferencia otro banco a rut 9872790-6 chassin trubert correa jean paul</t>
  </si>
  <si>
    <t>7024864</t>
  </si>
  <si>
    <t>7024858</t>
  </si>
  <si>
    <t>Transferencia otro banco a rut 10389989-3 buccarey castillo francis dennis</t>
  </si>
  <si>
    <t>7024869</t>
  </si>
  <si>
    <t>Transferencia otro banco a rut 13634709-8 pedreros alonso gonzalo andres</t>
  </si>
  <si>
    <t>7027178</t>
  </si>
  <si>
    <t>Provision en linea convenio abonos varios numero 0010419259 nomina 00003122124</t>
  </si>
  <si>
    <t>7024866</t>
  </si>
  <si>
    <t>7027176</t>
  </si>
  <si>
    <t>Transferencia otro banco a rut 76607211-9 milled chile sa</t>
  </si>
  <si>
    <t>7032069</t>
  </si>
  <si>
    <t>7024857</t>
  </si>
  <si>
    <t>Transferencia otro banco a rut 76805650-1 manuel ogando producciones publicitarias ltda</t>
  </si>
  <si>
    <t>7024861</t>
  </si>
  <si>
    <t>Transferencia otro banco a rut 96710110-9 inmobiliaria club de deportes nauticos reloncavi s</t>
  </si>
  <si>
    <t>Provision en linea convenio abonos varios numero 0010419259 nomina 00003122153</t>
  </si>
  <si>
    <t>7024863</t>
  </si>
  <si>
    <t>Transferencia otro banco a rut 80582900-1 bayona spa</t>
  </si>
  <si>
    <t>7024867</t>
  </si>
  <si>
    <t>Transferencia otro banco a rut 70441500-1 yacht club de chile</t>
  </si>
  <si>
    <t>7032072</t>
  </si>
  <si>
    <t>Provision en linea convenio abonos varios numero 0010419259 nomina 00003122270</t>
  </si>
  <si>
    <t>7003617</t>
  </si>
  <si>
    <t>7003647</t>
  </si>
  <si>
    <t>7003619</t>
  </si>
  <si>
    <t>10/09/2025</t>
  </si>
  <si>
    <t>Provision en linea convenio abonos varios numero 0010419259 nomina 00003115890</t>
  </si>
  <si>
    <t>7027337</t>
  </si>
  <si>
    <t>Transferencia otro banco a rut 96799250-k claro chile spa</t>
  </si>
  <si>
    <t>7027331</t>
  </si>
  <si>
    <t>Transferencia otro banco a rut 60503000-9 empresa de correos de chile</t>
  </si>
  <si>
    <t>7027328</t>
  </si>
  <si>
    <t>Transferencia bancoestado a rut 19324855-1 guzman vergara karina ines</t>
  </si>
  <si>
    <t>7027332</t>
  </si>
  <si>
    <t>Transferencia otro banco a rut 78897320-9 ind y coml homecare chile ltda</t>
  </si>
  <si>
    <t>Transferencia otro banco de rut 14058456-8 gomez cartes gustavo adolfo</t>
  </si>
  <si>
    <t>09/09/2025</t>
  </si>
  <si>
    <t>0001711</t>
  </si>
  <si>
    <t>Transferencia sistema pago alto valor</t>
  </si>
  <si>
    <t>08/09/2025</t>
  </si>
  <si>
    <t>7013782</t>
  </si>
  <si>
    <t>Transferencia otro banco a rut 76290943-k comercial comparo spa</t>
  </si>
  <si>
    <t>7013780</t>
  </si>
  <si>
    <t>Transferencia otro banco a rut 9416032-4 ramirez torrejon blanca olivia</t>
  </si>
  <si>
    <t>7013776</t>
  </si>
  <si>
    <t>Valp.plya.ancha</t>
  </si>
  <si>
    <t>0001381</t>
  </si>
  <si>
    <t>7013778</t>
  </si>
  <si>
    <t>Transferencia otro banco a rut 99575550-5 bolsa de productos de chile s a</t>
  </si>
  <si>
    <t>7013781</t>
  </si>
  <si>
    <t>Transferencia otro banco a rut 76755874-0 comercial pcl spa</t>
  </si>
  <si>
    <t>7013779</t>
  </si>
  <si>
    <t>7052650</t>
  </si>
  <si>
    <t>Transferencia bancoestado de rut 16054217-9 rubio flores rolando andres</t>
  </si>
  <si>
    <t>7075572</t>
  </si>
  <si>
    <t>7075575</t>
  </si>
  <si>
    <t>7075564</t>
  </si>
  <si>
    <t>Transferencia bancoestado a rut 9414021-8 olivares burgos luis guillermo</t>
  </si>
  <si>
    <t>Transferencia otro banco de rut 65586910-7</t>
  </si>
  <si>
    <t>05/09/2025</t>
  </si>
  <si>
    <t>Transferencia otro banco de rut 78477490-2 comercial e industrial dagoway trade sp</t>
  </si>
  <si>
    <t>04/09/2025</t>
  </si>
  <si>
    <t>Provision en linea convenio abonos varios numero 0010419259 nomina 00003094384</t>
  </si>
  <si>
    <t>Provision en linea convenio abonos varios numero 0010419259 nomina 00003091995</t>
  </si>
  <si>
    <t>03/09/2025</t>
  </si>
  <si>
    <t>7011239</t>
  </si>
  <si>
    <t>Transferencia bancoestado a rut 18237485-7 aros alvarado nicolas alberto</t>
  </si>
  <si>
    <t>7011237</t>
  </si>
  <si>
    <t>7011254</t>
  </si>
  <si>
    <t>7011257</t>
  </si>
  <si>
    <t>Transferencia bancoestado a ponce saa gabriel arturo</t>
  </si>
  <si>
    <t>7011247</t>
  </si>
  <si>
    <t>7011245</t>
  </si>
  <si>
    <t>7011250</t>
  </si>
  <si>
    <t>7011255</t>
  </si>
  <si>
    <t>7011249</t>
  </si>
  <si>
    <t>Transferencia otro banco a rut 18209813-2 olguin mercado anibal alejandro</t>
  </si>
  <si>
    <t>7011244</t>
  </si>
  <si>
    <t>7011235</t>
  </si>
  <si>
    <t>7011261</t>
  </si>
  <si>
    <t>Transferencia bancoestado a alarcon urra jose benito</t>
  </si>
  <si>
    <t>7013019</t>
  </si>
  <si>
    <t>7013022</t>
  </si>
  <si>
    <t>7013016</t>
  </si>
  <si>
    <t>7013015</t>
  </si>
  <si>
    <t>7013018</t>
  </si>
  <si>
    <t>7011242</t>
  </si>
  <si>
    <t>Transferencia bancoestado a rut 13043011-2 marin ortiz felipe esteban</t>
  </si>
  <si>
    <t>7013010</t>
  </si>
  <si>
    <t>Transferencia bancoestado a rut 16200599-5 santos fuentes nelson alejandro</t>
  </si>
  <si>
    <t>7011233</t>
  </si>
  <si>
    <t>Transferencia bancoestado a rut 76693078-6 industria quimica kromo spa</t>
  </si>
  <si>
    <t>7011248</t>
  </si>
  <si>
    <t>Transferencia otro banco a rut 76243416-4 instrumentos musicales madelon limitada</t>
  </si>
  <si>
    <t>7013023</t>
  </si>
  <si>
    <t>Transferencia otro banco a rut 76379238-2 rescue center spa</t>
  </si>
  <si>
    <t>7013017</t>
  </si>
  <si>
    <t>7013024</t>
  </si>
  <si>
    <t>Transferencia otro banco a rut 84108700-3 ghattas abusada e hijos y compania limitada</t>
  </si>
  <si>
    <t>7013021</t>
  </si>
  <si>
    <t>7013014</t>
  </si>
  <si>
    <t>Transferencia bancoestado a rut 92083000-5 dimacofi sa</t>
  </si>
  <si>
    <t>Transferencia otro banco de rut 16018528-7 teichelmann pincheira cristian alberto</t>
  </si>
  <si>
    <t>02/09/2025</t>
  </si>
  <si>
    <t>1350037</t>
  </si>
  <si>
    <t>Pagos varios banco santander-chil rut 99061000-2 hdi seguros sa</t>
  </si>
  <si>
    <t>Valparaiso prat</t>
  </si>
  <si>
    <t>6000850</t>
  </si>
  <si>
    <t>Deposito con documentos</t>
  </si>
  <si>
    <t>Provision en linea convenio abonos varios numero 0010419259 nomina 00003086437</t>
  </si>
  <si>
    <t>01/09/2025</t>
  </si>
  <si>
    <t>Transferencia otro banco de rut 70999500-6 club naval de deportes nauticos</t>
  </si>
  <si>
    <t>600 600 0033 | soportei@bancoestado.cl</t>
  </si>
  <si>
    <t>Fecha  - Hora       02/10/2025-11:50</t>
  </si>
  <si>
    <t>Nombre Empresa</t>
  </si>
  <si>
    <t>ESCUELA NAVAL ARTURO PRAT VALPARAISO</t>
  </si>
  <si>
    <t>Ejecutivo</t>
  </si>
  <si>
    <t>DONOSO CASTILLO</t>
  </si>
  <si>
    <t>Rut Empresa</t>
  </si>
  <si>
    <t>61.102.010-4</t>
  </si>
  <si>
    <t>Oficina</t>
  </si>
  <si>
    <t>STGO. PRINCIPAL</t>
  </si>
  <si>
    <t>Nombre Usuario</t>
  </si>
  <si>
    <t>Rut Usuario</t>
  </si>
  <si>
    <t>13.366.095-K</t>
  </si>
  <si>
    <t>Cartóla Histórica</t>
  </si>
  <si>
    <t>Fecha Inicio</t>
  </si>
  <si>
    <t>Fecha Final</t>
  </si>
  <si>
    <t>Fecha Emisión</t>
  </si>
  <si>
    <t>N° Movimientos</t>
  </si>
  <si>
    <t>208</t>
  </si>
  <si>
    <t>Saldo Inicial</t>
  </si>
  <si>
    <t>$639.726.016</t>
  </si>
  <si>
    <t>Total Cargos</t>
  </si>
  <si>
    <t>$297.899.834</t>
  </si>
  <si>
    <t>Total Cheques</t>
  </si>
  <si>
    <t>$0</t>
  </si>
  <si>
    <t>Total Abonos</t>
  </si>
  <si>
    <t>$450.099.241</t>
  </si>
  <si>
    <t>Total Depósitos</t>
  </si>
  <si>
    <t>$43.827.982</t>
  </si>
  <si>
    <t>Saldo Final</t>
  </si>
  <si>
    <t>$835.753.405</t>
  </si>
  <si>
    <t>24509000073</t>
  </si>
  <si>
    <t>ESC NAVAL ARTURO PRAT ASIGNACION ALUMNO</t>
  </si>
  <si>
    <t>Provision en linea convenio abonos varios numero 0010419259 nomina 00003177986</t>
  </si>
  <si>
    <t>7090131</t>
  </si>
  <si>
    <t>Transferencia bancoestado a rut 7394599-2 lopez cerda jose luis</t>
  </si>
  <si>
    <t>7090132</t>
  </si>
  <si>
    <t>Transferencia otro banco a rut 77863564-k</t>
  </si>
  <si>
    <t>Transferencia otro banco de rut 17202197-2 ruiz gonzalez cristobal antonio</t>
  </si>
  <si>
    <t>Provision en linea convenio abonos varios numero 0010419259 nomina 00003164734</t>
  </si>
  <si>
    <t>Provision en linea convenio abonos varios numero 0010419259 nomina 00003168199</t>
  </si>
  <si>
    <t>Provision en linea convenio abonos varios numero 0010419259 nomina 00003166263</t>
  </si>
  <si>
    <t>7084824</t>
  </si>
  <si>
    <t>7084826</t>
  </si>
  <si>
    <t>Transferencia a cuenta 23909229090 esc naval arturo prat asignacion capital</t>
  </si>
  <si>
    <t>7086209</t>
  </si>
  <si>
    <t>7084816</t>
  </si>
  <si>
    <t>Transferencia bancoestado a rut 7824792-4 valencia coronado jorge enrique</t>
  </si>
  <si>
    <t>7084841</t>
  </si>
  <si>
    <t>7084818</t>
  </si>
  <si>
    <t>7084825</t>
  </si>
  <si>
    <t>Transferencia otro banco a rut 77660115-2</t>
  </si>
  <si>
    <t>7084820</t>
  </si>
  <si>
    <t>Transferencia bancoestado a rut 76723107-5 deportes alejandro jara munoz eirl</t>
  </si>
  <si>
    <t>7084827</t>
  </si>
  <si>
    <t>Transferencia otro banco a rut 88417000-1 sky airline s a</t>
  </si>
  <si>
    <t>Provision en linea convenio abonos varios numero 0010419259 nomina 00003162631</t>
  </si>
  <si>
    <t>7035335</t>
  </si>
  <si>
    <t>Transferencia otro banco a rut 76306980-k transportes y turismo f y f limitada</t>
  </si>
  <si>
    <t>7035333</t>
  </si>
  <si>
    <t>Transferencia bancoestado a rut 76371783-6 comercializadora investments company limitada</t>
  </si>
  <si>
    <t>7035334</t>
  </si>
  <si>
    <t>Transferencia otro banco a rut 77612205-k</t>
  </si>
  <si>
    <t>7090376</t>
  </si>
  <si>
    <t>Transferencia otro banco de rut 18207526-4 silva andrade diego andres</t>
  </si>
  <si>
    <t>7095153</t>
  </si>
  <si>
    <t>Transferencia otro banco a rut 76957686-k lam spa</t>
  </si>
  <si>
    <t>Provision en linea convenio abonos varios numero 0010419259 nomina 00003141001</t>
  </si>
  <si>
    <t>7083246</t>
  </si>
  <si>
    <t>Transferencia otro banco a rut 78039975-9</t>
  </si>
  <si>
    <t>0400774</t>
  </si>
  <si>
    <t>Abonos de direccion general del personal .</t>
  </si>
  <si>
    <t>7039819</t>
  </si>
  <si>
    <t>Transferencia bancoestado a rut 61952000-9 imprenta de la armada de chile</t>
  </si>
  <si>
    <t>7039821</t>
  </si>
  <si>
    <t>Transferencia bancoestado a rut 76612652-9 huellasports spa</t>
  </si>
  <si>
    <t>7039822</t>
  </si>
  <si>
    <t>Transferencia otro banco a rut 77607976-6</t>
  </si>
  <si>
    <t>7039823</t>
  </si>
  <si>
    <t>Transferencia otro banco de rut 16863653-9 von der weth pettinelli friedrich ronal</t>
  </si>
  <si>
    <t>Transferencia otro banco de rut 18299475-8 casas cordero menendez cristina macaren</t>
  </si>
  <si>
    <t>Provision en linea convenio abonos varios numero 0010419259 nomina 00003114998</t>
  </si>
  <si>
    <t>Provision en linea convenio abonos varios numero 0010419259 nomina 00003115727</t>
  </si>
  <si>
    <t>Provision en linea convenio abonos varios numero 0010419259 nomina 00003115768</t>
  </si>
  <si>
    <t>Provision en linea convenio abonos varios numero 0010419259 nomina 00003115626</t>
  </si>
  <si>
    <t>0001889</t>
  </si>
  <si>
    <t>Rechazo convenio pago abonos varios</t>
  </si>
  <si>
    <t>Provision en linea convenio abonos varios numero 0010419259 nomina 00003106054</t>
  </si>
  <si>
    <t>Provision en linea convenio abonos varios numero 0010419259 nomina 00003113447</t>
  </si>
  <si>
    <t>Provision en linea convenio abonos varios numero 0010419259 nomina 00003109836</t>
  </si>
  <si>
    <t>7008790</t>
  </si>
  <si>
    <t>Transferencia bancoestado a rut 61102013-9 direccion general del personal de la armada</t>
  </si>
  <si>
    <t>Provision en linea convenio abonos varios numero 0010419259 nomina 00003110455</t>
  </si>
  <si>
    <t>7016072</t>
  </si>
  <si>
    <t>Transferencia otro banco a rut 76779491-6 comercial gonzalez y olmos limitada</t>
  </si>
  <si>
    <t>7016073</t>
  </si>
  <si>
    <t>Transferencia otro banco de rut 17199244-3 stock alvarez gino francesco</t>
  </si>
  <si>
    <t>Transferencia otro banco de rut 16765984-5 gallegos jaccard rene alejandro</t>
  </si>
  <si>
    <t>Transferencia otro banco de rut 18299181-3 zapico lafuente vicente</t>
  </si>
  <si>
    <t>Fecha  - Hora       02/10/2025-11:58</t>
  </si>
  <si>
    <t>56</t>
  </si>
  <si>
    <t>$87.761.209</t>
  </si>
  <si>
    <t>$154.016.696</t>
  </si>
  <si>
    <t>$123.542.900</t>
  </si>
  <si>
    <t>$57.287.413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</si>
</sst>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2" formatCode="_ &quot;$&quot;* #,##0_ ;_ &quot;$&quot;* \-#,##0_ ;_ &quot;$&quot;* &quot;-&quot;_ ;_ @_ "/>
    <numFmt numFmtId="41" formatCode="_ * #,##0_ ;_ * \-#,##0_ ;_ * &quot;-&quot;_ ;_ @_ "/>
    <numFmt numFmtId="44" formatCode="_ &quot;$&quot;* #,##0.00_ ;_ &quot;$&quot;* \-#,##0.00_ ;_ &quot;$&quot;* &quot;-&quot;??_ ;_ @_ "/>
    <numFmt numFmtId="164" formatCode="#,##0;[Red]#,##0"/>
    <numFmt numFmtId="165" formatCode="_ [$$-340A]* #,##0_ ;_ [$$-340A]* \-#,##0_ ;_ [$$-340A]* &quot;-&quot;_ ;_ @_ "/>
    <numFmt numFmtId="166" formatCode="[$-F800]dddd\,\ mmmm\ dd\,\ yyyy"/>
    <numFmt numFmtId="167" formatCode="0.000"/>
    <numFmt numFmtId="168" formatCode="_-&quot;$&quot;\ * #,##0_-;\-&quot;$&quot;\ * #,##0_-;_-&quot;$&quot;\ * &quot;-&quot;??_-;_-@_-"/>
    <numFmt numFmtId="169" formatCode="_-&quot;$&quot;\ * #,##0.00_-;\-&quot;$&quot;\ * #,##0.00_-;_-&quot;$&quot;\ * &quot;-&quot;??_-;_-@_-"/>
    <numFmt numFmtId="170" formatCode="#,##0_ ;\-#,##0\ "/>
    <numFmt numFmtId="171" formatCode="_-* #,##0.00_-;\-* #,##0.00_-;_-* &quot;-&quot;??_-;_-@_-"/>
    <numFmt numFmtId="172" formatCode="&quot;$&quot;#,##0;[Red]\-&quot;$&quot;#,##0"/>
  </numFmts>
  <fonts count="5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ptos Narrow"/>
      <family val="2"/>
      <scheme val="minor"/>
    </font>
    <font>
      <sz val="16"/>
      <color rgb="FFFF0000"/>
      <name val="Arial"/>
      <family val="2"/>
    </font>
    <font>
      <sz val="16"/>
      <name val="Arial"/>
      <family val="2"/>
    </font>
    <font>
      <b/>
      <sz val="12"/>
      <color indexed="81"/>
      <name val="Arial"/>
      <family val="2"/>
    </font>
    <font>
      <sz val="12"/>
      <color indexed="8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16"/>
      <color theme="0"/>
      <name val="Arial"/>
      <family val="2"/>
    </font>
    <font>
      <b/>
      <sz val="16"/>
      <name val="Arial"/>
      <family val="2"/>
    </font>
    <font>
      <b/>
      <sz val="16"/>
      <color theme="0"/>
      <name val="Arial"/>
      <family val="2"/>
    </font>
    <font>
      <sz val="16"/>
      <color theme="0"/>
      <name val="Aptos Narrow"/>
      <family val="2"/>
      <scheme val="minor"/>
    </font>
    <font>
      <b/>
      <sz val="16"/>
      <color theme="0"/>
      <name val="Aptos Narrow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rgb="FF006100"/>
      <name val="Aptos Narrow"/>
      <family val="2"/>
      <scheme val="minor"/>
    </font>
    <font>
      <b/>
      <sz val="12"/>
      <color theme="1"/>
      <name val="Arial"/>
      <family val="2"/>
    </font>
    <font>
      <b/>
      <sz val="10"/>
      <color theme="0"/>
      <name val="Arial"/>
      <family val="2"/>
    </font>
    <font>
      <b/>
      <sz val="10"/>
      <color rgb="FF002060"/>
      <name val="Arial"/>
      <family val="2"/>
    </font>
    <font>
      <sz val="10"/>
      <color indexed="8"/>
      <name val="Arial"/>
      <family val="2"/>
    </font>
    <font>
      <b/>
      <u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</font>
    <font>
      <b/>
      <sz val="11"/>
      <color theme="1"/>
      <name val="Aptos Narrow"/>
      <scheme val="minor"/>
    </font>
    <font>
      <b/>
      <sz val="18"/>
      <color theme="1"/>
      <name val="Arial"/>
      <family val="2"/>
    </font>
    <font>
      <b/>
      <sz val="12"/>
      <color theme="0"/>
      <name val="Arial"/>
      <family val="2"/>
    </font>
    <font>
      <sz val="12"/>
      <color rgb="FF0070C0"/>
      <name val="Arial"/>
      <family val="2"/>
    </font>
    <font>
      <b/>
      <sz val="11"/>
      <color theme="1"/>
      <name val="Aptos Narrow"/>
      <family val="2"/>
      <scheme val="minor"/>
    </font>
    <font>
      <b/>
      <sz val="14"/>
      <color theme="1"/>
      <name val="Arial"/>
      <family val="2"/>
    </font>
    <font>
      <b/>
      <sz val="12"/>
      <name val="Arial"/>
      <family val="2"/>
    </font>
    <font>
      <b/>
      <sz val="12"/>
      <color rgb="FFFF0000"/>
      <name val="Arial"/>
      <family val="2"/>
    </font>
    <font>
      <sz val="10"/>
      <name val="Open Sans"/>
    </font>
    <font>
      <b/>
      <sz val="10"/>
      <name val="Open Sans"/>
    </font>
    <font>
      <b/>
      <sz val="11"/>
      <color theme="1"/>
      <name val="Arial"/>
      <family val="2"/>
    </font>
    <font>
      <b/>
      <sz val="10"/>
      <color rgb="FFFF0000"/>
      <name val="Arial"/>
      <family val="2"/>
    </font>
    <font>
      <sz val="10"/>
      <color theme="1"/>
      <name val="Aptos Narrow"/>
      <family val="2"/>
      <scheme val="minor"/>
    </font>
    <font>
      <b/>
      <sz val="11"/>
      <color rgb="FFFF0000"/>
      <name val="Aptos Narrow"/>
      <scheme val="minor"/>
    </font>
    <font>
      <b/>
      <sz val="11"/>
      <color rgb="FF000000"/>
      <name val="Open Sans"/>
    </font>
    <font>
      <sz val="10"/>
      <color rgb="FFFFFFFF"/>
      <name val="Open Sans"/>
    </font>
    <font>
      <b/>
      <sz val="12"/>
      <name val="Open Sans"/>
    </font>
    <font>
      <sz val="12"/>
      <name val="Open Sans"/>
    </font>
    <font>
      <b/>
      <sz val="20"/>
      <name val="Open Sans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00206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36E74"/>
      </patternFill>
    </fill>
    <fill>
      <patternFill patternType="solid">
        <fgColor rgb="FFF5F5F5"/>
      </patternFill>
    </fill>
    <fill>
      <patternFill patternType="solid">
        <fgColor rgb="FFFFFFFF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0">
    <xf numFmtId="0" fontId="0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2" fillId="4" borderId="0" applyNumberFormat="0" applyBorder="0" applyAlignment="0" applyProtection="0"/>
    <xf numFmtId="44" fontId="1" fillId="0" borderId="0" applyFont="0" applyFill="0" applyBorder="0" applyAlignment="0" applyProtection="0"/>
    <xf numFmtId="169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0" fontId="21" fillId="0" borderId="0"/>
    <xf numFmtId="42" fontId="1" fillId="0" borderId="0" applyFont="0" applyFill="0" applyBorder="0" applyAlignment="0" applyProtection="0"/>
  </cellStyleXfs>
  <cellXfs count="437">
    <xf numFmtId="0" fontId="0" fillId="0" borderId="0" xfId="0"/>
    <xf numFmtId="3" fontId="0" fillId="0" borderId="0" xfId="0" applyNumberFormat="1"/>
    <xf numFmtId="0" fontId="4" fillId="0" borderId="0" xfId="0" applyFont="1"/>
    <xf numFmtId="0" fontId="6" fillId="0" borderId="0" xfId="0" applyFont="1"/>
    <xf numFmtId="0" fontId="4" fillId="0" borderId="0" xfId="0" applyFont="1" applyBorder="1"/>
    <xf numFmtId="42" fontId="7" fillId="0" borderId="0" xfId="0" applyNumberFormat="1" applyFont="1" applyBorder="1"/>
    <xf numFmtId="42" fontId="4" fillId="0" borderId="0" xfId="0" applyNumberFormat="1" applyFont="1"/>
    <xf numFmtId="3" fontId="4" fillId="0" borderId="0" xfId="0" applyNumberFormat="1" applyFont="1"/>
    <xf numFmtId="0" fontId="0" fillId="0" borderId="0" xfId="0" applyFill="1" applyProtection="1"/>
    <xf numFmtId="0" fontId="6" fillId="0" borderId="0" xfId="0" applyFont="1" applyFill="1"/>
    <xf numFmtId="0" fontId="0" fillId="0" borderId="0" xfId="0" applyFill="1"/>
    <xf numFmtId="3" fontId="4" fillId="0" borderId="0" xfId="0" applyNumberFormat="1" applyFont="1" applyFill="1" applyBorder="1" applyProtection="1"/>
    <xf numFmtId="3" fontId="6" fillId="0" borderId="0" xfId="0" applyNumberFormat="1" applyFont="1"/>
    <xf numFmtId="0" fontId="6" fillId="0" borderId="0" xfId="0" applyFont="1" applyFill="1" applyBorder="1"/>
    <xf numFmtId="0" fontId="0" fillId="0" borderId="0" xfId="0" applyFill="1" applyBorder="1"/>
    <xf numFmtId="0" fontId="6" fillId="0" borderId="0" xfId="0" applyFont="1" applyBorder="1"/>
    <xf numFmtId="42" fontId="12" fillId="0" borderId="0" xfId="1" applyFont="1"/>
    <xf numFmtId="42" fontId="13" fillId="0" borderId="0" xfId="1" applyFont="1"/>
    <xf numFmtId="0" fontId="14" fillId="0" borderId="0" xfId="0" applyFont="1"/>
    <xf numFmtId="0" fontId="14" fillId="0" borderId="0" xfId="0" applyFont="1" applyAlignment="1">
      <alignment horizontal="center"/>
    </xf>
    <xf numFmtId="0" fontId="12" fillId="0" borderId="0" xfId="0" applyFont="1"/>
    <xf numFmtId="42" fontId="14" fillId="0" borderId="0" xfId="1" applyFont="1"/>
    <xf numFmtId="0" fontId="12" fillId="0" borderId="5" xfId="0" applyFont="1" applyBorder="1"/>
    <xf numFmtId="42" fontId="12" fillId="0" borderId="5" xfId="1" applyFont="1" applyBorder="1"/>
    <xf numFmtId="0" fontId="13" fillId="0" borderId="0" xfId="0" applyFont="1"/>
    <xf numFmtId="0" fontId="14" fillId="2" borderId="0" xfId="0" applyFont="1" applyFill="1"/>
    <xf numFmtId="42" fontId="14" fillId="2" borderId="0" xfId="1" applyFont="1" applyFill="1"/>
    <xf numFmtId="42" fontId="14" fillId="0" borderId="0" xfId="0" applyNumberFormat="1" applyFont="1"/>
    <xf numFmtId="0" fontId="11" fillId="0" borderId="0" xfId="0" applyFont="1" applyAlignment="1">
      <alignment horizontal="center" wrapText="1"/>
    </xf>
    <xf numFmtId="0" fontId="11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14" fillId="0" borderId="0" xfId="0" applyFont="1" applyAlignment="1">
      <alignment horizontal="left" wrapText="1"/>
    </xf>
    <xf numFmtId="0" fontId="14" fillId="0" borderId="0" xfId="0" applyFont="1" applyAlignment="1">
      <alignment horizontal="right" wrapText="1"/>
    </xf>
    <xf numFmtId="165" fontId="14" fillId="0" borderId="0" xfId="0" applyNumberFormat="1" applyFont="1" applyAlignment="1">
      <alignment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165" fontId="14" fillId="0" borderId="1" xfId="0" applyNumberFormat="1" applyFont="1" applyBorder="1" applyAlignment="1">
      <alignment wrapText="1"/>
    </xf>
    <xf numFmtId="10" fontId="14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16" fillId="0" borderId="1" xfId="0" applyFont="1" applyBorder="1" applyAlignment="1">
      <alignment horizontal="center"/>
    </xf>
    <xf numFmtId="3" fontId="8" fillId="0" borderId="1" xfId="0" applyNumberFormat="1" applyFont="1" applyFill="1" applyBorder="1" applyProtection="1"/>
    <xf numFmtId="0" fontId="8" fillId="0" borderId="1" xfId="0" applyFont="1" applyFill="1" applyBorder="1"/>
    <xf numFmtId="0" fontId="8" fillId="0" borderId="0" xfId="0" applyFont="1" applyBorder="1"/>
    <xf numFmtId="0" fontId="15" fillId="0" borderId="0" xfId="0" applyFont="1" applyBorder="1"/>
    <xf numFmtId="0" fontId="17" fillId="0" borderId="0" xfId="0" applyFont="1" applyBorder="1" applyAlignment="1">
      <alignment horizontal="center"/>
    </xf>
    <xf numFmtId="3" fontId="15" fillId="0" borderId="0" xfId="0" applyNumberFormat="1" applyFont="1" applyFill="1" applyBorder="1" applyProtection="1"/>
    <xf numFmtId="0" fontId="18" fillId="0" borderId="0" xfId="0" applyFont="1" applyFill="1" applyBorder="1" applyProtection="1"/>
    <xf numFmtId="164" fontId="18" fillId="0" borderId="0" xfId="0" applyNumberFormat="1" applyFont="1" applyFill="1" applyBorder="1" applyProtection="1"/>
    <xf numFmtId="0" fontId="15" fillId="0" borderId="0" xfId="0" applyFont="1" applyFill="1" applyBorder="1"/>
    <xf numFmtId="164" fontId="18" fillId="2" borderId="0" xfId="0" applyNumberFormat="1" applyFont="1" applyFill="1" applyBorder="1" applyProtection="1"/>
    <xf numFmtId="0" fontId="15" fillId="0" borderId="0" xfId="0" applyFont="1" applyFill="1" applyBorder="1" applyProtection="1"/>
    <xf numFmtId="0" fontId="17" fillId="0" borderId="0" xfId="0" applyFont="1" applyBorder="1"/>
    <xf numFmtId="164" fontId="19" fillId="0" borderId="0" xfId="0" applyNumberFormat="1" applyFont="1" applyFill="1" applyBorder="1" applyProtection="1"/>
    <xf numFmtId="0" fontId="8" fillId="0" borderId="3" xfId="0" applyFont="1" applyFill="1" applyBorder="1"/>
    <xf numFmtId="3" fontId="8" fillId="0" borderId="0" xfId="0" applyNumberFormat="1" applyFont="1"/>
    <xf numFmtId="0" fontId="16" fillId="0" borderId="1" xfId="0" applyFont="1" applyFill="1" applyBorder="1"/>
    <xf numFmtId="0" fontId="14" fillId="0" borderId="0" xfId="0" applyFont="1" applyAlignment="1">
      <alignment horizontal="center" wrapText="1"/>
    </xf>
    <xf numFmtId="0" fontId="14" fillId="0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21" fillId="0" borderId="1" xfId="0" applyFont="1" applyBorder="1"/>
    <xf numFmtId="0" fontId="14" fillId="0" borderId="0" xfId="0" applyFont="1" applyAlignment="1">
      <alignment horizontal="center" wrapText="1"/>
    </xf>
    <xf numFmtId="0" fontId="14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left" wrapText="1"/>
    </xf>
    <xf numFmtId="42" fontId="14" fillId="0" borderId="1" xfId="0" applyNumberFormat="1" applyFont="1" applyBorder="1"/>
    <xf numFmtId="0" fontId="14" fillId="0" borderId="1" xfId="0" applyFont="1" applyBorder="1"/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left" wrapText="1"/>
    </xf>
    <xf numFmtId="42" fontId="14" fillId="0" borderId="1" xfId="1" applyFont="1" applyBorder="1" applyAlignment="1">
      <alignment wrapText="1"/>
    </xf>
    <xf numFmtId="0" fontId="14" fillId="0" borderId="1" xfId="0" quotePrefix="1" applyFont="1" applyBorder="1" applyAlignment="1">
      <alignment horizontal="center" wrapText="1"/>
    </xf>
    <xf numFmtId="0" fontId="12" fillId="0" borderId="1" xfId="0" applyFont="1" applyBorder="1" applyAlignment="1">
      <alignment horizontal="center" wrapText="1"/>
    </xf>
    <xf numFmtId="0" fontId="12" fillId="0" borderId="1" xfId="0" applyFont="1" applyFill="1" applyBorder="1" applyAlignment="1">
      <alignment horizontal="center"/>
    </xf>
    <xf numFmtId="0" fontId="12" fillId="0" borderId="0" xfId="0" applyFont="1" applyAlignment="1">
      <alignment horizontal="center" wrapText="1"/>
    </xf>
    <xf numFmtId="166" fontId="12" fillId="0" borderId="0" xfId="0" applyNumberFormat="1" applyFont="1" applyAlignment="1">
      <alignment horizontal="center" wrapText="1"/>
    </xf>
    <xf numFmtId="0" fontId="14" fillId="0" borderId="0" xfId="0" applyFont="1" applyFill="1" applyBorder="1" applyAlignment="1">
      <alignment horizontal="right"/>
    </xf>
    <xf numFmtId="42" fontId="14" fillId="0" borderId="0" xfId="1" applyFont="1" applyBorder="1" applyAlignment="1">
      <alignment horizontal="center" wrapText="1"/>
    </xf>
    <xf numFmtId="0" fontId="12" fillId="0" borderId="1" xfId="0" applyFont="1" applyBorder="1" applyAlignment="1">
      <alignment horizontal="center"/>
    </xf>
    <xf numFmtId="0" fontId="12" fillId="0" borderId="1" xfId="0" applyFont="1" applyFill="1" applyBorder="1" applyAlignment="1">
      <alignment horizontal="left"/>
    </xf>
    <xf numFmtId="42" fontId="14" fillId="2" borderId="1" xfId="0" applyNumberFormat="1" applyFont="1" applyFill="1" applyBorder="1"/>
    <xf numFmtId="42" fontId="14" fillId="0" borderId="1" xfId="0" applyNumberFormat="1" applyFont="1" applyBorder="1" applyAlignment="1">
      <alignment horizontal="left"/>
    </xf>
    <xf numFmtId="0" fontId="21" fillId="3" borderId="1" xfId="0" applyFont="1" applyFill="1" applyBorder="1"/>
    <xf numFmtId="14" fontId="21" fillId="3" borderId="1" xfId="0" applyNumberFormat="1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14" fontId="14" fillId="3" borderId="1" xfId="0" applyNumberFormat="1" applyFont="1" applyFill="1" applyBorder="1" applyAlignment="1">
      <alignment horizontal="center"/>
    </xf>
    <xf numFmtId="14" fontId="14" fillId="0" borderId="1" xfId="0" applyNumberFormat="1" applyFont="1" applyBorder="1" applyAlignment="1">
      <alignment horizontal="center"/>
    </xf>
    <xf numFmtId="10" fontId="14" fillId="0" borderId="1" xfId="3" applyNumberFormat="1" applyFont="1" applyBorder="1" applyAlignment="1">
      <alignment horizontal="center" wrapText="1"/>
    </xf>
    <xf numFmtId="0" fontId="14" fillId="0" borderId="2" xfId="0" applyFont="1" applyBorder="1" applyAlignment="1">
      <alignment wrapText="1"/>
    </xf>
    <xf numFmtId="165" fontId="14" fillId="0" borderId="2" xfId="0" applyNumberFormat="1" applyFont="1" applyBorder="1" applyAlignment="1">
      <alignment wrapText="1"/>
    </xf>
    <xf numFmtId="0" fontId="12" fillId="0" borderId="1" xfId="0" applyFont="1" applyBorder="1" applyAlignment="1">
      <alignment horizontal="center" vertical="center" wrapText="1"/>
    </xf>
    <xf numFmtId="1" fontId="14" fillId="0" borderId="1" xfId="1" applyNumberFormat="1" applyFont="1" applyBorder="1" applyAlignment="1">
      <alignment horizontal="center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42" fontId="14" fillId="0" borderId="1" xfId="0" applyNumberFormat="1" applyFont="1" applyFill="1" applyBorder="1"/>
    <xf numFmtId="42" fontId="14" fillId="0" borderId="1" xfId="0" applyNumberFormat="1" applyFont="1" applyFill="1" applyBorder="1" applyAlignment="1">
      <alignment horizontal="left"/>
    </xf>
    <xf numFmtId="0" fontId="14" fillId="0" borderId="0" xfId="0" applyFont="1" applyFill="1"/>
    <xf numFmtId="0" fontId="12" fillId="0" borderId="4" xfId="0" applyFont="1" applyBorder="1" applyAlignment="1">
      <alignment horizontal="right"/>
    </xf>
    <xf numFmtId="0" fontId="12" fillId="0" borderId="10" xfId="0" applyFont="1" applyBorder="1" applyAlignment="1">
      <alignment horizontal="right"/>
    </xf>
    <xf numFmtId="0" fontId="25" fillId="6" borderId="12" xfId="0" applyFont="1" applyFill="1" applyBorder="1" applyAlignment="1">
      <alignment horizontal="center" wrapText="1"/>
    </xf>
    <xf numFmtId="0" fontId="25" fillId="6" borderId="18" xfId="0" applyFont="1" applyFill="1" applyBorder="1" applyAlignment="1">
      <alignment horizontal="center" wrapText="1"/>
    </xf>
    <xf numFmtId="42" fontId="12" fillId="0" borderId="1" xfId="1" applyFont="1" applyBorder="1" applyAlignment="1">
      <alignment wrapText="1"/>
    </xf>
    <xf numFmtId="165" fontId="14" fillId="0" borderId="4" xfId="0" applyNumberFormat="1" applyFont="1" applyBorder="1" applyAlignment="1">
      <alignment wrapText="1"/>
    </xf>
    <xf numFmtId="42" fontId="14" fillId="0" borderId="2" xfId="1" applyFont="1" applyBorder="1" applyAlignment="1">
      <alignment wrapText="1"/>
    </xf>
    <xf numFmtId="165" fontId="12" fillId="0" borderId="1" xfId="0" applyNumberFormat="1" applyFont="1" applyBorder="1" applyAlignment="1">
      <alignment wrapText="1"/>
    </xf>
    <xf numFmtId="0" fontId="21" fillId="0" borderId="1" xfId="0" applyNumberFormat="1" applyFont="1" applyFill="1" applyBorder="1" applyAlignment="1" applyProtection="1">
      <alignment horizontal="left"/>
      <protection locked="0"/>
    </xf>
    <xf numFmtId="0" fontId="21" fillId="0" borderId="1" xfId="0" applyFont="1" applyFill="1" applyBorder="1" applyAlignment="1" applyProtection="1">
      <alignment horizontal="center"/>
      <protection locked="0"/>
    </xf>
    <xf numFmtId="0" fontId="20" fillId="7" borderId="1" xfId="0" applyFont="1" applyFill="1" applyBorder="1" applyAlignment="1" applyProtection="1">
      <alignment horizontal="center" vertical="center"/>
      <protection locked="0"/>
    </xf>
    <xf numFmtId="1" fontId="20" fillId="7" borderId="1" xfId="0" applyNumberFormat="1" applyFont="1" applyFill="1" applyBorder="1" applyAlignment="1" applyProtection="1">
      <alignment horizontal="center" vertical="center" wrapText="1"/>
      <protection locked="0"/>
    </xf>
    <xf numFmtId="0" fontId="20" fillId="7" borderId="1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 applyProtection="1">
      <alignment horizontal="center"/>
      <protection locked="0"/>
    </xf>
    <xf numFmtId="0" fontId="21" fillId="0" borderId="1" xfId="0" applyNumberFormat="1" applyFont="1" applyFill="1" applyBorder="1" applyAlignment="1" applyProtection="1">
      <alignment horizontal="center"/>
      <protection locked="0"/>
    </xf>
    <xf numFmtId="167" fontId="14" fillId="0" borderId="1" xfId="0" applyNumberFormat="1" applyFont="1" applyFill="1" applyBorder="1" applyAlignment="1">
      <alignment horizontal="center"/>
    </xf>
    <xf numFmtId="0" fontId="21" fillId="0" borderId="1" xfId="0" applyFont="1" applyFill="1" applyBorder="1" applyAlignment="1" applyProtection="1">
      <alignment horizontal="center" vertical="center"/>
      <protection locked="0"/>
    </xf>
    <xf numFmtId="0" fontId="21" fillId="0" borderId="1" xfId="0" applyFont="1" applyFill="1" applyBorder="1" applyAlignment="1" applyProtection="1">
      <alignment horizontal="left"/>
      <protection locked="0"/>
    </xf>
    <xf numFmtId="1" fontId="14" fillId="0" borderId="1" xfId="0" applyNumberFormat="1" applyFont="1" applyFill="1" applyBorder="1" applyAlignment="1">
      <alignment horizontal="center"/>
    </xf>
    <xf numFmtId="1" fontId="14" fillId="0" borderId="1" xfId="0" applyNumberFormat="1" applyFont="1" applyFill="1" applyBorder="1" applyAlignment="1">
      <alignment horizontal="left"/>
    </xf>
    <xf numFmtId="0" fontId="14" fillId="0" borderId="1" xfId="0" applyFont="1" applyFill="1" applyBorder="1"/>
    <xf numFmtId="1" fontId="21" fillId="0" borderId="1" xfId="0" applyNumberFormat="1" applyFont="1" applyFill="1" applyBorder="1" applyAlignment="1" applyProtection="1">
      <alignment horizontal="center"/>
      <protection locked="0"/>
    </xf>
    <xf numFmtId="1" fontId="21" fillId="0" borderId="1" xfId="0" applyNumberFormat="1" applyFont="1" applyFill="1" applyBorder="1" applyAlignment="1" applyProtection="1">
      <alignment horizontal="left"/>
      <protection locked="0"/>
    </xf>
    <xf numFmtId="167" fontId="21" fillId="0" borderId="1" xfId="0" applyNumberFormat="1" applyFont="1" applyFill="1" applyBorder="1" applyAlignment="1">
      <alignment horizontal="center"/>
    </xf>
    <xf numFmtId="0" fontId="21" fillId="0" borderId="19" xfId="4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/>
    </xf>
    <xf numFmtId="0" fontId="21" fillId="0" borderId="1" xfId="4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Protection="1">
      <protection locked="0"/>
    </xf>
    <xf numFmtId="0" fontId="14" fillId="0" borderId="1" xfId="0" applyFont="1" applyFill="1" applyBorder="1" applyProtection="1">
      <protection locked="0"/>
    </xf>
    <xf numFmtId="0" fontId="26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 applyProtection="1">
      <alignment horizontal="center"/>
      <protection locked="0"/>
    </xf>
    <xf numFmtId="0" fontId="12" fillId="0" borderId="1" xfId="0" applyFont="1" applyFill="1" applyBorder="1" applyAlignment="1" applyProtection="1">
      <alignment horizontal="center"/>
      <protection locked="0"/>
    </xf>
    <xf numFmtId="0" fontId="21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2" fillId="9" borderId="1" xfId="0" applyFont="1" applyFill="1" applyBorder="1" applyAlignment="1">
      <alignment horizontal="left"/>
    </xf>
    <xf numFmtId="0" fontId="14" fillId="0" borderId="0" xfId="0" applyFont="1" applyAlignment="1"/>
    <xf numFmtId="0" fontId="12" fillId="0" borderId="1" xfId="0" applyFont="1" applyBorder="1" applyAlignment="1">
      <alignment horizontal="right"/>
    </xf>
    <xf numFmtId="42" fontId="12" fillId="0" borderId="1" xfId="0" applyNumberFormat="1" applyFont="1" applyBorder="1"/>
    <xf numFmtId="0" fontId="28" fillId="8" borderId="1" xfId="0" applyFont="1" applyFill="1" applyBorder="1"/>
    <xf numFmtId="0" fontId="28" fillId="8" borderId="1" xfId="0" applyFont="1" applyFill="1" applyBorder="1" applyAlignment="1">
      <alignment horizontal="center"/>
    </xf>
    <xf numFmtId="0" fontId="29" fillId="0" borderId="1" xfId="0" applyFont="1" applyBorder="1"/>
    <xf numFmtId="9" fontId="29" fillId="0" borderId="1" xfId="0" applyNumberFormat="1" applyFont="1" applyBorder="1" applyAlignment="1">
      <alignment horizontal="right"/>
    </xf>
    <xf numFmtId="168" fontId="29" fillId="0" borderId="1" xfId="5" applyNumberFormat="1" applyFont="1" applyBorder="1"/>
    <xf numFmtId="0" fontId="29" fillId="0" borderId="1" xfId="0" applyFont="1" applyBorder="1" applyAlignment="1">
      <alignment horizontal="center"/>
    </xf>
    <xf numFmtId="0" fontId="29" fillId="0" borderId="1" xfId="0" applyFont="1" applyFill="1" applyBorder="1" applyAlignment="1">
      <alignment horizontal="center"/>
    </xf>
    <xf numFmtId="0" fontId="29" fillId="0" borderId="0" xfId="0" applyFont="1" applyBorder="1"/>
    <xf numFmtId="9" fontId="29" fillId="0" borderId="0" xfId="0" applyNumberFormat="1" applyFont="1" applyBorder="1" applyAlignment="1">
      <alignment horizontal="right"/>
    </xf>
    <xf numFmtId="168" fontId="29" fillId="0" borderId="0" xfId="5" applyNumberFormat="1" applyFont="1" applyBorder="1"/>
    <xf numFmtId="0" fontId="29" fillId="0" borderId="0" xfId="0" applyFont="1" applyBorder="1" applyAlignment="1">
      <alignment horizontal="center"/>
    </xf>
    <xf numFmtId="0" fontId="12" fillId="8" borderId="1" xfId="0" applyFont="1" applyFill="1" applyBorder="1"/>
    <xf numFmtId="168" fontId="14" fillId="0" borderId="0" xfId="5" applyNumberFormat="1" applyFont="1"/>
    <xf numFmtId="168" fontId="29" fillId="0" borderId="0" xfId="5" applyNumberFormat="1" applyFont="1"/>
    <xf numFmtId="168" fontId="28" fillId="0" borderId="1" xfId="5" applyNumberFormat="1" applyFont="1" applyBorder="1"/>
    <xf numFmtId="168" fontId="12" fillId="0" borderId="1" xfId="0" applyNumberFormat="1" applyFont="1" applyBorder="1"/>
    <xf numFmtId="42" fontId="14" fillId="0" borderId="0" xfId="0" applyNumberFormat="1" applyFont="1" applyAlignment="1">
      <alignment wrapText="1"/>
    </xf>
    <xf numFmtId="0" fontId="12" fillId="0" borderId="1" xfId="0" applyFont="1" applyBorder="1" applyAlignment="1">
      <alignment horizontal="center" wrapText="1"/>
    </xf>
    <xf numFmtId="3" fontId="30" fillId="0" borderId="0" xfId="0" applyNumberFormat="1" applyFont="1"/>
    <xf numFmtId="41" fontId="12" fillId="0" borderId="1" xfId="2" applyFont="1" applyBorder="1" applyAlignment="1">
      <alignment horizontal="center"/>
    </xf>
    <xf numFmtId="41" fontId="14" fillId="0" borderId="0" xfId="0" applyNumberFormat="1" applyFont="1"/>
    <xf numFmtId="0" fontId="31" fillId="0" borderId="0" xfId="0" applyFont="1"/>
    <xf numFmtId="0" fontId="31" fillId="3" borderId="0" xfId="0" applyFont="1" applyFill="1" applyAlignment="1">
      <alignment horizontal="center"/>
    </xf>
    <xf numFmtId="9" fontId="31" fillId="3" borderId="0" xfId="0" applyNumberFormat="1" applyFont="1" applyFill="1"/>
    <xf numFmtId="0" fontId="32" fillId="3" borderId="0" xfId="0" applyFont="1" applyFill="1" applyAlignment="1">
      <alignment horizontal="center"/>
    </xf>
    <xf numFmtId="0" fontId="31" fillId="3" borderId="0" xfId="0" applyFont="1" applyFill="1"/>
    <xf numFmtId="9" fontId="31" fillId="3" borderId="0" xfId="0" applyNumberFormat="1" applyFont="1" applyFill="1" applyBorder="1"/>
    <xf numFmtId="170" fontId="32" fillId="3" borderId="0" xfId="6" applyNumberFormat="1" applyFont="1" applyFill="1" applyBorder="1" applyAlignment="1">
      <alignment horizontal="right"/>
    </xf>
    <xf numFmtId="171" fontId="31" fillId="0" borderId="0" xfId="7" applyFont="1" applyFill="1" applyBorder="1"/>
    <xf numFmtId="171" fontId="31" fillId="3" borderId="0" xfId="7" applyFont="1" applyFill="1" applyAlignment="1">
      <alignment horizontal="center"/>
    </xf>
    <xf numFmtId="171" fontId="32" fillId="3" borderId="0" xfId="7" applyFont="1" applyFill="1" applyAlignment="1">
      <alignment horizontal="center"/>
    </xf>
    <xf numFmtId="0" fontId="31" fillId="0" borderId="0" xfId="0" applyFont="1" applyAlignment="1">
      <alignment horizontal="center"/>
    </xf>
    <xf numFmtId="171" fontId="32" fillId="3" borderId="0" xfId="7" applyFont="1" applyFill="1" applyAlignment="1"/>
    <xf numFmtId="165" fontId="12" fillId="0" borderId="0" xfId="0" applyNumberFormat="1" applyFont="1" applyBorder="1" applyAlignment="1">
      <alignment wrapText="1"/>
    </xf>
    <xf numFmtId="42" fontId="12" fillId="0" borderId="0" xfId="1" applyFont="1" applyBorder="1" applyAlignment="1">
      <alignment wrapText="1"/>
    </xf>
    <xf numFmtId="10" fontId="14" fillId="0" borderId="0" xfId="3" applyNumberFormat="1" applyFont="1" applyBorder="1" applyAlignment="1">
      <alignment horizontal="center" wrapText="1"/>
    </xf>
    <xf numFmtId="0" fontId="23" fillId="0" borderId="0" xfId="0" applyFont="1" applyAlignment="1">
      <alignment horizontal="center" wrapText="1"/>
    </xf>
    <xf numFmtId="0" fontId="33" fillId="0" borderId="0" xfId="0" applyFont="1"/>
    <xf numFmtId="9" fontId="33" fillId="3" borderId="0" xfId="0" applyNumberFormat="1" applyFont="1" applyFill="1"/>
    <xf numFmtId="9" fontId="33" fillId="3" borderId="0" xfId="0" applyNumberFormat="1" applyFont="1" applyFill="1" applyBorder="1"/>
    <xf numFmtId="0" fontId="33" fillId="0" borderId="0" xfId="0" applyFont="1" applyAlignment="1">
      <alignment horizontal="center"/>
    </xf>
    <xf numFmtId="0" fontId="33" fillId="0" borderId="0" xfId="0" applyFont="1"/>
    <xf numFmtId="165" fontId="14" fillId="0" borderId="0" xfId="0" applyNumberFormat="1" applyFont="1" applyAlignment="1">
      <alignment horizontal="center" wrapText="1"/>
    </xf>
    <xf numFmtId="0" fontId="14" fillId="0" borderId="0" xfId="0" applyFont="1" applyBorder="1" applyAlignment="1">
      <alignment wrapText="1"/>
    </xf>
    <xf numFmtId="42" fontId="14" fillId="0" borderId="0" xfId="3" applyNumberFormat="1" applyFont="1" applyBorder="1" applyAlignment="1">
      <alignment horizontal="center" wrapText="1"/>
    </xf>
    <xf numFmtId="165" fontId="14" fillId="0" borderId="1" xfId="0" applyNumberFormat="1" applyFont="1" applyFill="1" applyBorder="1" applyAlignment="1">
      <alignment wrapText="1"/>
    </xf>
    <xf numFmtId="42" fontId="34" fillId="0" borderId="0" xfId="0" applyNumberFormat="1" applyFont="1" applyFill="1" applyBorder="1"/>
    <xf numFmtId="41" fontId="14" fillId="0" borderId="1" xfId="2" applyFont="1" applyBorder="1" applyAlignment="1">
      <alignment horizontal="center" wrapText="1"/>
    </xf>
    <xf numFmtId="41" fontId="12" fillId="0" borderId="1" xfId="2" applyFont="1" applyBorder="1" applyAlignment="1">
      <alignment horizontal="center" wrapText="1"/>
    </xf>
    <xf numFmtId="0" fontId="14" fillId="3" borderId="6" xfId="0" applyFont="1" applyFill="1" applyBorder="1" applyAlignment="1">
      <alignment horizontal="center"/>
    </xf>
    <xf numFmtId="0" fontId="21" fillId="0" borderId="6" xfId="0" applyNumberFormat="1" applyFont="1" applyFill="1" applyBorder="1" applyAlignment="1" applyProtection="1">
      <alignment horizontal="left"/>
      <protection locked="0"/>
    </xf>
    <xf numFmtId="14" fontId="21" fillId="3" borderId="6" xfId="0" applyNumberFormat="1" applyFont="1" applyFill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21" xfId="0" applyFont="1" applyBorder="1"/>
    <xf numFmtId="0" fontId="14" fillId="3" borderId="22" xfId="0" applyFont="1" applyFill="1" applyBorder="1" applyAlignment="1">
      <alignment horizontal="center"/>
    </xf>
    <xf numFmtId="0" fontId="21" fillId="0" borderId="22" xfId="0" applyNumberFormat="1" applyFont="1" applyFill="1" applyBorder="1" applyAlignment="1" applyProtection="1">
      <alignment horizontal="left"/>
      <protection locked="0"/>
    </xf>
    <xf numFmtId="14" fontId="21" fillId="3" borderId="22" xfId="0" applyNumberFormat="1" applyFont="1" applyFill="1" applyBorder="1" applyAlignment="1">
      <alignment horizontal="center"/>
    </xf>
    <xf numFmtId="0" fontId="14" fillId="0" borderId="22" xfId="0" applyFont="1" applyBorder="1" applyAlignment="1">
      <alignment horizontal="center"/>
    </xf>
    <xf numFmtId="14" fontId="14" fillId="3" borderId="6" xfId="0" applyNumberFormat="1" applyFont="1" applyFill="1" applyBorder="1" applyAlignment="1">
      <alignment horizontal="center"/>
    </xf>
    <xf numFmtId="14" fontId="14" fillId="3" borderId="22" xfId="0" applyNumberFormat="1" applyFont="1" applyFill="1" applyBorder="1" applyAlignment="1">
      <alignment horizontal="center"/>
    </xf>
    <xf numFmtId="0" fontId="21" fillId="0" borderId="6" xfId="0" applyFont="1" applyFill="1" applyBorder="1" applyAlignment="1" applyProtection="1">
      <alignment horizontal="left"/>
      <protection locked="0"/>
    </xf>
    <xf numFmtId="14" fontId="14" fillId="0" borderId="6" xfId="0" applyNumberFormat="1" applyFont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21" fillId="0" borderId="22" xfId="0" applyFont="1" applyBorder="1"/>
    <xf numFmtId="14" fontId="14" fillId="0" borderId="22" xfId="0" applyNumberFormat="1" applyFont="1" applyBorder="1" applyAlignment="1">
      <alignment horizontal="center"/>
    </xf>
    <xf numFmtId="0" fontId="14" fillId="0" borderId="22" xfId="0" applyFont="1" applyFill="1" applyBorder="1" applyAlignment="1">
      <alignment horizontal="center"/>
    </xf>
    <xf numFmtId="41" fontId="14" fillId="0" borderId="1" xfId="2" applyFont="1" applyBorder="1" applyAlignment="1">
      <alignment wrapText="1"/>
    </xf>
    <xf numFmtId="41" fontId="12" fillId="0" borderId="1" xfId="2" applyFont="1" applyBorder="1" applyAlignment="1">
      <alignment wrapText="1"/>
    </xf>
    <xf numFmtId="1" fontId="11" fillId="0" borderId="0" xfId="0" applyNumberFormat="1" applyFont="1" applyAlignment="1">
      <alignment horizontal="center"/>
    </xf>
    <xf numFmtId="0" fontId="37" fillId="10" borderId="1" xfId="8" applyFont="1" applyFill="1" applyBorder="1" applyAlignment="1">
      <alignment horizontal="center" vertical="center" wrapText="1"/>
    </xf>
    <xf numFmtId="1" fontId="11" fillId="3" borderId="6" xfId="0" applyNumberFormat="1" applyFont="1" applyFill="1" applyBorder="1" applyAlignment="1">
      <alignment horizontal="center"/>
    </xf>
    <xf numFmtId="3" fontId="11" fillId="3" borderId="6" xfId="0" applyNumberFormat="1" applyFont="1" applyFill="1" applyBorder="1"/>
    <xf numFmtId="42" fontId="11" fillId="3" borderId="6" xfId="1" applyFont="1" applyFill="1" applyBorder="1"/>
    <xf numFmtId="165" fontId="11" fillId="3" borderId="6" xfId="0" applyNumberFormat="1" applyFont="1" applyFill="1" applyBorder="1"/>
    <xf numFmtId="3" fontId="11" fillId="3" borderId="23" xfId="0" applyNumberFormat="1" applyFont="1" applyFill="1" applyBorder="1" applyAlignment="1">
      <alignment wrapText="1"/>
    </xf>
    <xf numFmtId="10" fontId="11" fillId="3" borderId="6" xfId="0" applyNumberFormat="1" applyFont="1" applyFill="1" applyBorder="1"/>
    <xf numFmtId="1" fontId="11" fillId="3" borderId="1" xfId="0" applyNumberFormat="1" applyFont="1" applyFill="1" applyBorder="1" applyAlignment="1">
      <alignment horizontal="center"/>
    </xf>
    <xf numFmtId="3" fontId="11" fillId="3" borderId="1" xfId="0" applyNumberFormat="1" applyFont="1" applyFill="1" applyBorder="1"/>
    <xf numFmtId="42" fontId="11" fillId="3" borderId="1" xfId="1" applyFont="1" applyFill="1" applyBorder="1"/>
    <xf numFmtId="165" fontId="11" fillId="3" borderId="1" xfId="0" applyNumberFormat="1" applyFont="1" applyFill="1" applyBorder="1"/>
    <xf numFmtId="3" fontId="11" fillId="3" borderId="24" xfId="0" applyNumberFormat="1" applyFont="1" applyFill="1" applyBorder="1" applyAlignment="1">
      <alignment wrapText="1"/>
    </xf>
    <xf numFmtId="10" fontId="11" fillId="3" borderId="1" xfId="0" applyNumberFormat="1" applyFont="1" applyFill="1" applyBorder="1"/>
    <xf numFmtId="3" fontId="23" fillId="0" borderId="1" xfId="0" applyNumberFormat="1" applyFont="1" applyBorder="1" applyAlignment="1">
      <alignment horizontal="center"/>
    </xf>
    <xf numFmtId="42" fontId="23" fillId="0" borderId="1" xfId="1" applyFont="1" applyBorder="1"/>
    <xf numFmtId="10" fontId="23" fillId="0" borderId="1" xfId="0" applyNumberFormat="1" applyFont="1" applyBorder="1"/>
    <xf numFmtId="1" fontId="11" fillId="0" borderId="6" xfId="0" applyNumberFormat="1" applyFont="1" applyBorder="1" applyAlignment="1">
      <alignment horizontal="center"/>
    </xf>
    <xf numFmtId="3" fontId="11" fillId="0" borderId="6" xfId="0" applyNumberFormat="1" applyFont="1" applyBorder="1"/>
    <xf numFmtId="3" fontId="11" fillId="0" borderId="24" xfId="0" applyNumberFormat="1" applyFont="1" applyBorder="1" applyAlignment="1">
      <alignment wrapText="1"/>
    </xf>
    <xf numFmtId="10" fontId="11" fillId="0" borderId="6" xfId="0" applyNumberFormat="1" applyFont="1" applyBorder="1"/>
    <xf numFmtId="165" fontId="11" fillId="0" borderId="1" xfId="0" applyNumberFormat="1" applyFont="1" applyBorder="1"/>
    <xf numFmtId="165" fontId="38" fillId="11" borderId="6" xfId="0" applyNumberFormat="1" applyFont="1" applyFill="1" applyBorder="1"/>
    <xf numFmtId="165" fontId="11" fillId="0" borderId="6" xfId="0" applyNumberFormat="1" applyFont="1" applyBorder="1"/>
    <xf numFmtId="1" fontId="11" fillId="0" borderId="1" xfId="0" applyNumberFormat="1" applyFont="1" applyBorder="1" applyAlignment="1">
      <alignment horizontal="center"/>
    </xf>
    <xf numFmtId="3" fontId="11" fillId="0" borderId="1" xfId="0" applyNumberFormat="1" applyFont="1" applyBorder="1"/>
    <xf numFmtId="10" fontId="11" fillId="0" borderId="1" xfId="0" applyNumberFormat="1" applyFont="1" applyBorder="1"/>
    <xf numFmtId="165" fontId="38" fillId="11" borderId="1" xfId="0" applyNumberFormat="1" applyFont="1" applyFill="1" applyBorder="1"/>
    <xf numFmtId="0" fontId="11" fillId="0" borderId="24" xfId="0" applyFont="1" applyBorder="1" applyAlignment="1">
      <alignment wrapText="1"/>
    </xf>
    <xf numFmtId="42" fontId="23" fillId="0" borderId="1" xfId="9" applyFont="1" applyBorder="1"/>
    <xf numFmtId="165" fontId="12" fillId="0" borderId="8" xfId="0" applyNumberFormat="1" applyFont="1" applyBorder="1" applyAlignment="1">
      <alignment wrapText="1"/>
    </xf>
    <xf numFmtId="42" fontId="8" fillId="0" borderId="1" xfId="1" applyFont="1" applyFill="1" applyBorder="1" applyProtection="1"/>
    <xf numFmtId="42" fontId="8" fillId="3" borderId="1" xfId="1" applyFont="1" applyFill="1" applyBorder="1" applyProtection="1"/>
    <xf numFmtId="42" fontId="16" fillId="3" borderId="1" xfId="1" applyFont="1" applyFill="1" applyBorder="1" applyProtection="1"/>
    <xf numFmtId="42" fontId="16" fillId="0" borderId="4" xfId="1" applyFont="1" applyBorder="1"/>
    <xf numFmtId="0" fontId="16" fillId="0" borderId="1" xfId="0" applyFont="1" applyFill="1" applyBorder="1" applyAlignment="1">
      <alignment horizontal="right"/>
    </xf>
    <xf numFmtId="42" fontId="5" fillId="0" borderId="1" xfId="0" applyNumberFormat="1" applyFont="1" applyBorder="1"/>
    <xf numFmtId="0" fontId="37" fillId="12" borderId="1" xfId="8" applyFont="1" applyFill="1" applyBorder="1" applyAlignment="1">
      <alignment horizontal="center" vertical="center" wrapText="1"/>
    </xf>
    <xf numFmtId="165" fontId="0" fillId="0" borderId="1" xfId="0" applyNumberFormat="1" applyBorder="1"/>
    <xf numFmtId="165" fontId="35" fillId="0" borderId="1" xfId="0" applyNumberFormat="1" applyFont="1" applyBorder="1"/>
    <xf numFmtId="3" fontId="11" fillId="3" borderId="0" xfId="0" applyNumberFormat="1" applyFont="1" applyFill="1" applyBorder="1"/>
    <xf numFmtId="42" fontId="0" fillId="0" borderId="0" xfId="0" applyNumberFormat="1"/>
    <xf numFmtId="165" fontId="0" fillId="0" borderId="6" xfId="0" applyNumberFormat="1" applyBorder="1"/>
    <xf numFmtId="165" fontId="12" fillId="0" borderId="4" xfId="0" applyNumberFormat="1" applyFont="1" applyBorder="1" applyAlignment="1">
      <alignment wrapText="1"/>
    </xf>
    <xf numFmtId="0" fontId="14" fillId="2" borderId="1" xfId="0" applyFont="1" applyFill="1" applyBorder="1" applyAlignment="1">
      <alignment horizontal="center"/>
    </xf>
    <xf numFmtId="0" fontId="14" fillId="2" borderId="1" xfId="0" applyFont="1" applyFill="1" applyBorder="1"/>
    <xf numFmtId="14" fontId="14" fillId="2" borderId="1" xfId="0" applyNumberFormat="1" applyFont="1" applyFill="1" applyBorder="1" applyAlignment="1">
      <alignment horizontal="center"/>
    </xf>
    <xf numFmtId="0" fontId="23" fillId="0" borderId="0" xfId="0" applyFont="1" applyAlignment="1">
      <alignment horizontal="center"/>
    </xf>
    <xf numFmtId="42" fontId="12" fillId="0" borderId="0" xfId="1" applyFont="1" applyBorder="1" applyAlignment="1">
      <alignment vertical="center" wrapText="1"/>
    </xf>
    <xf numFmtId="17" fontId="23" fillId="3" borderId="0" xfId="0" applyNumberFormat="1" applyFont="1" applyFill="1"/>
    <xf numFmtId="172" fontId="41" fillId="0" borderId="0" xfId="0" applyNumberFormat="1" applyFont="1" applyFill="1" applyBorder="1" applyAlignment="1">
      <alignment horizontal="right" vertical="center"/>
    </xf>
    <xf numFmtId="172" fontId="41" fillId="0" borderId="8" xfId="0" applyNumberFormat="1" applyFont="1" applyFill="1" applyBorder="1" applyAlignment="1">
      <alignment horizontal="right" vertical="center"/>
    </xf>
    <xf numFmtId="17" fontId="42" fillId="3" borderId="0" xfId="0" applyNumberFormat="1" applyFont="1" applyFill="1"/>
    <xf numFmtId="172" fontId="42" fillId="0" borderId="0" xfId="0" applyNumberFormat="1" applyFont="1"/>
    <xf numFmtId="172" fontId="23" fillId="0" borderId="0" xfId="0" applyNumberFormat="1" applyFont="1"/>
    <xf numFmtId="17" fontId="40" fillId="3" borderId="0" xfId="0" applyNumberFormat="1" applyFont="1" applyFill="1" applyAlignment="1">
      <alignment horizontal="center"/>
    </xf>
    <xf numFmtId="0" fontId="43" fillId="0" borderId="0" xfId="0" applyFont="1" applyFill="1" applyAlignment="1">
      <alignment horizontal="left" vertical="center"/>
    </xf>
    <xf numFmtId="172" fontId="43" fillId="0" borderId="0" xfId="0" applyNumberFormat="1" applyFont="1" applyFill="1" applyBorder="1" applyAlignment="1">
      <alignment horizontal="right" vertical="center"/>
    </xf>
    <xf numFmtId="17" fontId="23" fillId="3" borderId="0" xfId="0" applyNumberFormat="1" applyFont="1" applyFill="1" applyAlignment="1">
      <alignment horizontal="center"/>
    </xf>
    <xf numFmtId="172" fontId="41" fillId="0" borderId="0" xfId="0" applyNumberFormat="1" applyFont="1" applyFill="1" applyBorder="1" applyAlignment="1">
      <alignment horizontal="center" vertical="center"/>
    </xf>
    <xf numFmtId="0" fontId="21" fillId="0" borderId="0" xfId="0" applyFont="1" applyFill="1" applyAlignment="1">
      <alignment horizontal="left" vertical="center"/>
    </xf>
    <xf numFmtId="172" fontId="21" fillId="0" borderId="0" xfId="0" applyNumberFormat="1" applyFont="1" applyFill="1" applyAlignment="1">
      <alignment horizontal="right" vertical="center"/>
    </xf>
    <xf numFmtId="164" fontId="39" fillId="0" borderId="0" xfId="0" applyNumberFormat="1" applyFont="1"/>
    <xf numFmtId="172" fontId="21" fillId="0" borderId="0" xfId="0" applyNumberFormat="1" applyFont="1" applyFill="1" applyBorder="1" applyAlignment="1">
      <alignment horizontal="right" vertical="center"/>
    </xf>
    <xf numFmtId="3" fontId="14" fillId="0" borderId="0" xfId="0" applyNumberFormat="1" applyFont="1"/>
    <xf numFmtId="172" fontId="21" fillId="0" borderId="8" xfId="0" applyNumberFormat="1" applyFont="1" applyFill="1" applyBorder="1" applyAlignment="1">
      <alignment horizontal="right" vertical="center"/>
    </xf>
    <xf numFmtId="172" fontId="43" fillId="0" borderId="0" xfId="0" applyNumberFormat="1" applyFont="1" applyFill="1" applyAlignment="1">
      <alignment horizontal="right" vertical="center"/>
    </xf>
    <xf numFmtId="172" fontId="43" fillId="0" borderId="8" xfId="0" applyNumberFormat="1" applyFont="1" applyFill="1" applyBorder="1" applyAlignment="1">
      <alignment horizontal="right" vertical="center"/>
    </xf>
    <xf numFmtId="172" fontId="43" fillId="0" borderId="5" xfId="0" applyNumberFormat="1" applyFont="1" applyFill="1" applyBorder="1" applyAlignment="1">
      <alignment horizontal="right" vertical="center"/>
    </xf>
    <xf numFmtId="172" fontId="44" fillId="0" borderId="0" xfId="0" applyNumberFormat="1" applyFont="1" applyFill="1" applyBorder="1" applyAlignment="1">
      <alignment horizontal="right" vertical="center"/>
    </xf>
    <xf numFmtId="0" fontId="41" fillId="0" borderId="0" xfId="0" applyFont="1" applyFill="1" applyAlignment="1">
      <alignment horizontal="left" vertical="center"/>
    </xf>
    <xf numFmtId="0" fontId="43" fillId="0" borderId="0" xfId="0" applyFont="1" applyFill="1" applyBorder="1" applyAlignment="1">
      <alignment horizontal="left" vertical="center"/>
    </xf>
    <xf numFmtId="172" fontId="32" fillId="0" borderId="0" xfId="0" applyNumberFormat="1" applyFont="1" applyFill="1" applyBorder="1" applyAlignment="1">
      <alignment horizontal="right" vertical="center"/>
    </xf>
    <xf numFmtId="0" fontId="14" fillId="3" borderId="2" xfId="0" applyFont="1" applyFill="1" applyBorder="1" applyAlignment="1">
      <alignment horizontal="center"/>
    </xf>
    <xf numFmtId="0" fontId="21" fillId="0" borderId="2" xfId="0" applyNumberFormat="1" applyFont="1" applyFill="1" applyBorder="1" applyAlignment="1" applyProtection="1">
      <alignment horizontal="left"/>
      <protection locked="0"/>
    </xf>
    <xf numFmtId="14" fontId="14" fillId="0" borderId="2" xfId="0" applyNumberFormat="1" applyFont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25" xfId="0" applyFont="1" applyBorder="1"/>
    <xf numFmtId="0" fontId="14" fillId="3" borderId="26" xfId="0" applyFont="1" applyFill="1" applyBorder="1" applyAlignment="1">
      <alignment horizontal="center"/>
    </xf>
    <xf numFmtId="0" fontId="14" fillId="0" borderId="26" xfId="0" applyFont="1" applyFill="1" applyBorder="1"/>
    <xf numFmtId="14" fontId="14" fillId="0" borderId="26" xfId="0" applyNumberFormat="1" applyFont="1" applyBorder="1" applyAlignment="1">
      <alignment horizontal="center"/>
    </xf>
    <xf numFmtId="0" fontId="14" fillId="0" borderId="26" xfId="0" applyFont="1" applyFill="1" applyBorder="1" applyAlignment="1">
      <alignment horizontal="center"/>
    </xf>
    <xf numFmtId="0" fontId="14" fillId="0" borderId="26" xfId="0" applyFont="1" applyBorder="1" applyAlignment="1">
      <alignment horizontal="center"/>
    </xf>
    <xf numFmtId="42" fontId="12" fillId="0" borderId="1" xfId="0" applyNumberFormat="1" applyFont="1" applyBorder="1" applyAlignment="1">
      <alignment horizontal="left"/>
    </xf>
    <xf numFmtId="0" fontId="23" fillId="0" borderId="0" xfId="0" applyFont="1" applyAlignment="1">
      <alignment horizontal="center"/>
    </xf>
    <xf numFmtId="42" fontId="46" fillId="0" borderId="8" xfId="1" applyFont="1" applyBorder="1" applyAlignment="1">
      <alignment wrapText="1"/>
    </xf>
    <xf numFmtId="0" fontId="0" fillId="0" borderId="0" xfId="0" applyAlignment="1">
      <alignment horizontal="center"/>
    </xf>
    <xf numFmtId="3" fontId="43" fillId="0" borderId="0" xfId="0" applyNumberFormat="1" applyFont="1" applyFill="1" applyAlignment="1">
      <alignment horizontal="left" vertical="center"/>
    </xf>
    <xf numFmtId="3" fontId="41" fillId="0" borderId="0" xfId="0" applyNumberFormat="1" applyFont="1" applyFill="1" applyAlignment="1">
      <alignment horizontal="center" vertical="center"/>
    </xf>
    <xf numFmtId="0" fontId="21" fillId="0" borderId="0" xfId="0" applyFont="1" applyFill="1" applyBorder="1" applyAlignment="1">
      <alignment vertical="center"/>
    </xf>
    <xf numFmtId="172" fontId="43" fillId="2" borderId="0" xfId="0" applyNumberFormat="1" applyFont="1" applyFill="1" applyAlignment="1">
      <alignment horizontal="right" vertical="center"/>
    </xf>
    <xf numFmtId="0" fontId="21" fillId="2" borderId="1" xfId="0" applyNumberFormat="1" applyFont="1" applyFill="1" applyBorder="1" applyAlignment="1" applyProtection="1">
      <alignment horizontal="left"/>
      <protection locked="0"/>
    </xf>
    <xf numFmtId="0" fontId="21" fillId="2" borderId="1" xfId="0" applyFont="1" applyFill="1" applyBorder="1"/>
    <xf numFmtId="172" fontId="39" fillId="0" borderId="0" xfId="0" applyNumberFormat="1" applyFont="1" applyAlignment="1">
      <alignment horizontal="right" vertical="center"/>
    </xf>
    <xf numFmtId="41" fontId="21" fillId="0" borderId="9" xfId="2" applyFont="1" applyBorder="1" applyAlignment="1">
      <alignment vertical="center"/>
    </xf>
    <xf numFmtId="49" fontId="21" fillId="0" borderId="0" xfId="0" applyNumberFormat="1" applyFont="1" applyBorder="1" applyAlignment="1" applyProtection="1">
      <alignment horizontal="left"/>
    </xf>
    <xf numFmtId="41" fontId="21" fillId="0" borderId="0" xfId="2" applyFont="1" applyBorder="1" applyAlignment="1">
      <alignment vertical="center"/>
    </xf>
    <xf numFmtId="172" fontId="0" fillId="0" borderId="0" xfId="0" applyNumberFormat="1"/>
    <xf numFmtId="0" fontId="48" fillId="0" borderId="0" xfId="0" applyFont="1"/>
    <xf numFmtId="172" fontId="48" fillId="0" borderId="0" xfId="0" applyNumberFormat="1" applyFont="1"/>
    <xf numFmtId="0" fontId="47" fillId="0" borderId="24" xfId="0" applyFont="1" applyBorder="1" applyAlignment="1">
      <alignment wrapText="1"/>
    </xf>
    <xf numFmtId="0" fontId="47" fillId="0" borderId="0" xfId="0" applyFont="1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1" fontId="14" fillId="0" borderId="1" xfId="2" applyFont="1" applyBorder="1"/>
    <xf numFmtId="42" fontId="12" fillId="0" borderId="1" xfId="0" applyNumberFormat="1" applyFont="1" applyFill="1" applyBorder="1" applyAlignment="1">
      <alignment horizontal="left"/>
    </xf>
    <xf numFmtId="165" fontId="14" fillId="0" borderId="1" xfId="0" applyNumberFormat="1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42" fontId="14" fillId="0" borderId="4" xfId="1" applyFont="1" applyBorder="1" applyAlignment="1">
      <alignment horizontal="left" wrapText="1"/>
    </xf>
    <xf numFmtId="42" fontId="14" fillId="0" borderId="10" xfId="1" applyFont="1" applyBorder="1" applyAlignment="1">
      <alignment horizontal="left" wrapText="1"/>
    </xf>
    <xf numFmtId="0" fontId="14" fillId="3" borderId="20" xfId="0" applyFont="1" applyFill="1" applyBorder="1" applyAlignment="1">
      <alignment horizontal="center"/>
    </xf>
    <xf numFmtId="1" fontId="14" fillId="0" borderId="20" xfId="0" applyNumberFormat="1" applyFont="1" applyFill="1" applyBorder="1" applyAlignment="1">
      <alignment horizontal="left"/>
    </xf>
    <xf numFmtId="14" fontId="14" fillId="0" borderId="20" xfId="0" applyNumberFormat="1" applyFont="1" applyBorder="1" applyAlignment="1">
      <alignment horizontal="center"/>
    </xf>
    <xf numFmtId="0" fontId="14" fillId="0" borderId="20" xfId="0" applyFont="1" applyFill="1" applyBorder="1" applyAlignment="1">
      <alignment horizontal="center"/>
    </xf>
    <xf numFmtId="0" fontId="14" fillId="0" borderId="20" xfId="0" applyFont="1" applyBorder="1" applyAlignment="1">
      <alignment horizontal="center"/>
    </xf>
    <xf numFmtId="0" fontId="14" fillId="0" borderId="27" xfId="0" applyFont="1" applyBorder="1"/>
    <xf numFmtId="0" fontId="14" fillId="0" borderId="28" xfId="0" applyFont="1" applyBorder="1"/>
    <xf numFmtId="0" fontId="14" fillId="3" borderId="29" xfId="0" applyFont="1" applyFill="1" applyBorder="1" applyAlignment="1">
      <alignment horizontal="center"/>
    </xf>
    <xf numFmtId="1" fontId="14" fillId="0" borderId="29" xfId="0" applyNumberFormat="1" applyFont="1" applyFill="1" applyBorder="1" applyAlignment="1">
      <alignment horizontal="left"/>
    </xf>
    <xf numFmtId="14" fontId="14" fillId="0" borderId="29" xfId="0" applyNumberFormat="1" applyFont="1" applyBorder="1" applyAlignment="1">
      <alignment horizontal="center"/>
    </xf>
    <xf numFmtId="0" fontId="14" fillId="0" borderId="29" xfId="0" applyFont="1" applyFill="1" applyBorder="1" applyAlignment="1">
      <alignment horizontal="center"/>
    </xf>
    <xf numFmtId="0" fontId="14" fillId="0" borderId="29" xfId="0" applyFont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14" fillId="0" borderId="31" xfId="0" applyFont="1" applyBorder="1"/>
    <xf numFmtId="0" fontId="14" fillId="3" borderId="32" xfId="0" applyFont="1" applyFill="1" applyBorder="1" applyAlignment="1">
      <alignment horizontal="center"/>
    </xf>
    <xf numFmtId="0" fontId="21" fillId="0" borderId="32" xfId="0" applyFont="1" applyBorder="1"/>
    <xf numFmtId="14" fontId="14" fillId="0" borderId="32" xfId="0" applyNumberFormat="1" applyFont="1" applyBorder="1" applyAlignment="1">
      <alignment horizontal="center"/>
    </xf>
    <xf numFmtId="0" fontId="14" fillId="0" borderId="32" xfId="0" applyFont="1" applyFill="1" applyBorder="1" applyAlignment="1">
      <alignment horizontal="center"/>
    </xf>
    <xf numFmtId="0" fontId="14" fillId="0" borderId="32" xfId="0" applyFont="1" applyBorder="1" applyAlignment="1">
      <alignment horizontal="center"/>
    </xf>
    <xf numFmtId="0" fontId="14" fillId="0" borderId="33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0" fillId="0" borderId="0" xfId="0" applyBorder="1"/>
    <xf numFmtId="0" fontId="39" fillId="0" borderId="0" xfId="0" applyFont="1"/>
    <xf numFmtId="172" fontId="39" fillId="0" borderId="0" xfId="0" applyNumberFormat="1" applyFont="1"/>
    <xf numFmtId="0" fontId="45" fillId="2" borderId="1" xfId="0" applyFont="1" applyFill="1" applyBorder="1" applyAlignment="1">
      <alignment horizontal="center" wrapText="1"/>
    </xf>
    <xf numFmtId="164" fontId="11" fillId="0" borderId="24" xfId="0" applyNumberFormat="1" applyFont="1" applyBorder="1" applyAlignment="1">
      <alignment wrapText="1"/>
    </xf>
    <xf numFmtId="0" fontId="0" fillId="13" borderId="0" xfId="0" applyFill="1"/>
    <xf numFmtId="0" fontId="21" fillId="13" borderId="0" xfId="0" applyFont="1" applyFill="1" applyAlignment="1">
      <alignment horizontal="left" vertical="center"/>
    </xf>
    <xf numFmtId="172" fontId="21" fillId="13" borderId="0" xfId="0" applyNumberFormat="1" applyFont="1" applyFill="1" applyAlignment="1">
      <alignment horizontal="right" vertical="center"/>
    </xf>
    <xf numFmtId="172" fontId="21" fillId="13" borderId="0" xfId="0" applyNumberFormat="1" applyFont="1" applyFill="1" applyBorder="1" applyAlignment="1">
      <alignment horizontal="right" vertical="center"/>
    </xf>
    <xf numFmtId="0" fontId="43" fillId="13" borderId="0" xfId="0" applyFont="1" applyFill="1" applyAlignment="1">
      <alignment horizontal="left" vertical="center"/>
    </xf>
    <xf numFmtId="172" fontId="43" fillId="13" borderId="8" xfId="0" applyNumberFormat="1" applyFont="1" applyFill="1" applyBorder="1" applyAlignment="1">
      <alignment horizontal="right" vertical="center"/>
    </xf>
    <xf numFmtId="0" fontId="0" fillId="0" borderId="1" xfId="0" applyBorder="1"/>
    <xf numFmtId="0" fontId="49" fillId="0" borderId="34" xfId="0" applyFont="1" applyFill="1" applyBorder="1" applyAlignment="1">
      <alignment horizontal="center" vertical="center"/>
    </xf>
    <xf numFmtId="172" fontId="49" fillId="0" borderId="34" xfId="0" applyNumberFormat="1" applyFont="1" applyFill="1" applyBorder="1" applyAlignment="1">
      <alignment horizontal="center" vertical="center"/>
    </xf>
    <xf numFmtId="0" fontId="43" fillId="0" borderId="0" xfId="0" applyFont="1" applyFill="1" applyAlignment="1">
      <alignment horizontal="center" vertical="center"/>
    </xf>
    <xf numFmtId="0" fontId="43" fillId="0" borderId="0" xfId="0" applyFont="1" applyFill="1"/>
    <xf numFmtId="172" fontId="0" fillId="0" borderId="0" xfId="0" applyNumberFormat="1" applyAlignment="1">
      <alignment horizontal="right" vertical="center"/>
    </xf>
    <xf numFmtId="0" fontId="51" fillId="15" borderId="0" xfId="0" applyFont="1" applyFill="1" applyAlignment="1">
      <alignment horizontal="left" vertical="top"/>
    </xf>
    <xf numFmtId="0" fontId="52" fillId="15" borderId="0" xfId="0" applyFont="1" applyFill="1" applyAlignment="1">
      <alignment horizontal="left" vertical="top"/>
    </xf>
    <xf numFmtId="0" fontId="0" fillId="14" borderId="0" xfId="0" applyFill="1"/>
    <xf numFmtId="0" fontId="50" fillId="14" borderId="0" xfId="0" applyFont="1" applyFill="1" applyAlignment="1">
      <alignment horizontal="right" vertical="top"/>
    </xf>
    <xf numFmtId="0" fontId="0" fillId="15" borderId="0" xfId="0" applyFill="1"/>
    <xf numFmtId="0" fontId="53" fillId="16" borderId="0" xfId="0" applyFont="1" applyFill="1" applyAlignment="1">
      <alignment horizontal="left"/>
    </xf>
    <xf numFmtId="0" fontId="51" fillId="16" borderId="0" xfId="0" applyFont="1" applyFill="1"/>
    <xf numFmtId="0" fontId="52" fillId="16" borderId="0" xfId="0" applyFont="1" applyFill="1"/>
    <xf numFmtId="165" fontId="12" fillId="0" borderId="0" xfId="0" applyNumberFormat="1" applyFont="1" applyBorder="1" applyAlignment="1">
      <alignment horizontal="center" wrapText="1"/>
    </xf>
    <xf numFmtId="165" fontId="12" fillId="0" borderId="5" xfId="0" applyNumberFormat="1" applyFont="1" applyBorder="1" applyAlignment="1">
      <alignment horizontal="center" wrapText="1"/>
    </xf>
    <xf numFmtId="0" fontId="14" fillId="0" borderId="0" xfId="0" applyFont="1" applyAlignment="1">
      <alignment horizontal="left" vertical="top" wrapText="1"/>
    </xf>
    <xf numFmtId="0" fontId="12" fillId="0" borderId="4" xfId="0" applyFont="1" applyBorder="1" applyAlignment="1">
      <alignment horizontal="center" wrapText="1"/>
    </xf>
    <xf numFmtId="0" fontId="12" fillId="0" borderId="9" xfId="0" applyFont="1" applyBorder="1" applyAlignment="1">
      <alignment horizontal="center" wrapText="1"/>
    </xf>
    <xf numFmtId="0" fontId="12" fillId="0" borderId="10" xfId="0" applyFont="1" applyBorder="1" applyAlignment="1">
      <alignment horizontal="center" wrapText="1"/>
    </xf>
    <xf numFmtId="0" fontId="12" fillId="0" borderId="1" xfId="0" applyFont="1" applyBorder="1" applyAlignment="1">
      <alignment horizontal="center" wrapText="1"/>
    </xf>
    <xf numFmtId="0" fontId="23" fillId="0" borderId="0" xfId="0" applyFont="1" applyAlignment="1">
      <alignment horizontal="center" wrapText="1"/>
    </xf>
    <xf numFmtId="0" fontId="32" fillId="3" borderId="0" xfId="0" applyFont="1" applyFill="1" applyAlignment="1">
      <alignment horizontal="center"/>
    </xf>
    <xf numFmtId="171" fontId="32" fillId="3" borderId="0" xfId="7" applyFont="1" applyFill="1" applyAlignment="1">
      <alignment horizontal="center"/>
    </xf>
    <xf numFmtId="0" fontId="24" fillId="5" borderId="11" xfId="0" applyFont="1" applyFill="1" applyBorder="1" applyAlignment="1">
      <alignment horizontal="left" wrapText="1"/>
    </xf>
    <xf numFmtId="0" fontId="24" fillId="5" borderId="13" xfId="0" applyFont="1" applyFill="1" applyBorder="1" applyAlignment="1">
      <alignment horizontal="left" wrapText="1"/>
    </xf>
    <xf numFmtId="0" fontId="25" fillId="6" borderId="12" xfId="0" applyFont="1" applyFill="1" applyBorder="1" applyAlignment="1">
      <alignment horizontal="center" wrapText="1"/>
    </xf>
    <xf numFmtId="42" fontId="25" fillId="6" borderId="12" xfId="1" applyFont="1" applyFill="1" applyBorder="1" applyAlignment="1">
      <alignment horizontal="left" wrapText="1"/>
    </xf>
    <xf numFmtId="0" fontId="14" fillId="0" borderId="1" xfId="0" applyFont="1" applyBorder="1" applyAlignment="1">
      <alignment horizontal="center" wrapText="1"/>
    </xf>
    <xf numFmtId="0" fontId="14" fillId="0" borderId="7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42" fontId="14" fillId="0" borderId="1" xfId="1" applyFont="1" applyBorder="1" applyAlignment="1">
      <alignment horizontal="left" wrapText="1"/>
    </xf>
    <xf numFmtId="0" fontId="12" fillId="0" borderId="1" xfId="0" applyFont="1" applyBorder="1" applyAlignment="1">
      <alignment horizontal="center"/>
    </xf>
    <xf numFmtId="0" fontId="25" fillId="6" borderId="15" xfId="0" applyFont="1" applyFill="1" applyBorder="1" applyAlignment="1">
      <alignment horizontal="center" wrapText="1"/>
    </xf>
    <xf numFmtId="42" fontId="25" fillId="6" borderId="15" xfId="1" applyFont="1" applyFill="1" applyBorder="1" applyAlignment="1">
      <alignment horizontal="left" wrapText="1"/>
    </xf>
    <xf numFmtId="0" fontId="12" fillId="0" borderId="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wrapText="1"/>
    </xf>
    <xf numFmtId="0" fontId="24" fillId="5" borderId="14" xfId="0" applyFont="1" applyFill="1" applyBorder="1" applyAlignment="1">
      <alignment horizontal="left" wrapText="1"/>
    </xf>
    <xf numFmtId="42" fontId="25" fillId="6" borderId="12" xfId="1" applyFont="1" applyFill="1" applyBorder="1" applyAlignment="1">
      <alignment horizontal="center" wrapText="1"/>
    </xf>
    <xf numFmtId="0" fontId="24" fillId="5" borderId="16" xfId="0" applyFont="1" applyFill="1" applyBorder="1" applyAlignment="1">
      <alignment horizontal="left" wrapText="1"/>
    </xf>
    <xf numFmtId="0" fontId="24" fillId="5" borderId="17" xfId="0" applyFont="1" applyFill="1" applyBorder="1" applyAlignment="1">
      <alignment horizontal="left" wrapText="1"/>
    </xf>
    <xf numFmtId="0" fontId="24" fillId="5" borderId="1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right"/>
    </xf>
    <xf numFmtId="0" fontId="12" fillId="0" borderId="0" xfId="0" applyFont="1" applyAlignment="1">
      <alignment horizontal="center" wrapText="1"/>
    </xf>
    <xf numFmtId="0" fontId="33" fillId="3" borderId="0" xfId="0" applyFont="1" applyFill="1" applyAlignment="1">
      <alignment horizontal="center"/>
    </xf>
    <xf numFmtId="0" fontId="33" fillId="0" borderId="0" xfId="0" applyFont="1"/>
    <xf numFmtId="171" fontId="33" fillId="3" borderId="0" xfId="7" applyFont="1" applyFill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37" fillId="10" borderId="0" xfId="8" applyFont="1" applyFill="1" applyBorder="1" applyAlignment="1">
      <alignment horizontal="center" vertical="center" wrapText="1"/>
    </xf>
    <xf numFmtId="0" fontId="37" fillId="10" borderId="8" xfId="8" applyFont="1" applyFill="1" applyBorder="1" applyAlignment="1">
      <alignment horizontal="center" vertical="center" wrapText="1"/>
    </xf>
    <xf numFmtId="1" fontId="36" fillId="0" borderId="0" xfId="0" applyNumberFormat="1" applyFont="1" applyBorder="1" applyAlignment="1">
      <alignment horizontal="center"/>
    </xf>
    <xf numFmtId="3" fontId="37" fillId="10" borderId="1" xfId="0" applyNumberFormat="1" applyFont="1" applyFill="1" applyBorder="1" applyAlignment="1">
      <alignment horizontal="center"/>
    </xf>
    <xf numFmtId="3" fontId="37" fillId="12" borderId="1" xfId="0" applyNumberFormat="1" applyFont="1" applyFill="1" applyBorder="1" applyAlignment="1">
      <alignment horizontal="center"/>
    </xf>
    <xf numFmtId="0" fontId="28" fillId="8" borderId="4" xfId="0" applyFont="1" applyFill="1" applyBorder="1" applyAlignment="1">
      <alignment horizontal="center"/>
    </xf>
    <xf numFmtId="0" fontId="28" fillId="8" borderId="10" xfId="0" applyFont="1" applyFill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0" borderId="10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28" fillId="8" borderId="9" xfId="0" applyFont="1" applyFill="1" applyBorder="1" applyAlignment="1">
      <alignment horizontal="center"/>
    </xf>
    <xf numFmtId="0" fontId="28" fillId="8" borderId="1" xfId="0" applyFont="1" applyFill="1" applyBorder="1" applyAlignment="1">
      <alignment horizontal="center"/>
    </xf>
    <xf numFmtId="42" fontId="12" fillId="0" borderId="1" xfId="0" applyNumberFormat="1" applyFont="1" applyBorder="1" applyAlignment="1">
      <alignment horizontal="center"/>
    </xf>
    <xf numFmtId="0" fontId="27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4" fillId="3" borderId="1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horizontal="left"/>
    </xf>
    <xf numFmtId="0" fontId="17" fillId="0" borderId="0" xfId="0" applyFont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left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3" borderId="1" xfId="0" applyFont="1" applyFill="1" applyBorder="1" applyAlignment="1" applyProtection="1">
      <alignment horizontal="left"/>
    </xf>
    <xf numFmtId="17" fontId="40" fillId="2" borderId="0" xfId="0" applyNumberFormat="1" applyFont="1" applyFill="1" applyAlignment="1">
      <alignment horizontal="center"/>
    </xf>
    <xf numFmtId="0" fontId="0" fillId="0" borderId="0" xfId="0" applyAlignment="1">
      <alignment horizontal="left"/>
    </xf>
    <xf numFmtId="0" fontId="45" fillId="0" borderId="0" xfId="0" applyFont="1" applyAlignment="1">
      <alignment horizontal="left"/>
    </xf>
    <xf numFmtId="0" fontId="35" fillId="0" borderId="0" xfId="0" applyFont="1" applyAlignment="1">
      <alignment horizontal="center"/>
    </xf>
  </cellXfs>
  <cellStyles count="10">
    <cellStyle name="Bueno" xfId="4" builtinId="26"/>
    <cellStyle name="Millares [0]" xfId="2" builtinId="6"/>
    <cellStyle name="Millares 3" xfId="7"/>
    <cellStyle name="Moneda" xfId="5" builtinId="4"/>
    <cellStyle name="Moneda [0]" xfId="1" builtinId="7"/>
    <cellStyle name="Moneda [0] 3" xfId="9"/>
    <cellStyle name="Moneda 3" xfId="6"/>
    <cellStyle name="Normal" xfId="0" builtinId="0"/>
    <cellStyle name="Normal 5" xfId="8"/>
    <cellStyle name="Porcentaje" xfId="3" builtinId="5"/>
  </cellStyles>
  <dxfs count="5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150" baseline="0">
                <a:solidFill>
                  <a:schemeClr val="tx1">
                    <a:lumMod val="50000"/>
                    <a:lumOff val="50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s-CL" sz="1800"/>
              <a:t>DESVIACIÓN DE CAJA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'DESIVACIÓN DE CAJA'!$C$8</c:f>
              <c:strCache>
                <c:ptCount val="1"/>
                <c:pt idx="0">
                  <c:v>INGRESO LINEAL PROYECTADO</c:v>
                </c:pt>
              </c:strCache>
            </c:strRef>
          </c:tx>
          <c:spPr>
            <a:ln w="38100" cap="flat" cmpd="dbl" algn="ctr">
              <a:solidFill>
                <a:schemeClr val="accent1"/>
              </a:solidFill>
              <a:miter lim="800000"/>
            </a:ln>
            <a:effectLst/>
          </c:spPr>
          <c:marker>
            <c:symbol val="none"/>
          </c:marker>
          <c:cat>
            <c:strRef>
              <c:f>'DESIVACIÓN DE CAJA'!$B$9:$B$21</c:f>
              <c:strCache>
                <c:ptCount val="13"/>
                <c:pt idx="0">
                  <c:v>SALDO INICIAL CAJA</c:v>
                </c:pt>
                <c:pt idx="1">
                  <c:v>ENERO</c:v>
                </c:pt>
                <c:pt idx="2">
                  <c:v>FEBRERO</c:v>
                </c:pt>
                <c:pt idx="3">
                  <c:v>MARZO</c:v>
                </c:pt>
                <c:pt idx="4">
                  <c:v>ABRIL</c:v>
                </c:pt>
                <c:pt idx="5">
                  <c:v>MAYO</c:v>
                </c:pt>
                <c:pt idx="6">
                  <c:v>JUNIO</c:v>
                </c:pt>
                <c:pt idx="7">
                  <c:v>JULIO</c:v>
                </c:pt>
                <c:pt idx="8">
                  <c:v>AGOSTO</c:v>
                </c:pt>
                <c:pt idx="9">
                  <c:v>SEPTIEMBRE</c:v>
                </c:pt>
                <c:pt idx="10">
                  <c:v>OCTUBRE</c:v>
                </c:pt>
                <c:pt idx="11">
                  <c:v>NOVIEMBRE</c:v>
                </c:pt>
                <c:pt idx="12">
                  <c:v>DICIEMBRE</c:v>
                </c:pt>
              </c:strCache>
            </c:strRef>
          </c:cat>
          <c:val>
            <c:numRef>
              <c:f>'DESIVACIÓN DE CAJA'!$C$9:$C$21</c:f>
              <c:numCache>
                <c:formatCode>_ [$$-340A]* #,##0_ ;_ [$$-340A]* \-#,##0_ ;_ [$$-340A]* "-"_ ;_ @_ </c:formatCode>
                <c:ptCount val="13"/>
                <c:pt idx="0">
                  <c:v>538994817</c:v>
                </c:pt>
                <c:pt idx="1">
                  <c:v>702005946.5</c:v>
                </c:pt>
                <c:pt idx="2">
                  <c:v>299237761</c:v>
                </c:pt>
                <c:pt idx="3">
                  <c:v>297976014</c:v>
                </c:pt>
                <c:pt idx="4">
                  <c:v>302389579.66666663</c:v>
                </c:pt>
                <c:pt idx="5">
                  <c:v>300155073.66666663</c:v>
                </c:pt>
                <c:pt idx="6">
                  <c:v>297864965.01666665</c:v>
                </c:pt>
                <c:pt idx="7">
                  <c:v>295574959.61666667</c:v>
                </c:pt>
                <c:pt idx="8">
                  <c:v>293172513.91666663</c:v>
                </c:pt>
                <c:pt idx="9">
                  <c:v>291012582.4666667</c:v>
                </c:pt>
                <c:pt idx="10">
                  <c:v>282018788.5</c:v>
                </c:pt>
                <c:pt idx="11">
                  <c:v>260826856</c:v>
                </c:pt>
                <c:pt idx="12">
                  <c:v>251349271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62B6-4889-B108-5697A9727511}"/>
            </c:ext>
          </c:extLst>
        </c:ser>
        <c:ser>
          <c:idx val="1"/>
          <c:order val="1"/>
          <c:tx>
            <c:strRef>
              <c:f>'DESIVACIÓN DE CAJA'!$D$8</c:f>
              <c:strCache>
                <c:ptCount val="1"/>
                <c:pt idx="0">
                  <c:v>INGRESO REAL DE CAJA COMPROMETIDO</c:v>
                </c:pt>
              </c:strCache>
            </c:strRef>
          </c:tx>
          <c:spPr>
            <a:ln w="38100" cap="flat" cmpd="dbl" algn="ctr">
              <a:solidFill>
                <a:schemeClr val="accent2"/>
              </a:solidFill>
              <a:miter lim="800000"/>
            </a:ln>
            <a:effectLst/>
          </c:spPr>
          <c:marker>
            <c:symbol val="none"/>
          </c:marker>
          <c:cat>
            <c:strRef>
              <c:f>'DESIVACIÓN DE CAJA'!$B$9:$B$21</c:f>
              <c:strCache>
                <c:ptCount val="13"/>
                <c:pt idx="0">
                  <c:v>SALDO INICIAL CAJA</c:v>
                </c:pt>
                <c:pt idx="1">
                  <c:v>ENERO</c:v>
                </c:pt>
                <c:pt idx="2">
                  <c:v>FEBRERO</c:v>
                </c:pt>
                <c:pt idx="3">
                  <c:v>MARZO</c:v>
                </c:pt>
                <c:pt idx="4">
                  <c:v>ABRIL</c:v>
                </c:pt>
                <c:pt idx="5">
                  <c:v>MAYO</c:v>
                </c:pt>
                <c:pt idx="6">
                  <c:v>JUNIO</c:v>
                </c:pt>
                <c:pt idx="7">
                  <c:v>JULIO</c:v>
                </c:pt>
                <c:pt idx="8">
                  <c:v>AGOSTO</c:v>
                </c:pt>
                <c:pt idx="9">
                  <c:v>SEPTIEMBRE</c:v>
                </c:pt>
                <c:pt idx="10">
                  <c:v>OCTUBRE</c:v>
                </c:pt>
                <c:pt idx="11">
                  <c:v>NOVIEMBRE</c:v>
                </c:pt>
                <c:pt idx="12">
                  <c:v>DICIEMBRE</c:v>
                </c:pt>
              </c:strCache>
            </c:strRef>
          </c:cat>
          <c:val>
            <c:numRef>
              <c:f>'DESIVACIÓN DE CAJA'!$D$9:$D$21</c:f>
              <c:numCache>
                <c:formatCode>_ [$$-340A]* #,##0_ ;_ [$$-340A]* \-#,##0_ ;_ [$$-340A]* "-"_ ;_ @_ </c:formatCode>
                <c:ptCount val="13"/>
                <c:pt idx="0">
                  <c:v>538994817</c:v>
                </c:pt>
                <c:pt idx="1">
                  <c:v>683169390</c:v>
                </c:pt>
                <c:pt idx="2">
                  <c:v>286713376</c:v>
                </c:pt>
                <c:pt idx="3">
                  <c:v>279689694</c:v>
                </c:pt>
                <c:pt idx="4">
                  <c:v>310886399</c:v>
                </c:pt>
                <c:pt idx="5">
                  <c:v>296979844</c:v>
                </c:pt>
                <c:pt idx="6">
                  <c:v>283656868</c:v>
                </c:pt>
                <c:pt idx="7">
                  <c:v>284702247</c:v>
                </c:pt>
                <c:pt idx="8">
                  <c:v>287575055</c:v>
                </c:pt>
                <c:pt idx="9">
                  <c:v>269460105</c:v>
                </c:pt>
                <c:pt idx="10">
                  <c:v>259679247</c:v>
                </c:pt>
                <c:pt idx="11">
                  <c:v>259679247</c:v>
                </c:pt>
                <c:pt idx="12">
                  <c:v>259679247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62B6-4889-B108-5697A9727511}"/>
            </c:ext>
          </c:extLst>
        </c:ser>
        <c:ser>
          <c:idx val="2"/>
          <c:order val="2"/>
          <c:tx>
            <c:strRef>
              <c:f>'DESIVACIÓN DE CAJA'!$E$8</c:f>
              <c:strCache>
                <c:ptCount val="1"/>
                <c:pt idx="0">
                  <c:v>INGRESO EFECTIVO DE CAJA</c:v>
                </c:pt>
              </c:strCache>
            </c:strRef>
          </c:tx>
          <c:spPr>
            <a:ln w="38100" cap="flat" cmpd="dbl" algn="ctr">
              <a:solidFill>
                <a:schemeClr val="accent3"/>
              </a:solidFill>
              <a:miter lim="800000"/>
            </a:ln>
            <a:effectLst/>
          </c:spPr>
          <c:marker>
            <c:symbol val="none"/>
          </c:marker>
          <c:cat>
            <c:strRef>
              <c:f>'DESIVACIÓN DE CAJA'!$B$9:$B$21</c:f>
              <c:strCache>
                <c:ptCount val="13"/>
                <c:pt idx="0">
                  <c:v>SALDO INICIAL CAJA</c:v>
                </c:pt>
                <c:pt idx="1">
                  <c:v>ENERO</c:v>
                </c:pt>
                <c:pt idx="2">
                  <c:v>FEBRERO</c:v>
                </c:pt>
                <c:pt idx="3">
                  <c:v>MARZO</c:v>
                </c:pt>
                <c:pt idx="4">
                  <c:v>ABRIL</c:v>
                </c:pt>
                <c:pt idx="5">
                  <c:v>MAYO</c:v>
                </c:pt>
                <c:pt idx="6">
                  <c:v>JUNIO</c:v>
                </c:pt>
                <c:pt idx="7">
                  <c:v>JULIO</c:v>
                </c:pt>
                <c:pt idx="8">
                  <c:v>AGOSTO</c:v>
                </c:pt>
                <c:pt idx="9">
                  <c:v>SEPTIEMBRE</c:v>
                </c:pt>
                <c:pt idx="10">
                  <c:v>OCTUBRE</c:v>
                </c:pt>
                <c:pt idx="11">
                  <c:v>NOVIEMBRE</c:v>
                </c:pt>
                <c:pt idx="12">
                  <c:v>DICIEMBRE</c:v>
                </c:pt>
              </c:strCache>
            </c:strRef>
          </c:cat>
          <c:val>
            <c:numRef>
              <c:f>'DESIVACIÓN DE CAJA'!$E$9:$E$21</c:f>
              <c:numCache>
                <c:formatCode>_ [$$-340A]* #,##0_ ;_ [$$-340A]* \-#,##0_ ;_ [$$-340A]* "-"_ ;_ @_ </c:formatCode>
                <c:ptCount val="13"/>
                <c:pt idx="0">
                  <c:v>538994817</c:v>
                </c:pt>
                <c:pt idx="1">
                  <c:v>831978651</c:v>
                </c:pt>
                <c:pt idx="2">
                  <c:v>276679738</c:v>
                </c:pt>
                <c:pt idx="3">
                  <c:v>283422089</c:v>
                </c:pt>
                <c:pt idx="4">
                  <c:v>284230867</c:v>
                </c:pt>
                <c:pt idx="5">
                  <c:v>236326837</c:v>
                </c:pt>
                <c:pt idx="6">
                  <c:v>239519295</c:v>
                </c:pt>
                <c:pt idx="7">
                  <c:v>239174685</c:v>
                </c:pt>
                <c:pt idx="8">
                  <c:v>213202021</c:v>
                </c:pt>
                <c:pt idx="9">
                  <c:v>572994287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62B6-4889-B108-5697A9727511}"/>
            </c:ext>
          </c:extLst>
        </c:ser>
        <c:ser>
          <c:idx val="3"/>
          <c:order val="3"/>
          <c:tx>
            <c:strRef>
              <c:f>'DESIVACIÓN DE CAJA'!$F$8</c:f>
              <c:strCache>
                <c:ptCount val="1"/>
                <c:pt idx="0">
                  <c:v>DESVIACIÓN DE CAJA REAL</c:v>
                </c:pt>
              </c:strCache>
            </c:strRef>
          </c:tx>
          <c:spPr>
            <a:ln w="38100" cap="flat" cmpd="dbl" algn="ctr">
              <a:solidFill>
                <a:schemeClr val="accent4"/>
              </a:solidFill>
              <a:miter lim="800000"/>
            </a:ln>
            <a:effectLst/>
          </c:spPr>
          <c:marker>
            <c:symbol val="none"/>
          </c:marker>
          <c:cat>
            <c:strRef>
              <c:f>'DESIVACIÓN DE CAJA'!$B$9:$B$21</c:f>
              <c:strCache>
                <c:ptCount val="13"/>
                <c:pt idx="0">
                  <c:v>SALDO INICIAL CAJA</c:v>
                </c:pt>
                <c:pt idx="1">
                  <c:v>ENERO</c:v>
                </c:pt>
                <c:pt idx="2">
                  <c:v>FEBRERO</c:v>
                </c:pt>
                <c:pt idx="3">
                  <c:v>MARZO</c:v>
                </c:pt>
                <c:pt idx="4">
                  <c:v>ABRIL</c:v>
                </c:pt>
                <c:pt idx="5">
                  <c:v>MAYO</c:v>
                </c:pt>
                <c:pt idx="6">
                  <c:v>JUNIO</c:v>
                </c:pt>
                <c:pt idx="7">
                  <c:v>JULIO</c:v>
                </c:pt>
                <c:pt idx="8">
                  <c:v>AGOSTO</c:v>
                </c:pt>
                <c:pt idx="9">
                  <c:v>SEPTIEMBRE</c:v>
                </c:pt>
                <c:pt idx="10">
                  <c:v>OCTUBRE</c:v>
                </c:pt>
                <c:pt idx="11">
                  <c:v>NOVIEMBRE</c:v>
                </c:pt>
                <c:pt idx="12">
                  <c:v>DICIEMBRE</c:v>
                </c:pt>
              </c:strCache>
            </c:strRef>
          </c:cat>
          <c:val>
            <c:numRef>
              <c:f>'DESIVACIÓN DE CAJA'!$F$9:$F$21</c:f>
              <c:numCache>
                <c:formatCode>_ [$$-340A]* #,##0_ ;_ [$$-340A]* \-#,##0_ ;_ [$$-340A]* "-"_ ;_ @_ </c:formatCode>
                <c:ptCount val="13"/>
                <c:pt idx="0">
                  <c:v>0</c:v>
                </c:pt>
                <c:pt idx="1">
                  <c:v>148809261</c:v>
                </c:pt>
                <c:pt idx="2">
                  <c:v>-10033638</c:v>
                </c:pt>
                <c:pt idx="3">
                  <c:v>3732395</c:v>
                </c:pt>
                <c:pt idx="4">
                  <c:v>-26655532</c:v>
                </c:pt>
                <c:pt idx="5">
                  <c:v>-60653007</c:v>
                </c:pt>
                <c:pt idx="6">
                  <c:v>-44137573</c:v>
                </c:pt>
                <c:pt idx="7">
                  <c:v>-45527562</c:v>
                </c:pt>
                <c:pt idx="8">
                  <c:v>-74373034</c:v>
                </c:pt>
                <c:pt idx="9">
                  <c:v>303534182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62B6-4889-B108-5697A97275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>
              <a:solidFill>
                <a:schemeClr val="tx1"/>
              </a:solidFill>
            </a:ln>
            <a:effectLst/>
          </c:spPr>
        </c:hiLowLines>
        <c:smooth val="0"/>
        <c:axId val="765721055"/>
        <c:axId val="765721887"/>
      </c:lineChart>
      <c:catAx>
        <c:axId val="7657210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  <a:alpha val="32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L"/>
          </a:p>
        </c:txPr>
        <c:crossAx val="765721887"/>
        <c:crosses val="autoZero"/>
        <c:auto val="1"/>
        <c:lblAlgn val="ctr"/>
        <c:lblOffset val="100"/>
        <c:noMultiLvlLbl val="0"/>
      </c:catAx>
      <c:valAx>
        <c:axId val="7657218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  <a:alpha val="32000"/>
                </a:schemeClr>
              </a:solidFill>
              <a:round/>
            </a:ln>
            <a:effectLst/>
          </c:spPr>
        </c:majorGridlines>
        <c:numFmt formatCode="_ [$$-340A]* #,##0_ ;_ [$$-340A]* \-#,##0_ ;_ [$$-340A]* &quot;-&quot;_ ;_ @_ " sourceLinked="1"/>
        <c:majorTickMark val="none"/>
        <c:minorTickMark val="none"/>
        <c:tickLblPos val="nextTo"/>
        <c:spPr>
          <a:noFill/>
          <a:ln w="3175" cap="flat" cmpd="sng" algn="ctr">
            <a:solidFill>
              <a:schemeClr val="tx1">
                <a:lumMod val="15000"/>
                <a:lumOff val="85000"/>
              </a:schemeClr>
            </a:solidFill>
            <a:round/>
            <a:tailEnd type="none" w="med" len="lg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L"/>
          </a:p>
        </c:txPr>
        <c:crossAx val="765721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900">
          <a:latin typeface="Arial" panose="020B0604020202020204" pitchFamily="34" charset="0"/>
          <a:cs typeface="Arial" panose="020B0604020202020204" pitchFamily="34" charset="0"/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s-CL"/>
              <a:t>CURVA DE RETIROS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L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PROYECCIÓN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s-C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'PROYECCIÓN PRESUPUESTARIA'!$O$6:$O$17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'PROYECCIÓN PRESUPUESTARIA'!$Q$6:$Q$17</c:f>
              <c:numCache>
                <c:formatCode>General</c:formatCode>
                <c:ptCount val="12"/>
                <c:pt idx="0">
                  <c:v>4</c:v>
                </c:pt>
                <c:pt idx="1">
                  <c:v>10</c:v>
                </c:pt>
                <c:pt idx="2">
                  <c:v>13</c:v>
                </c:pt>
                <c:pt idx="3">
                  <c:v>17</c:v>
                </c:pt>
                <c:pt idx="4">
                  <c:v>21</c:v>
                </c:pt>
                <c:pt idx="5">
                  <c:v>25</c:v>
                </c:pt>
                <c:pt idx="6">
                  <c:v>29</c:v>
                </c:pt>
                <c:pt idx="7">
                  <c:v>33</c:v>
                </c:pt>
                <c:pt idx="8">
                  <c:v>37</c:v>
                </c:pt>
                <c:pt idx="9">
                  <c:v>41</c:v>
                </c:pt>
                <c:pt idx="10">
                  <c:v>45</c:v>
                </c:pt>
                <c:pt idx="11">
                  <c:v>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889-4B06-9256-2AB97C1B8141}"/>
            </c:ext>
          </c:extLst>
        </c:ser>
        <c:ser>
          <c:idx val="1"/>
          <c:order val="1"/>
          <c:tx>
            <c:v>REAL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s-C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'PROYECCIÓN PRESUPUESTARIA'!$O$6:$O$17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'PROYECCIÓN PRESUPUESTARIA'!$S$6:$S$17</c:f>
              <c:numCache>
                <c:formatCode>General</c:formatCode>
                <c:ptCount val="12"/>
                <c:pt idx="0">
                  <c:v>0</c:v>
                </c:pt>
                <c:pt idx="1">
                  <c:v>8</c:v>
                </c:pt>
                <c:pt idx="2">
                  <c:v>11</c:v>
                </c:pt>
                <c:pt idx="3">
                  <c:v>16</c:v>
                </c:pt>
                <c:pt idx="4">
                  <c:v>23</c:v>
                </c:pt>
                <c:pt idx="5">
                  <c:v>28</c:v>
                </c:pt>
                <c:pt idx="6">
                  <c:v>31</c:v>
                </c:pt>
                <c:pt idx="7">
                  <c:v>34</c:v>
                </c:pt>
                <c:pt idx="8">
                  <c:v>37</c:v>
                </c:pt>
                <c:pt idx="9">
                  <c:v>37</c:v>
                </c:pt>
                <c:pt idx="10">
                  <c:v>37</c:v>
                </c:pt>
                <c:pt idx="11">
                  <c:v>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889-4B06-9256-2AB97C1B814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765721055"/>
        <c:axId val="765721887"/>
      </c:lineChart>
      <c:catAx>
        <c:axId val="765721055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L"/>
          </a:p>
        </c:txPr>
        <c:crossAx val="765721887"/>
        <c:crosses val="autoZero"/>
        <c:auto val="1"/>
        <c:lblAlgn val="ctr"/>
        <c:lblOffset val="100"/>
        <c:noMultiLvlLbl val="0"/>
      </c:catAx>
      <c:valAx>
        <c:axId val="765721887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L"/>
          </a:p>
        </c:txPr>
        <c:crossAx val="765721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Arial" panose="020B0604020202020204" pitchFamily="34" charset="0"/>
          <a:cs typeface="Arial" panose="020B0604020202020204" pitchFamily="34" charset="0"/>
        </a:defRPr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38100" cap="flat" cmpd="dbl" algn="ctr">
        <a:solidFill>
          <a:schemeClr val="phClr"/>
        </a:solidFill>
        <a:miter lim="800000"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 cap="flat" cmpd="sng" algn="ctr">
        <a:solidFill>
          <a:schemeClr val="lt1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tx1"/>
    </cs:fontRef>
    <cs:spPr>
      <a:ln w="9525">
        <a:solidFill>
          <a:schemeClr val="tx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  <a:alpha val="32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5000"/>
            <a:lumOff val="95000"/>
            <a:alpha val="32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tx1"/>
        </a:solidFill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/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>
        <a:solidFill>
          <a:schemeClr val="tx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2700" cap="rnd"/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3175" cap="flat" cmpd="sng" algn="ctr">
        <a:solidFill>
          <a:schemeClr val="tx1">
            <a:lumMod val="15000"/>
            <a:lumOff val="85000"/>
          </a:schemeClr>
        </a:solidFill>
        <a:round/>
        <a:tailEnd type="none" w="med" len="lg"/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16375</xdr:colOff>
      <xdr:row>211</xdr:row>
      <xdr:rowOff>0</xdr:rowOff>
    </xdr:from>
    <xdr:ext cx="2428875" cy="4762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375" y="0"/>
          <a:ext cx="2428875" cy="476250"/>
        </a:xfrm>
        <a:prstGeom prst="rect">
          <a:avLst/>
        </a:prstGeom>
      </xdr:spPr>
    </xdr:pic>
    <xdr:clientData/>
  </xdr:oneCellAnchor>
  <xdr:oneCellAnchor>
    <xdr:from>
      <xdr:col>0</xdr:col>
      <xdr:colOff>64000</xdr:colOff>
      <xdr:row>297</xdr:row>
      <xdr:rowOff>54000</xdr:rowOff>
    </xdr:from>
    <xdr:ext cx="2428875" cy="476250"/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4000" y="54000"/>
          <a:ext cx="2428875" cy="47625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1214437</xdr:colOff>
      <xdr:row>33</xdr:row>
      <xdr:rowOff>7143</xdr:rowOff>
    </xdr:from>
    <xdr:to>
      <xdr:col>14</xdr:col>
      <xdr:colOff>823912</xdr:colOff>
      <xdr:row>54</xdr:row>
      <xdr:rowOff>26193</xdr:rowOff>
    </xdr:to>
    <xdr:graphicFrame macro="">
      <xdr:nvGraphicFramePr>
        <xdr:cNvPr id="2" name="Grá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214522</xdr:colOff>
      <xdr:row>3</xdr:row>
      <xdr:rowOff>165651</xdr:rowOff>
    </xdr:from>
    <xdr:to>
      <xdr:col>13</xdr:col>
      <xdr:colOff>357397</xdr:colOff>
      <xdr:row>22</xdr:row>
      <xdr:rowOff>124239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9"/>
  <sheetViews>
    <sheetView topLeftCell="A259" workbookViewId="0">
      <selection activeCell="M282" sqref="M282"/>
    </sheetView>
  </sheetViews>
  <sheetFormatPr baseColWidth="10" defaultColWidth="14" defaultRowHeight="13.8"/>
  <cols>
    <col min="2" max="2" width="7.8984375" style="314" customWidth="1"/>
    <col min="8" max="8" width="16.8984375" style="359" bestFit="1" customWidth="1"/>
    <col min="9" max="9" width="18.09765625" style="359" bestFit="1" customWidth="1"/>
    <col min="10" max="10" width="7.8984375" style="359" customWidth="1"/>
  </cols>
  <sheetData>
    <row r="1" spans="1:10" ht="30" customHeight="1">
      <c r="A1" s="355" t="s">
        <v>1415</v>
      </c>
      <c r="B1" s="355" t="s">
        <v>1416</v>
      </c>
      <c r="C1" s="355" t="s">
        <v>1417</v>
      </c>
      <c r="D1" s="355" t="s">
        <v>1418</v>
      </c>
      <c r="E1" s="355" t="s">
        <v>1419</v>
      </c>
      <c r="F1" s="355" t="s">
        <v>1420</v>
      </c>
      <c r="G1" s="355" t="s">
        <v>1421</v>
      </c>
      <c r="H1" s="356" t="s">
        <v>1422</v>
      </c>
      <c r="I1" s="356" t="s">
        <v>1423</v>
      </c>
      <c r="J1" s="356" t="s">
        <v>1424</v>
      </c>
    </row>
    <row r="2" spans="1:10" s="358" customFormat="1" ht="20.100000000000001" customHeight="1">
      <c r="A2" s="267" t="s">
        <v>1425</v>
      </c>
      <c r="B2" s="357" t="s">
        <v>1426</v>
      </c>
      <c r="C2" s="267" t="s">
        <v>1427</v>
      </c>
      <c r="D2" s="267" t="s">
        <v>1428</v>
      </c>
      <c r="E2" s="267" t="s">
        <v>1429</v>
      </c>
      <c r="F2" s="267" t="s">
        <v>1430</v>
      </c>
      <c r="G2" s="267" t="s">
        <v>1431</v>
      </c>
      <c r="H2" s="277">
        <v>19201</v>
      </c>
      <c r="I2" s="277">
        <v>0</v>
      </c>
      <c r="J2" s="277">
        <v>835753405</v>
      </c>
    </row>
    <row r="3" spans="1:10" s="358" customFormat="1" ht="20.100000000000001" customHeight="1">
      <c r="A3" s="267" t="s">
        <v>1425</v>
      </c>
      <c r="B3" s="357" t="s">
        <v>1426</v>
      </c>
      <c r="C3" s="267" t="s">
        <v>1427</v>
      </c>
      <c r="D3" s="267" t="s">
        <v>1428</v>
      </c>
      <c r="E3" s="267" t="s">
        <v>1429</v>
      </c>
      <c r="F3" s="267" t="s">
        <v>1432</v>
      </c>
      <c r="G3" s="267" t="s">
        <v>1433</v>
      </c>
      <c r="H3" s="277">
        <v>25815</v>
      </c>
      <c r="I3" s="277">
        <v>0</v>
      </c>
      <c r="J3" s="277">
        <v>835772606</v>
      </c>
    </row>
    <row r="4" spans="1:10" s="358" customFormat="1" ht="20.100000000000001" customHeight="1">
      <c r="A4" s="267" t="s">
        <v>1425</v>
      </c>
      <c r="B4" s="357" t="s">
        <v>1426</v>
      </c>
      <c r="C4" s="267" t="s">
        <v>1427</v>
      </c>
      <c r="D4" s="267" t="s">
        <v>1428</v>
      </c>
      <c r="E4" s="267" t="s">
        <v>1429</v>
      </c>
      <c r="F4" s="267" t="s">
        <v>1434</v>
      </c>
      <c r="G4" s="267" t="s">
        <v>1435</v>
      </c>
      <c r="H4" s="277">
        <v>25815</v>
      </c>
      <c r="I4" s="277">
        <v>0</v>
      </c>
      <c r="J4" s="277">
        <v>835798421</v>
      </c>
    </row>
    <row r="5" spans="1:10" s="358" customFormat="1" ht="20.100000000000001" customHeight="1">
      <c r="A5" s="267" t="s">
        <v>1425</v>
      </c>
      <c r="B5" s="357" t="s">
        <v>1426</v>
      </c>
      <c r="C5" s="267" t="s">
        <v>1427</v>
      </c>
      <c r="D5" s="267" t="s">
        <v>1428</v>
      </c>
      <c r="E5" s="267" t="s">
        <v>1429</v>
      </c>
      <c r="F5" s="267" t="s">
        <v>1436</v>
      </c>
      <c r="G5" s="267" t="s">
        <v>1437</v>
      </c>
      <c r="H5" s="277">
        <v>158739</v>
      </c>
      <c r="I5" s="277">
        <v>0</v>
      </c>
      <c r="J5" s="277">
        <v>835824236</v>
      </c>
    </row>
    <row r="6" spans="1:10" s="358" customFormat="1" ht="20.100000000000001" customHeight="1">
      <c r="A6" s="267" t="s">
        <v>1425</v>
      </c>
      <c r="B6" s="357" t="s">
        <v>1426</v>
      </c>
      <c r="C6" s="267" t="s">
        <v>1427</v>
      </c>
      <c r="D6" s="267" t="s">
        <v>1428</v>
      </c>
      <c r="E6" s="267" t="s">
        <v>1429</v>
      </c>
      <c r="F6" s="267" t="s">
        <v>1438</v>
      </c>
      <c r="G6" s="267" t="s">
        <v>1439</v>
      </c>
      <c r="H6" s="277">
        <v>282744</v>
      </c>
      <c r="I6" s="277">
        <v>0</v>
      </c>
      <c r="J6" s="277">
        <v>835982975</v>
      </c>
    </row>
    <row r="7" spans="1:10" s="358" customFormat="1" ht="20.100000000000001" customHeight="1">
      <c r="A7" s="267" t="s">
        <v>1425</v>
      </c>
      <c r="B7" s="357" t="s">
        <v>1426</v>
      </c>
      <c r="C7" s="267" t="s">
        <v>1427</v>
      </c>
      <c r="D7" s="267" t="s">
        <v>1428</v>
      </c>
      <c r="E7" s="267" t="s">
        <v>1429</v>
      </c>
      <c r="F7" s="267" t="s">
        <v>1440</v>
      </c>
      <c r="G7" s="267" t="s">
        <v>1437</v>
      </c>
      <c r="H7" s="277">
        <v>378278</v>
      </c>
      <c r="I7" s="277">
        <v>0</v>
      </c>
      <c r="J7" s="277">
        <v>836265719</v>
      </c>
    </row>
    <row r="8" spans="1:10" s="358" customFormat="1" ht="20.100000000000001" customHeight="1">
      <c r="A8" s="267" t="s">
        <v>1425</v>
      </c>
      <c r="B8" s="357" t="s">
        <v>1426</v>
      </c>
      <c r="C8" s="267" t="s">
        <v>1427</v>
      </c>
      <c r="D8" s="267" t="s">
        <v>1428</v>
      </c>
      <c r="E8" s="267" t="s">
        <v>1429</v>
      </c>
      <c r="F8" s="267" t="s">
        <v>1441</v>
      </c>
      <c r="G8" s="267" t="s">
        <v>1442</v>
      </c>
      <c r="H8" s="277">
        <v>433339</v>
      </c>
      <c r="I8" s="277">
        <v>0</v>
      </c>
      <c r="J8" s="277">
        <v>836643997</v>
      </c>
    </row>
    <row r="9" spans="1:10" s="358" customFormat="1" ht="20.100000000000001" customHeight="1">
      <c r="A9" s="267" t="s">
        <v>1425</v>
      </c>
      <c r="B9" s="357" t="s">
        <v>1426</v>
      </c>
      <c r="C9" s="267" t="s">
        <v>1427</v>
      </c>
      <c r="D9" s="267" t="s">
        <v>1428</v>
      </c>
      <c r="E9" s="267" t="s">
        <v>1429</v>
      </c>
      <c r="F9" s="267" t="s">
        <v>1443</v>
      </c>
      <c r="G9" s="267" t="s">
        <v>1437</v>
      </c>
      <c r="H9" s="277">
        <v>608992</v>
      </c>
      <c r="I9" s="277">
        <v>0</v>
      </c>
      <c r="J9" s="277">
        <v>837077336</v>
      </c>
    </row>
    <row r="10" spans="1:10" s="358" customFormat="1" ht="20.100000000000001" customHeight="1">
      <c r="A10" s="267" t="s">
        <v>1425</v>
      </c>
      <c r="B10" s="357" t="s">
        <v>1426</v>
      </c>
      <c r="C10" s="267" t="s">
        <v>1427</v>
      </c>
      <c r="D10" s="267" t="s">
        <v>1428</v>
      </c>
      <c r="E10" s="267" t="s">
        <v>1429</v>
      </c>
      <c r="F10" s="267" t="s">
        <v>1444</v>
      </c>
      <c r="G10" s="267" t="s">
        <v>1437</v>
      </c>
      <c r="H10" s="277">
        <v>678478</v>
      </c>
      <c r="I10" s="277">
        <v>0</v>
      </c>
      <c r="J10" s="277">
        <v>837686328</v>
      </c>
    </row>
    <row r="11" spans="1:10" s="358" customFormat="1" ht="20.100000000000001" customHeight="1">
      <c r="A11" s="267" t="s">
        <v>1425</v>
      </c>
      <c r="B11" s="357" t="s">
        <v>1426</v>
      </c>
      <c r="C11" s="267" t="s">
        <v>1427</v>
      </c>
      <c r="D11" s="267" t="s">
        <v>1428</v>
      </c>
      <c r="E11" s="267" t="s">
        <v>1429</v>
      </c>
      <c r="F11" s="267" t="s">
        <v>1445</v>
      </c>
      <c r="G11" s="267" t="s">
        <v>1437</v>
      </c>
      <c r="H11" s="277">
        <v>730164</v>
      </c>
      <c r="I11" s="277">
        <v>0</v>
      </c>
      <c r="J11" s="277">
        <v>838364806</v>
      </c>
    </row>
    <row r="12" spans="1:10" s="358" customFormat="1" ht="20.100000000000001" customHeight="1">
      <c r="A12" s="267" t="s">
        <v>1425</v>
      </c>
      <c r="B12" s="357" t="s">
        <v>1426</v>
      </c>
      <c r="C12" s="267" t="s">
        <v>1427</v>
      </c>
      <c r="D12" s="267" t="s">
        <v>1428</v>
      </c>
      <c r="E12" s="267" t="s">
        <v>1429</v>
      </c>
      <c r="F12" s="267" t="s">
        <v>1446</v>
      </c>
      <c r="G12" s="267" t="s">
        <v>1447</v>
      </c>
      <c r="H12" s="277">
        <v>1364519</v>
      </c>
      <c r="I12" s="277">
        <v>0</v>
      </c>
      <c r="J12" s="277">
        <v>839094970</v>
      </c>
    </row>
    <row r="13" spans="1:10" s="358" customFormat="1" ht="20.100000000000001" customHeight="1">
      <c r="A13" s="267" t="s">
        <v>1425</v>
      </c>
      <c r="B13" s="357" t="s">
        <v>1426</v>
      </c>
      <c r="C13" s="267" t="s">
        <v>1427</v>
      </c>
      <c r="D13" s="267" t="s">
        <v>1428</v>
      </c>
      <c r="E13" s="267" t="s">
        <v>1429</v>
      </c>
      <c r="F13" s="267" t="s">
        <v>1448</v>
      </c>
      <c r="G13" s="267" t="s">
        <v>1449</v>
      </c>
      <c r="H13" s="277">
        <v>1570800</v>
      </c>
      <c r="I13" s="277">
        <v>0</v>
      </c>
      <c r="J13" s="277">
        <v>840459489</v>
      </c>
    </row>
    <row r="14" spans="1:10" s="358" customFormat="1" ht="20.100000000000001" customHeight="1">
      <c r="A14" s="267" t="s">
        <v>1425</v>
      </c>
      <c r="B14" s="357" t="s">
        <v>1426</v>
      </c>
      <c r="C14" s="267" t="s">
        <v>1427</v>
      </c>
      <c r="D14" s="267" t="s">
        <v>1428</v>
      </c>
      <c r="E14" s="267" t="s">
        <v>1429</v>
      </c>
      <c r="F14" s="267" t="s">
        <v>1450</v>
      </c>
      <c r="G14" s="267" t="s">
        <v>1337</v>
      </c>
      <c r="H14" s="277">
        <v>2618000</v>
      </c>
      <c r="I14" s="277">
        <v>0</v>
      </c>
      <c r="J14" s="277">
        <v>842030289</v>
      </c>
    </row>
    <row r="15" spans="1:10" s="358" customFormat="1" ht="20.100000000000001" customHeight="1">
      <c r="A15" s="267" t="s">
        <v>1425</v>
      </c>
      <c r="B15" s="357" t="s">
        <v>1426</v>
      </c>
      <c r="C15" s="267" t="s">
        <v>1427</v>
      </c>
      <c r="D15" s="267" t="s">
        <v>1428</v>
      </c>
      <c r="E15" s="267" t="s">
        <v>1429</v>
      </c>
      <c r="F15" s="267" t="s">
        <v>1451</v>
      </c>
      <c r="G15" s="267" t="s">
        <v>1452</v>
      </c>
      <c r="H15" s="277">
        <v>51914416</v>
      </c>
      <c r="I15" s="277">
        <v>0</v>
      </c>
      <c r="J15" s="277">
        <v>844648289</v>
      </c>
    </row>
    <row r="16" spans="1:10" s="358" customFormat="1" ht="20.100000000000001" customHeight="1">
      <c r="A16" s="267" t="s">
        <v>1425</v>
      </c>
      <c r="B16" s="357" t="s">
        <v>1426</v>
      </c>
      <c r="C16" s="267" t="s">
        <v>1427</v>
      </c>
      <c r="D16" s="267" t="s">
        <v>1428</v>
      </c>
      <c r="E16" s="267" t="s">
        <v>1429</v>
      </c>
      <c r="F16" s="267" t="s">
        <v>1453</v>
      </c>
      <c r="G16" s="267" t="s">
        <v>1454</v>
      </c>
      <c r="H16" s="277">
        <v>0</v>
      </c>
      <c r="I16" s="277">
        <v>30</v>
      </c>
      <c r="J16" s="277">
        <v>896562705</v>
      </c>
    </row>
    <row r="17" spans="1:10" s="358" customFormat="1" ht="20.100000000000001" customHeight="1">
      <c r="A17" s="267" t="s">
        <v>1425</v>
      </c>
      <c r="B17" s="357" t="s">
        <v>1426</v>
      </c>
      <c r="C17" s="267" t="s">
        <v>1427</v>
      </c>
      <c r="D17" s="267" t="s">
        <v>1428</v>
      </c>
      <c r="E17" s="267" t="s">
        <v>1429</v>
      </c>
      <c r="F17" s="267" t="s">
        <v>1455</v>
      </c>
      <c r="G17" s="267" t="s">
        <v>1456</v>
      </c>
      <c r="H17" s="277">
        <v>0</v>
      </c>
      <c r="I17" s="277">
        <v>212355</v>
      </c>
      <c r="J17" s="277">
        <v>896562675</v>
      </c>
    </row>
    <row r="18" spans="1:10" s="358" customFormat="1" ht="20.100000000000001" customHeight="1">
      <c r="A18" s="267" t="s">
        <v>1425</v>
      </c>
      <c r="B18" s="357" t="s">
        <v>1426</v>
      </c>
      <c r="C18" s="267" t="s">
        <v>1427</v>
      </c>
      <c r="D18" s="267" t="s">
        <v>1428</v>
      </c>
      <c r="E18" s="267" t="s">
        <v>1429</v>
      </c>
      <c r="F18" s="267" t="s">
        <v>1455</v>
      </c>
      <c r="G18" s="267" t="s">
        <v>1456</v>
      </c>
      <c r="H18" s="277">
        <v>0</v>
      </c>
      <c r="I18" s="277">
        <v>2595206</v>
      </c>
      <c r="J18" s="277">
        <v>896350320</v>
      </c>
    </row>
    <row r="19" spans="1:10" s="358" customFormat="1" ht="20.100000000000001" customHeight="1">
      <c r="A19" s="267" t="s">
        <v>1425</v>
      </c>
      <c r="B19" s="357" t="s">
        <v>1426</v>
      </c>
      <c r="C19" s="267" t="s">
        <v>1427</v>
      </c>
      <c r="D19" s="267" t="s">
        <v>1428</v>
      </c>
      <c r="E19" s="267" t="s">
        <v>1429</v>
      </c>
      <c r="F19" s="267" t="s">
        <v>1457</v>
      </c>
      <c r="G19" s="267" t="s">
        <v>1458</v>
      </c>
      <c r="H19" s="277">
        <v>0</v>
      </c>
      <c r="I19" s="277">
        <v>8428373</v>
      </c>
      <c r="J19" s="277">
        <v>893755114</v>
      </c>
    </row>
    <row r="20" spans="1:10" s="358" customFormat="1" ht="20.100000000000001" customHeight="1">
      <c r="A20" s="267" t="s">
        <v>1425</v>
      </c>
      <c r="B20" s="357" t="s">
        <v>1426</v>
      </c>
      <c r="C20" s="267" t="s">
        <v>1427</v>
      </c>
      <c r="D20" s="267" t="s">
        <v>1428</v>
      </c>
      <c r="E20" s="267" t="s">
        <v>1429</v>
      </c>
      <c r="F20" s="267" t="s">
        <v>1453</v>
      </c>
      <c r="G20" s="267" t="s">
        <v>1459</v>
      </c>
      <c r="H20" s="277">
        <v>0</v>
      </c>
      <c r="I20" s="277">
        <v>429000</v>
      </c>
      <c r="J20" s="277">
        <v>885326741</v>
      </c>
    </row>
    <row r="21" spans="1:10" s="358" customFormat="1" ht="20.100000000000001" customHeight="1">
      <c r="A21" s="267" t="s">
        <v>1460</v>
      </c>
      <c r="B21" s="357" t="s">
        <v>1426</v>
      </c>
      <c r="C21" s="267" t="s">
        <v>1427</v>
      </c>
      <c r="D21" s="267" t="s">
        <v>1428</v>
      </c>
      <c r="E21" s="267" t="s">
        <v>1429</v>
      </c>
      <c r="F21" s="267" t="s">
        <v>1453</v>
      </c>
      <c r="G21" s="267" t="s">
        <v>1454</v>
      </c>
      <c r="H21" s="277">
        <v>0</v>
      </c>
      <c r="I21" s="277">
        <v>128550</v>
      </c>
      <c r="J21" s="277">
        <v>884897741</v>
      </c>
    </row>
    <row r="22" spans="1:10" s="358" customFormat="1" ht="20.100000000000001" customHeight="1">
      <c r="A22" s="267" t="s">
        <v>1460</v>
      </c>
      <c r="B22" s="357" t="s">
        <v>1426</v>
      </c>
      <c r="C22" s="267" t="s">
        <v>1427</v>
      </c>
      <c r="D22" s="267" t="s">
        <v>1428</v>
      </c>
      <c r="E22" s="267" t="s">
        <v>1429</v>
      </c>
      <c r="F22" s="267" t="s">
        <v>1457</v>
      </c>
      <c r="G22" s="267" t="s">
        <v>1458</v>
      </c>
      <c r="H22" s="277">
        <v>0</v>
      </c>
      <c r="I22" s="277">
        <v>2530810</v>
      </c>
      <c r="J22" s="277">
        <v>884769191</v>
      </c>
    </row>
    <row r="23" spans="1:10" s="358" customFormat="1" ht="20.100000000000001" customHeight="1">
      <c r="A23" s="267" t="s">
        <v>1460</v>
      </c>
      <c r="B23" s="357" t="s">
        <v>1426</v>
      </c>
      <c r="C23" s="267" t="s">
        <v>1427</v>
      </c>
      <c r="D23" s="267" t="s">
        <v>1428</v>
      </c>
      <c r="E23" s="267" t="s">
        <v>1429</v>
      </c>
      <c r="F23" s="267" t="s">
        <v>1451</v>
      </c>
      <c r="G23" s="267" t="s">
        <v>1461</v>
      </c>
      <c r="H23" s="277">
        <v>15389675</v>
      </c>
      <c r="I23" s="277">
        <v>0</v>
      </c>
      <c r="J23" s="277">
        <v>882238381</v>
      </c>
    </row>
    <row r="24" spans="1:10" s="358" customFormat="1" ht="20.100000000000001" customHeight="1">
      <c r="A24" s="267" t="s">
        <v>1462</v>
      </c>
      <c r="B24" s="357" t="s">
        <v>1426</v>
      </c>
      <c r="C24" s="267" t="s">
        <v>1427</v>
      </c>
      <c r="D24" s="267" t="s">
        <v>1428</v>
      </c>
      <c r="E24" s="267" t="s">
        <v>1429</v>
      </c>
      <c r="F24" s="267" t="s">
        <v>1463</v>
      </c>
      <c r="G24" s="267" t="s">
        <v>1271</v>
      </c>
      <c r="H24" s="277">
        <v>13999</v>
      </c>
      <c r="I24" s="277">
        <v>0</v>
      </c>
      <c r="J24" s="277">
        <v>897628056</v>
      </c>
    </row>
    <row r="25" spans="1:10" s="358" customFormat="1" ht="20.100000000000001" customHeight="1">
      <c r="A25" s="267" t="s">
        <v>1462</v>
      </c>
      <c r="B25" s="357" t="s">
        <v>1426</v>
      </c>
      <c r="C25" s="267" t="s">
        <v>1427</v>
      </c>
      <c r="D25" s="267" t="s">
        <v>1428</v>
      </c>
      <c r="E25" s="267" t="s">
        <v>1429</v>
      </c>
      <c r="F25" s="267" t="s">
        <v>1464</v>
      </c>
      <c r="G25" s="267" t="s">
        <v>1465</v>
      </c>
      <c r="H25" s="277">
        <v>240000</v>
      </c>
      <c r="I25" s="277">
        <v>0</v>
      </c>
      <c r="J25" s="277">
        <v>897642055</v>
      </c>
    </row>
    <row r="26" spans="1:10" s="358" customFormat="1" ht="20.100000000000001" customHeight="1">
      <c r="A26" s="267" t="s">
        <v>1462</v>
      </c>
      <c r="B26" s="357" t="s">
        <v>1426</v>
      </c>
      <c r="C26" s="267" t="s">
        <v>1427</v>
      </c>
      <c r="D26" s="267" t="s">
        <v>1428</v>
      </c>
      <c r="E26" s="267" t="s">
        <v>1429</v>
      </c>
      <c r="F26" s="267" t="s">
        <v>1466</v>
      </c>
      <c r="G26" s="267" t="s">
        <v>1467</v>
      </c>
      <c r="H26" s="277">
        <v>333319</v>
      </c>
      <c r="I26" s="277">
        <v>0</v>
      </c>
      <c r="J26" s="277">
        <v>897882055</v>
      </c>
    </row>
    <row r="27" spans="1:10" s="358" customFormat="1" ht="20.100000000000001" customHeight="1">
      <c r="A27" s="267" t="s">
        <v>1462</v>
      </c>
      <c r="B27" s="357" t="s">
        <v>1426</v>
      </c>
      <c r="C27" s="267" t="s">
        <v>1427</v>
      </c>
      <c r="D27" s="267" t="s">
        <v>1428</v>
      </c>
      <c r="E27" s="267" t="s">
        <v>1429</v>
      </c>
      <c r="F27" s="267" t="s">
        <v>1468</v>
      </c>
      <c r="G27" s="267" t="s">
        <v>1469</v>
      </c>
      <c r="H27" s="277">
        <v>437500</v>
      </c>
      <c r="I27" s="277">
        <v>0</v>
      </c>
      <c r="J27" s="277">
        <v>898215374</v>
      </c>
    </row>
    <row r="28" spans="1:10" s="358" customFormat="1" ht="20.100000000000001" customHeight="1">
      <c r="A28" s="267" t="s">
        <v>1462</v>
      </c>
      <c r="B28" s="357" t="s">
        <v>1426</v>
      </c>
      <c r="C28" s="267" t="s">
        <v>1427</v>
      </c>
      <c r="D28" s="267" t="s">
        <v>1428</v>
      </c>
      <c r="E28" s="267" t="s">
        <v>1429</v>
      </c>
      <c r="F28" s="267" t="s">
        <v>1470</v>
      </c>
      <c r="G28" s="267" t="s">
        <v>1471</v>
      </c>
      <c r="H28" s="277">
        <v>779277</v>
      </c>
      <c r="I28" s="277">
        <v>0</v>
      </c>
      <c r="J28" s="277">
        <v>898652874</v>
      </c>
    </row>
    <row r="29" spans="1:10" s="358" customFormat="1" ht="20.100000000000001" customHeight="1">
      <c r="A29" s="267" t="s">
        <v>1462</v>
      </c>
      <c r="B29" s="357" t="s">
        <v>1426</v>
      </c>
      <c r="C29" s="267" t="s">
        <v>1427</v>
      </c>
      <c r="D29" s="267" t="s">
        <v>1428</v>
      </c>
      <c r="E29" s="267" t="s">
        <v>1429</v>
      </c>
      <c r="F29" s="267" t="s">
        <v>1472</v>
      </c>
      <c r="G29" s="267" t="s">
        <v>1473</v>
      </c>
      <c r="H29" s="277">
        <v>1190000</v>
      </c>
      <c r="I29" s="277">
        <v>0</v>
      </c>
      <c r="J29" s="277">
        <v>899432151</v>
      </c>
    </row>
    <row r="30" spans="1:10" s="358" customFormat="1" ht="20.100000000000001" customHeight="1">
      <c r="A30" s="267" t="s">
        <v>1462</v>
      </c>
      <c r="B30" s="357" t="s">
        <v>1426</v>
      </c>
      <c r="C30" s="267" t="s">
        <v>1427</v>
      </c>
      <c r="D30" s="267" t="s">
        <v>1428</v>
      </c>
      <c r="E30" s="267" t="s">
        <v>1429</v>
      </c>
      <c r="F30" s="267" t="s">
        <v>1474</v>
      </c>
      <c r="G30" s="267" t="s">
        <v>1475</v>
      </c>
      <c r="H30" s="277">
        <v>1235000</v>
      </c>
      <c r="I30" s="277">
        <v>0</v>
      </c>
      <c r="J30" s="277">
        <v>900622151</v>
      </c>
    </row>
    <row r="31" spans="1:10" s="358" customFormat="1" ht="20.100000000000001" customHeight="1">
      <c r="A31" s="267" t="s">
        <v>1462</v>
      </c>
      <c r="B31" s="357" t="s">
        <v>1426</v>
      </c>
      <c r="C31" s="267" t="s">
        <v>1427</v>
      </c>
      <c r="D31" s="267" t="s">
        <v>1428</v>
      </c>
      <c r="E31" s="267" t="s">
        <v>1429</v>
      </c>
      <c r="F31" s="267" t="s">
        <v>1476</v>
      </c>
      <c r="G31" s="267" t="s">
        <v>1477</v>
      </c>
      <c r="H31" s="277">
        <v>1400000</v>
      </c>
      <c r="I31" s="277">
        <v>0</v>
      </c>
      <c r="J31" s="277">
        <v>901857151</v>
      </c>
    </row>
    <row r="32" spans="1:10" s="358" customFormat="1" ht="20.100000000000001" customHeight="1">
      <c r="A32" s="267" t="s">
        <v>1462</v>
      </c>
      <c r="B32" s="357" t="s">
        <v>1426</v>
      </c>
      <c r="C32" s="267" t="s">
        <v>1427</v>
      </c>
      <c r="D32" s="267" t="s">
        <v>1428</v>
      </c>
      <c r="E32" s="267" t="s">
        <v>1429</v>
      </c>
      <c r="F32" s="267" t="s">
        <v>1478</v>
      </c>
      <c r="G32" s="267" t="s">
        <v>1479</v>
      </c>
      <c r="H32" s="277">
        <v>1572288</v>
      </c>
      <c r="I32" s="277">
        <v>0</v>
      </c>
      <c r="J32" s="277">
        <v>903257151</v>
      </c>
    </row>
    <row r="33" spans="1:10" s="358" customFormat="1" ht="20.100000000000001" customHeight="1">
      <c r="A33" s="267" t="s">
        <v>1462</v>
      </c>
      <c r="B33" s="357" t="s">
        <v>1426</v>
      </c>
      <c r="C33" s="267" t="s">
        <v>1427</v>
      </c>
      <c r="D33" s="267" t="s">
        <v>1428</v>
      </c>
      <c r="E33" s="267" t="s">
        <v>1429</v>
      </c>
      <c r="F33" s="267" t="s">
        <v>1480</v>
      </c>
      <c r="G33" s="267" t="s">
        <v>1481</v>
      </c>
      <c r="H33" s="277">
        <v>1850003</v>
      </c>
      <c r="I33" s="277">
        <v>0</v>
      </c>
      <c r="J33" s="277">
        <v>904829439</v>
      </c>
    </row>
    <row r="34" spans="1:10" s="358" customFormat="1" ht="20.100000000000001" customHeight="1">
      <c r="A34" s="267" t="s">
        <v>1462</v>
      </c>
      <c r="B34" s="357" t="s">
        <v>1426</v>
      </c>
      <c r="C34" s="267" t="s">
        <v>1427</v>
      </c>
      <c r="D34" s="267" t="s">
        <v>1428</v>
      </c>
      <c r="E34" s="267" t="s">
        <v>1429</v>
      </c>
      <c r="F34" s="267" t="s">
        <v>1482</v>
      </c>
      <c r="G34" s="267" t="s">
        <v>1483</v>
      </c>
      <c r="H34" s="277">
        <v>2354266</v>
      </c>
      <c r="I34" s="277">
        <v>0</v>
      </c>
      <c r="J34" s="277">
        <v>906679442</v>
      </c>
    </row>
    <row r="35" spans="1:10" s="358" customFormat="1" ht="20.100000000000001" customHeight="1">
      <c r="A35" s="267" t="s">
        <v>1462</v>
      </c>
      <c r="B35" s="357" t="s">
        <v>1426</v>
      </c>
      <c r="C35" s="267" t="s">
        <v>1427</v>
      </c>
      <c r="D35" s="267" t="s">
        <v>1428</v>
      </c>
      <c r="E35" s="267" t="s">
        <v>1429</v>
      </c>
      <c r="F35" s="267" t="s">
        <v>1484</v>
      </c>
      <c r="G35" s="267" t="s">
        <v>1485</v>
      </c>
      <c r="H35" s="277">
        <v>3391500</v>
      </c>
      <c r="I35" s="277">
        <v>0</v>
      </c>
      <c r="J35" s="277">
        <v>909033708</v>
      </c>
    </row>
    <row r="36" spans="1:10" s="358" customFormat="1" ht="20.100000000000001" customHeight="1">
      <c r="A36" s="267" t="s">
        <v>1462</v>
      </c>
      <c r="B36" s="357" t="s">
        <v>1426</v>
      </c>
      <c r="C36" s="267" t="s">
        <v>1427</v>
      </c>
      <c r="D36" s="267" t="s">
        <v>1428</v>
      </c>
      <c r="E36" s="267" t="s">
        <v>1429</v>
      </c>
      <c r="F36" s="267" t="s">
        <v>1486</v>
      </c>
      <c r="G36" s="267" t="s">
        <v>1485</v>
      </c>
      <c r="H36" s="277">
        <v>3391500</v>
      </c>
      <c r="I36" s="277">
        <v>0</v>
      </c>
      <c r="J36" s="277">
        <v>912425208</v>
      </c>
    </row>
    <row r="37" spans="1:10" s="358" customFormat="1" ht="20.100000000000001" customHeight="1">
      <c r="A37" s="267" t="s">
        <v>1462</v>
      </c>
      <c r="B37" s="357" t="s">
        <v>1426</v>
      </c>
      <c r="C37" s="267" t="s">
        <v>1427</v>
      </c>
      <c r="D37" s="267" t="s">
        <v>1428</v>
      </c>
      <c r="E37" s="267" t="s">
        <v>1429</v>
      </c>
      <c r="F37" s="267" t="s">
        <v>1487</v>
      </c>
      <c r="G37" s="267" t="s">
        <v>1488</v>
      </c>
      <c r="H37" s="277">
        <v>0</v>
      </c>
      <c r="I37" s="277">
        <v>83068</v>
      </c>
      <c r="J37" s="277">
        <v>915816708</v>
      </c>
    </row>
    <row r="38" spans="1:10" s="358" customFormat="1" ht="20.100000000000001" customHeight="1">
      <c r="A38" s="267" t="s">
        <v>1462</v>
      </c>
      <c r="B38" s="357" t="s">
        <v>1426</v>
      </c>
      <c r="C38" s="267" t="s">
        <v>1427</v>
      </c>
      <c r="D38" s="267" t="s">
        <v>1428</v>
      </c>
      <c r="E38" s="267" t="s">
        <v>1429</v>
      </c>
      <c r="F38" s="267" t="s">
        <v>1489</v>
      </c>
      <c r="G38" s="267" t="s">
        <v>1488</v>
      </c>
      <c r="H38" s="277">
        <v>0</v>
      </c>
      <c r="I38" s="277">
        <v>350000</v>
      </c>
      <c r="J38" s="277">
        <v>915733640</v>
      </c>
    </row>
    <row r="39" spans="1:10" s="358" customFormat="1" ht="20.100000000000001" customHeight="1">
      <c r="A39" s="267" t="s">
        <v>1462</v>
      </c>
      <c r="B39" s="357" t="s">
        <v>1426</v>
      </c>
      <c r="C39" s="267" t="s">
        <v>1427</v>
      </c>
      <c r="D39" s="267" t="s">
        <v>1428</v>
      </c>
      <c r="E39" s="267" t="s">
        <v>1429</v>
      </c>
      <c r="F39" s="267" t="s">
        <v>1457</v>
      </c>
      <c r="G39" s="267" t="s">
        <v>1458</v>
      </c>
      <c r="H39" s="277">
        <v>0</v>
      </c>
      <c r="I39" s="277">
        <v>4019380</v>
      </c>
      <c r="J39" s="277">
        <v>915383640</v>
      </c>
    </row>
    <row r="40" spans="1:10" s="358" customFormat="1" ht="20.100000000000001" customHeight="1">
      <c r="A40" s="267" t="s">
        <v>1462</v>
      </c>
      <c r="B40" s="357" t="s">
        <v>1426</v>
      </c>
      <c r="C40" s="267" t="s">
        <v>1427</v>
      </c>
      <c r="D40" s="267" t="s">
        <v>1428</v>
      </c>
      <c r="E40" s="267" t="s">
        <v>1429</v>
      </c>
      <c r="F40" s="267" t="s">
        <v>1451</v>
      </c>
      <c r="G40" s="267" t="s">
        <v>1490</v>
      </c>
      <c r="H40" s="277">
        <v>249250</v>
      </c>
      <c r="I40" s="277">
        <v>0</v>
      </c>
      <c r="J40" s="277">
        <v>911364260</v>
      </c>
    </row>
    <row r="41" spans="1:10" s="358" customFormat="1" ht="20.100000000000001" customHeight="1">
      <c r="A41" s="267" t="s">
        <v>1491</v>
      </c>
      <c r="B41" s="357" t="s">
        <v>1426</v>
      </c>
      <c r="C41" s="267" t="s">
        <v>1427</v>
      </c>
      <c r="D41" s="267" t="s">
        <v>1428</v>
      </c>
      <c r="E41" s="267" t="s">
        <v>1429</v>
      </c>
      <c r="F41" s="267" t="s">
        <v>1492</v>
      </c>
      <c r="G41" s="267" t="s">
        <v>1493</v>
      </c>
      <c r="H41" s="277">
        <v>52663</v>
      </c>
      <c r="I41" s="277">
        <v>0</v>
      </c>
      <c r="J41" s="277">
        <v>911613510</v>
      </c>
    </row>
    <row r="42" spans="1:10" s="358" customFormat="1" ht="20.100000000000001" customHeight="1">
      <c r="A42" s="267" t="s">
        <v>1491</v>
      </c>
      <c r="B42" s="357" t="s">
        <v>1426</v>
      </c>
      <c r="C42" s="267" t="s">
        <v>1427</v>
      </c>
      <c r="D42" s="267" t="s">
        <v>1428</v>
      </c>
      <c r="E42" s="267" t="s">
        <v>1429</v>
      </c>
      <c r="F42" s="267" t="s">
        <v>1494</v>
      </c>
      <c r="G42" s="267" t="s">
        <v>1495</v>
      </c>
      <c r="H42" s="277">
        <v>56097</v>
      </c>
      <c r="I42" s="277">
        <v>0</v>
      </c>
      <c r="J42" s="277">
        <v>911666173</v>
      </c>
    </row>
    <row r="43" spans="1:10" s="358" customFormat="1" ht="20.100000000000001" customHeight="1">
      <c r="A43" s="267" t="s">
        <v>1491</v>
      </c>
      <c r="B43" s="357" t="s">
        <v>1426</v>
      </c>
      <c r="C43" s="267" t="s">
        <v>1427</v>
      </c>
      <c r="D43" s="267" t="s">
        <v>1428</v>
      </c>
      <c r="E43" s="267" t="s">
        <v>1429</v>
      </c>
      <c r="F43" s="267" t="s">
        <v>1496</v>
      </c>
      <c r="G43" s="267" t="s">
        <v>1497</v>
      </c>
      <c r="H43" s="277">
        <v>534559</v>
      </c>
      <c r="I43" s="277">
        <v>0</v>
      </c>
      <c r="J43" s="277">
        <v>911722270</v>
      </c>
    </row>
    <row r="44" spans="1:10" s="358" customFormat="1" ht="20.100000000000001" customHeight="1">
      <c r="A44" s="267" t="s">
        <v>1491</v>
      </c>
      <c r="B44" s="357" t="s">
        <v>1426</v>
      </c>
      <c r="C44" s="267" t="s">
        <v>1427</v>
      </c>
      <c r="D44" s="267" t="s">
        <v>1428</v>
      </c>
      <c r="E44" s="267" t="s">
        <v>1429</v>
      </c>
      <c r="F44" s="267" t="s">
        <v>1498</v>
      </c>
      <c r="G44" s="267" t="s">
        <v>1499</v>
      </c>
      <c r="H44" s="277">
        <v>600000</v>
      </c>
      <c r="I44" s="277">
        <v>0</v>
      </c>
      <c r="J44" s="277">
        <v>912256829</v>
      </c>
    </row>
    <row r="45" spans="1:10" s="358" customFormat="1" ht="20.100000000000001" customHeight="1">
      <c r="A45" s="267" t="s">
        <v>1491</v>
      </c>
      <c r="B45" s="357" t="s">
        <v>1426</v>
      </c>
      <c r="C45" s="267" t="s">
        <v>1427</v>
      </c>
      <c r="D45" s="267" t="s">
        <v>1428</v>
      </c>
      <c r="E45" s="267" t="s">
        <v>1429</v>
      </c>
      <c r="F45" s="267" t="s">
        <v>1500</v>
      </c>
      <c r="G45" s="267" t="s">
        <v>1501</v>
      </c>
      <c r="H45" s="277">
        <v>1487170</v>
      </c>
      <c r="I45" s="277">
        <v>0</v>
      </c>
      <c r="J45" s="277">
        <v>912856829</v>
      </c>
    </row>
    <row r="46" spans="1:10" s="358" customFormat="1" ht="20.100000000000001" customHeight="1">
      <c r="A46" s="267" t="s">
        <v>1491</v>
      </c>
      <c r="B46" s="357" t="s">
        <v>1426</v>
      </c>
      <c r="C46" s="267" t="s">
        <v>1427</v>
      </c>
      <c r="D46" s="267" t="s">
        <v>1428</v>
      </c>
      <c r="E46" s="267" t="s">
        <v>1429</v>
      </c>
      <c r="F46" s="267" t="s">
        <v>1502</v>
      </c>
      <c r="G46" s="267" t="s">
        <v>1503</v>
      </c>
      <c r="H46" s="277">
        <v>1666000</v>
      </c>
      <c r="I46" s="277">
        <v>0</v>
      </c>
      <c r="J46" s="277">
        <v>914343999</v>
      </c>
    </row>
    <row r="47" spans="1:10" s="358" customFormat="1" ht="20.100000000000001" customHeight="1">
      <c r="A47" s="267" t="s">
        <v>1491</v>
      </c>
      <c r="B47" s="357" t="s">
        <v>1426</v>
      </c>
      <c r="C47" s="267" t="s">
        <v>1427</v>
      </c>
      <c r="D47" s="267" t="s">
        <v>1428</v>
      </c>
      <c r="E47" s="267" t="s">
        <v>1429</v>
      </c>
      <c r="F47" s="267" t="s">
        <v>1504</v>
      </c>
      <c r="G47" s="267" t="s">
        <v>1505</v>
      </c>
      <c r="H47" s="277">
        <v>2060000</v>
      </c>
      <c r="I47" s="277">
        <v>0</v>
      </c>
      <c r="J47" s="277">
        <v>916009999</v>
      </c>
    </row>
    <row r="48" spans="1:10" s="358" customFormat="1" ht="20.100000000000001" customHeight="1">
      <c r="A48" s="267" t="s">
        <v>1491</v>
      </c>
      <c r="B48" s="357" t="s">
        <v>1426</v>
      </c>
      <c r="C48" s="267" t="s">
        <v>1427</v>
      </c>
      <c r="D48" s="267" t="s">
        <v>1428</v>
      </c>
      <c r="E48" s="267" t="s">
        <v>1429</v>
      </c>
      <c r="F48" s="267" t="s">
        <v>1506</v>
      </c>
      <c r="G48" s="267" t="s">
        <v>1507</v>
      </c>
      <c r="H48" s="277">
        <v>2400000</v>
      </c>
      <c r="I48" s="277">
        <v>0</v>
      </c>
      <c r="J48" s="277">
        <v>918069999</v>
      </c>
    </row>
    <row r="49" spans="1:10" s="358" customFormat="1" ht="20.100000000000001" customHeight="1">
      <c r="A49" s="267" t="s">
        <v>1491</v>
      </c>
      <c r="B49" s="357" t="s">
        <v>1426</v>
      </c>
      <c r="C49" s="267" t="s">
        <v>1427</v>
      </c>
      <c r="D49" s="267" t="s">
        <v>1428</v>
      </c>
      <c r="E49" s="267" t="s">
        <v>1429</v>
      </c>
      <c r="F49" s="267" t="s">
        <v>1508</v>
      </c>
      <c r="G49" s="267" t="s">
        <v>1509</v>
      </c>
      <c r="H49" s="277">
        <v>3570000</v>
      </c>
      <c r="I49" s="277">
        <v>0</v>
      </c>
      <c r="J49" s="277">
        <v>920469999</v>
      </c>
    </row>
    <row r="50" spans="1:10" s="358" customFormat="1" ht="20.100000000000001" customHeight="1">
      <c r="A50" s="267" t="s">
        <v>1491</v>
      </c>
      <c r="B50" s="357" t="s">
        <v>1426</v>
      </c>
      <c r="C50" s="267" t="s">
        <v>1427</v>
      </c>
      <c r="D50" s="267" t="s">
        <v>1428</v>
      </c>
      <c r="E50" s="267" t="s">
        <v>1429</v>
      </c>
      <c r="F50" s="267" t="s">
        <v>1510</v>
      </c>
      <c r="G50" s="267" t="s">
        <v>1509</v>
      </c>
      <c r="H50" s="277">
        <v>3570000</v>
      </c>
      <c r="I50" s="277">
        <v>0</v>
      </c>
      <c r="J50" s="277">
        <v>924039999</v>
      </c>
    </row>
    <row r="51" spans="1:10" s="358" customFormat="1" ht="20.100000000000001" customHeight="1">
      <c r="A51" s="267" t="s">
        <v>1491</v>
      </c>
      <c r="B51" s="357" t="s">
        <v>1426</v>
      </c>
      <c r="C51" s="267" t="s">
        <v>1427</v>
      </c>
      <c r="D51" s="267" t="s">
        <v>1428</v>
      </c>
      <c r="E51" s="267" t="s">
        <v>1429</v>
      </c>
      <c r="F51" s="267" t="s">
        <v>1457</v>
      </c>
      <c r="G51" s="267" t="s">
        <v>1458</v>
      </c>
      <c r="H51" s="277">
        <v>0</v>
      </c>
      <c r="I51" s="277">
        <v>1912555</v>
      </c>
      <c r="J51" s="277">
        <v>927609999</v>
      </c>
    </row>
    <row r="52" spans="1:10" s="358" customFormat="1" ht="20.100000000000001" customHeight="1">
      <c r="A52" s="267" t="s">
        <v>1511</v>
      </c>
      <c r="B52" s="357" t="s">
        <v>1426</v>
      </c>
      <c r="C52" s="267" t="s">
        <v>1427</v>
      </c>
      <c r="D52" s="267" t="s">
        <v>1428</v>
      </c>
      <c r="E52" s="267" t="s">
        <v>1429</v>
      </c>
      <c r="F52" s="267" t="s">
        <v>1512</v>
      </c>
      <c r="G52" s="267" t="s">
        <v>1513</v>
      </c>
      <c r="H52" s="277">
        <v>0</v>
      </c>
      <c r="I52" s="277">
        <v>242427</v>
      </c>
      <c r="J52" s="277">
        <v>925697444</v>
      </c>
    </row>
    <row r="53" spans="1:10" s="358" customFormat="1" ht="20.100000000000001" customHeight="1">
      <c r="A53" s="267" t="s">
        <v>1511</v>
      </c>
      <c r="B53" s="357" t="s">
        <v>1426</v>
      </c>
      <c r="C53" s="267" t="s">
        <v>1427</v>
      </c>
      <c r="D53" s="267" t="s">
        <v>1428</v>
      </c>
      <c r="E53" s="267" t="s">
        <v>1429</v>
      </c>
      <c r="F53" s="267" t="s">
        <v>1457</v>
      </c>
      <c r="G53" s="267" t="s">
        <v>1458</v>
      </c>
      <c r="H53" s="277">
        <v>0</v>
      </c>
      <c r="I53" s="277">
        <v>4711911</v>
      </c>
      <c r="J53" s="277">
        <v>925455017</v>
      </c>
    </row>
    <row r="54" spans="1:10" s="358" customFormat="1" ht="20.100000000000001" customHeight="1">
      <c r="A54" s="267" t="s">
        <v>1514</v>
      </c>
      <c r="B54" s="357" t="s">
        <v>1426</v>
      </c>
      <c r="C54" s="267" t="s">
        <v>1427</v>
      </c>
      <c r="D54" s="267" t="s">
        <v>1428</v>
      </c>
      <c r="E54" s="267" t="s">
        <v>1429</v>
      </c>
      <c r="F54" s="267" t="s">
        <v>1515</v>
      </c>
      <c r="G54" s="267" t="s">
        <v>1516</v>
      </c>
      <c r="H54" s="277">
        <v>19201</v>
      </c>
      <c r="I54" s="277">
        <v>0</v>
      </c>
      <c r="J54" s="277">
        <v>920743106</v>
      </c>
    </row>
    <row r="55" spans="1:10" s="358" customFormat="1" ht="20.100000000000001" customHeight="1">
      <c r="A55" s="267" t="s">
        <v>1514</v>
      </c>
      <c r="B55" s="357" t="s">
        <v>1426</v>
      </c>
      <c r="C55" s="267" t="s">
        <v>1427</v>
      </c>
      <c r="D55" s="267" t="s">
        <v>1428</v>
      </c>
      <c r="E55" s="267" t="s">
        <v>1429</v>
      </c>
      <c r="F55" s="267" t="s">
        <v>1517</v>
      </c>
      <c r="G55" s="267" t="s">
        <v>1518</v>
      </c>
      <c r="H55" s="277">
        <v>479960</v>
      </c>
      <c r="I55" s="277">
        <v>0</v>
      </c>
      <c r="J55" s="277">
        <v>920762307</v>
      </c>
    </row>
    <row r="56" spans="1:10" s="358" customFormat="1" ht="20.100000000000001" customHeight="1">
      <c r="A56" s="267" t="s">
        <v>1514</v>
      </c>
      <c r="B56" s="357" t="s">
        <v>1426</v>
      </c>
      <c r="C56" s="267" t="s">
        <v>1427</v>
      </c>
      <c r="D56" s="267" t="s">
        <v>1428</v>
      </c>
      <c r="E56" s="267" t="s">
        <v>1429</v>
      </c>
      <c r="F56" s="267" t="s">
        <v>1519</v>
      </c>
      <c r="G56" s="267" t="s">
        <v>1520</v>
      </c>
      <c r="H56" s="277">
        <v>632491</v>
      </c>
      <c r="I56" s="277">
        <v>0</v>
      </c>
      <c r="J56" s="277">
        <v>921242267</v>
      </c>
    </row>
    <row r="57" spans="1:10" s="358" customFormat="1" ht="20.100000000000001" customHeight="1">
      <c r="A57" s="267" t="s">
        <v>1514</v>
      </c>
      <c r="B57" s="357" t="s">
        <v>1426</v>
      </c>
      <c r="C57" s="267" t="s">
        <v>1427</v>
      </c>
      <c r="D57" s="267" t="s">
        <v>1428</v>
      </c>
      <c r="E57" s="267" t="s">
        <v>1429</v>
      </c>
      <c r="F57" s="267" t="s">
        <v>1451</v>
      </c>
      <c r="G57" s="267" t="s">
        <v>1521</v>
      </c>
      <c r="H57" s="277">
        <v>650474</v>
      </c>
      <c r="I57" s="277">
        <v>0</v>
      </c>
      <c r="J57" s="277">
        <v>921874758</v>
      </c>
    </row>
    <row r="58" spans="1:10" s="358" customFormat="1" ht="20.100000000000001" customHeight="1">
      <c r="A58" s="267" t="s">
        <v>1514</v>
      </c>
      <c r="B58" s="357" t="s">
        <v>1426</v>
      </c>
      <c r="C58" s="267" t="s">
        <v>1427</v>
      </c>
      <c r="D58" s="267" t="s">
        <v>1428</v>
      </c>
      <c r="E58" s="267" t="s">
        <v>1429</v>
      </c>
      <c r="F58" s="267" t="s">
        <v>1522</v>
      </c>
      <c r="G58" s="267" t="s">
        <v>1523</v>
      </c>
      <c r="H58" s="277">
        <v>1049400</v>
      </c>
      <c r="I58" s="277">
        <v>0</v>
      </c>
      <c r="J58" s="277">
        <v>922525232</v>
      </c>
    </row>
    <row r="59" spans="1:10" s="358" customFormat="1" ht="20.100000000000001" customHeight="1">
      <c r="A59" s="267" t="s">
        <v>1514</v>
      </c>
      <c r="B59" s="357" t="s">
        <v>1426</v>
      </c>
      <c r="C59" s="267" t="s">
        <v>1427</v>
      </c>
      <c r="D59" s="267" t="s">
        <v>1428</v>
      </c>
      <c r="E59" s="267" t="s">
        <v>1429</v>
      </c>
      <c r="F59" s="267" t="s">
        <v>1524</v>
      </c>
      <c r="G59" s="267" t="s">
        <v>1525</v>
      </c>
      <c r="H59" s="277">
        <v>16145822</v>
      </c>
      <c r="I59" s="277">
        <v>0</v>
      </c>
      <c r="J59" s="277">
        <v>923574632</v>
      </c>
    </row>
    <row r="60" spans="1:10" s="358" customFormat="1" ht="20.100000000000001" customHeight="1">
      <c r="A60" s="267" t="s">
        <v>1514</v>
      </c>
      <c r="B60" s="357" t="s">
        <v>1426</v>
      </c>
      <c r="C60" s="267" t="s">
        <v>1427</v>
      </c>
      <c r="D60" s="267" t="s">
        <v>1428</v>
      </c>
      <c r="E60" s="267" t="s">
        <v>1429</v>
      </c>
      <c r="F60" s="267" t="s">
        <v>1457</v>
      </c>
      <c r="G60" s="267" t="s">
        <v>1458</v>
      </c>
      <c r="H60" s="277">
        <v>0</v>
      </c>
      <c r="I60" s="277">
        <v>5176591</v>
      </c>
      <c r="J60" s="277">
        <v>939720454</v>
      </c>
    </row>
    <row r="61" spans="1:10" s="358" customFormat="1" ht="20.100000000000001" customHeight="1">
      <c r="A61" s="267" t="s">
        <v>1526</v>
      </c>
      <c r="B61" s="357" t="s">
        <v>1426</v>
      </c>
      <c r="C61" s="267" t="s">
        <v>1427</v>
      </c>
      <c r="D61" s="267" t="s">
        <v>1428</v>
      </c>
      <c r="E61" s="267" t="s">
        <v>1429</v>
      </c>
      <c r="F61" s="267" t="s">
        <v>1453</v>
      </c>
      <c r="G61" s="267" t="s">
        <v>1454</v>
      </c>
      <c r="H61" s="277">
        <v>0</v>
      </c>
      <c r="I61" s="277">
        <v>531350</v>
      </c>
      <c r="J61" s="277">
        <v>934543863</v>
      </c>
    </row>
    <row r="62" spans="1:10" s="358" customFormat="1" ht="20.100000000000001" customHeight="1">
      <c r="A62" s="267" t="s">
        <v>1526</v>
      </c>
      <c r="B62" s="357" t="s">
        <v>1426</v>
      </c>
      <c r="C62" s="267" t="s">
        <v>1427</v>
      </c>
      <c r="D62" s="267" t="s">
        <v>1428</v>
      </c>
      <c r="E62" s="267" t="s">
        <v>1429</v>
      </c>
      <c r="F62" s="267" t="s">
        <v>1457</v>
      </c>
      <c r="G62" s="267" t="s">
        <v>1458</v>
      </c>
      <c r="H62" s="277">
        <v>0</v>
      </c>
      <c r="I62" s="277">
        <v>5084056</v>
      </c>
      <c r="J62" s="277">
        <v>934012513</v>
      </c>
    </row>
    <row r="63" spans="1:10" s="358" customFormat="1" ht="20.100000000000001" customHeight="1">
      <c r="A63" s="267" t="s">
        <v>1527</v>
      </c>
      <c r="B63" s="357" t="s">
        <v>1426</v>
      </c>
      <c r="C63" s="267" t="s">
        <v>1427</v>
      </c>
      <c r="D63" s="267" t="s">
        <v>1428</v>
      </c>
      <c r="E63" s="267" t="s">
        <v>1429</v>
      </c>
      <c r="F63" s="267" t="s">
        <v>1528</v>
      </c>
      <c r="G63" s="267" t="s">
        <v>1516</v>
      </c>
      <c r="H63" s="277">
        <v>19201</v>
      </c>
      <c r="I63" s="277">
        <v>0</v>
      </c>
      <c r="J63" s="277">
        <v>928928457</v>
      </c>
    </row>
    <row r="64" spans="1:10" s="358" customFormat="1" ht="20.100000000000001" customHeight="1">
      <c r="A64" s="267" t="s">
        <v>1527</v>
      </c>
      <c r="B64" s="357" t="s">
        <v>1426</v>
      </c>
      <c r="C64" s="267" t="s">
        <v>1427</v>
      </c>
      <c r="D64" s="267" t="s">
        <v>1428</v>
      </c>
      <c r="E64" s="267" t="s">
        <v>1429</v>
      </c>
      <c r="F64" s="267" t="s">
        <v>1529</v>
      </c>
      <c r="G64" s="267" t="s">
        <v>1530</v>
      </c>
      <c r="H64" s="277">
        <v>19201</v>
      </c>
      <c r="I64" s="277">
        <v>0</v>
      </c>
      <c r="J64" s="277">
        <v>928947658</v>
      </c>
    </row>
    <row r="65" spans="1:10" s="358" customFormat="1" ht="20.100000000000001" customHeight="1">
      <c r="A65" s="267" t="s">
        <v>1527</v>
      </c>
      <c r="B65" s="357" t="s">
        <v>1426</v>
      </c>
      <c r="C65" s="267" t="s">
        <v>1427</v>
      </c>
      <c r="D65" s="267" t="s">
        <v>1428</v>
      </c>
      <c r="E65" s="267" t="s">
        <v>1429</v>
      </c>
      <c r="F65" s="267" t="s">
        <v>1531</v>
      </c>
      <c r="G65" s="267" t="s">
        <v>1431</v>
      </c>
      <c r="H65" s="277">
        <v>19201</v>
      </c>
      <c r="I65" s="277">
        <v>0</v>
      </c>
      <c r="J65" s="277">
        <v>928966859</v>
      </c>
    </row>
    <row r="66" spans="1:10" s="358" customFormat="1" ht="20.100000000000001" customHeight="1">
      <c r="A66" s="267" t="s">
        <v>1527</v>
      </c>
      <c r="B66" s="357" t="s">
        <v>1426</v>
      </c>
      <c r="C66" s="267" t="s">
        <v>1427</v>
      </c>
      <c r="D66" s="267" t="s">
        <v>1428</v>
      </c>
      <c r="E66" s="267" t="s">
        <v>1429</v>
      </c>
      <c r="F66" s="267" t="s">
        <v>1532</v>
      </c>
      <c r="G66" s="267" t="s">
        <v>1431</v>
      </c>
      <c r="H66" s="277">
        <v>19201</v>
      </c>
      <c r="I66" s="277">
        <v>0</v>
      </c>
      <c r="J66" s="277">
        <v>928986060</v>
      </c>
    </row>
    <row r="67" spans="1:10" s="358" customFormat="1" ht="20.100000000000001" customHeight="1">
      <c r="A67" s="267" t="s">
        <v>1527</v>
      </c>
      <c r="B67" s="357" t="s">
        <v>1426</v>
      </c>
      <c r="C67" s="267" t="s">
        <v>1427</v>
      </c>
      <c r="D67" s="267" t="s">
        <v>1428</v>
      </c>
      <c r="E67" s="267" t="s">
        <v>1429</v>
      </c>
      <c r="F67" s="267" t="s">
        <v>1533</v>
      </c>
      <c r="G67" s="267" t="s">
        <v>1534</v>
      </c>
      <c r="H67" s="277">
        <v>25815</v>
      </c>
      <c r="I67" s="277">
        <v>0</v>
      </c>
      <c r="J67" s="277">
        <v>929005261</v>
      </c>
    </row>
    <row r="68" spans="1:10" s="358" customFormat="1" ht="20.100000000000001" customHeight="1">
      <c r="A68" s="267" t="s">
        <v>1527</v>
      </c>
      <c r="B68" s="357" t="s">
        <v>1426</v>
      </c>
      <c r="C68" s="267" t="s">
        <v>1427</v>
      </c>
      <c r="D68" s="267" t="s">
        <v>1428</v>
      </c>
      <c r="E68" s="267" t="s">
        <v>1429</v>
      </c>
      <c r="F68" s="267" t="s">
        <v>1535</v>
      </c>
      <c r="G68" s="267" t="s">
        <v>1536</v>
      </c>
      <c r="H68" s="277">
        <v>31809</v>
      </c>
      <c r="I68" s="277">
        <v>0</v>
      </c>
      <c r="J68" s="277">
        <v>929031076</v>
      </c>
    </row>
    <row r="69" spans="1:10" s="358" customFormat="1" ht="20.100000000000001" customHeight="1">
      <c r="A69" s="267" t="s">
        <v>1527</v>
      </c>
      <c r="B69" s="357" t="s">
        <v>1426</v>
      </c>
      <c r="C69" s="267" t="s">
        <v>1427</v>
      </c>
      <c r="D69" s="267" t="s">
        <v>1428</v>
      </c>
      <c r="E69" s="267" t="s">
        <v>1429</v>
      </c>
      <c r="F69" s="267" t="s">
        <v>1537</v>
      </c>
      <c r="G69" s="267" t="s">
        <v>1538</v>
      </c>
      <c r="H69" s="277">
        <v>31809</v>
      </c>
      <c r="I69" s="277">
        <v>0</v>
      </c>
      <c r="J69" s="277">
        <v>929062885</v>
      </c>
    </row>
    <row r="70" spans="1:10" s="358" customFormat="1" ht="20.100000000000001" customHeight="1">
      <c r="A70" s="267" t="s">
        <v>1527</v>
      </c>
      <c r="B70" s="357" t="s">
        <v>1426</v>
      </c>
      <c r="C70" s="267" t="s">
        <v>1427</v>
      </c>
      <c r="D70" s="267" t="s">
        <v>1428</v>
      </c>
      <c r="E70" s="267" t="s">
        <v>1429</v>
      </c>
      <c r="F70" s="267" t="s">
        <v>1539</v>
      </c>
      <c r="G70" s="267" t="s">
        <v>1540</v>
      </c>
      <c r="H70" s="277">
        <v>115207</v>
      </c>
      <c r="I70" s="277">
        <v>0</v>
      </c>
      <c r="J70" s="277">
        <v>929094694</v>
      </c>
    </row>
    <row r="71" spans="1:10" s="358" customFormat="1" ht="20.100000000000001" customHeight="1">
      <c r="A71" s="267" t="s">
        <v>1527</v>
      </c>
      <c r="B71" s="357" t="s">
        <v>1426</v>
      </c>
      <c r="C71" s="267" t="s">
        <v>1427</v>
      </c>
      <c r="D71" s="267" t="s">
        <v>1428</v>
      </c>
      <c r="E71" s="267" t="s">
        <v>1429</v>
      </c>
      <c r="F71" s="267" t="s">
        <v>1541</v>
      </c>
      <c r="G71" s="267" t="s">
        <v>1542</v>
      </c>
      <c r="H71" s="277">
        <v>115207</v>
      </c>
      <c r="I71" s="277">
        <v>0</v>
      </c>
      <c r="J71" s="277">
        <v>929209901</v>
      </c>
    </row>
    <row r="72" spans="1:10" s="358" customFormat="1" ht="20.100000000000001" customHeight="1">
      <c r="A72" s="267" t="s">
        <v>1527</v>
      </c>
      <c r="B72" s="357" t="s">
        <v>1426</v>
      </c>
      <c r="C72" s="267" t="s">
        <v>1427</v>
      </c>
      <c r="D72" s="267" t="s">
        <v>1428</v>
      </c>
      <c r="E72" s="267" t="s">
        <v>1429</v>
      </c>
      <c r="F72" s="267" t="s">
        <v>1543</v>
      </c>
      <c r="G72" s="267" t="s">
        <v>1544</v>
      </c>
      <c r="H72" s="277">
        <v>115207</v>
      </c>
      <c r="I72" s="277">
        <v>0</v>
      </c>
      <c r="J72" s="277">
        <v>929325108</v>
      </c>
    </row>
    <row r="73" spans="1:10" s="358" customFormat="1" ht="20.100000000000001" customHeight="1">
      <c r="A73" s="267" t="s">
        <v>1527</v>
      </c>
      <c r="B73" s="357" t="s">
        <v>1426</v>
      </c>
      <c r="C73" s="267" t="s">
        <v>1427</v>
      </c>
      <c r="D73" s="267" t="s">
        <v>1428</v>
      </c>
      <c r="E73" s="267" t="s">
        <v>1429</v>
      </c>
      <c r="F73" s="267" t="s">
        <v>1545</v>
      </c>
      <c r="G73" s="267" t="s">
        <v>1546</v>
      </c>
      <c r="H73" s="277">
        <v>115207</v>
      </c>
      <c r="I73" s="277">
        <v>0</v>
      </c>
      <c r="J73" s="277">
        <v>929440315</v>
      </c>
    </row>
    <row r="74" spans="1:10" s="358" customFormat="1" ht="20.100000000000001" customHeight="1">
      <c r="A74" s="267" t="s">
        <v>1527</v>
      </c>
      <c r="B74" s="357" t="s">
        <v>1426</v>
      </c>
      <c r="C74" s="267" t="s">
        <v>1427</v>
      </c>
      <c r="D74" s="267" t="s">
        <v>1428</v>
      </c>
      <c r="E74" s="267" t="s">
        <v>1429</v>
      </c>
      <c r="F74" s="267" t="s">
        <v>1547</v>
      </c>
      <c r="G74" s="267" t="s">
        <v>1548</v>
      </c>
      <c r="H74" s="277">
        <v>115207</v>
      </c>
      <c r="I74" s="277">
        <v>0</v>
      </c>
      <c r="J74" s="277">
        <v>929555522</v>
      </c>
    </row>
    <row r="75" spans="1:10" s="358" customFormat="1" ht="20.100000000000001" customHeight="1">
      <c r="A75" s="267" t="s">
        <v>1527</v>
      </c>
      <c r="B75" s="357" t="s">
        <v>1426</v>
      </c>
      <c r="C75" s="267" t="s">
        <v>1427</v>
      </c>
      <c r="D75" s="267" t="s">
        <v>1428</v>
      </c>
      <c r="E75" s="267" t="s">
        <v>1429</v>
      </c>
      <c r="F75" s="267" t="s">
        <v>1549</v>
      </c>
      <c r="G75" s="267" t="s">
        <v>1550</v>
      </c>
      <c r="H75" s="277">
        <v>154891</v>
      </c>
      <c r="I75" s="277">
        <v>0</v>
      </c>
      <c r="J75" s="277">
        <v>929670729</v>
      </c>
    </row>
    <row r="76" spans="1:10" s="358" customFormat="1" ht="20.100000000000001" customHeight="1">
      <c r="A76" s="267" t="s">
        <v>1527</v>
      </c>
      <c r="B76" s="357" t="s">
        <v>1426</v>
      </c>
      <c r="C76" s="267" t="s">
        <v>1427</v>
      </c>
      <c r="D76" s="267" t="s">
        <v>1428</v>
      </c>
      <c r="E76" s="267" t="s">
        <v>1429</v>
      </c>
      <c r="F76" s="267" t="s">
        <v>1551</v>
      </c>
      <c r="G76" s="267" t="s">
        <v>1353</v>
      </c>
      <c r="H76" s="277">
        <v>154891</v>
      </c>
      <c r="I76" s="277">
        <v>0</v>
      </c>
      <c r="J76" s="277">
        <v>929825620</v>
      </c>
    </row>
    <row r="77" spans="1:10" s="358" customFormat="1" ht="20.100000000000001" customHeight="1">
      <c r="A77" s="267" t="s">
        <v>1527</v>
      </c>
      <c r="B77" s="357" t="s">
        <v>1426</v>
      </c>
      <c r="C77" s="267" t="s">
        <v>1427</v>
      </c>
      <c r="D77" s="267" t="s">
        <v>1428</v>
      </c>
      <c r="E77" s="267" t="s">
        <v>1429</v>
      </c>
      <c r="F77" s="267" t="s">
        <v>1552</v>
      </c>
      <c r="G77" s="267" t="s">
        <v>1553</v>
      </c>
      <c r="H77" s="277">
        <v>211213</v>
      </c>
      <c r="I77" s="277">
        <v>0</v>
      </c>
      <c r="J77" s="277">
        <v>929980511</v>
      </c>
    </row>
    <row r="78" spans="1:10" s="358" customFormat="1" ht="20.100000000000001" customHeight="1">
      <c r="A78" s="267" t="s">
        <v>1527</v>
      </c>
      <c r="B78" s="357" t="s">
        <v>1426</v>
      </c>
      <c r="C78" s="267" t="s">
        <v>1427</v>
      </c>
      <c r="D78" s="267" t="s">
        <v>1428</v>
      </c>
      <c r="E78" s="267" t="s">
        <v>1429</v>
      </c>
      <c r="F78" s="267" t="s">
        <v>1554</v>
      </c>
      <c r="G78" s="267" t="s">
        <v>1555</v>
      </c>
      <c r="H78" s="277">
        <v>219429</v>
      </c>
      <c r="I78" s="277">
        <v>0</v>
      </c>
      <c r="J78" s="277">
        <v>930191724</v>
      </c>
    </row>
    <row r="79" spans="1:10" s="358" customFormat="1" ht="20.100000000000001" customHeight="1">
      <c r="A79" s="267" t="s">
        <v>1527</v>
      </c>
      <c r="B79" s="357" t="s">
        <v>1426</v>
      </c>
      <c r="C79" s="267" t="s">
        <v>1427</v>
      </c>
      <c r="D79" s="267" t="s">
        <v>1428</v>
      </c>
      <c r="E79" s="267" t="s">
        <v>1429</v>
      </c>
      <c r="F79" s="267" t="s">
        <v>1556</v>
      </c>
      <c r="G79" s="267" t="s">
        <v>1557</v>
      </c>
      <c r="H79" s="277">
        <v>219429</v>
      </c>
      <c r="I79" s="277">
        <v>0</v>
      </c>
      <c r="J79" s="277">
        <v>930411153</v>
      </c>
    </row>
    <row r="80" spans="1:10" s="358" customFormat="1" ht="20.100000000000001" customHeight="1">
      <c r="A80" s="267" t="s">
        <v>1527</v>
      </c>
      <c r="B80" s="357" t="s">
        <v>1426</v>
      </c>
      <c r="C80" s="267" t="s">
        <v>1427</v>
      </c>
      <c r="D80" s="267" t="s">
        <v>1428</v>
      </c>
      <c r="E80" s="267" t="s">
        <v>1429</v>
      </c>
      <c r="F80" s="267" t="s">
        <v>1558</v>
      </c>
      <c r="G80" s="267" t="s">
        <v>1559</v>
      </c>
      <c r="H80" s="277">
        <v>219429</v>
      </c>
      <c r="I80" s="277">
        <v>0</v>
      </c>
      <c r="J80" s="277">
        <v>930630582</v>
      </c>
    </row>
    <row r="81" spans="1:10" s="358" customFormat="1" ht="20.100000000000001" customHeight="1">
      <c r="A81" s="267" t="s">
        <v>1527</v>
      </c>
      <c r="B81" s="357" t="s">
        <v>1426</v>
      </c>
      <c r="C81" s="267" t="s">
        <v>1427</v>
      </c>
      <c r="D81" s="267" t="s">
        <v>1428</v>
      </c>
      <c r="E81" s="267" t="s">
        <v>1429</v>
      </c>
      <c r="F81" s="267" t="s">
        <v>1560</v>
      </c>
      <c r="G81" s="267" t="s">
        <v>1354</v>
      </c>
      <c r="H81" s="277">
        <v>219429</v>
      </c>
      <c r="I81" s="277">
        <v>0</v>
      </c>
      <c r="J81" s="277">
        <v>930850011</v>
      </c>
    </row>
    <row r="82" spans="1:10" s="358" customFormat="1" ht="20.100000000000001" customHeight="1">
      <c r="A82" s="267" t="s">
        <v>1527</v>
      </c>
      <c r="B82" s="357" t="s">
        <v>1426</v>
      </c>
      <c r="C82" s="267" t="s">
        <v>1427</v>
      </c>
      <c r="D82" s="267" t="s">
        <v>1428</v>
      </c>
      <c r="E82" s="267" t="s">
        <v>1429</v>
      </c>
      <c r="F82" s="267" t="s">
        <v>1561</v>
      </c>
      <c r="G82" s="267" t="s">
        <v>1562</v>
      </c>
      <c r="H82" s="277">
        <v>239488</v>
      </c>
      <c r="I82" s="277">
        <v>0</v>
      </c>
      <c r="J82" s="277">
        <v>931069440</v>
      </c>
    </row>
    <row r="83" spans="1:10" s="358" customFormat="1" ht="20.100000000000001" customHeight="1">
      <c r="A83" s="267" t="s">
        <v>1527</v>
      </c>
      <c r="B83" s="357" t="s">
        <v>1426</v>
      </c>
      <c r="C83" s="267" t="s">
        <v>1427</v>
      </c>
      <c r="D83" s="267" t="s">
        <v>1428</v>
      </c>
      <c r="E83" s="267" t="s">
        <v>1429</v>
      </c>
      <c r="F83" s="267" t="s">
        <v>1563</v>
      </c>
      <c r="G83" s="267" t="s">
        <v>1564</v>
      </c>
      <c r="H83" s="277">
        <v>280535</v>
      </c>
      <c r="I83" s="277">
        <v>0</v>
      </c>
      <c r="J83" s="277">
        <v>931308928</v>
      </c>
    </row>
    <row r="84" spans="1:10" s="358" customFormat="1" ht="20.100000000000001" customHeight="1">
      <c r="A84" s="267" t="s">
        <v>1527</v>
      </c>
      <c r="B84" s="357" t="s">
        <v>1426</v>
      </c>
      <c r="C84" s="267" t="s">
        <v>1427</v>
      </c>
      <c r="D84" s="267" t="s">
        <v>1428</v>
      </c>
      <c r="E84" s="267" t="s">
        <v>1429</v>
      </c>
      <c r="F84" s="267" t="s">
        <v>1565</v>
      </c>
      <c r="G84" s="267" t="s">
        <v>1566</v>
      </c>
      <c r="H84" s="277">
        <v>283967</v>
      </c>
      <c r="I84" s="277">
        <v>0</v>
      </c>
      <c r="J84" s="277">
        <v>931589463</v>
      </c>
    </row>
    <row r="85" spans="1:10" s="358" customFormat="1" ht="20.100000000000001" customHeight="1">
      <c r="A85" s="267" t="s">
        <v>1527</v>
      </c>
      <c r="B85" s="357" t="s">
        <v>1426</v>
      </c>
      <c r="C85" s="267" t="s">
        <v>1427</v>
      </c>
      <c r="D85" s="267" t="s">
        <v>1428</v>
      </c>
      <c r="E85" s="267" t="s">
        <v>1429</v>
      </c>
      <c r="F85" s="267" t="s">
        <v>1567</v>
      </c>
      <c r="G85" s="267" t="s">
        <v>1568</v>
      </c>
      <c r="H85" s="277">
        <v>283967</v>
      </c>
      <c r="I85" s="277">
        <v>0</v>
      </c>
      <c r="J85" s="277">
        <v>931873430</v>
      </c>
    </row>
    <row r="86" spans="1:10" s="358" customFormat="1" ht="20.100000000000001" customHeight="1">
      <c r="A86" s="267" t="s">
        <v>1527</v>
      </c>
      <c r="B86" s="357" t="s">
        <v>1426</v>
      </c>
      <c r="C86" s="267" t="s">
        <v>1427</v>
      </c>
      <c r="D86" s="267" t="s">
        <v>1428</v>
      </c>
      <c r="E86" s="267" t="s">
        <v>1429</v>
      </c>
      <c r="F86" s="267" t="s">
        <v>1569</v>
      </c>
      <c r="G86" s="267" t="s">
        <v>1570</v>
      </c>
      <c r="H86" s="277">
        <v>283967</v>
      </c>
      <c r="I86" s="277">
        <v>0</v>
      </c>
      <c r="J86" s="277">
        <v>932157397</v>
      </c>
    </row>
    <row r="87" spans="1:10" s="358" customFormat="1" ht="20.100000000000001" customHeight="1">
      <c r="A87" s="267" t="s">
        <v>1527</v>
      </c>
      <c r="B87" s="357" t="s">
        <v>1426</v>
      </c>
      <c r="C87" s="267" t="s">
        <v>1427</v>
      </c>
      <c r="D87" s="267" t="s">
        <v>1428</v>
      </c>
      <c r="E87" s="267" t="s">
        <v>1429</v>
      </c>
      <c r="F87" s="267" t="s">
        <v>1571</v>
      </c>
      <c r="G87" s="267" t="s">
        <v>1572</v>
      </c>
      <c r="H87" s="277">
        <v>283967</v>
      </c>
      <c r="I87" s="277">
        <v>0</v>
      </c>
      <c r="J87" s="277">
        <v>932441364</v>
      </c>
    </row>
    <row r="88" spans="1:10" s="358" customFormat="1" ht="20.100000000000001" customHeight="1">
      <c r="A88" s="267" t="s">
        <v>1527</v>
      </c>
      <c r="B88" s="357" t="s">
        <v>1426</v>
      </c>
      <c r="C88" s="267" t="s">
        <v>1427</v>
      </c>
      <c r="D88" s="267" t="s">
        <v>1428</v>
      </c>
      <c r="E88" s="267" t="s">
        <v>1429</v>
      </c>
      <c r="F88" s="267" t="s">
        <v>1573</v>
      </c>
      <c r="G88" s="267" t="s">
        <v>1574</v>
      </c>
      <c r="H88" s="277">
        <v>349901</v>
      </c>
      <c r="I88" s="277">
        <v>0</v>
      </c>
      <c r="J88" s="277">
        <v>932725331</v>
      </c>
    </row>
    <row r="89" spans="1:10" s="358" customFormat="1" ht="20.100000000000001" customHeight="1">
      <c r="A89" s="267" t="s">
        <v>1527</v>
      </c>
      <c r="B89" s="357" t="s">
        <v>1426</v>
      </c>
      <c r="C89" s="267" t="s">
        <v>1427</v>
      </c>
      <c r="D89" s="267" t="s">
        <v>1428</v>
      </c>
      <c r="E89" s="267" t="s">
        <v>1429</v>
      </c>
      <c r="F89" s="267" t="s">
        <v>1575</v>
      </c>
      <c r="G89" s="267" t="s">
        <v>1576</v>
      </c>
      <c r="H89" s="277">
        <v>349901</v>
      </c>
      <c r="I89" s="277">
        <v>0</v>
      </c>
      <c r="J89" s="277">
        <v>933075232</v>
      </c>
    </row>
    <row r="90" spans="1:10" s="358" customFormat="1" ht="20.100000000000001" customHeight="1">
      <c r="A90" s="267" t="s">
        <v>1527</v>
      </c>
      <c r="B90" s="357" t="s">
        <v>1426</v>
      </c>
      <c r="C90" s="267" t="s">
        <v>1427</v>
      </c>
      <c r="D90" s="267" t="s">
        <v>1428</v>
      </c>
      <c r="E90" s="267" t="s">
        <v>1429</v>
      </c>
      <c r="F90" s="267" t="s">
        <v>1577</v>
      </c>
      <c r="G90" s="267" t="s">
        <v>1578</v>
      </c>
      <c r="H90" s="277">
        <v>349901</v>
      </c>
      <c r="I90" s="277">
        <v>0</v>
      </c>
      <c r="J90" s="277">
        <v>933425133</v>
      </c>
    </row>
    <row r="91" spans="1:10" s="358" customFormat="1" ht="20.100000000000001" customHeight="1">
      <c r="A91" s="267" t="s">
        <v>1527</v>
      </c>
      <c r="B91" s="357" t="s">
        <v>1426</v>
      </c>
      <c r="C91" s="267" t="s">
        <v>1427</v>
      </c>
      <c r="D91" s="267" t="s">
        <v>1428</v>
      </c>
      <c r="E91" s="267" t="s">
        <v>1429</v>
      </c>
      <c r="F91" s="267" t="s">
        <v>1579</v>
      </c>
      <c r="G91" s="267" t="s">
        <v>1351</v>
      </c>
      <c r="H91" s="277">
        <v>349901</v>
      </c>
      <c r="I91" s="277">
        <v>0</v>
      </c>
      <c r="J91" s="277">
        <v>933775034</v>
      </c>
    </row>
    <row r="92" spans="1:10" s="358" customFormat="1" ht="20.100000000000001" customHeight="1">
      <c r="A92" s="267" t="s">
        <v>1527</v>
      </c>
      <c r="B92" s="357" t="s">
        <v>1426</v>
      </c>
      <c r="C92" s="267" t="s">
        <v>1427</v>
      </c>
      <c r="D92" s="267" t="s">
        <v>1428</v>
      </c>
      <c r="E92" s="267" t="s">
        <v>1429</v>
      </c>
      <c r="F92" s="267" t="s">
        <v>1580</v>
      </c>
      <c r="G92" s="267" t="s">
        <v>1581</v>
      </c>
      <c r="H92" s="277">
        <v>349901</v>
      </c>
      <c r="I92" s="277">
        <v>0</v>
      </c>
      <c r="J92" s="277">
        <v>934124935</v>
      </c>
    </row>
    <row r="93" spans="1:10" s="358" customFormat="1" ht="20.100000000000001" customHeight="1">
      <c r="A93" s="267" t="s">
        <v>1527</v>
      </c>
      <c r="B93" s="357" t="s">
        <v>1426</v>
      </c>
      <c r="C93" s="267" t="s">
        <v>1427</v>
      </c>
      <c r="D93" s="267" t="s">
        <v>1428</v>
      </c>
      <c r="E93" s="267" t="s">
        <v>1429</v>
      </c>
      <c r="F93" s="267" t="s">
        <v>1582</v>
      </c>
      <c r="G93" s="267" t="s">
        <v>1583</v>
      </c>
      <c r="H93" s="277">
        <v>349901</v>
      </c>
      <c r="I93" s="277">
        <v>0</v>
      </c>
      <c r="J93" s="277">
        <v>934474836</v>
      </c>
    </row>
    <row r="94" spans="1:10" s="358" customFormat="1" ht="20.100000000000001" customHeight="1">
      <c r="A94" s="267" t="s">
        <v>1527</v>
      </c>
      <c r="B94" s="357" t="s">
        <v>1426</v>
      </c>
      <c r="C94" s="267" t="s">
        <v>1427</v>
      </c>
      <c r="D94" s="267" t="s">
        <v>1428</v>
      </c>
      <c r="E94" s="267" t="s">
        <v>1429</v>
      </c>
      <c r="F94" s="267" t="s">
        <v>1584</v>
      </c>
      <c r="G94" s="267" t="s">
        <v>1585</v>
      </c>
      <c r="H94" s="277">
        <v>349901</v>
      </c>
      <c r="I94" s="277">
        <v>0</v>
      </c>
      <c r="J94" s="277">
        <v>934824737</v>
      </c>
    </row>
    <row r="95" spans="1:10" s="358" customFormat="1" ht="20.100000000000001" customHeight="1">
      <c r="A95" s="267" t="s">
        <v>1527</v>
      </c>
      <c r="B95" s="357" t="s">
        <v>1426</v>
      </c>
      <c r="C95" s="267" t="s">
        <v>1427</v>
      </c>
      <c r="D95" s="267" t="s">
        <v>1428</v>
      </c>
      <c r="E95" s="267" t="s">
        <v>1429</v>
      </c>
      <c r="F95" s="267" t="s">
        <v>1586</v>
      </c>
      <c r="G95" s="267" t="s">
        <v>1587</v>
      </c>
      <c r="H95" s="277">
        <v>349901</v>
      </c>
      <c r="I95" s="277">
        <v>0</v>
      </c>
      <c r="J95" s="277">
        <v>935174638</v>
      </c>
    </row>
    <row r="96" spans="1:10" s="358" customFormat="1" ht="20.100000000000001" customHeight="1">
      <c r="A96" s="267" t="s">
        <v>1527</v>
      </c>
      <c r="B96" s="357" t="s">
        <v>1426</v>
      </c>
      <c r="C96" s="267" t="s">
        <v>1427</v>
      </c>
      <c r="D96" s="267" t="s">
        <v>1428</v>
      </c>
      <c r="E96" s="267" t="s">
        <v>1429</v>
      </c>
      <c r="F96" s="267" t="s">
        <v>1588</v>
      </c>
      <c r="G96" s="267" t="s">
        <v>1589</v>
      </c>
      <c r="H96" s="277">
        <v>380406</v>
      </c>
      <c r="I96" s="277">
        <v>0</v>
      </c>
      <c r="J96" s="277">
        <v>935524539</v>
      </c>
    </row>
    <row r="97" spans="1:10" s="358" customFormat="1" ht="20.100000000000001" customHeight="1">
      <c r="A97" s="267" t="s">
        <v>1527</v>
      </c>
      <c r="B97" s="357" t="s">
        <v>1426</v>
      </c>
      <c r="C97" s="267" t="s">
        <v>1427</v>
      </c>
      <c r="D97" s="267" t="s">
        <v>1428</v>
      </c>
      <c r="E97" s="267" t="s">
        <v>1429</v>
      </c>
      <c r="F97" s="267" t="s">
        <v>1590</v>
      </c>
      <c r="G97" s="267" t="s">
        <v>1591</v>
      </c>
      <c r="H97" s="277">
        <v>1054070</v>
      </c>
      <c r="I97" s="277">
        <v>0</v>
      </c>
      <c r="J97" s="277">
        <v>935904945</v>
      </c>
    </row>
    <row r="98" spans="1:10" s="358" customFormat="1" ht="20.100000000000001" customHeight="1">
      <c r="A98" s="267" t="s">
        <v>1527</v>
      </c>
      <c r="B98" s="357" t="s">
        <v>1426</v>
      </c>
      <c r="C98" s="267" t="s">
        <v>1427</v>
      </c>
      <c r="D98" s="267" t="s">
        <v>1428</v>
      </c>
      <c r="E98" s="267" t="s">
        <v>1429</v>
      </c>
      <c r="F98" s="267" t="s">
        <v>1592</v>
      </c>
      <c r="G98" s="267" t="s">
        <v>1593</v>
      </c>
      <c r="H98" s="277">
        <v>1071000</v>
      </c>
      <c r="I98" s="277">
        <v>0</v>
      </c>
      <c r="J98" s="277">
        <v>936959015</v>
      </c>
    </row>
    <row r="99" spans="1:10" s="358" customFormat="1" ht="20.100000000000001" customHeight="1">
      <c r="A99" s="267" t="s">
        <v>1527</v>
      </c>
      <c r="B99" s="357" t="s">
        <v>1426</v>
      </c>
      <c r="C99" s="267" t="s">
        <v>1427</v>
      </c>
      <c r="D99" s="267" t="s">
        <v>1428</v>
      </c>
      <c r="E99" s="267" t="s">
        <v>1429</v>
      </c>
      <c r="F99" s="267" t="s">
        <v>1451</v>
      </c>
      <c r="G99" s="267" t="s">
        <v>1594</v>
      </c>
      <c r="H99" s="277">
        <v>1309634</v>
      </c>
      <c r="I99" s="277">
        <v>0</v>
      </c>
      <c r="J99" s="277">
        <v>938030015</v>
      </c>
    </row>
    <row r="100" spans="1:10" s="358" customFormat="1" ht="20.100000000000001" customHeight="1">
      <c r="A100" s="267" t="s">
        <v>1527</v>
      </c>
      <c r="B100" s="357" t="s">
        <v>1426</v>
      </c>
      <c r="C100" s="267" t="s">
        <v>1427</v>
      </c>
      <c r="D100" s="267" t="s">
        <v>1428</v>
      </c>
      <c r="E100" s="267" t="s">
        <v>1429</v>
      </c>
      <c r="F100" s="267" t="s">
        <v>1451</v>
      </c>
      <c r="G100" s="267" t="s">
        <v>1595</v>
      </c>
      <c r="H100" s="277">
        <v>16618350</v>
      </c>
      <c r="I100" s="277">
        <v>0</v>
      </c>
      <c r="J100" s="277">
        <v>939339649</v>
      </c>
    </row>
    <row r="101" spans="1:10" s="358" customFormat="1" ht="20.100000000000001" customHeight="1">
      <c r="A101" s="267" t="s">
        <v>1527</v>
      </c>
      <c r="B101" s="357" t="s">
        <v>1426</v>
      </c>
      <c r="C101" s="267" t="s">
        <v>1427</v>
      </c>
      <c r="D101" s="267" t="s">
        <v>1428</v>
      </c>
      <c r="E101" s="267" t="s">
        <v>1429</v>
      </c>
      <c r="F101" s="267" t="s">
        <v>1457</v>
      </c>
      <c r="G101" s="267" t="s">
        <v>1458</v>
      </c>
      <c r="H101" s="277">
        <v>0</v>
      </c>
      <c r="I101" s="277">
        <v>7202721</v>
      </c>
      <c r="J101" s="277">
        <v>955957999</v>
      </c>
    </row>
    <row r="102" spans="1:10" s="358" customFormat="1" ht="20.100000000000001" customHeight="1">
      <c r="A102" s="267" t="s">
        <v>1596</v>
      </c>
      <c r="B102" s="357" t="s">
        <v>1426</v>
      </c>
      <c r="C102" s="267" t="s">
        <v>1427</v>
      </c>
      <c r="D102" s="267" t="s">
        <v>1428</v>
      </c>
      <c r="E102" s="267" t="s">
        <v>1429</v>
      </c>
      <c r="F102" s="267" t="s">
        <v>1457</v>
      </c>
      <c r="G102" s="267" t="s">
        <v>1458</v>
      </c>
      <c r="H102" s="277">
        <v>0</v>
      </c>
      <c r="I102" s="277">
        <v>5330155</v>
      </c>
      <c r="J102" s="277">
        <v>948755278</v>
      </c>
    </row>
    <row r="103" spans="1:10" s="358" customFormat="1" ht="20.100000000000001" customHeight="1">
      <c r="A103" s="267" t="s">
        <v>1596</v>
      </c>
      <c r="B103" s="357" t="s">
        <v>1426</v>
      </c>
      <c r="C103" s="267" t="s">
        <v>1427</v>
      </c>
      <c r="D103" s="267" t="s">
        <v>1428</v>
      </c>
      <c r="E103" s="267" t="s">
        <v>1429</v>
      </c>
      <c r="F103" s="267" t="s">
        <v>1597</v>
      </c>
      <c r="G103" s="267" t="s">
        <v>1598</v>
      </c>
      <c r="H103" s="277">
        <v>0</v>
      </c>
      <c r="I103" s="277">
        <v>63749474</v>
      </c>
      <c r="J103" s="277">
        <v>943425123</v>
      </c>
    </row>
    <row r="104" spans="1:10" s="358" customFormat="1" ht="20.100000000000001" customHeight="1">
      <c r="A104" s="267" t="s">
        <v>1599</v>
      </c>
      <c r="B104" s="357" t="s">
        <v>1426</v>
      </c>
      <c r="C104" s="267" t="s">
        <v>1427</v>
      </c>
      <c r="D104" s="267" t="s">
        <v>1428</v>
      </c>
      <c r="E104" s="267" t="s">
        <v>1429</v>
      </c>
      <c r="F104" s="267" t="s">
        <v>1451</v>
      </c>
      <c r="G104" s="267" t="s">
        <v>1600</v>
      </c>
      <c r="H104" s="277">
        <v>1061760</v>
      </c>
      <c r="I104" s="277">
        <v>0</v>
      </c>
      <c r="J104" s="277">
        <v>879675649</v>
      </c>
    </row>
    <row r="105" spans="1:10" s="358" customFormat="1" ht="20.100000000000001" customHeight="1">
      <c r="A105" s="267" t="s">
        <v>1599</v>
      </c>
      <c r="B105" s="357" t="s">
        <v>1426</v>
      </c>
      <c r="C105" s="267" t="s">
        <v>1427</v>
      </c>
      <c r="D105" s="267" t="s">
        <v>1428</v>
      </c>
      <c r="E105" s="267" t="s">
        <v>1429</v>
      </c>
      <c r="F105" s="267" t="s">
        <v>1453</v>
      </c>
      <c r="G105" s="267" t="s">
        <v>1601</v>
      </c>
      <c r="H105" s="277">
        <v>0</v>
      </c>
      <c r="I105" s="277">
        <v>388100</v>
      </c>
      <c r="J105" s="277">
        <v>880737409</v>
      </c>
    </row>
    <row r="106" spans="1:10" s="358" customFormat="1" ht="20.100000000000001" customHeight="1">
      <c r="A106" s="267" t="s">
        <v>1599</v>
      </c>
      <c r="B106" s="357" t="s">
        <v>1426</v>
      </c>
      <c r="C106" s="267" t="s">
        <v>1427</v>
      </c>
      <c r="D106" s="267" t="s">
        <v>1428</v>
      </c>
      <c r="E106" s="267" t="s">
        <v>1429</v>
      </c>
      <c r="F106" s="267" t="s">
        <v>1453</v>
      </c>
      <c r="G106" s="267" t="s">
        <v>1602</v>
      </c>
      <c r="H106" s="277">
        <v>0</v>
      </c>
      <c r="I106" s="277">
        <v>429000</v>
      </c>
      <c r="J106" s="277">
        <v>880349309</v>
      </c>
    </row>
    <row r="107" spans="1:10" s="358" customFormat="1" ht="20.100000000000001" customHeight="1">
      <c r="A107" s="267" t="s">
        <v>1599</v>
      </c>
      <c r="B107" s="357" t="s">
        <v>1426</v>
      </c>
      <c r="C107" s="267" t="s">
        <v>1427</v>
      </c>
      <c r="D107" s="267" t="s">
        <v>1428</v>
      </c>
      <c r="E107" s="267" t="s">
        <v>1429</v>
      </c>
      <c r="F107" s="267" t="s">
        <v>1457</v>
      </c>
      <c r="G107" s="267" t="s">
        <v>1458</v>
      </c>
      <c r="H107" s="277">
        <v>0</v>
      </c>
      <c r="I107" s="277">
        <v>2467826</v>
      </c>
      <c r="J107" s="277">
        <v>879920309</v>
      </c>
    </row>
    <row r="108" spans="1:10" s="358" customFormat="1" ht="20.100000000000001" customHeight="1">
      <c r="A108" s="267" t="s">
        <v>1603</v>
      </c>
      <c r="B108" s="357" t="s">
        <v>1426</v>
      </c>
      <c r="C108" s="267" t="s">
        <v>1427</v>
      </c>
      <c r="D108" s="267" t="s">
        <v>1428</v>
      </c>
      <c r="E108" s="267" t="s">
        <v>1429</v>
      </c>
      <c r="F108" s="267" t="s">
        <v>1604</v>
      </c>
      <c r="G108" s="267" t="s">
        <v>1605</v>
      </c>
      <c r="H108" s="277">
        <v>59707</v>
      </c>
      <c r="I108" s="277">
        <v>0</v>
      </c>
      <c r="J108" s="277">
        <v>877452483</v>
      </c>
    </row>
    <row r="109" spans="1:10" s="358" customFormat="1" ht="20.100000000000001" customHeight="1">
      <c r="A109" s="267" t="s">
        <v>1603</v>
      </c>
      <c r="B109" s="357" t="s">
        <v>1426</v>
      </c>
      <c r="C109" s="267" t="s">
        <v>1427</v>
      </c>
      <c r="D109" s="267" t="s">
        <v>1428</v>
      </c>
      <c r="E109" s="267" t="s">
        <v>1429</v>
      </c>
      <c r="F109" s="267" t="s">
        <v>1606</v>
      </c>
      <c r="G109" s="267" t="s">
        <v>1607</v>
      </c>
      <c r="H109" s="277">
        <v>199325</v>
      </c>
      <c r="I109" s="277">
        <v>0</v>
      </c>
      <c r="J109" s="277">
        <v>877512190</v>
      </c>
    </row>
    <row r="110" spans="1:10" s="358" customFormat="1" ht="20.100000000000001" customHeight="1">
      <c r="A110" s="267" t="s">
        <v>1603</v>
      </c>
      <c r="B110" s="357" t="s">
        <v>1426</v>
      </c>
      <c r="C110" s="267" t="s">
        <v>1427</v>
      </c>
      <c r="D110" s="267" t="s">
        <v>1428</v>
      </c>
      <c r="E110" s="267" t="s">
        <v>1429</v>
      </c>
      <c r="F110" s="267" t="s">
        <v>1608</v>
      </c>
      <c r="G110" s="267" t="s">
        <v>1609</v>
      </c>
      <c r="H110" s="277">
        <v>269392</v>
      </c>
      <c r="I110" s="277">
        <v>0</v>
      </c>
      <c r="J110" s="277">
        <v>877711515</v>
      </c>
    </row>
    <row r="111" spans="1:10" s="358" customFormat="1" ht="20.100000000000001" customHeight="1">
      <c r="A111" s="267" t="s">
        <v>1603</v>
      </c>
      <c r="B111" s="357" t="s">
        <v>1426</v>
      </c>
      <c r="C111" s="267" t="s">
        <v>1427</v>
      </c>
      <c r="D111" s="267" t="s">
        <v>1428</v>
      </c>
      <c r="E111" s="267" t="s">
        <v>1429</v>
      </c>
      <c r="F111" s="267" t="s">
        <v>1610</v>
      </c>
      <c r="G111" s="267" t="s">
        <v>1611</v>
      </c>
      <c r="H111" s="277">
        <v>374850</v>
      </c>
      <c r="I111" s="277">
        <v>0</v>
      </c>
      <c r="J111" s="277">
        <v>877980907</v>
      </c>
    </row>
    <row r="112" spans="1:10" s="358" customFormat="1" ht="20.100000000000001" customHeight="1">
      <c r="A112" s="267" t="s">
        <v>1603</v>
      </c>
      <c r="B112" s="357" t="s">
        <v>1426</v>
      </c>
      <c r="C112" s="267" t="s">
        <v>1427</v>
      </c>
      <c r="D112" s="267" t="s">
        <v>1428</v>
      </c>
      <c r="E112" s="267" t="s">
        <v>1429</v>
      </c>
      <c r="F112" s="267" t="s">
        <v>1612</v>
      </c>
      <c r="G112" s="267" t="s">
        <v>1613</v>
      </c>
      <c r="H112" s="277">
        <v>1041250</v>
      </c>
      <c r="I112" s="277">
        <v>0</v>
      </c>
      <c r="J112" s="277">
        <v>878355757</v>
      </c>
    </row>
    <row r="113" spans="1:10" s="358" customFormat="1" ht="20.100000000000001" customHeight="1">
      <c r="A113" s="267" t="s">
        <v>1603</v>
      </c>
      <c r="B113" s="357" t="s">
        <v>1426</v>
      </c>
      <c r="C113" s="267" t="s">
        <v>1427</v>
      </c>
      <c r="D113" s="267" t="s">
        <v>1428</v>
      </c>
      <c r="E113" s="267" t="s">
        <v>1429</v>
      </c>
      <c r="F113" s="267" t="s">
        <v>1614</v>
      </c>
      <c r="G113" s="267" t="s">
        <v>1615</v>
      </c>
      <c r="H113" s="277">
        <v>1487322</v>
      </c>
      <c r="I113" s="277">
        <v>0</v>
      </c>
      <c r="J113" s="277">
        <v>879397007</v>
      </c>
    </row>
    <row r="114" spans="1:10" s="358" customFormat="1" ht="20.100000000000001" customHeight="1">
      <c r="A114" s="267" t="s">
        <v>1603</v>
      </c>
      <c r="B114" s="357" t="s">
        <v>1426</v>
      </c>
      <c r="C114" s="267" t="s">
        <v>1427</v>
      </c>
      <c r="D114" s="267" t="s">
        <v>1428</v>
      </c>
      <c r="E114" s="267" t="s">
        <v>1429</v>
      </c>
      <c r="F114" s="267" t="s">
        <v>1616</v>
      </c>
      <c r="G114" s="267" t="s">
        <v>1442</v>
      </c>
      <c r="H114" s="277">
        <v>1655349</v>
      </c>
      <c r="I114" s="277">
        <v>0</v>
      </c>
      <c r="J114" s="277">
        <v>880884329</v>
      </c>
    </row>
    <row r="115" spans="1:10" s="358" customFormat="1" ht="20.100000000000001" customHeight="1">
      <c r="A115" s="267" t="s">
        <v>1603</v>
      </c>
      <c r="B115" s="357" t="s">
        <v>1426</v>
      </c>
      <c r="C115" s="267" t="s">
        <v>1427</v>
      </c>
      <c r="D115" s="267" t="s">
        <v>1428</v>
      </c>
      <c r="E115" s="267" t="s">
        <v>1429</v>
      </c>
      <c r="F115" s="267" t="s">
        <v>1617</v>
      </c>
      <c r="G115" s="267" t="s">
        <v>1618</v>
      </c>
      <c r="H115" s="277">
        <v>1797198</v>
      </c>
      <c r="I115" s="277">
        <v>0</v>
      </c>
      <c r="J115" s="277">
        <v>882539678</v>
      </c>
    </row>
    <row r="116" spans="1:10" s="358" customFormat="1" ht="20.100000000000001" customHeight="1">
      <c r="A116" s="267" t="s">
        <v>1603</v>
      </c>
      <c r="B116" s="357" t="s">
        <v>1426</v>
      </c>
      <c r="C116" s="267" t="s">
        <v>1427</v>
      </c>
      <c r="D116" s="267" t="s">
        <v>1428</v>
      </c>
      <c r="E116" s="267" t="s">
        <v>1429</v>
      </c>
      <c r="F116" s="267" t="s">
        <v>1619</v>
      </c>
      <c r="G116" s="267" t="s">
        <v>1620</v>
      </c>
      <c r="H116" s="277">
        <v>1807314</v>
      </c>
      <c r="I116" s="277">
        <v>0</v>
      </c>
      <c r="J116" s="277">
        <v>884336876</v>
      </c>
    </row>
    <row r="117" spans="1:10" s="358" customFormat="1" ht="20.100000000000001" customHeight="1">
      <c r="A117" s="267" t="s">
        <v>1603</v>
      </c>
      <c r="B117" s="357" t="s">
        <v>1426</v>
      </c>
      <c r="C117" s="267" t="s">
        <v>1427</v>
      </c>
      <c r="D117" s="267" t="s">
        <v>1428</v>
      </c>
      <c r="E117" s="267" t="s">
        <v>1429</v>
      </c>
      <c r="F117" s="267" t="s">
        <v>1621</v>
      </c>
      <c r="G117" s="267" t="s">
        <v>1622</v>
      </c>
      <c r="H117" s="277">
        <v>1949220</v>
      </c>
      <c r="I117" s="277">
        <v>0</v>
      </c>
      <c r="J117" s="277">
        <v>886144190</v>
      </c>
    </row>
    <row r="118" spans="1:10" s="358" customFormat="1" ht="20.100000000000001" customHeight="1">
      <c r="A118" s="267" t="s">
        <v>1603</v>
      </c>
      <c r="B118" s="357" t="s">
        <v>1426</v>
      </c>
      <c r="C118" s="267" t="s">
        <v>1427</v>
      </c>
      <c r="D118" s="267" t="s">
        <v>1428</v>
      </c>
      <c r="E118" s="267" t="s">
        <v>1429</v>
      </c>
      <c r="F118" s="267" t="s">
        <v>1623</v>
      </c>
      <c r="G118" s="267" t="s">
        <v>1624</v>
      </c>
      <c r="H118" s="277">
        <v>2134679</v>
      </c>
      <c r="I118" s="277">
        <v>0</v>
      </c>
      <c r="J118" s="277">
        <v>888093410</v>
      </c>
    </row>
    <row r="119" spans="1:10" s="358" customFormat="1" ht="20.100000000000001" customHeight="1">
      <c r="A119" s="267" t="s">
        <v>1603</v>
      </c>
      <c r="B119" s="357" t="s">
        <v>1426</v>
      </c>
      <c r="C119" s="267" t="s">
        <v>1427</v>
      </c>
      <c r="D119" s="267" t="s">
        <v>1428</v>
      </c>
      <c r="E119" s="267" t="s">
        <v>1429</v>
      </c>
      <c r="F119" s="267" t="s">
        <v>1625</v>
      </c>
      <c r="G119" s="267" t="s">
        <v>1622</v>
      </c>
      <c r="H119" s="277">
        <v>2180080</v>
      </c>
      <c r="I119" s="277">
        <v>0</v>
      </c>
      <c r="J119" s="277">
        <v>890228089</v>
      </c>
    </row>
    <row r="120" spans="1:10" s="358" customFormat="1" ht="20.100000000000001" customHeight="1">
      <c r="A120" s="267" t="s">
        <v>1603</v>
      </c>
      <c r="B120" s="357" t="s">
        <v>1426</v>
      </c>
      <c r="C120" s="267" t="s">
        <v>1427</v>
      </c>
      <c r="D120" s="267" t="s">
        <v>1428</v>
      </c>
      <c r="E120" s="267" t="s">
        <v>1429</v>
      </c>
      <c r="F120" s="267" t="s">
        <v>1451</v>
      </c>
      <c r="G120" s="267" t="s">
        <v>1626</v>
      </c>
      <c r="H120" s="277">
        <v>8563835</v>
      </c>
      <c r="I120" s="277">
        <v>0</v>
      </c>
      <c r="J120" s="277">
        <v>892408169</v>
      </c>
    </row>
    <row r="121" spans="1:10" s="358" customFormat="1" ht="20.100000000000001" customHeight="1">
      <c r="A121" s="267" t="s">
        <v>1603</v>
      </c>
      <c r="B121" s="357" t="s">
        <v>1426</v>
      </c>
      <c r="C121" s="267" t="s">
        <v>1427</v>
      </c>
      <c r="D121" s="267" t="s">
        <v>1428</v>
      </c>
      <c r="E121" s="267" t="s">
        <v>1429</v>
      </c>
      <c r="F121" s="267" t="s">
        <v>1457</v>
      </c>
      <c r="G121" s="267" t="s">
        <v>1458</v>
      </c>
      <c r="H121" s="277">
        <v>0</v>
      </c>
      <c r="I121" s="277">
        <v>5190381</v>
      </c>
      <c r="J121" s="277">
        <v>900972004</v>
      </c>
    </row>
    <row r="122" spans="1:10" s="358" customFormat="1" ht="20.100000000000001" customHeight="1">
      <c r="A122" s="267" t="s">
        <v>1627</v>
      </c>
      <c r="B122" s="357" t="s">
        <v>1426</v>
      </c>
      <c r="C122" s="267" t="s">
        <v>1427</v>
      </c>
      <c r="D122" s="267" t="s">
        <v>1428</v>
      </c>
      <c r="E122" s="267" t="s">
        <v>1429</v>
      </c>
      <c r="F122" s="267" t="s">
        <v>1628</v>
      </c>
      <c r="G122" s="267" t="s">
        <v>1629</v>
      </c>
      <c r="H122" s="277">
        <v>44560</v>
      </c>
      <c r="I122" s="277">
        <v>0</v>
      </c>
      <c r="J122" s="277">
        <v>895781623</v>
      </c>
    </row>
    <row r="123" spans="1:10" s="358" customFormat="1" ht="20.100000000000001" customHeight="1">
      <c r="A123" s="267" t="s">
        <v>1627</v>
      </c>
      <c r="B123" s="357" t="s">
        <v>1426</v>
      </c>
      <c r="C123" s="267" t="s">
        <v>1427</v>
      </c>
      <c r="D123" s="267" t="s">
        <v>1428</v>
      </c>
      <c r="E123" s="267" t="s">
        <v>1429</v>
      </c>
      <c r="F123" s="267" t="s">
        <v>1630</v>
      </c>
      <c r="G123" s="267" t="s">
        <v>1631</v>
      </c>
      <c r="H123" s="277">
        <v>219429</v>
      </c>
      <c r="I123" s="277">
        <v>0</v>
      </c>
      <c r="J123" s="277">
        <v>895826183</v>
      </c>
    </row>
    <row r="124" spans="1:10" s="358" customFormat="1" ht="20.100000000000001" customHeight="1">
      <c r="A124" s="267" t="s">
        <v>1627</v>
      </c>
      <c r="B124" s="357" t="s">
        <v>1426</v>
      </c>
      <c r="C124" s="267" t="s">
        <v>1427</v>
      </c>
      <c r="D124" s="267" t="s">
        <v>1428</v>
      </c>
      <c r="E124" s="267" t="s">
        <v>1429</v>
      </c>
      <c r="F124" s="267" t="s">
        <v>1632</v>
      </c>
      <c r="G124" s="267" t="s">
        <v>1570</v>
      </c>
      <c r="H124" s="277">
        <v>219429</v>
      </c>
      <c r="I124" s="277">
        <v>0</v>
      </c>
      <c r="J124" s="277">
        <v>896045612</v>
      </c>
    </row>
    <row r="125" spans="1:10" s="358" customFormat="1" ht="20.100000000000001" customHeight="1">
      <c r="A125" s="267" t="s">
        <v>1627</v>
      </c>
      <c r="B125" s="357" t="s">
        <v>1426</v>
      </c>
      <c r="C125" s="267" t="s">
        <v>1427</v>
      </c>
      <c r="D125" s="267" t="s">
        <v>1428</v>
      </c>
      <c r="E125" s="267" t="s">
        <v>1429</v>
      </c>
      <c r="F125" s="267" t="s">
        <v>1633</v>
      </c>
      <c r="G125" s="267" t="s">
        <v>1634</v>
      </c>
      <c r="H125" s="277">
        <v>219429</v>
      </c>
      <c r="I125" s="277">
        <v>0</v>
      </c>
      <c r="J125" s="277">
        <v>896265041</v>
      </c>
    </row>
    <row r="126" spans="1:10" s="358" customFormat="1" ht="20.100000000000001" customHeight="1">
      <c r="A126" s="267" t="s">
        <v>1627</v>
      </c>
      <c r="B126" s="357" t="s">
        <v>1426</v>
      </c>
      <c r="C126" s="267" t="s">
        <v>1427</v>
      </c>
      <c r="D126" s="267" t="s">
        <v>1428</v>
      </c>
      <c r="E126" s="267" t="s">
        <v>1429</v>
      </c>
      <c r="F126" s="267" t="s">
        <v>1635</v>
      </c>
      <c r="G126" s="267" t="s">
        <v>1636</v>
      </c>
      <c r="H126" s="277">
        <v>270378</v>
      </c>
      <c r="I126" s="277">
        <v>0</v>
      </c>
      <c r="J126" s="277">
        <v>896484470</v>
      </c>
    </row>
    <row r="127" spans="1:10" s="358" customFormat="1" ht="20.100000000000001" customHeight="1">
      <c r="A127" s="267" t="s">
        <v>1627</v>
      </c>
      <c r="B127" s="357" t="s">
        <v>1426</v>
      </c>
      <c r="C127" s="267" t="s">
        <v>1427</v>
      </c>
      <c r="D127" s="267" t="s">
        <v>1428</v>
      </c>
      <c r="E127" s="267" t="s">
        <v>1429</v>
      </c>
      <c r="F127" s="267" t="s">
        <v>1637</v>
      </c>
      <c r="G127" s="267" t="s">
        <v>1638</v>
      </c>
      <c r="H127" s="277">
        <v>270378</v>
      </c>
      <c r="I127" s="277">
        <v>0</v>
      </c>
      <c r="J127" s="277">
        <v>896754848</v>
      </c>
    </row>
    <row r="128" spans="1:10" s="358" customFormat="1" ht="20.100000000000001" customHeight="1">
      <c r="A128" s="267" t="s">
        <v>1627</v>
      </c>
      <c r="B128" s="357" t="s">
        <v>1426</v>
      </c>
      <c r="C128" s="267" t="s">
        <v>1427</v>
      </c>
      <c r="D128" s="267" t="s">
        <v>1428</v>
      </c>
      <c r="E128" s="267" t="s">
        <v>1429</v>
      </c>
      <c r="F128" s="267" t="s">
        <v>1639</v>
      </c>
      <c r="G128" s="267" t="s">
        <v>1640</v>
      </c>
      <c r="H128" s="277">
        <v>270378</v>
      </c>
      <c r="I128" s="277">
        <v>0</v>
      </c>
      <c r="J128" s="277">
        <v>897025226</v>
      </c>
    </row>
    <row r="129" spans="1:10" s="358" customFormat="1" ht="20.100000000000001" customHeight="1">
      <c r="A129" s="267" t="s">
        <v>1627</v>
      </c>
      <c r="B129" s="357" t="s">
        <v>1426</v>
      </c>
      <c r="C129" s="267" t="s">
        <v>1427</v>
      </c>
      <c r="D129" s="267" t="s">
        <v>1428</v>
      </c>
      <c r="E129" s="267" t="s">
        <v>1429</v>
      </c>
      <c r="F129" s="267" t="s">
        <v>1641</v>
      </c>
      <c r="G129" s="267" t="s">
        <v>1351</v>
      </c>
      <c r="H129" s="277">
        <v>270378</v>
      </c>
      <c r="I129" s="277">
        <v>0</v>
      </c>
      <c r="J129" s="277">
        <v>897295604</v>
      </c>
    </row>
    <row r="130" spans="1:10" s="358" customFormat="1" ht="20.100000000000001" customHeight="1">
      <c r="A130" s="267" t="s">
        <v>1627</v>
      </c>
      <c r="B130" s="357" t="s">
        <v>1426</v>
      </c>
      <c r="C130" s="267" t="s">
        <v>1427</v>
      </c>
      <c r="D130" s="267" t="s">
        <v>1428</v>
      </c>
      <c r="E130" s="267" t="s">
        <v>1429</v>
      </c>
      <c r="F130" s="267" t="s">
        <v>1642</v>
      </c>
      <c r="G130" s="267" t="s">
        <v>1643</v>
      </c>
      <c r="H130" s="277">
        <v>270378</v>
      </c>
      <c r="I130" s="277">
        <v>0</v>
      </c>
      <c r="J130" s="277">
        <v>897565982</v>
      </c>
    </row>
    <row r="131" spans="1:10" s="358" customFormat="1" ht="20.100000000000001" customHeight="1">
      <c r="A131" s="267" t="s">
        <v>1627</v>
      </c>
      <c r="B131" s="357" t="s">
        <v>1426</v>
      </c>
      <c r="C131" s="267" t="s">
        <v>1427</v>
      </c>
      <c r="D131" s="267" t="s">
        <v>1428</v>
      </c>
      <c r="E131" s="267" t="s">
        <v>1429</v>
      </c>
      <c r="F131" s="267" t="s">
        <v>1644</v>
      </c>
      <c r="G131" s="267" t="s">
        <v>1645</v>
      </c>
      <c r="H131" s="277">
        <v>293950</v>
      </c>
      <c r="I131" s="277">
        <v>0</v>
      </c>
      <c r="J131" s="277">
        <v>897836360</v>
      </c>
    </row>
    <row r="132" spans="1:10" s="358" customFormat="1" ht="20.100000000000001" customHeight="1">
      <c r="A132" s="267" t="s">
        <v>1627</v>
      </c>
      <c r="B132" s="357" t="s">
        <v>1426</v>
      </c>
      <c r="C132" s="267" t="s">
        <v>1427</v>
      </c>
      <c r="D132" s="267" t="s">
        <v>1428</v>
      </c>
      <c r="E132" s="267" t="s">
        <v>1429</v>
      </c>
      <c r="F132" s="267" t="s">
        <v>1646</v>
      </c>
      <c r="G132" s="267" t="s">
        <v>1467</v>
      </c>
      <c r="H132" s="277">
        <v>333319</v>
      </c>
      <c r="I132" s="277">
        <v>0</v>
      </c>
      <c r="J132" s="277">
        <v>898130310</v>
      </c>
    </row>
    <row r="133" spans="1:10" s="358" customFormat="1" ht="20.100000000000001" customHeight="1">
      <c r="A133" s="267" t="s">
        <v>1627</v>
      </c>
      <c r="B133" s="357" t="s">
        <v>1426</v>
      </c>
      <c r="C133" s="267" t="s">
        <v>1427</v>
      </c>
      <c r="D133" s="267" t="s">
        <v>1428</v>
      </c>
      <c r="E133" s="267" t="s">
        <v>1429</v>
      </c>
      <c r="F133" s="267" t="s">
        <v>1451</v>
      </c>
      <c r="G133" s="267" t="s">
        <v>1647</v>
      </c>
      <c r="H133" s="277">
        <v>350000</v>
      </c>
      <c r="I133" s="277">
        <v>0</v>
      </c>
      <c r="J133" s="277">
        <v>898463629</v>
      </c>
    </row>
    <row r="134" spans="1:10" s="358" customFormat="1" ht="20.100000000000001" customHeight="1">
      <c r="A134" s="267" t="s">
        <v>1627</v>
      </c>
      <c r="B134" s="357" t="s">
        <v>1426</v>
      </c>
      <c r="C134" s="267" t="s">
        <v>1427</v>
      </c>
      <c r="D134" s="267" t="s">
        <v>1428</v>
      </c>
      <c r="E134" s="267" t="s">
        <v>1429</v>
      </c>
      <c r="F134" s="267" t="s">
        <v>1648</v>
      </c>
      <c r="G134" s="267" t="s">
        <v>1611</v>
      </c>
      <c r="H134" s="277">
        <v>374850</v>
      </c>
      <c r="I134" s="277">
        <v>0</v>
      </c>
      <c r="J134" s="277">
        <v>898813629</v>
      </c>
    </row>
    <row r="135" spans="1:10" s="358" customFormat="1" ht="20.100000000000001" customHeight="1">
      <c r="A135" s="267" t="s">
        <v>1627</v>
      </c>
      <c r="B135" s="357" t="s">
        <v>1426</v>
      </c>
      <c r="C135" s="267" t="s">
        <v>1427</v>
      </c>
      <c r="D135" s="267" t="s">
        <v>1428</v>
      </c>
      <c r="E135" s="267" t="s">
        <v>1429</v>
      </c>
      <c r="F135" s="267" t="s">
        <v>1649</v>
      </c>
      <c r="G135" s="267" t="s">
        <v>1650</v>
      </c>
      <c r="H135" s="277">
        <v>446250</v>
      </c>
      <c r="I135" s="277">
        <v>0</v>
      </c>
      <c r="J135" s="277">
        <v>899188479</v>
      </c>
    </row>
    <row r="136" spans="1:10" s="358" customFormat="1" ht="20.100000000000001" customHeight="1">
      <c r="A136" s="267" t="s">
        <v>1627</v>
      </c>
      <c r="B136" s="357" t="s">
        <v>1426</v>
      </c>
      <c r="C136" s="267" t="s">
        <v>1427</v>
      </c>
      <c r="D136" s="267" t="s">
        <v>1428</v>
      </c>
      <c r="E136" s="267" t="s">
        <v>1429</v>
      </c>
      <c r="F136" s="267" t="s">
        <v>1651</v>
      </c>
      <c r="G136" s="267" t="s">
        <v>1525</v>
      </c>
      <c r="H136" s="277">
        <v>619611</v>
      </c>
      <c r="I136" s="277">
        <v>0</v>
      </c>
      <c r="J136" s="277">
        <v>899634729</v>
      </c>
    </row>
    <row r="137" spans="1:10" s="358" customFormat="1" ht="20.100000000000001" customHeight="1">
      <c r="A137" s="267" t="s">
        <v>1627</v>
      </c>
      <c r="B137" s="357" t="s">
        <v>1426</v>
      </c>
      <c r="C137" s="267" t="s">
        <v>1427</v>
      </c>
      <c r="D137" s="267" t="s">
        <v>1428</v>
      </c>
      <c r="E137" s="267" t="s">
        <v>1429</v>
      </c>
      <c r="F137" s="267" t="s">
        <v>1652</v>
      </c>
      <c r="G137" s="267" t="s">
        <v>1653</v>
      </c>
      <c r="H137" s="277">
        <v>804440</v>
      </c>
      <c r="I137" s="277">
        <v>0</v>
      </c>
      <c r="J137" s="277">
        <v>900254340</v>
      </c>
    </row>
    <row r="138" spans="1:10" s="358" customFormat="1" ht="20.100000000000001" customHeight="1">
      <c r="A138" s="267" t="s">
        <v>1627</v>
      </c>
      <c r="B138" s="357" t="s">
        <v>1426</v>
      </c>
      <c r="C138" s="267" t="s">
        <v>1427</v>
      </c>
      <c r="D138" s="267" t="s">
        <v>1428</v>
      </c>
      <c r="E138" s="267" t="s">
        <v>1429</v>
      </c>
      <c r="F138" s="267" t="s">
        <v>1654</v>
      </c>
      <c r="G138" s="267" t="s">
        <v>1655</v>
      </c>
      <c r="H138" s="277">
        <v>1196785</v>
      </c>
      <c r="I138" s="277">
        <v>0</v>
      </c>
      <c r="J138" s="277">
        <v>901058780</v>
      </c>
    </row>
    <row r="139" spans="1:10" s="358" customFormat="1" ht="20.100000000000001" customHeight="1">
      <c r="A139" s="267" t="s">
        <v>1627</v>
      </c>
      <c r="B139" s="357" t="s">
        <v>1426</v>
      </c>
      <c r="C139" s="267" t="s">
        <v>1427</v>
      </c>
      <c r="D139" s="267" t="s">
        <v>1428</v>
      </c>
      <c r="E139" s="267" t="s">
        <v>1429</v>
      </c>
      <c r="F139" s="267" t="s">
        <v>1451</v>
      </c>
      <c r="G139" s="267" t="s">
        <v>1656</v>
      </c>
      <c r="H139" s="277">
        <v>2155180</v>
      </c>
      <c r="I139" s="277">
        <v>0</v>
      </c>
      <c r="J139" s="277">
        <v>902255565</v>
      </c>
    </row>
    <row r="140" spans="1:10" s="358" customFormat="1" ht="20.100000000000001" customHeight="1">
      <c r="A140" s="267" t="s">
        <v>1627</v>
      </c>
      <c r="B140" s="357" t="s">
        <v>1426</v>
      </c>
      <c r="C140" s="267" t="s">
        <v>1427</v>
      </c>
      <c r="D140" s="267" t="s">
        <v>1428</v>
      </c>
      <c r="E140" s="267" t="s">
        <v>1429</v>
      </c>
      <c r="F140" s="267" t="s">
        <v>1657</v>
      </c>
      <c r="G140" s="267" t="s">
        <v>1658</v>
      </c>
      <c r="H140" s="277">
        <v>2672145</v>
      </c>
      <c r="I140" s="277">
        <v>0</v>
      </c>
      <c r="J140" s="277">
        <v>904410745</v>
      </c>
    </row>
    <row r="141" spans="1:10" s="358" customFormat="1" ht="20.100000000000001" customHeight="1">
      <c r="A141" s="267" t="s">
        <v>1627</v>
      </c>
      <c r="B141" s="357" t="s">
        <v>1426</v>
      </c>
      <c r="C141" s="267" t="s">
        <v>1427</v>
      </c>
      <c r="D141" s="267" t="s">
        <v>1428</v>
      </c>
      <c r="E141" s="267" t="s">
        <v>1429</v>
      </c>
      <c r="F141" s="267" t="s">
        <v>1659</v>
      </c>
      <c r="G141" s="267" t="s">
        <v>1660</v>
      </c>
      <c r="H141" s="277">
        <v>3431050</v>
      </c>
      <c r="I141" s="277">
        <v>0</v>
      </c>
      <c r="J141" s="277">
        <v>907082890</v>
      </c>
    </row>
    <row r="142" spans="1:10" s="358" customFormat="1" ht="20.100000000000001" customHeight="1">
      <c r="A142" s="267" t="s">
        <v>1627</v>
      </c>
      <c r="B142" s="357" t="s">
        <v>1426</v>
      </c>
      <c r="C142" s="267" t="s">
        <v>1427</v>
      </c>
      <c r="D142" s="267" t="s">
        <v>1428</v>
      </c>
      <c r="E142" s="267" t="s">
        <v>1429</v>
      </c>
      <c r="F142" s="267" t="s">
        <v>1661</v>
      </c>
      <c r="G142" s="267" t="s">
        <v>1591</v>
      </c>
      <c r="H142" s="277">
        <v>13836510</v>
      </c>
      <c r="I142" s="277">
        <v>0</v>
      </c>
      <c r="J142" s="277">
        <v>910513940</v>
      </c>
    </row>
    <row r="143" spans="1:10" s="358" customFormat="1" ht="20.100000000000001" customHeight="1">
      <c r="A143" s="267" t="s">
        <v>1627</v>
      </c>
      <c r="B143" s="357" t="s">
        <v>1426</v>
      </c>
      <c r="C143" s="267" t="s">
        <v>1427</v>
      </c>
      <c r="D143" s="267" t="s">
        <v>1428</v>
      </c>
      <c r="E143" s="267" t="s">
        <v>1429</v>
      </c>
      <c r="F143" s="267" t="s">
        <v>1451</v>
      </c>
      <c r="G143" s="267" t="s">
        <v>1662</v>
      </c>
      <c r="H143" s="277">
        <v>41448455</v>
      </c>
      <c r="I143" s="277">
        <v>0</v>
      </c>
      <c r="J143" s="277">
        <v>924350450</v>
      </c>
    </row>
    <row r="144" spans="1:10" s="358" customFormat="1" ht="20.100000000000001" customHeight="1">
      <c r="A144" s="267" t="s">
        <v>1627</v>
      </c>
      <c r="B144" s="357" t="s">
        <v>1426</v>
      </c>
      <c r="C144" s="267" t="s">
        <v>1427</v>
      </c>
      <c r="D144" s="267" t="s">
        <v>1428</v>
      </c>
      <c r="E144" s="267" t="s">
        <v>1429</v>
      </c>
      <c r="F144" s="267" t="s">
        <v>1457</v>
      </c>
      <c r="G144" s="267" t="s">
        <v>1458</v>
      </c>
      <c r="H144" s="277">
        <v>0</v>
      </c>
      <c r="I144" s="277">
        <v>1367877</v>
      </c>
      <c r="J144" s="277">
        <v>965798905</v>
      </c>
    </row>
    <row r="145" spans="1:10" s="358" customFormat="1" ht="20.100000000000001" customHeight="1">
      <c r="A145" s="267" t="s">
        <v>1627</v>
      </c>
      <c r="B145" s="357" t="s">
        <v>1426</v>
      </c>
      <c r="C145" s="267" t="s">
        <v>1427</v>
      </c>
      <c r="D145" s="267" t="s">
        <v>1428</v>
      </c>
      <c r="E145" s="267" t="s">
        <v>1429</v>
      </c>
      <c r="F145" s="267" t="s">
        <v>1597</v>
      </c>
      <c r="G145" s="267" t="s">
        <v>1598</v>
      </c>
      <c r="H145" s="277">
        <v>0</v>
      </c>
      <c r="I145" s="277">
        <v>188939725</v>
      </c>
      <c r="J145" s="277">
        <v>964431028</v>
      </c>
    </row>
    <row r="146" spans="1:10" s="358" customFormat="1" ht="20.100000000000001" customHeight="1">
      <c r="A146" s="267" t="s">
        <v>1627</v>
      </c>
      <c r="B146" s="357" t="s">
        <v>1426</v>
      </c>
      <c r="C146" s="267" t="s">
        <v>1427</v>
      </c>
      <c r="D146" s="267" t="s">
        <v>1428</v>
      </c>
      <c r="E146" s="267" t="s">
        <v>1429</v>
      </c>
      <c r="F146" s="267" t="s">
        <v>1663</v>
      </c>
      <c r="G146" s="267" t="s">
        <v>1262</v>
      </c>
      <c r="H146" s="277">
        <v>1200</v>
      </c>
      <c r="I146" s="277">
        <v>0</v>
      </c>
      <c r="J146" s="277">
        <v>775491303</v>
      </c>
    </row>
    <row r="147" spans="1:10" s="358" customFormat="1" ht="20.100000000000001" customHeight="1">
      <c r="A147" s="267" t="s">
        <v>1627</v>
      </c>
      <c r="B147" s="357" t="s">
        <v>1426</v>
      </c>
      <c r="C147" s="267" t="s">
        <v>1427</v>
      </c>
      <c r="D147" s="267" t="s">
        <v>1428</v>
      </c>
      <c r="E147" s="267" t="s">
        <v>1429</v>
      </c>
      <c r="F147" s="267" t="s">
        <v>1664</v>
      </c>
      <c r="G147" s="267" t="s">
        <v>1261</v>
      </c>
      <c r="H147" s="277">
        <v>167887</v>
      </c>
      <c r="I147" s="277">
        <v>0</v>
      </c>
      <c r="J147" s="277">
        <v>775492503</v>
      </c>
    </row>
    <row r="148" spans="1:10" s="358" customFormat="1" ht="20.100000000000001" customHeight="1">
      <c r="A148" s="267" t="s">
        <v>1627</v>
      </c>
      <c r="B148" s="357" t="s">
        <v>1426</v>
      </c>
      <c r="C148" s="267" t="s">
        <v>1427</v>
      </c>
      <c r="D148" s="267" t="s">
        <v>1428</v>
      </c>
      <c r="E148" s="267" t="s">
        <v>1429</v>
      </c>
      <c r="F148" s="267" t="s">
        <v>1665</v>
      </c>
      <c r="G148" s="267" t="s">
        <v>1261</v>
      </c>
      <c r="H148" s="277">
        <v>324429</v>
      </c>
      <c r="I148" s="277">
        <v>0</v>
      </c>
      <c r="J148" s="277">
        <v>775660390</v>
      </c>
    </row>
    <row r="149" spans="1:10" s="358" customFormat="1" ht="20.100000000000001" customHeight="1">
      <c r="A149" s="267" t="s">
        <v>1666</v>
      </c>
      <c r="B149" s="357" t="s">
        <v>1426</v>
      </c>
      <c r="C149" s="267" t="s">
        <v>1427</v>
      </c>
      <c r="D149" s="267" t="s">
        <v>1428</v>
      </c>
      <c r="E149" s="267" t="s">
        <v>1429</v>
      </c>
      <c r="F149" s="267" t="s">
        <v>1451</v>
      </c>
      <c r="G149" s="267" t="s">
        <v>1667</v>
      </c>
      <c r="H149" s="277">
        <v>549439</v>
      </c>
      <c r="I149" s="277">
        <v>0</v>
      </c>
      <c r="J149" s="277">
        <v>775984819</v>
      </c>
    </row>
    <row r="150" spans="1:10" s="358" customFormat="1" ht="20.100000000000001" customHeight="1">
      <c r="A150" s="267" t="s">
        <v>1666</v>
      </c>
      <c r="B150" s="357" t="s">
        <v>1426</v>
      </c>
      <c r="C150" s="267" t="s">
        <v>1427</v>
      </c>
      <c r="D150" s="267" t="s">
        <v>1428</v>
      </c>
      <c r="E150" s="267" t="s">
        <v>1429</v>
      </c>
      <c r="F150" s="267" t="s">
        <v>1457</v>
      </c>
      <c r="G150" s="267" t="s">
        <v>1458</v>
      </c>
      <c r="H150" s="277">
        <v>0</v>
      </c>
      <c r="I150" s="277">
        <v>6068960</v>
      </c>
      <c r="J150" s="277">
        <v>776534258</v>
      </c>
    </row>
    <row r="151" spans="1:10" s="358" customFormat="1" ht="20.100000000000001" customHeight="1">
      <c r="A151" s="267" t="s">
        <v>1666</v>
      </c>
      <c r="B151" s="357" t="s">
        <v>1426</v>
      </c>
      <c r="C151" s="267" t="s">
        <v>1427</v>
      </c>
      <c r="D151" s="267" t="s">
        <v>1428</v>
      </c>
      <c r="E151" s="267" t="s">
        <v>1429</v>
      </c>
      <c r="F151" s="267" t="s">
        <v>1668</v>
      </c>
      <c r="G151" s="267" t="s">
        <v>1669</v>
      </c>
      <c r="H151" s="277">
        <v>21170</v>
      </c>
      <c r="I151" s="277">
        <v>0</v>
      </c>
      <c r="J151" s="277">
        <v>770465298</v>
      </c>
    </row>
    <row r="152" spans="1:10" s="358" customFormat="1" ht="20.100000000000001" customHeight="1">
      <c r="A152" s="267" t="s">
        <v>1666</v>
      </c>
      <c r="B152" s="357" t="s">
        <v>1426</v>
      </c>
      <c r="C152" s="267" t="s">
        <v>1427</v>
      </c>
      <c r="D152" s="267" t="s">
        <v>1428</v>
      </c>
      <c r="E152" s="267" t="s">
        <v>1429</v>
      </c>
      <c r="F152" s="267" t="s">
        <v>1670</v>
      </c>
      <c r="G152" s="267" t="s">
        <v>1671</v>
      </c>
      <c r="H152" s="277">
        <v>136400</v>
      </c>
      <c r="I152" s="277">
        <v>0</v>
      </c>
      <c r="J152" s="277">
        <v>770486468</v>
      </c>
    </row>
    <row r="153" spans="1:10" s="358" customFormat="1" ht="20.100000000000001" customHeight="1">
      <c r="A153" s="267" t="s">
        <v>1666</v>
      </c>
      <c r="B153" s="357" t="s">
        <v>1426</v>
      </c>
      <c r="C153" s="267" t="s">
        <v>1427</v>
      </c>
      <c r="D153" s="267" t="s">
        <v>1428</v>
      </c>
      <c r="E153" s="267" t="s">
        <v>1429</v>
      </c>
      <c r="F153" s="267" t="s">
        <v>1672</v>
      </c>
      <c r="G153" s="267" t="s">
        <v>1673</v>
      </c>
      <c r="H153" s="277">
        <v>708220</v>
      </c>
      <c r="I153" s="277">
        <v>0</v>
      </c>
      <c r="J153" s="277">
        <v>770622868</v>
      </c>
    </row>
    <row r="154" spans="1:10" s="358" customFormat="1" ht="20.100000000000001" customHeight="1">
      <c r="A154" s="267" t="s">
        <v>1666</v>
      </c>
      <c r="B154" s="357" t="s">
        <v>1426</v>
      </c>
      <c r="C154" s="267" t="s">
        <v>1427</v>
      </c>
      <c r="D154" s="267" t="s">
        <v>1428</v>
      </c>
      <c r="E154" s="267" t="s">
        <v>1429</v>
      </c>
      <c r="F154" s="267" t="s">
        <v>1674</v>
      </c>
      <c r="G154" s="267" t="s">
        <v>1675</v>
      </c>
      <c r="H154" s="277">
        <v>2865225</v>
      </c>
      <c r="I154" s="277">
        <v>0</v>
      </c>
      <c r="J154" s="277">
        <v>771331088</v>
      </c>
    </row>
    <row r="155" spans="1:10" s="358" customFormat="1" ht="20.100000000000001" customHeight="1">
      <c r="A155" s="267" t="s">
        <v>1666</v>
      </c>
      <c r="B155" s="357" t="s">
        <v>1426</v>
      </c>
      <c r="C155" s="267" t="s">
        <v>1427</v>
      </c>
      <c r="D155" s="267" t="s">
        <v>1428</v>
      </c>
      <c r="E155" s="267" t="s">
        <v>1429</v>
      </c>
      <c r="F155" s="267" t="s">
        <v>1453</v>
      </c>
      <c r="G155" s="267" t="s">
        <v>1676</v>
      </c>
      <c r="H155" s="277">
        <v>0</v>
      </c>
      <c r="I155" s="277">
        <v>1247000</v>
      </c>
      <c r="J155" s="277">
        <v>774196313</v>
      </c>
    </row>
    <row r="156" spans="1:10" s="358" customFormat="1" ht="20.100000000000001" customHeight="1">
      <c r="A156" s="267" t="s">
        <v>1677</v>
      </c>
      <c r="B156" s="357" t="s">
        <v>1426</v>
      </c>
      <c r="C156" s="267" t="s">
        <v>1427</v>
      </c>
      <c r="D156" s="267" t="s">
        <v>1428</v>
      </c>
      <c r="E156" s="267" t="s">
        <v>1429</v>
      </c>
      <c r="F156" s="267" t="s">
        <v>1457</v>
      </c>
      <c r="G156" s="267" t="s">
        <v>1458</v>
      </c>
      <c r="H156" s="277">
        <v>0</v>
      </c>
      <c r="I156" s="277">
        <v>9916500</v>
      </c>
      <c r="J156" s="277">
        <v>772949313</v>
      </c>
    </row>
    <row r="157" spans="1:10" s="358" customFormat="1" ht="20.100000000000001" customHeight="1">
      <c r="A157" s="267" t="s">
        <v>1677</v>
      </c>
      <c r="B157" s="357" t="s">
        <v>1426</v>
      </c>
      <c r="C157" s="267" t="s">
        <v>1427</v>
      </c>
      <c r="D157" s="267" t="s">
        <v>1428</v>
      </c>
      <c r="E157" s="267" t="s">
        <v>1429</v>
      </c>
      <c r="F157" s="267" t="s">
        <v>1678</v>
      </c>
      <c r="G157" s="267" t="s">
        <v>1679</v>
      </c>
      <c r="H157" s="277">
        <v>0</v>
      </c>
      <c r="I157" s="277">
        <v>24687500</v>
      </c>
      <c r="J157" s="277">
        <v>763032813</v>
      </c>
    </row>
    <row r="158" spans="1:10" s="358" customFormat="1" ht="20.100000000000001" customHeight="1">
      <c r="A158" s="267" t="s">
        <v>1680</v>
      </c>
      <c r="B158" s="357" t="s">
        <v>1426</v>
      </c>
      <c r="C158" s="267" t="s">
        <v>1427</v>
      </c>
      <c r="D158" s="267" t="s">
        <v>1428</v>
      </c>
      <c r="E158" s="267" t="s">
        <v>1429</v>
      </c>
      <c r="F158" s="267" t="s">
        <v>1681</v>
      </c>
      <c r="G158" s="267" t="s">
        <v>1682</v>
      </c>
      <c r="H158" s="277">
        <v>30631</v>
      </c>
      <c r="I158" s="277">
        <v>0</v>
      </c>
      <c r="J158" s="277">
        <v>738345313</v>
      </c>
    </row>
    <row r="159" spans="1:10" s="358" customFormat="1" ht="20.100000000000001" customHeight="1">
      <c r="A159" s="267" t="s">
        <v>1680</v>
      </c>
      <c r="B159" s="357" t="s">
        <v>1426</v>
      </c>
      <c r="C159" s="267" t="s">
        <v>1427</v>
      </c>
      <c r="D159" s="267" t="s">
        <v>1428</v>
      </c>
      <c r="E159" s="267" t="s">
        <v>1429</v>
      </c>
      <c r="F159" s="267" t="s">
        <v>1683</v>
      </c>
      <c r="G159" s="267" t="s">
        <v>1684</v>
      </c>
      <c r="H159" s="277">
        <v>270378</v>
      </c>
      <c r="I159" s="277">
        <v>0</v>
      </c>
      <c r="J159" s="277">
        <v>738375944</v>
      </c>
    </row>
    <row r="160" spans="1:10" s="358" customFormat="1" ht="20.100000000000001" customHeight="1">
      <c r="A160" s="267" t="s">
        <v>1680</v>
      </c>
      <c r="B160" s="357" t="s">
        <v>1426</v>
      </c>
      <c r="C160" s="267" t="s">
        <v>1427</v>
      </c>
      <c r="D160" s="267" t="s">
        <v>1428</v>
      </c>
      <c r="E160" s="267" t="s">
        <v>1429</v>
      </c>
      <c r="F160" s="267" t="s">
        <v>1685</v>
      </c>
      <c r="G160" s="267" t="s">
        <v>1475</v>
      </c>
      <c r="H160" s="277">
        <v>1235000</v>
      </c>
      <c r="I160" s="277">
        <v>0</v>
      </c>
      <c r="J160" s="277">
        <v>738646322</v>
      </c>
    </row>
    <row r="161" spans="1:10" s="358" customFormat="1" ht="20.100000000000001" customHeight="1">
      <c r="A161" s="267" t="s">
        <v>1680</v>
      </c>
      <c r="B161" s="357" t="s">
        <v>1686</v>
      </c>
      <c r="C161" s="267" t="s">
        <v>1427</v>
      </c>
      <c r="D161" s="267" t="s">
        <v>1428</v>
      </c>
      <c r="E161" s="267" t="s">
        <v>1429</v>
      </c>
      <c r="F161" s="267" t="s">
        <v>1687</v>
      </c>
      <c r="G161" s="267" t="s">
        <v>1264</v>
      </c>
      <c r="H161" s="277">
        <v>1928120</v>
      </c>
      <c r="I161" s="277">
        <v>0</v>
      </c>
      <c r="J161" s="277">
        <v>739881322</v>
      </c>
    </row>
    <row r="162" spans="1:10" s="358" customFormat="1" ht="20.100000000000001" customHeight="1">
      <c r="A162" s="267" t="s">
        <v>1680</v>
      </c>
      <c r="B162" s="357" t="s">
        <v>1426</v>
      </c>
      <c r="C162" s="267" t="s">
        <v>1427</v>
      </c>
      <c r="D162" s="267" t="s">
        <v>1428</v>
      </c>
      <c r="E162" s="267" t="s">
        <v>1429</v>
      </c>
      <c r="F162" s="267" t="s">
        <v>1688</v>
      </c>
      <c r="G162" s="267" t="s">
        <v>1689</v>
      </c>
      <c r="H162" s="277">
        <v>2290000</v>
      </c>
      <c r="I162" s="277">
        <v>0</v>
      </c>
      <c r="J162" s="277">
        <v>741809442</v>
      </c>
    </row>
    <row r="163" spans="1:10" s="358" customFormat="1" ht="20.100000000000001" customHeight="1">
      <c r="A163" s="267" t="s">
        <v>1680</v>
      </c>
      <c r="B163" s="357" t="s">
        <v>1426</v>
      </c>
      <c r="C163" s="267" t="s">
        <v>1427</v>
      </c>
      <c r="D163" s="267" t="s">
        <v>1428</v>
      </c>
      <c r="E163" s="267" t="s">
        <v>1429</v>
      </c>
      <c r="F163" s="267" t="s">
        <v>1690</v>
      </c>
      <c r="G163" s="267" t="s">
        <v>1691</v>
      </c>
      <c r="H163" s="277">
        <v>4466962</v>
      </c>
      <c r="I163" s="277">
        <v>0</v>
      </c>
      <c r="J163" s="277">
        <v>744099442</v>
      </c>
    </row>
    <row r="164" spans="1:10" s="358" customFormat="1" ht="20.100000000000001" customHeight="1">
      <c r="A164" s="267" t="s">
        <v>1680</v>
      </c>
      <c r="B164" s="357" t="s">
        <v>1426</v>
      </c>
      <c r="C164" s="267" t="s">
        <v>1427</v>
      </c>
      <c r="D164" s="267" t="s">
        <v>1428</v>
      </c>
      <c r="E164" s="267" t="s">
        <v>1429</v>
      </c>
      <c r="F164" s="267" t="s">
        <v>1692</v>
      </c>
      <c r="G164" s="267" t="s">
        <v>1691</v>
      </c>
      <c r="H164" s="277">
        <v>4466963</v>
      </c>
      <c r="I164" s="277">
        <v>0</v>
      </c>
      <c r="J164" s="277">
        <v>748566404</v>
      </c>
    </row>
    <row r="165" spans="1:10" s="358" customFormat="1" ht="20.100000000000001" customHeight="1">
      <c r="A165" s="267" t="s">
        <v>1680</v>
      </c>
      <c r="B165" s="357" t="s">
        <v>1426</v>
      </c>
      <c r="C165" s="267" t="s">
        <v>1427</v>
      </c>
      <c r="D165" s="267" t="s">
        <v>1428</v>
      </c>
      <c r="E165" s="267" t="s">
        <v>1429</v>
      </c>
      <c r="F165" s="267" t="s">
        <v>1693</v>
      </c>
      <c r="G165" s="267" t="s">
        <v>1694</v>
      </c>
      <c r="H165" s="277">
        <v>0</v>
      </c>
      <c r="I165" s="277">
        <v>200</v>
      </c>
      <c r="J165" s="277">
        <v>753033367</v>
      </c>
    </row>
    <row r="166" spans="1:10" s="358" customFormat="1" ht="20.100000000000001" customHeight="1">
      <c r="A166" s="267" t="s">
        <v>1680</v>
      </c>
      <c r="B166" s="357" t="s">
        <v>1426</v>
      </c>
      <c r="C166" s="267" t="s">
        <v>1427</v>
      </c>
      <c r="D166" s="267" t="s">
        <v>1428</v>
      </c>
      <c r="E166" s="267" t="s">
        <v>1429</v>
      </c>
      <c r="F166" s="267" t="s">
        <v>1457</v>
      </c>
      <c r="G166" s="267" t="s">
        <v>1458</v>
      </c>
      <c r="H166" s="277">
        <v>0</v>
      </c>
      <c r="I166" s="277">
        <v>8642715</v>
      </c>
      <c r="J166" s="277">
        <v>753033167</v>
      </c>
    </row>
    <row r="167" spans="1:10" s="358" customFormat="1" ht="20.100000000000001" customHeight="1">
      <c r="A167" s="267" t="s">
        <v>1680</v>
      </c>
      <c r="B167" s="357" t="s">
        <v>1426</v>
      </c>
      <c r="C167" s="267" t="s">
        <v>1427</v>
      </c>
      <c r="D167" s="267" t="s">
        <v>1428</v>
      </c>
      <c r="E167" s="267" t="s">
        <v>1429</v>
      </c>
      <c r="F167" s="267" t="s">
        <v>1695</v>
      </c>
      <c r="G167" s="267" t="s">
        <v>1473</v>
      </c>
      <c r="H167" s="277">
        <v>1190000</v>
      </c>
      <c r="I167" s="277">
        <v>0</v>
      </c>
      <c r="J167" s="277">
        <v>744390452</v>
      </c>
    </row>
    <row r="168" spans="1:10" s="358" customFormat="1" ht="20.100000000000001" customHeight="1">
      <c r="A168" s="267" t="s">
        <v>1680</v>
      </c>
      <c r="B168" s="357" t="s">
        <v>1426</v>
      </c>
      <c r="C168" s="267" t="s">
        <v>1427</v>
      </c>
      <c r="D168" s="267" t="s">
        <v>1428</v>
      </c>
      <c r="E168" s="267" t="s">
        <v>1429</v>
      </c>
      <c r="F168" s="267" t="s">
        <v>1696</v>
      </c>
      <c r="G168" s="267" t="s">
        <v>1655</v>
      </c>
      <c r="H168" s="277">
        <v>1196785</v>
      </c>
      <c r="I168" s="277">
        <v>0</v>
      </c>
      <c r="J168" s="277">
        <v>745580452</v>
      </c>
    </row>
    <row r="169" spans="1:10" s="358" customFormat="1" ht="20.100000000000001" customHeight="1">
      <c r="A169" s="267" t="s">
        <v>1680</v>
      </c>
      <c r="B169" s="357" t="s">
        <v>1426</v>
      </c>
      <c r="C169" s="267" t="s">
        <v>1427</v>
      </c>
      <c r="D169" s="267" t="s">
        <v>1428</v>
      </c>
      <c r="E169" s="267" t="s">
        <v>1429</v>
      </c>
      <c r="F169" s="267" t="s">
        <v>1697</v>
      </c>
      <c r="G169" s="267" t="s">
        <v>1698</v>
      </c>
      <c r="H169" s="277">
        <v>2885750</v>
      </c>
      <c r="I169" s="277">
        <v>0</v>
      </c>
      <c r="J169" s="277">
        <v>746777237</v>
      </c>
    </row>
    <row r="170" spans="1:10" s="358" customFormat="1" ht="20.100000000000001" customHeight="1">
      <c r="A170" s="267" t="s">
        <v>1680</v>
      </c>
      <c r="B170" s="357" t="s">
        <v>1426</v>
      </c>
      <c r="C170" s="267" t="s">
        <v>1427</v>
      </c>
      <c r="D170" s="267" t="s">
        <v>1428</v>
      </c>
      <c r="E170" s="267" t="s">
        <v>1429</v>
      </c>
      <c r="F170" s="267" t="s">
        <v>1453</v>
      </c>
      <c r="G170" s="267" t="s">
        <v>1699</v>
      </c>
      <c r="H170" s="277">
        <v>0</v>
      </c>
      <c r="I170" s="277">
        <v>352200</v>
      </c>
      <c r="J170" s="277">
        <v>749662987</v>
      </c>
    </row>
    <row r="171" spans="1:10" s="358" customFormat="1" ht="20.100000000000001" customHeight="1">
      <c r="A171" s="267" t="s">
        <v>1700</v>
      </c>
      <c r="B171" s="357" t="s">
        <v>1426</v>
      </c>
      <c r="C171" s="267" t="s">
        <v>1427</v>
      </c>
      <c r="D171" s="267" t="s">
        <v>1428</v>
      </c>
      <c r="E171" s="267" t="s">
        <v>1429</v>
      </c>
      <c r="F171" s="267" t="s">
        <v>1457</v>
      </c>
      <c r="G171" s="267" t="s">
        <v>1458</v>
      </c>
      <c r="H171" s="277">
        <v>0</v>
      </c>
      <c r="I171" s="277">
        <v>7740928</v>
      </c>
      <c r="J171" s="277">
        <v>749310787</v>
      </c>
    </row>
    <row r="172" spans="1:10" s="358" customFormat="1" ht="20.100000000000001" customHeight="1">
      <c r="A172" s="267" t="s">
        <v>1700</v>
      </c>
      <c r="B172" s="357" t="s">
        <v>1426</v>
      </c>
      <c r="C172" s="267" t="s">
        <v>1427</v>
      </c>
      <c r="D172" s="267" t="s">
        <v>1428</v>
      </c>
      <c r="E172" s="267" t="s">
        <v>1429</v>
      </c>
      <c r="F172" s="267" t="s">
        <v>1453</v>
      </c>
      <c r="G172" s="267" t="s">
        <v>1701</v>
      </c>
      <c r="H172" s="277">
        <v>0</v>
      </c>
      <c r="I172" s="277">
        <v>980919</v>
      </c>
      <c r="J172" s="277">
        <v>741569859</v>
      </c>
    </row>
    <row r="173" spans="1:10" s="358" customFormat="1" ht="20.100000000000001" customHeight="1">
      <c r="A173" s="267" t="s">
        <v>1702</v>
      </c>
      <c r="B173" s="357" t="s">
        <v>1426</v>
      </c>
      <c r="C173" s="267" t="s">
        <v>1427</v>
      </c>
      <c r="D173" s="267" t="s">
        <v>1428</v>
      </c>
      <c r="E173" s="267" t="s">
        <v>1429</v>
      </c>
      <c r="F173" s="267" t="s">
        <v>1457</v>
      </c>
      <c r="G173" s="267" t="s">
        <v>1458</v>
      </c>
      <c r="H173" s="277">
        <v>0</v>
      </c>
      <c r="I173" s="277">
        <v>9791299</v>
      </c>
      <c r="J173" s="277">
        <v>740588940</v>
      </c>
    </row>
    <row r="174" spans="1:10" s="358" customFormat="1" ht="20.100000000000001" customHeight="1">
      <c r="A174" s="267" t="s">
        <v>1702</v>
      </c>
      <c r="B174" s="357" t="s">
        <v>1426</v>
      </c>
      <c r="C174" s="267" t="s">
        <v>1427</v>
      </c>
      <c r="D174" s="267" t="s">
        <v>1428</v>
      </c>
      <c r="E174" s="267" t="s">
        <v>1429</v>
      </c>
      <c r="F174" s="267" t="s">
        <v>1451</v>
      </c>
      <c r="G174" s="267" t="s">
        <v>1703</v>
      </c>
      <c r="H174" s="277">
        <v>744952</v>
      </c>
      <c r="I174" s="277">
        <v>0</v>
      </c>
      <c r="J174" s="277">
        <v>730797641</v>
      </c>
    </row>
    <row r="175" spans="1:10" s="358" customFormat="1" ht="20.100000000000001" customHeight="1">
      <c r="A175" s="267" t="s">
        <v>1702</v>
      </c>
      <c r="B175" s="357" t="s">
        <v>1426</v>
      </c>
      <c r="C175" s="267" t="s">
        <v>1427</v>
      </c>
      <c r="D175" s="267" t="s">
        <v>1428</v>
      </c>
      <c r="E175" s="267" t="s">
        <v>1429</v>
      </c>
      <c r="F175" s="267" t="s">
        <v>1451</v>
      </c>
      <c r="G175" s="267" t="s">
        <v>1704</v>
      </c>
      <c r="H175" s="277">
        <v>1753484</v>
      </c>
      <c r="I175" s="277">
        <v>0</v>
      </c>
      <c r="J175" s="277">
        <v>731542593</v>
      </c>
    </row>
    <row r="176" spans="1:10" s="358" customFormat="1" ht="20.100000000000001" customHeight="1">
      <c r="A176" s="267" t="s">
        <v>1705</v>
      </c>
      <c r="B176" s="357" t="s">
        <v>1426</v>
      </c>
      <c r="C176" s="267" t="s">
        <v>1427</v>
      </c>
      <c r="D176" s="267" t="s">
        <v>1428</v>
      </c>
      <c r="E176" s="267" t="s">
        <v>1429</v>
      </c>
      <c r="F176" s="267" t="s">
        <v>1706</v>
      </c>
      <c r="G176" s="267" t="s">
        <v>1707</v>
      </c>
      <c r="H176" s="277">
        <v>19201</v>
      </c>
      <c r="I176" s="277">
        <v>0</v>
      </c>
      <c r="J176" s="277">
        <v>733296077</v>
      </c>
    </row>
    <row r="177" spans="1:10" s="358" customFormat="1" ht="20.100000000000001" customHeight="1">
      <c r="A177" s="267" t="s">
        <v>1705</v>
      </c>
      <c r="B177" s="357" t="s">
        <v>1426</v>
      </c>
      <c r="C177" s="267" t="s">
        <v>1427</v>
      </c>
      <c r="D177" s="267" t="s">
        <v>1428</v>
      </c>
      <c r="E177" s="267" t="s">
        <v>1429</v>
      </c>
      <c r="F177" s="267" t="s">
        <v>1708</v>
      </c>
      <c r="G177" s="267" t="s">
        <v>1516</v>
      </c>
      <c r="H177" s="277">
        <v>19201</v>
      </c>
      <c r="I177" s="277">
        <v>0</v>
      </c>
      <c r="J177" s="277">
        <v>733315278</v>
      </c>
    </row>
    <row r="178" spans="1:10" s="358" customFormat="1" ht="20.100000000000001" customHeight="1">
      <c r="A178" s="267" t="s">
        <v>1705</v>
      </c>
      <c r="B178" s="357" t="s">
        <v>1426</v>
      </c>
      <c r="C178" s="267" t="s">
        <v>1427</v>
      </c>
      <c r="D178" s="267" t="s">
        <v>1428</v>
      </c>
      <c r="E178" s="267" t="s">
        <v>1429</v>
      </c>
      <c r="F178" s="267" t="s">
        <v>1709</v>
      </c>
      <c r="G178" s="267" t="s">
        <v>1530</v>
      </c>
      <c r="H178" s="277">
        <v>19201</v>
      </c>
      <c r="I178" s="277">
        <v>0</v>
      </c>
      <c r="J178" s="277">
        <v>733334479</v>
      </c>
    </row>
    <row r="179" spans="1:10" s="358" customFormat="1" ht="20.100000000000001" customHeight="1">
      <c r="A179" s="267" t="s">
        <v>1705</v>
      </c>
      <c r="B179" s="357" t="s">
        <v>1426</v>
      </c>
      <c r="C179" s="267" t="s">
        <v>1427</v>
      </c>
      <c r="D179" s="267" t="s">
        <v>1428</v>
      </c>
      <c r="E179" s="267" t="s">
        <v>1429</v>
      </c>
      <c r="F179" s="267" t="s">
        <v>1710</v>
      </c>
      <c r="G179" s="267" t="s">
        <v>1711</v>
      </c>
      <c r="H179" s="277">
        <v>19201</v>
      </c>
      <c r="I179" s="277">
        <v>0</v>
      </c>
      <c r="J179" s="277">
        <v>733353680</v>
      </c>
    </row>
    <row r="180" spans="1:10" s="358" customFormat="1" ht="20.100000000000001" customHeight="1">
      <c r="A180" s="267" t="s">
        <v>1705</v>
      </c>
      <c r="B180" s="357" t="s">
        <v>1426</v>
      </c>
      <c r="C180" s="267" t="s">
        <v>1427</v>
      </c>
      <c r="D180" s="267" t="s">
        <v>1428</v>
      </c>
      <c r="E180" s="267" t="s">
        <v>1429</v>
      </c>
      <c r="F180" s="267" t="s">
        <v>1712</v>
      </c>
      <c r="G180" s="267" t="s">
        <v>1516</v>
      </c>
      <c r="H180" s="277">
        <v>19201</v>
      </c>
      <c r="I180" s="277">
        <v>0</v>
      </c>
      <c r="J180" s="277">
        <v>733372881</v>
      </c>
    </row>
    <row r="181" spans="1:10" s="358" customFormat="1" ht="20.100000000000001" customHeight="1">
      <c r="A181" s="267" t="s">
        <v>1705</v>
      </c>
      <c r="B181" s="357" t="s">
        <v>1426</v>
      </c>
      <c r="C181" s="267" t="s">
        <v>1427</v>
      </c>
      <c r="D181" s="267" t="s">
        <v>1428</v>
      </c>
      <c r="E181" s="267" t="s">
        <v>1429</v>
      </c>
      <c r="F181" s="267" t="s">
        <v>1713</v>
      </c>
      <c r="G181" s="267" t="s">
        <v>1530</v>
      </c>
      <c r="H181" s="277">
        <v>19201</v>
      </c>
      <c r="I181" s="277">
        <v>0</v>
      </c>
      <c r="J181" s="277">
        <v>733392082</v>
      </c>
    </row>
    <row r="182" spans="1:10" s="358" customFormat="1" ht="20.100000000000001" customHeight="1">
      <c r="A182" s="267" t="s">
        <v>1705</v>
      </c>
      <c r="B182" s="357" t="s">
        <v>1426</v>
      </c>
      <c r="C182" s="267" t="s">
        <v>1427</v>
      </c>
      <c r="D182" s="267" t="s">
        <v>1428</v>
      </c>
      <c r="E182" s="267" t="s">
        <v>1429</v>
      </c>
      <c r="F182" s="267" t="s">
        <v>1714</v>
      </c>
      <c r="G182" s="267" t="s">
        <v>1433</v>
      </c>
      <c r="H182" s="277">
        <v>25815</v>
      </c>
      <c r="I182" s="277">
        <v>0</v>
      </c>
      <c r="J182" s="277">
        <v>733411283</v>
      </c>
    </row>
    <row r="183" spans="1:10" s="358" customFormat="1" ht="20.100000000000001" customHeight="1">
      <c r="A183" s="267" t="s">
        <v>1705</v>
      </c>
      <c r="B183" s="357" t="s">
        <v>1426</v>
      </c>
      <c r="C183" s="267" t="s">
        <v>1427</v>
      </c>
      <c r="D183" s="267" t="s">
        <v>1428</v>
      </c>
      <c r="E183" s="267" t="s">
        <v>1429</v>
      </c>
      <c r="F183" s="267" t="s">
        <v>1715</v>
      </c>
      <c r="G183" s="267" t="s">
        <v>1433</v>
      </c>
      <c r="H183" s="277">
        <v>25815</v>
      </c>
      <c r="I183" s="277">
        <v>0</v>
      </c>
      <c r="J183" s="277">
        <v>733437098</v>
      </c>
    </row>
    <row r="184" spans="1:10" s="358" customFormat="1" ht="20.100000000000001" customHeight="1">
      <c r="A184" s="267" t="s">
        <v>1705</v>
      </c>
      <c r="B184" s="357" t="s">
        <v>1426</v>
      </c>
      <c r="C184" s="267" t="s">
        <v>1427</v>
      </c>
      <c r="D184" s="267" t="s">
        <v>1428</v>
      </c>
      <c r="E184" s="267" t="s">
        <v>1429</v>
      </c>
      <c r="F184" s="267" t="s">
        <v>1716</v>
      </c>
      <c r="G184" s="267" t="s">
        <v>1717</v>
      </c>
      <c r="H184" s="277">
        <v>31809</v>
      </c>
      <c r="I184" s="277">
        <v>0</v>
      </c>
      <c r="J184" s="277">
        <v>733462913</v>
      </c>
    </row>
    <row r="185" spans="1:10" s="358" customFormat="1" ht="20.100000000000001" customHeight="1">
      <c r="A185" s="267" t="s">
        <v>1705</v>
      </c>
      <c r="B185" s="357" t="s">
        <v>1426</v>
      </c>
      <c r="C185" s="267" t="s">
        <v>1427</v>
      </c>
      <c r="D185" s="267" t="s">
        <v>1428</v>
      </c>
      <c r="E185" s="267" t="s">
        <v>1429</v>
      </c>
      <c r="F185" s="267" t="s">
        <v>1718</v>
      </c>
      <c r="G185" s="267" t="s">
        <v>1717</v>
      </c>
      <c r="H185" s="277">
        <v>31809</v>
      </c>
      <c r="I185" s="277">
        <v>0</v>
      </c>
      <c r="J185" s="277">
        <v>733494722</v>
      </c>
    </row>
    <row r="186" spans="1:10" s="358" customFormat="1" ht="20.100000000000001" customHeight="1">
      <c r="A186" s="267" t="s">
        <v>1705</v>
      </c>
      <c r="B186" s="357" t="s">
        <v>1426</v>
      </c>
      <c r="C186" s="267" t="s">
        <v>1427</v>
      </c>
      <c r="D186" s="267" t="s">
        <v>1428</v>
      </c>
      <c r="E186" s="267" t="s">
        <v>1429</v>
      </c>
      <c r="F186" s="267" t="s">
        <v>1719</v>
      </c>
      <c r="G186" s="267" t="s">
        <v>1538</v>
      </c>
      <c r="H186" s="277">
        <v>31809</v>
      </c>
      <c r="I186" s="277">
        <v>0</v>
      </c>
      <c r="J186" s="277">
        <v>733526531</v>
      </c>
    </row>
    <row r="187" spans="1:10" s="358" customFormat="1" ht="20.100000000000001" customHeight="1">
      <c r="A187" s="267" t="s">
        <v>1705</v>
      </c>
      <c r="B187" s="357" t="s">
        <v>1426</v>
      </c>
      <c r="C187" s="267" t="s">
        <v>1427</v>
      </c>
      <c r="D187" s="267" t="s">
        <v>1428</v>
      </c>
      <c r="E187" s="267" t="s">
        <v>1429</v>
      </c>
      <c r="F187" s="267" t="s">
        <v>1720</v>
      </c>
      <c r="G187" s="267" t="s">
        <v>1721</v>
      </c>
      <c r="H187" s="277">
        <v>80000</v>
      </c>
      <c r="I187" s="277">
        <v>0</v>
      </c>
      <c r="J187" s="277">
        <v>733558340</v>
      </c>
    </row>
    <row r="188" spans="1:10" s="358" customFormat="1" ht="20.100000000000001" customHeight="1">
      <c r="A188" s="267" t="s">
        <v>1705</v>
      </c>
      <c r="B188" s="357" t="s">
        <v>1426</v>
      </c>
      <c r="C188" s="267" t="s">
        <v>1427</v>
      </c>
      <c r="D188" s="267" t="s">
        <v>1428</v>
      </c>
      <c r="E188" s="267" t="s">
        <v>1429</v>
      </c>
      <c r="F188" s="267" t="s">
        <v>1722</v>
      </c>
      <c r="G188" s="267" t="s">
        <v>1351</v>
      </c>
      <c r="H188" s="277">
        <v>111332</v>
      </c>
      <c r="I188" s="277">
        <v>0</v>
      </c>
      <c r="J188" s="277">
        <v>733638340</v>
      </c>
    </row>
    <row r="189" spans="1:10" s="358" customFormat="1" ht="20.100000000000001" customHeight="1">
      <c r="A189" s="267" t="s">
        <v>1705</v>
      </c>
      <c r="B189" s="357" t="s">
        <v>1426</v>
      </c>
      <c r="C189" s="267" t="s">
        <v>1427</v>
      </c>
      <c r="D189" s="267" t="s">
        <v>1428</v>
      </c>
      <c r="E189" s="267" t="s">
        <v>1429</v>
      </c>
      <c r="F189" s="267" t="s">
        <v>1723</v>
      </c>
      <c r="G189" s="267" t="s">
        <v>1469</v>
      </c>
      <c r="H189" s="277">
        <v>318500</v>
      </c>
      <c r="I189" s="277">
        <v>0</v>
      </c>
      <c r="J189" s="277">
        <v>733749672</v>
      </c>
    </row>
    <row r="190" spans="1:10" s="358" customFormat="1" ht="20.100000000000001" customHeight="1">
      <c r="A190" s="267" t="s">
        <v>1705</v>
      </c>
      <c r="B190" s="357" t="s">
        <v>1426</v>
      </c>
      <c r="C190" s="267" t="s">
        <v>1427</v>
      </c>
      <c r="D190" s="267" t="s">
        <v>1428</v>
      </c>
      <c r="E190" s="267" t="s">
        <v>1429</v>
      </c>
      <c r="F190" s="267" t="s">
        <v>1724</v>
      </c>
      <c r="G190" s="267" t="s">
        <v>1469</v>
      </c>
      <c r="H190" s="277">
        <v>318500</v>
      </c>
      <c r="I190" s="277">
        <v>0</v>
      </c>
      <c r="J190" s="277">
        <v>734068172</v>
      </c>
    </row>
    <row r="191" spans="1:10" s="358" customFormat="1" ht="20.100000000000001" customHeight="1">
      <c r="A191" s="267" t="s">
        <v>1705</v>
      </c>
      <c r="B191" s="357" t="s">
        <v>1426</v>
      </c>
      <c r="C191" s="267" t="s">
        <v>1427</v>
      </c>
      <c r="D191" s="267" t="s">
        <v>1428</v>
      </c>
      <c r="E191" s="267" t="s">
        <v>1429</v>
      </c>
      <c r="F191" s="267" t="s">
        <v>1725</v>
      </c>
      <c r="G191" s="267" t="s">
        <v>1611</v>
      </c>
      <c r="H191" s="277">
        <v>374850</v>
      </c>
      <c r="I191" s="277">
        <v>0</v>
      </c>
      <c r="J191" s="277">
        <v>734386672</v>
      </c>
    </row>
    <row r="192" spans="1:10" s="358" customFormat="1" ht="20.100000000000001" customHeight="1">
      <c r="A192" s="267" t="s">
        <v>1705</v>
      </c>
      <c r="B192" s="357" t="s">
        <v>1426</v>
      </c>
      <c r="C192" s="267" t="s">
        <v>1427</v>
      </c>
      <c r="D192" s="267" t="s">
        <v>1428</v>
      </c>
      <c r="E192" s="267" t="s">
        <v>1429</v>
      </c>
      <c r="F192" s="267" t="s">
        <v>1726</v>
      </c>
      <c r="G192" s="267" t="s">
        <v>1611</v>
      </c>
      <c r="H192" s="277">
        <v>374850</v>
      </c>
      <c r="I192" s="277">
        <v>0</v>
      </c>
      <c r="J192" s="277">
        <v>734761522</v>
      </c>
    </row>
    <row r="193" spans="1:10" s="358" customFormat="1" ht="20.100000000000001" customHeight="1">
      <c r="A193" s="267" t="s">
        <v>1705</v>
      </c>
      <c r="B193" s="357" t="s">
        <v>1426</v>
      </c>
      <c r="C193" s="267" t="s">
        <v>1427</v>
      </c>
      <c r="D193" s="267" t="s">
        <v>1428</v>
      </c>
      <c r="E193" s="267" t="s">
        <v>1429</v>
      </c>
      <c r="F193" s="267" t="s">
        <v>1727</v>
      </c>
      <c r="G193" s="267" t="s">
        <v>1728</v>
      </c>
      <c r="H193" s="277">
        <v>407000</v>
      </c>
      <c r="I193" s="277">
        <v>0</v>
      </c>
      <c r="J193" s="277">
        <v>735136372</v>
      </c>
    </row>
    <row r="194" spans="1:10" s="358" customFormat="1" ht="20.100000000000001" customHeight="1">
      <c r="A194" s="267" t="s">
        <v>1705</v>
      </c>
      <c r="B194" s="357" t="s">
        <v>1426</v>
      </c>
      <c r="C194" s="267" t="s">
        <v>1427</v>
      </c>
      <c r="D194" s="267" t="s">
        <v>1428</v>
      </c>
      <c r="E194" s="267" t="s">
        <v>1429</v>
      </c>
      <c r="F194" s="267" t="s">
        <v>1729</v>
      </c>
      <c r="G194" s="267" t="s">
        <v>1730</v>
      </c>
      <c r="H194" s="277">
        <v>618795</v>
      </c>
      <c r="I194" s="277">
        <v>0</v>
      </c>
      <c r="J194" s="277">
        <v>735543372</v>
      </c>
    </row>
    <row r="195" spans="1:10" s="358" customFormat="1" ht="20.100000000000001" customHeight="1">
      <c r="A195" s="267" t="s">
        <v>1705</v>
      </c>
      <c r="B195" s="357" t="s">
        <v>1426</v>
      </c>
      <c r="C195" s="267" t="s">
        <v>1427</v>
      </c>
      <c r="D195" s="267" t="s">
        <v>1428</v>
      </c>
      <c r="E195" s="267" t="s">
        <v>1429</v>
      </c>
      <c r="F195" s="267" t="s">
        <v>1731</v>
      </c>
      <c r="G195" s="267" t="s">
        <v>1732</v>
      </c>
      <c r="H195" s="277">
        <v>912730</v>
      </c>
      <c r="I195" s="277">
        <v>0</v>
      </c>
      <c r="J195" s="277">
        <v>736162167</v>
      </c>
    </row>
    <row r="196" spans="1:10" s="358" customFormat="1" ht="20.100000000000001" customHeight="1">
      <c r="A196" s="267" t="s">
        <v>1705</v>
      </c>
      <c r="B196" s="357" t="s">
        <v>1426</v>
      </c>
      <c r="C196" s="267" t="s">
        <v>1427</v>
      </c>
      <c r="D196" s="267" t="s">
        <v>1428</v>
      </c>
      <c r="E196" s="267" t="s">
        <v>1429</v>
      </c>
      <c r="F196" s="267" t="s">
        <v>1733</v>
      </c>
      <c r="G196" s="267" t="s">
        <v>1734</v>
      </c>
      <c r="H196" s="277">
        <v>949501</v>
      </c>
      <c r="I196" s="277">
        <v>0</v>
      </c>
      <c r="J196" s="277">
        <v>737074897</v>
      </c>
    </row>
    <row r="197" spans="1:10" s="358" customFormat="1" ht="20.100000000000001" customHeight="1">
      <c r="A197" s="267" t="s">
        <v>1705</v>
      </c>
      <c r="B197" s="357" t="s">
        <v>1426</v>
      </c>
      <c r="C197" s="267" t="s">
        <v>1427</v>
      </c>
      <c r="D197" s="267" t="s">
        <v>1428</v>
      </c>
      <c r="E197" s="267" t="s">
        <v>1429</v>
      </c>
      <c r="F197" s="267" t="s">
        <v>1735</v>
      </c>
      <c r="G197" s="267" t="s">
        <v>1736</v>
      </c>
      <c r="H197" s="277">
        <v>1456560</v>
      </c>
      <c r="I197" s="277">
        <v>0</v>
      </c>
      <c r="J197" s="277">
        <v>738024398</v>
      </c>
    </row>
    <row r="198" spans="1:10" s="358" customFormat="1" ht="20.100000000000001" customHeight="1">
      <c r="A198" s="267" t="s">
        <v>1705</v>
      </c>
      <c r="B198" s="357" t="s">
        <v>1426</v>
      </c>
      <c r="C198" s="267" t="s">
        <v>1427</v>
      </c>
      <c r="D198" s="267" t="s">
        <v>1428</v>
      </c>
      <c r="E198" s="267" t="s">
        <v>1429</v>
      </c>
      <c r="F198" s="267" t="s">
        <v>1737</v>
      </c>
      <c r="G198" s="267" t="s">
        <v>1675</v>
      </c>
      <c r="H198" s="277">
        <v>2865225</v>
      </c>
      <c r="I198" s="277">
        <v>0</v>
      </c>
      <c r="J198" s="277">
        <v>739480958</v>
      </c>
    </row>
    <row r="199" spans="1:10" s="358" customFormat="1" ht="20.100000000000001" customHeight="1">
      <c r="A199" s="267" t="s">
        <v>1705</v>
      </c>
      <c r="B199" s="357" t="s">
        <v>1426</v>
      </c>
      <c r="C199" s="267" t="s">
        <v>1427</v>
      </c>
      <c r="D199" s="267" t="s">
        <v>1428</v>
      </c>
      <c r="E199" s="267" t="s">
        <v>1429</v>
      </c>
      <c r="F199" s="267" t="s">
        <v>1738</v>
      </c>
      <c r="G199" s="267" t="s">
        <v>1739</v>
      </c>
      <c r="H199" s="277">
        <v>2883000</v>
      </c>
      <c r="I199" s="277">
        <v>0</v>
      </c>
      <c r="J199" s="277">
        <v>742346183</v>
      </c>
    </row>
    <row r="200" spans="1:10" s="358" customFormat="1" ht="20.100000000000001" customHeight="1">
      <c r="A200" s="267" t="s">
        <v>1705</v>
      </c>
      <c r="B200" s="357" t="s">
        <v>1426</v>
      </c>
      <c r="C200" s="267" t="s">
        <v>1427</v>
      </c>
      <c r="D200" s="267" t="s">
        <v>1428</v>
      </c>
      <c r="E200" s="267" t="s">
        <v>1429</v>
      </c>
      <c r="F200" s="267" t="s">
        <v>1740</v>
      </c>
      <c r="G200" s="267" t="s">
        <v>1739</v>
      </c>
      <c r="H200" s="277">
        <v>2883000</v>
      </c>
      <c r="I200" s="277">
        <v>0</v>
      </c>
      <c r="J200" s="277">
        <v>745229183</v>
      </c>
    </row>
    <row r="201" spans="1:10" s="358" customFormat="1" ht="20.100000000000001" customHeight="1">
      <c r="A201" s="267" t="s">
        <v>1705</v>
      </c>
      <c r="B201" s="357" t="s">
        <v>1426</v>
      </c>
      <c r="C201" s="267" t="s">
        <v>1427</v>
      </c>
      <c r="D201" s="267" t="s">
        <v>1428</v>
      </c>
      <c r="E201" s="267" t="s">
        <v>1429</v>
      </c>
      <c r="F201" s="267" t="s">
        <v>1741</v>
      </c>
      <c r="G201" s="267" t="s">
        <v>1742</v>
      </c>
      <c r="H201" s="277">
        <v>3918554</v>
      </c>
      <c r="I201" s="277">
        <v>0</v>
      </c>
      <c r="J201" s="277">
        <v>748112183</v>
      </c>
    </row>
    <row r="202" spans="1:10" s="358" customFormat="1" ht="20.100000000000001" customHeight="1">
      <c r="A202" s="267" t="s">
        <v>1705</v>
      </c>
      <c r="B202" s="357" t="s">
        <v>1426</v>
      </c>
      <c r="C202" s="267" t="s">
        <v>1427</v>
      </c>
      <c r="D202" s="267" t="s">
        <v>1428</v>
      </c>
      <c r="E202" s="267" t="s">
        <v>1429</v>
      </c>
      <c r="F202" s="267" t="s">
        <v>1453</v>
      </c>
      <c r="G202" s="267" t="s">
        <v>1743</v>
      </c>
      <c r="H202" s="277">
        <v>0</v>
      </c>
      <c r="I202" s="277">
        <v>270378</v>
      </c>
      <c r="J202" s="277">
        <v>752030737</v>
      </c>
    </row>
    <row r="203" spans="1:10" s="358" customFormat="1" ht="20.100000000000001" customHeight="1">
      <c r="A203" s="267" t="s">
        <v>1705</v>
      </c>
      <c r="B203" s="357" t="s">
        <v>1426</v>
      </c>
      <c r="C203" s="267" t="s">
        <v>1427</v>
      </c>
      <c r="D203" s="267" t="s">
        <v>1428</v>
      </c>
      <c r="E203" s="267" t="s">
        <v>1429</v>
      </c>
      <c r="F203" s="267" t="s">
        <v>1457</v>
      </c>
      <c r="G203" s="267" t="s">
        <v>1458</v>
      </c>
      <c r="H203" s="277">
        <v>0</v>
      </c>
      <c r="I203" s="277">
        <v>13259305</v>
      </c>
      <c r="J203" s="277">
        <v>751760359</v>
      </c>
    </row>
    <row r="204" spans="1:10" s="358" customFormat="1" ht="20.100000000000001" customHeight="1">
      <c r="A204" s="267" t="s">
        <v>1744</v>
      </c>
      <c r="B204" s="357" t="s">
        <v>1426</v>
      </c>
      <c r="C204" s="267" t="s">
        <v>1427</v>
      </c>
      <c r="D204" s="267" t="s">
        <v>1428</v>
      </c>
      <c r="E204" s="267" t="s">
        <v>1429</v>
      </c>
      <c r="F204" s="267" t="s">
        <v>1457</v>
      </c>
      <c r="G204" s="267" t="s">
        <v>1458</v>
      </c>
      <c r="H204" s="277">
        <v>0</v>
      </c>
      <c r="I204" s="277">
        <v>15615024</v>
      </c>
      <c r="J204" s="277">
        <v>738501054</v>
      </c>
    </row>
    <row r="205" spans="1:10" s="358" customFormat="1" ht="20.100000000000001" customHeight="1">
      <c r="A205" s="267" t="s">
        <v>1744</v>
      </c>
      <c r="B205" s="357" t="s">
        <v>1426</v>
      </c>
      <c r="C205" s="267" t="s">
        <v>1427</v>
      </c>
      <c r="D205" s="267" t="s">
        <v>1428</v>
      </c>
      <c r="E205" s="267" t="s">
        <v>1429</v>
      </c>
      <c r="F205" s="267" t="s">
        <v>1745</v>
      </c>
      <c r="G205" s="267" t="s">
        <v>1746</v>
      </c>
      <c r="H205" s="277">
        <v>0</v>
      </c>
      <c r="I205" s="277">
        <v>32241796</v>
      </c>
      <c r="J205" s="277">
        <v>722886030</v>
      </c>
    </row>
    <row r="206" spans="1:10" s="358" customFormat="1" ht="20.100000000000001" customHeight="1">
      <c r="A206" s="267" t="s">
        <v>1744</v>
      </c>
      <c r="B206" s="357" t="s">
        <v>1747</v>
      </c>
      <c r="C206" s="267" t="s">
        <v>1427</v>
      </c>
      <c r="D206" s="267" t="s">
        <v>1428</v>
      </c>
      <c r="E206" s="267" t="s">
        <v>1429</v>
      </c>
      <c r="F206" s="267" t="s">
        <v>1748</v>
      </c>
      <c r="G206" s="267" t="s">
        <v>1749</v>
      </c>
      <c r="H206" s="277">
        <v>0</v>
      </c>
      <c r="I206" s="277">
        <v>43827982</v>
      </c>
      <c r="J206" s="277">
        <v>690644234</v>
      </c>
    </row>
    <row r="207" spans="1:10" s="358" customFormat="1" ht="20.100000000000001" customHeight="1">
      <c r="A207" s="267" t="s">
        <v>1744</v>
      </c>
      <c r="B207" s="357" t="s">
        <v>1426</v>
      </c>
      <c r="C207" s="267" t="s">
        <v>1427</v>
      </c>
      <c r="D207" s="267" t="s">
        <v>1428</v>
      </c>
      <c r="E207" s="267" t="s">
        <v>1429</v>
      </c>
      <c r="F207" s="267" t="s">
        <v>1451</v>
      </c>
      <c r="G207" s="267" t="s">
        <v>1750</v>
      </c>
      <c r="H207" s="277">
        <v>693360</v>
      </c>
      <c r="I207" s="277">
        <v>0</v>
      </c>
      <c r="J207" s="277">
        <v>646816252</v>
      </c>
    </row>
    <row r="208" spans="1:10" s="358" customFormat="1" ht="20.100000000000001" customHeight="1">
      <c r="A208" s="267" t="s">
        <v>1751</v>
      </c>
      <c r="B208" s="357" t="s">
        <v>1426</v>
      </c>
      <c r="C208" s="267" t="s">
        <v>1427</v>
      </c>
      <c r="D208" s="267" t="s">
        <v>1428</v>
      </c>
      <c r="E208" s="267" t="s">
        <v>1429</v>
      </c>
      <c r="F208" s="267" t="s">
        <v>1453</v>
      </c>
      <c r="G208" s="267" t="s">
        <v>1752</v>
      </c>
      <c r="H208" s="277">
        <v>0</v>
      </c>
      <c r="I208" s="277">
        <v>120236</v>
      </c>
      <c r="J208" s="277">
        <v>647509612</v>
      </c>
    </row>
    <row r="209" spans="1:15" s="358" customFormat="1" ht="20.100000000000001" customHeight="1">
      <c r="A209" s="267" t="s">
        <v>1751</v>
      </c>
      <c r="B209" s="357" t="s">
        <v>1426</v>
      </c>
      <c r="C209" s="267" t="s">
        <v>1427</v>
      </c>
      <c r="D209" s="267" t="s">
        <v>1428</v>
      </c>
      <c r="E209" s="267" t="s">
        <v>1429</v>
      </c>
      <c r="F209" s="267" t="s">
        <v>1457</v>
      </c>
      <c r="G209" s="267" t="s">
        <v>1458</v>
      </c>
      <c r="H209" s="277">
        <v>0</v>
      </c>
      <c r="I209" s="277">
        <v>7663360</v>
      </c>
      <c r="J209" s="277">
        <v>647389376</v>
      </c>
    </row>
    <row r="210" spans="1:15" ht="18.899999999999999" customHeight="1">
      <c r="H210" s="359">
        <f>SUM(H2:H209)</f>
        <v>297899834</v>
      </c>
      <c r="I210" s="359">
        <f>SUM(I2:I209)</f>
        <v>493927223</v>
      </c>
    </row>
    <row r="212" spans="1:15">
      <c r="A212" s="362"/>
      <c r="B212" s="362"/>
      <c r="C212" s="362"/>
      <c r="D212" s="362"/>
      <c r="E212" s="362"/>
      <c r="F212" s="362"/>
      <c r="G212" s="362"/>
      <c r="H212" s="362"/>
      <c r="I212" s="363" t="s">
        <v>1753</v>
      </c>
      <c r="J212" s="363"/>
      <c r="K212" s="363"/>
      <c r="L212" s="363"/>
      <c r="M212" s="363"/>
      <c r="N212" s="363"/>
      <c r="O212" s="363"/>
    </row>
    <row r="213" spans="1:15">
      <c r="A213" s="362"/>
      <c r="B213" s="362"/>
      <c r="C213" s="362"/>
      <c r="D213" s="362"/>
      <c r="E213" s="362"/>
      <c r="F213" s="362"/>
      <c r="G213" s="362"/>
      <c r="H213" s="362"/>
      <c r="I213" s="362"/>
      <c r="J213" s="362"/>
      <c r="K213" s="362"/>
      <c r="L213" s="362"/>
      <c r="M213" s="362"/>
      <c r="N213" s="362"/>
      <c r="O213" s="362"/>
    </row>
    <row r="214" spans="1:15">
      <c r="A214" s="362"/>
      <c r="B214" s="362"/>
      <c r="C214" s="362"/>
      <c r="D214" s="362"/>
      <c r="E214" s="362"/>
      <c r="F214" s="362"/>
      <c r="G214" s="362"/>
      <c r="H214" s="362"/>
      <c r="I214" s="363" t="s">
        <v>1754</v>
      </c>
      <c r="J214" s="363"/>
      <c r="K214" s="363"/>
      <c r="L214" s="363"/>
      <c r="M214" s="363"/>
      <c r="N214" s="363"/>
      <c r="O214" s="363"/>
    </row>
    <row r="215" spans="1:15">
      <c r="A215" s="362"/>
      <c r="B215" s="362"/>
      <c r="C215" s="362"/>
      <c r="D215" s="362"/>
      <c r="E215" s="362"/>
      <c r="F215" s="362"/>
      <c r="G215" s="362"/>
      <c r="H215" s="362"/>
      <c r="I215" s="362"/>
      <c r="J215" s="362"/>
      <c r="K215" s="362"/>
      <c r="L215" s="362"/>
      <c r="M215" s="362"/>
      <c r="N215" s="362"/>
      <c r="O215" s="362"/>
    </row>
    <row r="216" spans="1:15" ht="15.6">
      <c r="A216" s="360" t="s">
        <v>1755</v>
      </c>
      <c r="B216" s="360"/>
      <c r="C216" s="360"/>
      <c r="D216" s="360"/>
      <c r="E216" s="361" t="s">
        <v>1756</v>
      </c>
      <c r="F216" s="361"/>
      <c r="G216" s="361"/>
      <c r="H216" s="361"/>
      <c r="I216" s="361"/>
      <c r="J216" s="360" t="s">
        <v>1757</v>
      </c>
      <c r="K216" s="360"/>
      <c r="L216" s="361" t="s">
        <v>1758</v>
      </c>
      <c r="M216" s="361"/>
      <c r="N216" s="361"/>
      <c r="O216" s="361"/>
    </row>
    <row r="217" spans="1:15" ht="15.6">
      <c r="A217" s="360" t="s">
        <v>1759</v>
      </c>
      <c r="B217" s="360"/>
      <c r="C217" s="360"/>
      <c r="D217" s="360"/>
      <c r="E217" s="361" t="s">
        <v>1760</v>
      </c>
      <c r="F217" s="361"/>
      <c r="G217" s="361"/>
      <c r="H217" s="361"/>
      <c r="I217" s="361"/>
      <c r="J217" s="360" t="s">
        <v>1761</v>
      </c>
      <c r="K217" s="360"/>
      <c r="L217" s="361" t="s">
        <v>1762</v>
      </c>
      <c r="M217" s="361"/>
      <c r="N217" s="361"/>
      <c r="O217" s="361"/>
    </row>
    <row r="218" spans="1:15" ht="15.6">
      <c r="A218" s="360" t="s">
        <v>1763</v>
      </c>
      <c r="B218" s="360"/>
      <c r="C218" s="360"/>
      <c r="D218" s="360"/>
      <c r="E218" s="361" t="s">
        <v>1174</v>
      </c>
      <c r="F218" s="361"/>
      <c r="G218" s="361"/>
      <c r="H218" s="361"/>
      <c r="I218" s="361"/>
      <c r="J218" s="364"/>
      <c r="K218" s="364"/>
      <c r="L218" s="364"/>
      <c r="M218" s="364"/>
      <c r="N218" s="364"/>
      <c r="O218" s="364"/>
    </row>
    <row r="219" spans="1:15" ht="15.6">
      <c r="A219" s="360" t="s">
        <v>1764</v>
      </c>
      <c r="B219" s="360"/>
      <c r="C219" s="360"/>
      <c r="D219" s="360"/>
      <c r="E219" s="361" t="s">
        <v>1765</v>
      </c>
      <c r="F219" s="361"/>
      <c r="G219" s="361"/>
      <c r="H219" s="361"/>
      <c r="I219" s="361"/>
      <c r="J219" s="364"/>
      <c r="K219" s="364"/>
      <c r="L219" s="364"/>
      <c r="M219" s="364"/>
      <c r="N219" s="364"/>
      <c r="O219" s="364"/>
    </row>
    <row r="220" spans="1:15" ht="24.6">
      <c r="A220" s="365" t="s">
        <v>1766</v>
      </c>
      <c r="B220" s="365"/>
      <c r="C220" s="365"/>
      <c r="D220" s="365"/>
      <c r="E220" s="365"/>
      <c r="F220" s="365"/>
      <c r="G220" s="365"/>
      <c r="H220" s="365"/>
      <c r="I220" s="365"/>
      <c r="J220" s="365"/>
      <c r="K220" s="365"/>
      <c r="L220" s="365"/>
      <c r="M220" s="365"/>
      <c r="N220" s="365"/>
      <c r="O220" s="365"/>
    </row>
    <row r="221" spans="1:15" ht="15.6">
      <c r="A221" s="366" t="s">
        <v>1417</v>
      </c>
      <c r="B221" s="366"/>
      <c r="C221" s="366"/>
      <c r="D221" s="366"/>
      <c r="E221" s="367" t="s">
        <v>1427</v>
      </c>
      <c r="F221" s="367"/>
      <c r="G221" s="367"/>
      <c r="H221" s="367"/>
      <c r="I221" s="367"/>
      <c r="J221" s="367"/>
      <c r="K221" s="367"/>
      <c r="L221" s="367"/>
      <c r="M221" s="367"/>
      <c r="N221" s="367"/>
      <c r="O221" s="367"/>
    </row>
    <row r="222" spans="1:15" ht="15.6">
      <c r="A222" s="366" t="s">
        <v>1418</v>
      </c>
      <c r="B222" s="366"/>
      <c r="C222" s="366"/>
      <c r="D222" s="366"/>
      <c r="E222" s="367" t="s">
        <v>1428</v>
      </c>
      <c r="F222" s="367"/>
      <c r="G222" s="367"/>
      <c r="H222" s="367"/>
      <c r="I222" s="367"/>
      <c r="J222" s="367"/>
      <c r="K222" s="367"/>
      <c r="L222" s="367"/>
      <c r="M222" s="367"/>
      <c r="N222" s="367"/>
      <c r="O222" s="367"/>
    </row>
    <row r="223" spans="1:15" ht="15.6">
      <c r="A223" s="366" t="s">
        <v>1767</v>
      </c>
      <c r="B223" s="366"/>
      <c r="C223" s="366"/>
      <c r="D223" s="366"/>
      <c r="E223" s="367" t="s">
        <v>1751</v>
      </c>
      <c r="F223" s="367"/>
      <c r="G223" s="367"/>
      <c r="H223" s="367"/>
      <c r="I223" s="367"/>
      <c r="J223" s="367"/>
      <c r="K223" s="367"/>
      <c r="L223" s="367"/>
      <c r="M223" s="367"/>
      <c r="N223" s="367"/>
      <c r="O223" s="367"/>
    </row>
    <row r="224" spans="1:15" ht="15.6">
      <c r="A224" s="366" t="s">
        <v>1768</v>
      </c>
      <c r="B224" s="366"/>
      <c r="C224" s="366"/>
      <c r="D224" s="366"/>
      <c r="E224" s="367" t="s">
        <v>1425</v>
      </c>
      <c r="F224" s="367"/>
      <c r="G224" s="367"/>
      <c r="H224" s="367"/>
      <c r="I224" s="367"/>
      <c r="J224" s="367"/>
      <c r="K224" s="367"/>
      <c r="L224" s="367"/>
      <c r="M224" s="367"/>
      <c r="N224" s="367"/>
      <c r="O224" s="367"/>
    </row>
    <row r="225" spans="1:15" ht="15.6">
      <c r="A225" s="366" t="s">
        <v>1769</v>
      </c>
      <c r="B225" s="366"/>
      <c r="C225" s="366"/>
      <c r="D225" s="366"/>
      <c r="E225" s="367" t="s">
        <v>1425</v>
      </c>
      <c r="F225" s="367"/>
      <c r="G225" s="367"/>
      <c r="H225" s="367"/>
      <c r="I225" s="367"/>
      <c r="J225" s="367"/>
      <c r="K225" s="367"/>
      <c r="L225" s="367"/>
      <c r="M225" s="367"/>
      <c r="N225" s="367"/>
      <c r="O225" s="367"/>
    </row>
    <row r="226" spans="1:15" ht="15.6">
      <c r="A226" s="366" t="s">
        <v>1419</v>
      </c>
      <c r="B226" s="366"/>
      <c r="C226" s="366"/>
      <c r="D226" s="366"/>
      <c r="E226" s="367" t="s">
        <v>1429</v>
      </c>
      <c r="F226" s="367"/>
      <c r="G226" s="367"/>
      <c r="H226" s="367"/>
      <c r="I226" s="367"/>
      <c r="J226" s="367"/>
      <c r="K226" s="367"/>
      <c r="L226" s="367"/>
      <c r="M226" s="367"/>
      <c r="N226" s="367"/>
      <c r="O226" s="367"/>
    </row>
    <row r="227" spans="1:15" ht="15.6">
      <c r="A227" s="366" t="s">
        <v>1770</v>
      </c>
      <c r="B227" s="366"/>
      <c r="C227" s="366"/>
      <c r="D227" s="366"/>
      <c r="E227" s="367" t="s">
        <v>1771</v>
      </c>
      <c r="F227" s="367"/>
      <c r="G227" s="367"/>
      <c r="H227" s="367"/>
      <c r="I227" s="367"/>
      <c r="J227" s="367"/>
      <c r="K227" s="367"/>
      <c r="L227" s="367"/>
      <c r="M227" s="367"/>
      <c r="N227" s="367"/>
      <c r="O227" s="367"/>
    </row>
    <row r="228" spans="1:15" ht="15.6">
      <c r="A228" s="366" t="s">
        <v>1772</v>
      </c>
      <c r="B228" s="366"/>
      <c r="C228" s="366"/>
      <c r="D228" s="366"/>
      <c r="E228" s="367" t="s">
        <v>1773</v>
      </c>
      <c r="F228" s="367"/>
      <c r="G228" s="367"/>
      <c r="H228" s="367"/>
      <c r="I228" s="367"/>
      <c r="J228" s="367"/>
      <c r="K228" s="367"/>
      <c r="L228" s="367"/>
      <c r="M228" s="367"/>
      <c r="N228" s="367"/>
      <c r="O228" s="367"/>
    </row>
    <row r="229" spans="1:15" ht="15.6">
      <c r="A229" s="366" t="s">
        <v>1774</v>
      </c>
      <c r="B229" s="366"/>
      <c r="C229" s="366"/>
      <c r="D229" s="366"/>
      <c r="E229" s="367" t="s">
        <v>1775</v>
      </c>
      <c r="F229" s="367"/>
      <c r="G229" s="367"/>
      <c r="H229" s="367"/>
      <c r="I229" s="367"/>
      <c r="J229" s="367"/>
      <c r="K229" s="367"/>
      <c r="L229" s="367"/>
      <c r="M229" s="367"/>
      <c r="N229" s="367"/>
      <c r="O229" s="367"/>
    </row>
    <row r="230" spans="1:15" ht="15.6">
      <c r="A230" s="366" t="s">
        <v>1776</v>
      </c>
      <c r="B230" s="366"/>
      <c r="C230" s="366"/>
      <c r="D230" s="366"/>
      <c r="E230" s="367" t="s">
        <v>1777</v>
      </c>
      <c r="F230" s="367"/>
      <c r="G230" s="367"/>
      <c r="H230" s="367"/>
      <c r="I230" s="367"/>
      <c r="J230" s="367"/>
      <c r="K230" s="367"/>
      <c r="L230" s="367"/>
      <c r="M230" s="367"/>
      <c r="N230" s="367"/>
      <c r="O230" s="367"/>
    </row>
    <row r="231" spans="1:15" ht="15.6">
      <c r="A231" s="366" t="s">
        <v>1778</v>
      </c>
      <c r="B231" s="366"/>
      <c r="C231" s="366"/>
      <c r="D231" s="366"/>
      <c r="E231" s="367" t="s">
        <v>1779</v>
      </c>
      <c r="F231" s="367"/>
      <c r="G231" s="367"/>
      <c r="H231" s="367"/>
      <c r="I231" s="367"/>
      <c r="J231" s="367"/>
      <c r="K231" s="367"/>
      <c r="L231" s="367"/>
      <c r="M231" s="367"/>
      <c r="N231" s="367"/>
      <c r="O231" s="367"/>
    </row>
    <row r="232" spans="1:15" ht="15.6">
      <c r="A232" s="366" t="s">
        <v>1780</v>
      </c>
      <c r="B232" s="366"/>
      <c r="C232" s="366"/>
      <c r="D232" s="366"/>
      <c r="E232" s="367" t="s">
        <v>1781</v>
      </c>
      <c r="F232" s="367"/>
      <c r="G232" s="367"/>
      <c r="H232" s="367"/>
      <c r="I232" s="367"/>
      <c r="J232" s="367"/>
      <c r="K232" s="367"/>
      <c r="L232" s="367"/>
      <c r="M232" s="367"/>
      <c r="N232" s="367"/>
      <c r="O232" s="367"/>
    </row>
    <row r="233" spans="1:15" ht="15.6">
      <c r="A233" s="366" t="s">
        <v>1782</v>
      </c>
      <c r="B233" s="366"/>
      <c r="C233" s="366"/>
      <c r="D233" s="366"/>
      <c r="E233" s="367" t="s">
        <v>1783</v>
      </c>
      <c r="F233" s="367"/>
      <c r="G233" s="367"/>
      <c r="H233" s="367"/>
      <c r="I233" s="367"/>
      <c r="J233" s="367"/>
      <c r="K233" s="367"/>
      <c r="L233" s="367"/>
      <c r="M233" s="367"/>
      <c r="N233" s="367"/>
      <c r="O233" s="367"/>
    </row>
    <row r="237" spans="1:15">
      <c r="A237" s="355" t="s">
        <v>1415</v>
      </c>
      <c r="B237" s="355" t="s">
        <v>1416</v>
      </c>
      <c r="C237" s="355" t="s">
        <v>1417</v>
      </c>
      <c r="D237" s="355" t="s">
        <v>1418</v>
      </c>
      <c r="E237" s="355" t="s">
        <v>1419</v>
      </c>
      <c r="F237" s="355" t="s">
        <v>1420</v>
      </c>
      <c r="G237" s="355" t="s">
        <v>1421</v>
      </c>
      <c r="H237" s="356" t="s">
        <v>1422</v>
      </c>
      <c r="I237" s="356" t="s">
        <v>1423</v>
      </c>
      <c r="J237" s="356" t="s">
        <v>1424</v>
      </c>
    </row>
    <row r="238" spans="1:15">
      <c r="A238" s="267" t="s">
        <v>1425</v>
      </c>
      <c r="B238" s="357" t="s">
        <v>1426</v>
      </c>
      <c r="C238" s="267" t="s">
        <v>1784</v>
      </c>
      <c r="D238" s="267" t="s">
        <v>1785</v>
      </c>
      <c r="E238" s="267" t="s">
        <v>1429</v>
      </c>
      <c r="F238" s="267" t="s">
        <v>1451</v>
      </c>
      <c r="G238" s="267" t="s">
        <v>1786</v>
      </c>
      <c r="H238" s="277">
        <v>618240</v>
      </c>
      <c r="I238" s="277">
        <v>0</v>
      </c>
      <c r="J238" s="277">
        <v>57287413</v>
      </c>
    </row>
    <row r="239" spans="1:15">
      <c r="A239" s="267" t="s">
        <v>1425</v>
      </c>
      <c r="B239" s="357" t="s">
        <v>1426</v>
      </c>
      <c r="C239" s="267" t="s">
        <v>1784</v>
      </c>
      <c r="D239" s="267" t="s">
        <v>1785</v>
      </c>
      <c r="E239" s="267" t="s">
        <v>1429</v>
      </c>
      <c r="F239" s="267" t="s">
        <v>1787</v>
      </c>
      <c r="G239" s="267" t="s">
        <v>1788</v>
      </c>
      <c r="H239" s="277">
        <v>2374050</v>
      </c>
      <c r="I239" s="277">
        <v>0</v>
      </c>
      <c r="J239" s="277">
        <v>57905653</v>
      </c>
    </row>
    <row r="240" spans="1:15">
      <c r="A240" s="267" t="s">
        <v>1425</v>
      </c>
      <c r="B240" s="357" t="s">
        <v>1426</v>
      </c>
      <c r="C240" s="267" t="s">
        <v>1784</v>
      </c>
      <c r="D240" s="267" t="s">
        <v>1785</v>
      </c>
      <c r="E240" s="267" t="s">
        <v>1429</v>
      </c>
      <c r="F240" s="267" t="s">
        <v>1789</v>
      </c>
      <c r="G240" s="267" t="s">
        <v>1790</v>
      </c>
      <c r="H240" s="277">
        <v>3132009</v>
      </c>
      <c r="I240" s="277">
        <v>0</v>
      </c>
      <c r="J240" s="277">
        <v>60279703</v>
      </c>
    </row>
    <row r="241" spans="1:10">
      <c r="A241" s="267" t="s">
        <v>1460</v>
      </c>
      <c r="B241" s="357" t="s">
        <v>1426</v>
      </c>
      <c r="C241" s="267" t="s">
        <v>1784</v>
      </c>
      <c r="D241" s="267" t="s">
        <v>1785</v>
      </c>
      <c r="E241" s="267" t="s">
        <v>1429</v>
      </c>
      <c r="F241" s="267" t="s">
        <v>1453</v>
      </c>
      <c r="G241" s="267" t="s">
        <v>1791</v>
      </c>
      <c r="H241" s="277">
        <v>0</v>
      </c>
      <c r="I241" s="277">
        <v>1756</v>
      </c>
      <c r="J241" s="277">
        <v>63411712</v>
      </c>
    </row>
    <row r="242" spans="1:10">
      <c r="A242" s="267" t="s">
        <v>1460</v>
      </c>
      <c r="B242" s="357" t="s">
        <v>1426</v>
      </c>
      <c r="C242" s="267" t="s">
        <v>1784</v>
      </c>
      <c r="D242" s="267" t="s">
        <v>1785</v>
      </c>
      <c r="E242" s="267" t="s">
        <v>1429</v>
      </c>
      <c r="F242" s="267" t="s">
        <v>1453</v>
      </c>
      <c r="G242" s="267" t="s">
        <v>1791</v>
      </c>
      <c r="H242" s="277">
        <v>0</v>
      </c>
      <c r="I242" s="277">
        <v>323157</v>
      </c>
      <c r="J242" s="277">
        <v>63409956</v>
      </c>
    </row>
    <row r="243" spans="1:10">
      <c r="A243" s="267" t="s">
        <v>1460</v>
      </c>
      <c r="B243" s="357" t="s">
        <v>1426</v>
      </c>
      <c r="C243" s="267" t="s">
        <v>1784</v>
      </c>
      <c r="D243" s="267" t="s">
        <v>1785</v>
      </c>
      <c r="E243" s="267" t="s">
        <v>1429</v>
      </c>
      <c r="F243" s="267" t="s">
        <v>1451</v>
      </c>
      <c r="G243" s="267" t="s">
        <v>1792</v>
      </c>
      <c r="H243" s="277">
        <v>800000</v>
      </c>
      <c r="I243" s="277">
        <v>0</v>
      </c>
      <c r="J243" s="277">
        <v>63086799</v>
      </c>
    </row>
    <row r="244" spans="1:10">
      <c r="A244" s="267" t="s">
        <v>1460</v>
      </c>
      <c r="B244" s="357" t="s">
        <v>1426</v>
      </c>
      <c r="C244" s="267" t="s">
        <v>1784</v>
      </c>
      <c r="D244" s="267" t="s">
        <v>1785</v>
      </c>
      <c r="E244" s="267" t="s">
        <v>1429</v>
      </c>
      <c r="F244" s="267" t="s">
        <v>1451</v>
      </c>
      <c r="G244" s="267" t="s">
        <v>1793</v>
      </c>
      <c r="H244" s="277">
        <v>2500000</v>
      </c>
      <c r="I244" s="277">
        <v>0</v>
      </c>
      <c r="J244" s="277">
        <v>63886799</v>
      </c>
    </row>
    <row r="245" spans="1:10">
      <c r="A245" s="267" t="s">
        <v>1460</v>
      </c>
      <c r="B245" s="357" t="s">
        <v>1426</v>
      </c>
      <c r="C245" s="267" t="s">
        <v>1784</v>
      </c>
      <c r="D245" s="267" t="s">
        <v>1785</v>
      </c>
      <c r="E245" s="267" t="s">
        <v>1429</v>
      </c>
      <c r="F245" s="267" t="s">
        <v>1451</v>
      </c>
      <c r="G245" s="267" t="s">
        <v>1794</v>
      </c>
      <c r="H245" s="277">
        <v>14569200</v>
      </c>
      <c r="I245" s="277">
        <v>0</v>
      </c>
      <c r="J245" s="277">
        <v>66386799</v>
      </c>
    </row>
    <row r="246" spans="1:10">
      <c r="A246" s="267" t="s">
        <v>1462</v>
      </c>
      <c r="B246" s="357" t="s">
        <v>1426</v>
      </c>
      <c r="C246" s="267" t="s">
        <v>1784</v>
      </c>
      <c r="D246" s="267" t="s">
        <v>1785</v>
      </c>
      <c r="E246" s="267" t="s">
        <v>1429</v>
      </c>
      <c r="F246" s="267" t="s">
        <v>1795</v>
      </c>
      <c r="G246" s="267" t="s">
        <v>1271</v>
      </c>
      <c r="H246" s="277">
        <v>13999</v>
      </c>
      <c r="I246" s="277">
        <v>0</v>
      </c>
      <c r="J246" s="277">
        <v>80955999</v>
      </c>
    </row>
    <row r="247" spans="1:10">
      <c r="A247" s="267" t="s">
        <v>1462</v>
      </c>
      <c r="B247" s="357" t="s">
        <v>1426</v>
      </c>
      <c r="C247" s="267" t="s">
        <v>1784</v>
      </c>
      <c r="D247" s="267" t="s">
        <v>1785</v>
      </c>
      <c r="E247" s="267" t="s">
        <v>1429</v>
      </c>
      <c r="F247" s="267" t="s">
        <v>1796</v>
      </c>
      <c r="G247" s="267" t="s">
        <v>1271</v>
      </c>
      <c r="H247" s="277">
        <v>55997</v>
      </c>
      <c r="I247" s="277">
        <v>0</v>
      </c>
      <c r="J247" s="277">
        <v>80969998</v>
      </c>
    </row>
    <row r="248" spans="1:10">
      <c r="A248" s="267" t="s">
        <v>1462</v>
      </c>
      <c r="B248" s="357" t="s">
        <v>1426</v>
      </c>
      <c r="C248" s="267" t="s">
        <v>1784</v>
      </c>
      <c r="D248" s="267" t="s">
        <v>1785</v>
      </c>
      <c r="E248" s="267" t="s">
        <v>1429</v>
      </c>
      <c r="F248" s="267" t="s">
        <v>1487</v>
      </c>
      <c r="G248" s="267" t="s">
        <v>1797</v>
      </c>
      <c r="H248" s="277">
        <v>83068</v>
      </c>
      <c r="I248" s="277">
        <v>0</v>
      </c>
      <c r="J248" s="277">
        <v>81025995</v>
      </c>
    </row>
    <row r="249" spans="1:10">
      <c r="A249" s="267" t="s">
        <v>1462</v>
      </c>
      <c r="B249" s="357" t="s">
        <v>1426</v>
      </c>
      <c r="C249" s="267" t="s">
        <v>1784</v>
      </c>
      <c r="D249" s="267" t="s">
        <v>1785</v>
      </c>
      <c r="E249" s="267" t="s">
        <v>1429</v>
      </c>
      <c r="F249" s="267" t="s">
        <v>1798</v>
      </c>
      <c r="G249" s="267" t="s">
        <v>1433</v>
      </c>
      <c r="H249" s="277">
        <v>88850</v>
      </c>
      <c r="I249" s="277">
        <v>0</v>
      </c>
      <c r="J249" s="277">
        <v>81109063</v>
      </c>
    </row>
    <row r="250" spans="1:10">
      <c r="A250" s="267" t="s">
        <v>1462</v>
      </c>
      <c r="B250" s="357" t="s">
        <v>1426</v>
      </c>
      <c r="C250" s="267" t="s">
        <v>1784</v>
      </c>
      <c r="D250" s="267" t="s">
        <v>1785</v>
      </c>
      <c r="E250" s="267" t="s">
        <v>1429</v>
      </c>
      <c r="F250" s="267" t="s">
        <v>1799</v>
      </c>
      <c r="G250" s="267" t="s">
        <v>1800</v>
      </c>
      <c r="H250" s="277">
        <v>120000</v>
      </c>
      <c r="I250" s="277">
        <v>0</v>
      </c>
      <c r="J250" s="277">
        <v>81197913</v>
      </c>
    </row>
    <row r="251" spans="1:10">
      <c r="A251" s="267" t="s">
        <v>1462</v>
      </c>
      <c r="B251" s="357" t="s">
        <v>1426</v>
      </c>
      <c r="C251" s="267" t="s">
        <v>1784</v>
      </c>
      <c r="D251" s="267" t="s">
        <v>1785</v>
      </c>
      <c r="E251" s="267" t="s">
        <v>1429</v>
      </c>
      <c r="F251" s="267" t="s">
        <v>1801</v>
      </c>
      <c r="G251" s="267" t="s">
        <v>1271</v>
      </c>
      <c r="H251" s="277">
        <v>195988</v>
      </c>
      <c r="I251" s="277">
        <v>0</v>
      </c>
      <c r="J251" s="277">
        <v>81317913</v>
      </c>
    </row>
    <row r="252" spans="1:10">
      <c r="A252" s="267" t="s">
        <v>1462</v>
      </c>
      <c r="B252" s="357" t="s">
        <v>1426</v>
      </c>
      <c r="C252" s="267" t="s">
        <v>1784</v>
      </c>
      <c r="D252" s="267" t="s">
        <v>1785</v>
      </c>
      <c r="E252" s="267" t="s">
        <v>1429</v>
      </c>
      <c r="F252" s="267" t="s">
        <v>1802</v>
      </c>
      <c r="G252" s="267" t="s">
        <v>1800</v>
      </c>
      <c r="H252" s="277">
        <v>320000</v>
      </c>
      <c r="I252" s="277">
        <v>0</v>
      </c>
      <c r="J252" s="277">
        <v>81513901</v>
      </c>
    </row>
    <row r="253" spans="1:10">
      <c r="A253" s="267" t="s">
        <v>1462</v>
      </c>
      <c r="B253" s="357" t="s">
        <v>1426</v>
      </c>
      <c r="C253" s="267" t="s">
        <v>1784</v>
      </c>
      <c r="D253" s="267" t="s">
        <v>1785</v>
      </c>
      <c r="E253" s="267" t="s">
        <v>1429</v>
      </c>
      <c r="F253" s="267" t="s">
        <v>1489</v>
      </c>
      <c r="G253" s="267" t="s">
        <v>1797</v>
      </c>
      <c r="H253" s="277">
        <v>350000</v>
      </c>
      <c r="I253" s="277">
        <v>0</v>
      </c>
      <c r="J253" s="277">
        <v>81833901</v>
      </c>
    </row>
    <row r="254" spans="1:10">
      <c r="A254" s="267" t="s">
        <v>1462</v>
      </c>
      <c r="B254" s="357" t="s">
        <v>1426</v>
      </c>
      <c r="C254" s="267" t="s">
        <v>1784</v>
      </c>
      <c r="D254" s="267" t="s">
        <v>1785</v>
      </c>
      <c r="E254" s="267" t="s">
        <v>1429</v>
      </c>
      <c r="F254" s="267" t="s">
        <v>1803</v>
      </c>
      <c r="G254" s="267" t="s">
        <v>1804</v>
      </c>
      <c r="H254" s="277">
        <v>583100</v>
      </c>
      <c r="I254" s="277">
        <v>0</v>
      </c>
      <c r="J254" s="277">
        <v>82183901</v>
      </c>
    </row>
    <row r="255" spans="1:10">
      <c r="A255" s="267" t="s">
        <v>1462</v>
      </c>
      <c r="B255" s="357" t="s">
        <v>1426</v>
      </c>
      <c r="C255" s="267" t="s">
        <v>1784</v>
      </c>
      <c r="D255" s="267" t="s">
        <v>1785</v>
      </c>
      <c r="E255" s="267" t="s">
        <v>1429</v>
      </c>
      <c r="F255" s="267" t="s">
        <v>1805</v>
      </c>
      <c r="G255" s="267" t="s">
        <v>1806</v>
      </c>
      <c r="H255" s="277">
        <v>1120000</v>
      </c>
      <c r="I255" s="277">
        <v>0</v>
      </c>
      <c r="J255" s="277">
        <v>82767001</v>
      </c>
    </row>
    <row r="256" spans="1:10">
      <c r="A256" s="267" t="s">
        <v>1462</v>
      </c>
      <c r="B256" s="357" t="s">
        <v>1426</v>
      </c>
      <c r="C256" s="267" t="s">
        <v>1784</v>
      </c>
      <c r="D256" s="267" t="s">
        <v>1785</v>
      </c>
      <c r="E256" s="267" t="s">
        <v>1429</v>
      </c>
      <c r="F256" s="267" t="s">
        <v>1807</v>
      </c>
      <c r="G256" s="267" t="s">
        <v>1808</v>
      </c>
      <c r="H256" s="277">
        <v>2851824</v>
      </c>
      <c r="I256" s="277">
        <v>0</v>
      </c>
      <c r="J256" s="277">
        <v>83887001</v>
      </c>
    </row>
    <row r="257" spans="1:10">
      <c r="A257" s="267" t="s">
        <v>1462</v>
      </c>
      <c r="B257" s="357" t="s">
        <v>1426</v>
      </c>
      <c r="C257" s="267" t="s">
        <v>1784</v>
      </c>
      <c r="D257" s="267" t="s">
        <v>1785</v>
      </c>
      <c r="E257" s="267" t="s">
        <v>1429</v>
      </c>
      <c r="F257" s="267" t="s">
        <v>1451</v>
      </c>
      <c r="G257" s="267" t="s">
        <v>1809</v>
      </c>
      <c r="H257" s="277">
        <v>14759170</v>
      </c>
      <c r="I257" s="277">
        <v>0</v>
      </c>
      <c r="J257" s="277">
        <v>86738825</v>
      </c>
    </row>
    <row r="258" spans="1:10">
      <c r="A258" s="267" t="s">
        <v>1491</v>
      </c>
      <c r="B258" s="357" t="s">
        <v>1426</v>
      </c>
      <c r="C258" s="267" t="s">
        <v>1784</v>
      </c>
      <c r="D258" s="267" t="s">
        <v>1785</v>
      </c>
      <c r="E258" s="267" t="s">
        <v>1429</v>
      </c>
      <c r="F258" s="267" t="s">
        <v>1810</v>
      </c>
      <c r="G258" s="267" t="s">
        <v>1811</v>
      </c>
      <c r="H258" s="277">
        <v>616152</v>
      </c>
      <c r="I258" s="277">
        <v>0</v>
      </c>
      <c r="J258" s="277">
        <v>101497995</v>
      </c>
    </row>
    <row r="259" spans="1:10">
      <c r="A259" s="267" t="s">
        <v>1491</v>
      </c>
      <c r="B259" s="357" t="s">
        <v>1426</v>
      </c>
      <c r="C259" s="267" t="s">
        <v>1784</v>
      </c>
      <c r="D259" s="267" t="s">
        <v>1785</v>
      </c>
      <c r="E259" s="267" t="s">
        <v>1429</v>
      </c>
      <c r="F259" s="267" t="s">
        <v>1812</v>
      </c>
      <c r="G259" s="267" t="s">
        <v>1813</v>
      </c>
      <c r="H259" s="277">
        <v>1119970</v>
      </c>
      <c r="I259" s="277">
        <v>0</v>
      </c>
      <c r="J259" s="277">
        <v>102114147</v>
      </c>
    </row>
    <row r="260" spans="1:10">
      <c r="A260" s="267" t="s">
        <v>1491</v>
      </c>
      <c r="B260" s="357" t="s">
        <v>1426</v>
      </c>
      <c r="C260" s="267" t="s">
        <v>1784</v>
      </c>
      <c r="D260" s="267" t="s">
        <v>1785</v>
      </c>
      <c r="E260" s="267" t="s">
        <v>1429</v>
      </c>
      <c r="F260" s="267" t="s">
        <v>1814</v>
      </c>
      <c r="G260" s="267" t="s">
        <v>1815</v>
      </c>
      <c r="H260" s="277">
        <v>2087986</v>
      </c>
      <c r="I260" s="277">
        <v>0</v>
      </c>
      <c r="J260" s="277">
        <v>103234117</v>
      </c>
    </row>
    <row r="261" spans="1:10">
      <c r="A261" s="267" t="s">
        <v>1511</v>
      </c>
      <c r="B261" s="357" t="s">
        <v>1426</v>
      </c>
      <c r="C261" s="267" t="s">
        <v>1784</v>
      </c>
      <c r="D261" s="267" t="s">
        <v>1785</v>
      </c>
      <c r="E261" s="267" t="s">
        <v>1429</v>
      </c>
      <c r="F261" s="267" t="s">
        <v>1816</v>
      </c>
      <c r="G261" s="267" t="s">
        <v>1689</v>
      </c>
      <c r="H261" s="277">
        <v>3061333</v>
      </c>
      <c r="I261" s="277">
        <v>0</v>
      </c>
      <c r="J261" s="277">
        <v>105322103</v>
      </c>
    </row>
    <row r="262" spans="1:10">
      <c r="A262" s="267" t="s">
        <v>1527</v>
      </c>
      <c r="B262" s="357" t="s">
        <v>1426</v>
      </c>
      <c r="C262" s="267" t="s">
        <v>1784</v>
      </c>
      <c r="D262" s="267" t="s">
        <v>1785</v>
      </c>
      <c r="E262" s="267" t="s">
        <v>1429</v>
      </c>
      <c r="F262" s="267" t="s">
        <v>1453</v>
      </c>
      <c r="G262" s="267" t="s">
        <v>1817</v>
      </c>
      <c r="H262" s="277">
        <v>0</v>
      </c>
      <c r="I262" s="277">
        <v>304310</v>
      </c>
      <c r="J262" s="277">
        <v>108383436</v>
      </c>
    </row>
    <row r="263" spans="1:10">
      <c r="A263" s="267" t="s">
        <v>1527</v>
      </c>
      <c r="B263" s="357" t="s">
        <v>1426</v>
      </c>
      <c r="C263" s="267" t="s">
        <v>1784</v>
      </c>
      <c r="D263" s="267" t="s">
        <v>1785</v>
      </c>
      <c r="E263" s="267" t="s">
        <v>1429</v>
      </c>
      <c r="F263" s="267" t="s">
        <v>1818</v>
      </c>
      <c r="G263" s="267" t="s">
        <v>1819</v>
      </c>
      <c r="H263" s="277">
        <v>376016</v>
      </c>
      <c r="I263" s="277">
        <v>0</v>
      </c>
      <c r="J263" s="277">
        <v>108079126</v>
      </c>
    </row>
    <row r="264" spans="1:10">
      <c r="A264" s="267" t="s">
        <v>1527</v>
      </c>
      <c r="B264" s="357" t="s">
        <v>1426</v>
      </c>
      <c r="C264" s="267" t="s">
        <v>1784</v>
      </c>
      <c r="D264" s="267" t="s">
        <v>1785</v>
      </c>
      <c r="E264" s="267" t="s">
        <v>1429</v>
      </c>
      <c r="F264" s="267" t="s">
        <v>1451</v>
      </c>
      <c r="G264" s="267" t="s">
        <v>1820</v>
      </c>
      <c r="H264" s="277">
        <v>1207030</v>
      </c>
      <c r="I264" s="277">
        <v>0</v>
      </c>
      <c r="J264" s="277">
        <v>108455142</v>
      </c>
    </row>
    <row r="265" spans="1:10">
      <c r="A265" s="267" t="s">
        <v>1527</v>
      </c>
      <c r="B265" s="357" t="s">
        <v>1426</v>
      </c>
      <c r="C265" s="267" t="s">
        <v>1784</v>
      </c>
      <c r="D265" s="267" t="s">
        <v>1785</v>
      </c>
      <c r="E265" s="267" t="s">
        <v>1429</v>
      </c>
      <c r="F265" s="267" t="s">
        <v>1821</v>
      </c>
      <c r="G265" s="267" t="s">
        <v>1822</v>
      </c>
      <c r="H265" s="277">
        <v>3835598</v>
      </c>
      <c r="I265" s="277">
        <v>0</v>
      </c>
      <c r="J265" s="277">
        <v>109662172</v>
      </c>
    </row>
    <row r="266" spans="1:10">
      <c r="A266" s="267" t="s">
        <v>1596</v>
      </c>
      <c r="B266" s="357" t="s">
        <v>1426</v>
      </c>
      <c r="C266" s="267" t="s">
        <v>1784</v>
      </c>
      <c r="D266" s="267" t="s">
        <v>1785</v>
      </c>
      <c r="E266" s="267" t="s">
        <v>1429</v>
      </c>
      <c r="F266" s="267" t="s">
        <v>1823</v>
      </c>
      <c r="G266" s="267" t="s">
        <v>1824</v>
      </c>
      <c r="H266" s="277">
        <v>0</v>
      </c>
      <c r="I266" s="277">
        <v>79067064</v>
      </c>
      <c r="J266" s="277">
        <v>113497770</v>
      </c>
    </row>
    <row r="267" spans="1:10">
      <c r="A267" s="267" t="s">
        <v>1603</v>
      </c>
      <c r="B267" s="357" t="s">
        <v>1426</v>
      </c>
      <c r="C267" s="267" t="s">
        <v>1784</v>
      </c>
      <c r="D267" s="267" t="s">
        <v>1785</v>
      </c>
      <c r="E267" s="267" t="s">
        <v>1429</v>
      </c>
      <c r="F267" s="267" t="s">
        <v>1825</v>
      </c>
      <c r="G267" s="267" t="s">
        <v>1826</v>
      </c>
      <c r="H267" s="277">
        <v>420000</v>
      </c>
      <c r="I267" s="277">
        <v>0</v>
      </c>
      <c r="J267" s="277">
        <v>34430706</v>
      </c>
    </row>
    <row r="268" spans="1:10">
      <c r="A268" s="267" t="s">
        <v>1603</v>
      </c>
      <c r="B268" s="357" t="s">
        <v>1426</v>
      </c>
      <c r="C268" s="267" t="s">
        <v>1784</v>
      </c>
      <c r="D268" s="267" t="s">
        <v>1785</v>
      </c>
      <c r="E268" s="267" t="s">
        <v>1429</v>
      </c>
      <c r="F268" s="267" t="s">
        <v>1827</v>
      </c>
      <c r="G268" s="267" t="s">
        <v>1828</v>
      </c>
      <c r="H268" s="277">
        <v>449999</v>
      </c>
      <c r="I268" s="277">
        <v>0</v>
      </c>
      <c r="J268" s="277">
        <v>34850706</v>
      </c>
    </row>
    <row r="269" spans="1:10">
      <c r="A269" s="267" t="s">
        <v>1603</v>
      </c>
      <c r="B269" s="357" t="s">
        <v>1426</v>
      </c>
      <c r="C269" s="267" t="s">
        <v>1784</v>
      </c>
      <c r="D269" s="267" t="s">
        <v>1785</v>
      </c>
      <c r="E269" s="267" t="s">
        <v>1429</v>
      </c>
      <c r="F269" s="267" t="s">
        <v>1829</v>
      </c>
      <c r="G269" s="267" t="s">
        <v>1830</v>
      </c>
      <c r="H269" s="277">
        <v>599998</v>
      </c>
      <c r="I269" s="277">
        <v>0</v>
      </c>
      <c r="J269" s="277">
        <v>35300705</v>
      </c>
    </row>
    <row r="270" spans="1:10">
      <c r="A270" s="267" t="s">
        <v>1603</v>
      </c>
      <c r="B270" s="357" t="s">
        <v>1426</v>
      </c>
      <c r="C270" s="267" t="s">
        <v>1784</v>
      </c>
      <c r="D270" s="267" t="s">
        <v>1785</v>
      </c>
      <c r="E270" s="267" t="s">
        <v>1429</v>
      </c>
      <c r="F270" s="267" t="s">
        <v>1831</v>
      </c>
      <c r="G270" s="267" t="s">
        <v>1815</v>
      </c>
      <c r="H270" s="277">
        <v>3706850</v>
      </c>
      <c r="I270" s="277">
        <v>0</v>
      </c>
      <c r="J270" s="277">
        <v>35900703</v>
      </c>
    </row>
    <row r="271" spans="1:10">
      <c r="A271" s="267" t="s">
        <v>1603</v>
      </c>
      <c r="B271" s="357" t="s">
        <v>1426</v>
      </c>
      <c r="C271" s="267" t="s">
        <v>1784</v>
      </c>
      <c r="D271" s="267" t="s">
        <v>1785</v>
      </c>
      <c r="E271" s="267" t="s">
        <v>1429</v>
      </c>
      <c r="F271" s="267" t="s">
        <v>1453</v>
      </c>
      <c r="G271" s="267" t="s">
        <v>1832</v>
      </c>
      <c r="H271" s="277">
        <v>0</v>
      </c>
      <c r="I271" s="277">
        <v>272158</v>
      </c>
      <c r="J271" s="277">
        <v>39607553</v>
      </c>
    </row>
    <row r="272" spans="1:10">
      <c r="A272" s="267" t="s">
        <v>1627</v>
      </c>
      <c r="B272" s="357" t="s">
        <v>1426</v>
      </c>
      <c r="C272" s="267" t="s">
        <v>1784</v>
      </c>
      <c r="D272" s="267" t="s">
        <v>1785</v>
      </c>
      <c r="E272" s="267" t="s">
        <v>1429</v>
      </c>
      <c r="F272" s="267" t="s">
        <v>1453</v>
      </c>
      <c r="G272" s="267" t="s">
        <v>1833</v>
      </c>
      <c r="H272" s="277">
        <v>0</v>
      </c>
      <c r="I272" s="277">
        <v>120848</v>
      </c>
      <c r="J272" s="277">
        <v>39335395</v>
      </c>
    </row>
    <row r="273" spans="1:10">
      <c r="A273" s="267" t="s">
        <v>1666</v>
      </c>
      <c r="B273" s="357" t="s">
        <v>1426</v>
      </c>
      <c r="C273" s="267" t="s">
        <v>1784</v>
      </c>
      <c r="D273" s="267" t="s">
        <v>1785</v>
      </c>
      <c r="E273" s="267" t="s">
        <v>1429</v>
      </c>
      <c r="F273" s="267" t="s">
        <v>1451</v>
      </c>
      <c r="G273" s="267" t="s">
        <v>1834</v>
      </c>
      <c r="H273" s="277">
        <v>400000</v>
      </c>
      <c r="I273" s="277">
        <v>0</v>
      </c>
      <c r="J273" s="277">
        <v>39214547</v>
      </c>
    </row>
    <row r="274" spans="1:10">
      <c r="A274" s="267" t="s">
        <v>1666</v>
      </c>
      <c r="B274" s="357" t="s">
        <v>1426</v>
      </c>
      <c r="C274" s="267" t="s">
        <v>1784</v>
      </c>
      <c r="D274" s="267" t="s">
        <v>1785</v>
      </c>
      <c r="E274" s="267" t="s">
        <v>1429</v>
      </c>
      <c r="F274" s="267" t="s">
        <v>1451</v>
      </c>
      <c r="G274" s="267" t="s">
        <v>1835</v>
      </c>
      <c r="H274" s="277">
        <v>597155</v>
      </c>
      <c r="I274" s="277">
        <v>0</v>
      </c>
      <c r="J274" s="277">
        <v>39614547</v>
      </c>
    </row>
    <row r="275" spans="1:10">
      <c r="A275" s="267" t="s">
        <v>1666</v>
      </c>
      <c r="B275" s="357" t="s">
        <v>1426</v>
      </c>
      <c r="C275" s="267" t="s">
        <v>1784</v>
      </c>
      <c r="D275" s="267" t="s">
        <v>1785</v>
      </c>
      <c r="E275" s="267" t="s">
        <v>1429</v>
      </c>
      <c r="F275" s="267" t="s">
        <v>1451</v>
      </c>
      <c r="G275" s="267" t="s">
        <v>1836</v>
      </c>
      <c r="H275" s="277">
        <v>618150</v>
      </c>
      <c r="I275" s="277">
        <v>0</v>
      </c>
      <c r="J275" s="277">
        <v>40211702</v>
      </c>
    </row>
    <row r="276" spans="1:10">
      <c r="A276" s="267" t="s">
        <v>1666</v>
      </c>
      <c r="B276" s="357" t="s">
        <v>1426</v>
      </c>
      <c r="C276" s="267" t="s">
        <v>1784</v>
      </c>
      <c r="D276" s="267" t="s">
        <v>1785</v>
      </c>
      <c r="E276" s="267" t="s">
        <v>1429</v>
      </c>
      <c r="F276" s="267" t="s">
        <v>1451</v>
      </c>
      <c r="G276" s="267" t="s">
        <v>1837</v>
      </c>
      <c r="H276" s="277">
        <v>40984914</v>
      </c>
      <c r="I276" s="277">
        <v>0</v>
      </c>
      <c r="J276" s="277">
        <v>40829852</v>
      </c>
    </row>
    <row r="277" spans="1:10">
      <c r="A277" s="267" t="s">
        <v>1666</v>
      </c>
      <c r="B277" s="357" t="s">
        <v>1426</v>
      </c>
      <c r="C277" s="267" t="s">
        <v>1784</v>
      </c>
      <c r="D277" s="267" t="s">
        <v>1785</v>
      </c>
      <c r="E277" s="267" t="s">
        <v>1429</v>
      </c>
      <c r="F277" s="267" t="s">
        <v>1838</v>
      </c>
      <c r="G277" s="267" t="s">
        <v>1839</v>
      </c>
      <c r="H277" s="277">
        <v>0</v>
      </c>
      <c r="I277" s="277">
        <v>597155</v>
      </c>
      <c r="J277" s="277">
        <v>81814766</v>
      </c>
    </row>
    <row r="278" spans="1:10">
      <c r="A278" s="267" t="s">
        <v>1666</v>
      </c>
      <c r="B278" s="357" t="s">
        <v>1426</v>
      </c>
      <c r="C278" s="267" t="s">
        <v>1784</v>
      </c>
      <c r="D278" s="267" t="s">
        <v>1785</v>
      </c>
      <c r="E278" s="267" t="s">
        <v>1429</v>
      </c>
      <c r="F278" s="267" t="s">
        <v>1838</v>
      </c>
      <c r="G278" s="267" t="s">
        <v>1839</v>
      </c>
      <c r="H278" s="277">
        <v>0</v>
      </c>
      <c r="I278" s="277">
        <v>597155</v>
      </c>
      <c r="J278" s="277">
        <v>81217611</v>
      </c>
    </row>
    <row r="279" spans="1:10">
      <c r="A279" s="267" t="s">
        <v>1666</v>
      </c>
      <c r="B279" s="357" t="s">
        <v>1426</v>
      </c>
      <c r="C279" s="267" t="s">
        <v>1784</v>
      </c>
      <c r="D279" s="267" t="s">
        <v>1785</v>
      </c>
      <c r="E279" s="267" t="s">
        <v>1429</v>
      </c>
      <c r="F279" s="267" t="s">
        <v>1838</v>
      </c>
      <c r="G279" s="267" t="s">
        <v>1839</v>
      </c>
      <c r="H279" s="277">
        <v>0</v>
      </c>
      <c r="I279" s="277">
        <v>618150</v>
      </c>
      <c r="J279" s="277">
        <v>80620456</v>
      </c>
    </row>
    <row r="280" spans="1:10">
      <c r="A280" s="267" t="s">
        <v>1666</v>
      </c>
      <c r="B280" s="357" t="s">
        <v>1426</v>
      </c>
      <c r="C280" s="267" t="s">
        <v>1784</v>
      </c>
      <c r="D280" s="267" t="s">
        <v>1785</v>
      </c>
      <c r="E280" s="267" t="s">
        <v>1429</v>
      </c>
      <c r="F280" s="267" t="s">
        <v>1838</v>
      </c>
      <c r="G280" s="267" t="s">
        <v>1839</v>
      </c>
      <c r="H280" s="277">
        <v>0</v>
      </c>
      <c r="I280" s="277">
        <v>40984914</v>
      </c>
      <c r="J280" s="277">
        <v>80002306</v>
      </c>
    </row>
    <row r="281" spans="1:10">
      <c r="A281" s="267" t="s">
        <v>1666</v>
      </c>
      <c r="B281" s="357" t="s">
        <v>1426</v>
      </c>
      <c r="C281" s="267" t="s">
        <v>1784</v>
      </c>
      <c r="D281" s="267" t="s">
        <v>1785</v>
      </c>
      <c r="E281" s="267" t="s">
        <v>1429</v>
      </c>
      <c r="F281" s="267" t="s">
        <v>1451</v>
      </c>
      <c r="G281" s="267" t="s">
        <v>1840</v>
      </c>
      <c r="H281" s="277">
        <v>597155</v>
      </c>
      <c r="I281" s="277">
        <v>0</v>
      </c>
      <c r="J281" s="277">
        <v>39017392</v>
      </c>
    </row>
    <row r="282" spans="1:10">
      <c r="A282" s="267" t="s">
        <v>1666</v>
      </c>
      <c r="B282" s="357" t="s">
        <v>1426</v>
      </c>
      <c r="C282" s="267" t="s">
        <v>1784</v>
      </c>
      <c r="D282" s="267" t="s">
        <v>1785</v>
      </c>
      <c r="E282" s="267" t="s">
        <v>1429</v>
      </c>
      <c r="F282" s="267" t="s">
        <v>1451</v>
      </c>
      <c r="G282" s="267" t="s">
        <v>1841</v>
      </c>
      <c r="H282" s="277">
        <v>618150</v>
      </c>
      <c r="I282" s="277">
        <v>0</v>
      </c>
      <c r="J282" s="277">
        <v>39614547</v>
      </c>
    </row>
    <row r="283" spans="1:10">
      <c r="A283" s="267" t="s">
        <v>1666</v>
      </c>
      <c r="B283" s="357" t="s">
        <v>1426</v>
      </c>
      <c r="C283" s="267" t="s">
        <v>1784</v>
      </c>
      <c r="D283" s="267" t="s">
        <v>1785</v>
      </c>
      <c r="E283" s="267" t="s">
        <v>1429</v>
      </c>
      <c r="F283" s="267" t="s">
        <v>1451</v>
      </c>
      <c r="G283" s="267" t="s">
        <v>1842</v>
      </c>
      <c r="H283" s="277">
        <v>40984914</v>
      </c>
      <c r="I283" s="277">
        <v>0</v>
      </c>
      <c r="J283" s="277">
        <v>40232697</v>
      </c>
    </row>
    <row r="284" spans="1:10">
      <c r="A284" s="267" t="s">
        <v>1677</v>
      </c>
      <c r="B284" s="357" t="s">
        <v>1426</v>
      </c>
      <c r="C284" s="267" t="s">
        <v>1784</v>
      </c>
      <c r="D284" s="267" t="s">
        <v>1785</v>
      </c>
      <c r="E284" s="267" t="s">
        <v>1429</v>
      </c>
      <c r="F284" s="267" t="s">
        <v>1843</v>
      </c>
      <c r="G284" s="267" t="s">
        <v>1844</v>
      </c>
      <c r="H284" s="277">
        <v>181924</v>
      </c>
      <c r="I284" s="277">
        <v>0</v>
      </c>
      <c r="J284" s="277">
        <v>81217611</v>
      </c>
    </row>
    <row r="285" spans="1:10">
      <c r="A285" s="267" t="s">
        <v>1677</v>
      </c>
      <c r="B285" s="357" t="s">
        <v>1426</v>
      </c>
      <c r="C285" s="267" t="s">
        <v>1784</v>
      </c>
      <c r="D285" s="267" t="s">
        <v>1785</v>
      </c>
      <c r="E285" s="267" t="s">
        <v>1429</v>
      </c>
      <c r="F285" s="267" t="s">
        <v>1451</v>
      </c>
      <c r="G285" s="267" t="s">
        <v>1845</v>
      </c>
      <c r="H285" s="277">
        <v>597155</v>
      </c>
      <c r="I285" s="277">
        <v>0</v>
      </c>
      <c r="J285" s="277">
        <v>81399535</v>
      </c>
    </row>
    <row r="286" spans="1:10">
      <c r="A286" s="267" t="s">
        <v>1680</v>
      </c>
      <c r="B286" s="357" t="s">
        <v>1426</v>
      </c>
      <c r="C286" s="267" t="s">
        <v>1784</v>
      </c>
      <c r="D286" s="267" t="s">
        <v>1785</v>
      </c>
      <c r="E286" s="267" t="s">
        <v>1429</v>
      </c>
      <c r="F286" s="267" t="s">
        <v>1846</v>
      </c>
      <c r="G286" s="267" t="s">
        <v>1847</v>
      </c>
      <c r="H286" s="277">
        <v>1471554</v>
      </c>
      <c r="I286" s="277">
        <v>0</v>
      </c>
      <c r="J286" s="277">
        <v>81996690</v>
      </c>
    </row>
    <row r="287" spans="1:10">
      <c r="A287" s="267" t="s">
        <v>1680</v>
      </c>
      <c r="B287" s="357" t="s">
        <v>1426</v>
      </c>
      <c r="C287" s="267" t="s">
        <v>1784</v>
      </c>
      <c r="D287" s="267" t="s">
        <v>1785</v>
      </c>
      <c r="E287" s="267" t="s">
        <v>1429</v>
      </c>
      <c r="F287" s="267" t="s">
        <v>1848</v>
      </c>
      <c r="G287" s="267" t="s">
        <v>1847</v>
      </c>
      <c r="H287" s="277">
        <v>4949198</v>
      </c>
      <c r="I287" s="277">
        <v>0</v>
      </c>
      <c r="J287" s="277">
        <v>83468244</v>
      </c>
    </row>
    <row r="288" spans="1:10">
      <c r="A288" s="267" t="s">
        <v>1700</v>
      </c>
      <c r="B288" s="357" t="s">
        <v>1426</v>
      </c>
      <c r="C288" s="267" t="s">
        <v>1784</v>
      </c>
      <c r="D288" s="267" t="s">
        <v>1785</v>
      </c>
      <c r="E288" s="267" t="s">
        <v>1429</v>
      </c>
      <c r="F288" s="267" t="s">
        <v>1453</v>
      </c>
      <c r="G288" s="267" t="s">
        <v>1849</v>
      </c>
      <c r="H288" s="277">
        <v>0</v>
      </c>
      <c r="I288" s="277">
        <v>129800</v>
      </c>
      <c r="J288" s="277">
        <v>88417442</v>
      </c>
    </row>
    <row r="289" spans="1:15">
      <c r="A289" s="267" t="s">
        <v>1705</v>
      </c>
      <c r="B289" s="357" t="s">
        <v>1426</v>
      </c>
      <c r="C289" s="267" t="s">
        <v>1784</v>
      </c>
      <c r="D289" s="267" t="s">
        <v>1785</v>
      </c>
      <c r="E289" s="267" t="s">
        <v>1429</v>
      </c>
      <c r="F289" s="267" t="s">
        <v>1453</v>
      </c>
      <c r="G289" s="267" t="s">
        <v>1850</v>
      </c>
      <c r="H289" s="277">
        <v>0</v>
      </c>
      <c r="I289" s="277">
        <v>14350</v>
      </c>
      <c r="J289" s="277">
        <v>88287642</v>
      </c>
    </row>
    <row r="290" spans="1:15">
      <c r="A290" s="267" t="s">
        <v>1705</v>
      </c>
      <c r="B290" s="357" t="s">
        <v>1426</v>
      </c>
      <c r="C290" s="267" t="s">
        <v>1784</v>
      </c>
      <c r="D290" s="267" t="s">
        <v>1785</v>
      </c>
      <c r="E290" s="267" t="s">
        <v>1429</v>
      </c>
      <c r="F290" s="267" t="s">
        <v>1453</v>
      </c>
      <c r="G290" s="267" t="s">
        <v>1851</v>
      </c>
      <c r="H290" s="277">
        <v>0</v>
      </c>
      <c r="I290" s="277">
        <v>150000</v>
      </c>
      <c r="J290" s="277">
        <v>88273292</v>
      </c>
    </row>
    <row r="291" spans="1:15">
      <c r="A291" s="267" t="s">
        <v>1744</v>
      </c>
      <c r="B291" s="357" t="s">
        <v>1426</v>
      </c>
      <c r="C291" s="267" t="s">
        <v>1784</v>
      </c>
      <c r="D291" s="267" t="s">
        <v>1785</v>
      </c>
      <c r="E291" s="267" t="s">
        <v>1429</v>
      </c>
      <c r="F291" s="267" t="s">
        <v>1453</v>
      </c>
      <c r="G291" s="267" t="s">
        <v>1850</v>
      </c>
      <c r="H291" s="277">
        <v>0</v>
      </c>
      <c r="I291" s="277">
        <v>29015</v>
      </c>
      <c r="J291" s="277">
        <v>88123292</v>
      </c>
    </row>
    <row r="292" spans="1:15">
      <c r="A292" s="267" t="s">
        <v>1744</v>
      </c>
      <c r="B292" s="357" t="s">
        <v>1426</v>
      </c>
      <c r="C292" s="267" t="s">
        <v>1784</v>
      </c>
      <c r="D292" s="267" t="s">
        <v>1785</v>
      </c>
      <c r="E292" s="267" t="s">
        <v>1429</v>
      </c>
      <c r="F292" s="267" t="s">
        <v>1453</v>
      </c>
      <c r="G292" s="267" t="s">
        <v>1601</v>
      </c>
      <c r="H292" s="277">
        <v>0</v>
      </c>
      <c r="I292" s="277">
        <v>83068</v>
      </c>
      <c r="J292" s="277">
        <v>88094277</v>
      </c>
    </row>
    <row r="293" spans="1:15">
      <c r="A293" s="267" t="s">
        <v>1744</v>
      </c>
      <c r="B293" s="357" t="s">
        <v>1426</v>
      </c>
      <c r="C293" s="267" t="s">
        <v>1784</v>
      </c>
      <c r="D293" s="267" t="s">
        <v>1785</v>
      </c>
      <c r="E293" s="267" t="s">
        <v>1429</v>
      </c>
      <c r="F293" s="267" t="s">
        <v>1453</v>
      </c>
      <c r="G293" s="267" t="s">
        <v>1851</v>
      </c>
      <c r="H293" s="277">
        <v>0</v>
      </c>
      <c r="I293" s="277">
        <v>250000</v>
      </c>
      <c r="J293" s="277">
        <v>88011209</v>
      </c>
    </row>
    <row r="294" spans="1:15">
      <c r="I294" s="359">
        <f>SUM(I238:I293)</f>
        <v>123542900</v>
      </c>
    </row>
    <row r="298" spans="1:15">
      <c r="A298" s="362"/>
      <c r="B298" s="362"/>
      <c r="C298" s="362"/>
      <c r="D298" s="362"/>
      <c r="E298" s="362"/>
      <c r="F298" s="362"/>
      <c r="G298" s="362"/>
      <c r="H298" s="362"/>
      <c r="I298" s="363" t="s">
        <v>1753</v>
      </c>
      <c r="J298" s="363"/>
      <c r="K298" s="363"/>
      <c r="L298" s="363"/>
      <c r="M298" s="363"/>
      <c r="N298" s="363"/>
      <c r="O298" s="363"/>
    </row>
    <row r="299" spans="1:15">
      <c r="A299" s="362"/>
      <c r="B299" s="362"/>
      <c r="C299" s="362"/>
      <c r="D299" s="362"/>
      <c r="E299" s="362"/>
      <c r="F299" s="362"/>
      <c r="G299" s="362"/>
      <c r="H299" s="362"/>
      <c r="I299" s="362"/>
      <c r="J299" s="362"/>
      <c r="K299" s="362"/>
      <c r="L299" s="362"/>
      <c r="M299" s="362"/>
      <c r="N299" s="362"/>
      <c r="O299" s="362"/>
    </row>
    <row r="300" spans="1:15">
      <c r="A300" s="362"/>
      <c r="B300" s="362"/>
      <c r="C300" s="362"/>
      <c r="D300" s="362"/>
      <c r="E300" s="362"/>
      <c r="F300" s="362"/>
      <c r="G300" s="362"/>
      <c r="H300" s="362"/>
      <c r="I300" s="363" t="s">
        <v>1852</v>
      </c>
      <c r="J300" s="363"/>
      <c r="K300" s="363"/>
      <c r="L300" s="363"/>
      <c r="M300" s="363"/>
      <c r="N300" s="363"/>
      <c r="O300" s="363"/>
    </row>
    <row r="301" spans="1:15">
      <c r="A301" s="362"/>
      <c r="B301" s="362"/>
      <c r="C301" s="362"/>
      <c r="D301" s="362"/>
      <c r="E301" s="362"/>
      <c r="F301" s="362"/>
      <c r="G301" s="362"/>
      <c r="H301" s="362"/>
      <c r="I301" s="362"/>
      <c r="J301" s="362"/>
      <c r="K301" s="362"/>
      <c r="L301" s="362"/>
      <c r="M301" s="362"/>
      <c r="N301" s="362"/>
      <c r="O301" s="362"/>
    </row>
    <row r="302" spans="1:15" ht="15.6">
      <c r="A302" s="360" t="s">
        <v>1755</v>
      </c>
      <c r="B302" s="360"/>
      <c r="C302" s="360"/>
      <c r="D302" s="360"/>
      <c r="E302" s="361" t="s">
        <v>1756</v>
      </c>
      <c r="F302" s="361"/>
      <c r="G302" s="361"/>
      <c r="H302" s="361"/>
      <c r="I302" s="361"/>
      <c r="J302" s="360" t="s">
        <v>1757</v>
      </c>
      <c r="K302" s="360"/>
      <c r="L302" s="361" t="s">
        <v>1758</v>
      </c>
      <c r="M302" s="361"/>
      <c r="N302" s="361"/>
      <c r="O302" s="361"/>
    </row>
    <row r="303" spans="1:15" ht="15.6">
      <c r="A303" s="360" t="s">
        <v>1759</v>
      </c>
      <c r="B303" s="360"/>
      <c r="C303" s="360"/>
      <c r="D303" s="360"/>
      <c r="E303" s="361" t="s">
        <v>1760</v>
      </c>
      <c r="F303" s="361"/>
      <c r="G303" s="361"/>
      <c r="H303" s="361"/>
      <c r="I303" s="361"/>
      <c r="J303" s="360" t="s">
        <v>1761</v>
      </c>
      <c r="K303" s="360"/>
      <c r="L303" s="361" t="s">
        <v>1762</v>
      </c>
      <c r="M303" s="361"/>
      <c r="N303" s="361"/>
      <c r="O303" s="361"/>
    </row>
    <row r="304" spans="1:15" ht="15.6">
      <c r="A304" s="360" t="s">
        <v>1763</v>
      </c>
      <c r="B304" s="360"/>
      <c r="C304" s="360"/>
      <c r="D304" s="360"/>
      <c r="E304" s="361" t="s">
        <v>1174</v>
      </c>
      <c r="F304" s="361"/>
      <c r="G304" s="361"/>
      <c r="H304" s="361"/>
      <c r="I304" s="361"/>
      <c r="J304" s="364"/>
      <c r="K304" s="364"/>
      <c r="L304" s="364"/>
      <c r="M304" s="364"/>
      <c r="N304" s="364"/>
      <c r="O304" s="364"/>
    </row>
    <row r="305" spans="1:15" ht="15.6">
      <c r="A305" s="360" t="s">
        <v>1764</v>
      </c>
      <c r="B305" s="360"/>
      <c r="C305" s="360"/>
      <c r="D305" s="360"/>
      <c r="E305" s="361" t="s">
        <v>1765</v>
      </c>
      <c r="F305" s="361"/>
      <c r="G305" s="361"/>
      <c r="H305" s="361"/>
      <c r="I305" s="361"/>
      <c r="J305" s="364"/>
      <c r="K305" s="364"/>
      <c r="L305" s="364"/>
      <c r="M305" s="364"/>
      <c r="N305" s="364"/>
      <c r="O305" s="364"/>
    </row>
    <row r="306" spans="1:15" ht="24.6">
      <c r="A306" s="365" t="s">
        <v>1766</v>
      </c>
      <c r="B306" s="365"/>
      <c r="C306" s="365"/>
      <c r="D306" s="365"/>
      <c r="E306" s="365"/>
      <c r="F306" s="365"/>
      <c r="G306" s="365"/>
      <c r="H306" s="365"/>
      <c r="I306" s="365"/>
      <c r="J306" s="365"/>
      <c r="K306" s="365"/>
      <c r="L306" s="365"/>
      <c r="M306" s="365"/>
      <c r="N306" s="365"/>
      <c r="O306" s="365"/>
    </row>
    <row r="307" spans="1:15" ht="15.6">
      <c r="A307" s="366" t="s">
        <v>1417</v>
      </c>
      <c r="B307" s="366"/>
      <c r="C307" s="366"/>
      <c r="D307" s="366"/>
      <c r="E307" s="367" t="s">
        <v>1784</v>
      </c>
      <c r="F307" s="367"/>
      <c r="G307" s="367"/>
      <c r="H307" s="367"/>
      <c r="I307" s="367"/>
      <c r="J307" s="367"/>
      <c r="K307" s="367"/>
      <c r="L307" s="367"/>
      <c r="M307" s="367"/>
      <c r="N307" s="367"/>
      <c r="O307" s="367"/>
    </row>
    <row r="308" spans="1:15" ht="15.6">
      <c r="A308" s="366" t="s">
        <v>1418</v>
      </c>
      <c r="B308" s="366"/>
      <c r="C308" s="366"/>
      <c r="D308" s="366"/>
      <c r="E308" s="367" t="s">
        <v>1785</v>
      </c>
      <c r="F308" s="367"/>
      <c r="G308" s="367"/>
      <c r="H308" s="367"/>
      <c r="I308" s="367"/>
      <c r="J308" s="367"/>
      <c r="K308" s="367"/>
      <c r="L308" s="367"/>
      <c r="M308" s="367"/>
      <c r="N308" s="367"/>
      <c r="O308" s="367"/>
    </row>
    <row r="309" spans="1:15" ht="15.6">
      <c r="A309" s="366" t="s">
        <v>1767</v>
      </c>
      <c r="B309" s="366"/>
      <c r="C309" s="366"/>
      <c r="D309" s="366"/>
      <c r="E309" s="367" t="s">
        <v>1744</v>
      </c>
      <c r="F309" s="367"/>
      <c r="G309" s="367"/>
      <c r="H309" s="367"/>
      <c r="I309" s="367"/>
      <c r="J309" s="367"/>
      <c r="K309" s="367"/>
      <c r="L309" s="367"/>
      <c r="M309" s="367"/>
      <c r="N309" s="367"/>
      <c r="O309" s="367"/>
    </row>
    <row r="310" spans="1:15" ht="15.6">
      <c r="A310" s="366" t="s">
        <v>1768</v>
      </c>
      <c r="B310" s="366"/>
      <c r="C310" s="366"/>
      <c r="D310" s="366"/>
      <c r="E310" s="367" t="s">
        <v>1425</v>
      </c>
      <c r="F310" s="367"/>
      <c r="G310" s="367"/>
      <c r="H310" s="367"/>
      <c r="I310" s="367"/>
      <c r="J310" s="367"/>
      <c r="K310" s="367"/>
      <c r="L310" s="367"/>
      <c r="M310" s="367"/>
      <c r="N310" s="367"/>
      <c r="O310" s="367"/>
    </row>
    <row r="311" spans="1:15" ht="15.6">
      <c r="A311" s="366" t="s">
        <v>1769</v>
      </c>
      <c r="B311" s="366"/>
      <c r="C311" s="366"/>
      <c r="D311" s="366"/>
      <c r="E311" s="367" t="s">
        <v>1425</v>
      </c>
      <c r="F311" s="367"/>
      <c r="G311" s="367"/>
      <c r="H311" s="367"/>
      <c r="I311" s="367"/>
      <c r="J311" s="367"/>
      <c r="K311" s="367"/>
      <c r="L311" s="367"/>
      <c r="M311" s="367"/>
      <c r="N311" s="367"/>
      <c r="O311" s="367"/>
    </row>
    <row r="312" spans="1:15" ht="15.6">
      <c r="A312" s="366" t="s">
        <v>1419</v>
      </c>
      <c r="B312" s="366"/>
      <c r="C312" s="366"/>
      <c r="D312" s="366"/>
      <c r="E312" s="367" t="s">
        <v>1429</v>
      </c>
      <c r="F312" s="367"/>
      <c r="G312" s="367"/>
      <c r="H312" s="367"/>
      <c r="I312" s="367"/>
      <c r="J312" s="367"/>
      <c r="K312" s="367"/>
      <c r="L312" s="367"/>
      <c r="M312" s="367"/>
      <c r="N312" s="367"/>
      <c r="O312" s="367"/>
    </row>
    <row r="313" spans="1:15" ht="15.6">
      <c r="A313" s="366" t="s">
        <v>1770</v>
      </c>
      <c r="B313" s="366"/>
      <c r="C313" s="366"/>
      <c r="D313" s="366"/>
      <c r="E313" s="367" t="s">
        <v>1853</v>
      </c>
      <c r="F313" s="367"/>
      <c r="G313" s="367"/>
      <c r="H313" s="367"/>
      <c r="I313" s="367"/>
      <c r="J313" s="367"/>
      <c r="K313" s="367"/>
      <c r="L313" s="367"/>
      <c r="M313" s="367"/>
      <c r="N313" s="367"/>
      <c r="O313" s="367"/>
    </row>
    <row r="314" spans="1:15" ht="15.6">
      <c r="A314" s="366" t="s">
        <v>1772</v>
      </c>
      <c r="B314" s="366"/>
      <c r="C314" s="366"/>
      <c r="D314" s="366"/>
      <c r="E314" s="367" t="s">
        <v>1854</v>
      </c>
      <c r="F314" s="367"/>
      <c r="G314" s="367"/>
      <c r="H314" s="367"/>
      <c r="I314" s="367"/>
      <c r="J314" s="367"/>
      <c r="K314" s="367"/>
      <c r="L314" s="367"/>
      <c r="M314" s="367"/>
      <c r="N314" s="367"/>
      <c r="O314" s="367"/>
    </row>
    <row r="315" spans="1:15" ht="15.6">
      <c r="A315" s="366" t="s">
        <v>1774</v>
      </c>
      <c r="B315" s="366"/>
      <c r="C315" s="366"/>
      <c r="D315" s="366"/>
      <c r="E315" s="367" t="s">
        <v>1855</v>
      </c>
      <c r="F315" s="367"/>
      <c r="G315" s="367"/>
      <c r="H315" s="367"/>
      <c r="I315" s="367"/>
      <c r="J315" s="367"/>
      <c r="K315" s="367"/>
      <c r="L315" s="367"/>
      <c r="M315" s="367"/>
      <c r="N315" s="367"/>
      <c r="O315" s="367"/>
    </row>
    <row r="316" spans="1:15" ht="15.6">
      <c r="A316" s="366" t="s">
        <v>1776</v>
      </c>
      <c r="B316" s="366"/>
      <c r="C316" s="366"/>
      <c r="D316" s="366"/>
      <c r="E316" s="367" t="s">
        <v>1777</v>
      </c>
      <c r="F316" s="367"/>
      <c r="G316" s="367"/>
      <c r="H316" s="367"/>
      <c r="I316" s="367"/>
      <c r="J316" s="367"/>
      <c r="K316" s="367"/>
      <c r="L316" s="367"/>
      <c r="M316" s="367"/>
      <c r="N316" s="367"/>
      <c r="O316" s="367"/>
    </row>
    <row r="317" spans="1:15" ht="15.6">
      <c r="A317" s="366" t="s">
        <v>1778</v>
      </c>
      <c r="B317" s="366"/>
      <c r="C317" s="366"/>
      <c r="D317" s="366"/>
      <c r="E317" s="367" t="s">
        <v>1856</v>
      </c>
      <c r="F317" s="367"/>
      <c r="G317" s="367"/>
      <c r="H317" s="367"/>
      <c r="I317" s="367"/>
      <c r="J317" s="367"/>
      <c r="K317" s="367"/>
      <c r="L317" s="367"/>
      <c r="M317" s="367"/>
      <c r="N317" s="367"/>
      <c r="O317" s="367"/>
    </row>
    <row r="318" spans="1:15" ht="15.6">
      <c r="A318" s="366" t="s">
        <v>1780</v>
      </c>
      <c r="B318" s="366"/>
      <c r="C318" s="366"/>
      <c r="D318" s="366"/>
      <c r="E318" s="367" t="s">
        <v>1777</v>
      </c>
      <c r="F318" s="367"/>
      <c r="G318" s="367"/>
      <c r="H318" s="367"/>
      <c r="I318" s="367"/>
      <c r="J318" s="367"/>
      <c r="K318" s="367"/>
      <c r="L318" s="367"/>
      <c r="M318" s="367"/>
      <c r="N318" s="367"/>
      <c r="O318" s="367"/>
    </row>
    <row r="319" spans="1:15" ht="15.6">
      <c r="A319" s="366" t="s">
        <v>1782</v>
      </c>
      <c r="B319" s="366"/>
      <c r="C319" s="366"/>
      <c r="D319" s="366"/>
      <c r="E319" s="367" t="s">
        <v>1857</v>
      </c>
      <c r="F319" s="367"/>
      <c r="G319" s="367"/>
      <c r="H319" s="367"/>
      <c r="I319" s="367"/>
      <c r="J319" s="367"/>
      <c r="K319" s="367"/>
      <c r="L319" s="367"/>
      <c r="M319" s="367"/>
      <c r="N319" s="367"/>
      <c r="O319" s="367"/>
    </row>
  </sheetData>
  <mergeCells count="92">
    <mergeCell ref="A317:D317"/>
    <mergeCell ref="E317:O317"/>
    <mergeCell ref="A318:D318"/>
    <mergeCell ref="E318:O318"/>
    <mergeCell ref="A319:D319"/>
    <mergeCell ref="E319:O319"/>
    <mergeCell ref="A314:D314"/>
    <mergeCell ref="E314:O314"/>
    <mergeCell ref="A315:D315"/>
    <mergeCell ref="E315:O315"/>
    <mergeCell ref="A316:D316"/>
    <mergeCell ref="E316:O316"/>
    <mergeCell ref="A311:D311"/>
    <mergeCell ref="E311:O311"/>
    <mergeCell ref="A312:D312"/>
    <mergeCell ref="E312:O312"/>
    <mergeCell ref="A313:D313"/>
    <mergeCell ref="E313:O313"/>
    <mergeCell ref="A308:D308"/>
    <mergeCell ref="E308:O308"/>
    <mergeCell ref="A309:D309"/>
    <mergeCell ref="E309:O309"/>
    <mergeCell ref="A310:D310"/>
    <mergeCell ref="E310:O310"/>
    <mergeCell ref="A305:D305"/>
    <mergeCell ref="E305:I305"/>
    <mergeCell ref="J305:O305"/>
    <mergeCell ref="A306:O306"/>
    <mergeCell ref="A307:D307"/>
    <mergeCell ref="E307:O307"/>
    <mergeCell ref="A303:D303"/>
    <mergeCell ref="E303:I303"/>
    <mergeCell ref="J303:K303"/>
    <mergeCell ref="L303:O303"/>
    <mergeCell ref="A304:D304"/>
    <mergeCell ref="E304:I304"/>
    <mergeCell ref="J304:O304"/>
    <mergeCell ref="A302:D302"/>
    <mergeCell ref="E302:I302"/>
    <mergeCell ref="J302:K302"/>
    <mergeCell ref="L302:O302"/>
    <mergeCell ref="A231:D231"/>
    <mergeCell ref="E231:O231"/>
    <mergeCell ref="A232:D232"/>
    <mergeCell ref="E232:O232"/>
    <mergeCell ref="A233:D233"/>
    <mergeCell ref="E233:O233"/>
    <mergeCell ref="A298:H301"/>
    <mergeCell ref="I298:O298"/>
    <mergeCell ref="I299:O299"/>
    <mergeCell ref="I300:O300"/>
    <mergeCell ref="I301:O301"/>
    <mergeCell ref="A228:D228"/>
    <mergeCell ref="E228:O228"/>
    <mergeCell ref="A229:D229"/>
    <mergeCell ref="E229:O229"/>
    <mergeCell ref="A230:D230"/>
    <mergeCell ref="E230:O230"/>
    <mergeCell ref="A225:D225"/>
    <mergeCell ref="E225:O225"/>
    <mergeCell ref="A226:D226"/>
    <mergeCell ref="E226:O226"/>
    <mergeCell ref="A227:D227"/>
    <mergeCell ref="E227:O227"/>
    <mergeCell ref="A222:D222"/>
    <mergeCell ref="E222:O222"/>
    <mergeCell ref="A223:D223"/>
    <mergeCell ref="E223:O223"/>
    <mergeCell ref="A224:D224"/>
    <mergeCell ref="E224:O224"/>
    <mergeCell ref="A219:D219"/>
    <mergeCell ref="E219:I219"/>
    <mergeCell ref="J219:O219"/>
    <mergeCell ref="A220:O220"/>
    <mergeCell ref="A221:D221"/>
    <mergeCell ref="E221:O221"/>
    <mergeCell ref="A217:D217"/>
    <mergeCell ref="E217:I217"/>
    <mergeCell ref="J217:K217"/>
    <mergeCell ref="L217:O217"/>
    <mergeCell ref="A218:D218"/>
    <mergeCell ref="E218:I218"/>
    <mergeCell ref="J218:O218"/>
    <mergeCell ref="A216:D216"/>
    <mergeCell ref="E216:I216"/>
    <mergeCell ref="J216:K216"/>
    <mergeCell ref="L216:O216"/>
    <mergeCell ref="A212:H215"/>
    <mergeCell ref="I212:O212"/>
    <mergeCell ref="I213:O213"/>
    <mergeCell ref="I214:O214"/>
    <mergeCell ref="I215:O21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30"/>
  <sheetViews>
    <sheetView showGridLines="0" tabSelected="1" view="pageBreakPreview" topLeftCell="A73" zoomScale="90" zoomScaleNormal="100" zoomScaleSheetLayoutView="90" workbookViewId="0">
      <selection activeCell="E118" sqref="E118"/>
    </sheetView>
  </sheetViews>
  <sheetFormatPr baseColWidth="10" defaultColWidth="10.8984375" defaultRowHeight="13.2"/>
  <cols>
    <col min="1" max="1" width="12.5" style="30" customWidth="1"/>
    <col min="2" max="2" width="20.69921875" style="30" bestFit="1" customWidth="1"/>
    <col min="3" max="3" width="16.69921875" style="30" bestFit="1" customWidth="1"/>
    <col min="4" max="4" width="16.59765625" style="30" customWidth="1"/>
    <col min="5" max="5" width="28.8984375" style="30" bestFit="1" customWidth="1"/>
    <col min="6" max="6" width="16.59765625" style="30" customWidth="1"/>
    <col min="7" max="8" width="17" style="30" customWidth="1"/>
    <col min="9" max="9" width="12.3984375" style="30" hidden="1" customWidth="1"/>
    <col min="10" max="12" width="13" style="30" hidden="1" customWidth="1"/>
    <col min="13" max="13" width="12.3984375" style="30" hidden="1" customWidth="1"/>
    <col min="14" max="14" width="39.8984375" style="30" bestFit="1" customWidth="1"/>
    <col min="15" max="15" width="13" style="30" bestFit="1" customWidth="1"/>
    <col min="16" max="16384" width="10.8984375" style="30"/>
  </cols>
  <sheetData>
    <row r="2" spans="2:14" ht="15.6">
      <c r="B2" s="375" t="s">
        <v>1374</v>
      </c>
      <c r="C2" s="375"/>
      <c r="D2" s="375"/>
      <c r="E2" s="375"/>
      <c r="F2" s="375"/>
      <c r="G2" s="375"/>
      <c r="H2" s="375"/>
      <c r="I2" s="375"/>
      <c r="J2" s="375"/>
      <c r="K2" s="375"/>
      <c r="L2" s="375"/>
      <c r="M2" s="375"/>
      <c r="N2" s="375"/>
    </row>
    <row r="3" spans="2:14"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2:14">
      <c r="B4" s="63" t="s">
        <v>225</v>
      </c>
      <c r="C4" s="62">
        <v>2025</v>
      </c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2:14">
      <c r="B5" s="35" t="s">
        <v>226</v>
      </c>
      <c r="C5" s="72" t="s">
        <v>299</v>
      </c>
      <c r="N5" s="61"/>
    </row>
    <row r="6" spans="2:14">
      <c r="B6" s="89" t="s">
        <v>227</v>
      </c>
      <c r="C6" s="90">
        <f>C75+C106</f>
        <v>538994817</v>
      </c>
      <c r="N6" s="61"/>
    </row>
    <row r="7" spans="2:14">
      <c r="B7" s="374" t="s">
        <v>312</v>
      </c>
      <c r="C7" s="374"/>
      <c r="D7" s="374"/>
      <c r="E7" s="374"/>
      <c r="F7" s="374"/>
      <c r="G7" s="374"/>
      <c r="H7" s="374"/>
      <c r="I7" s="374" t="s">
        <v>289</v>
      </c>
      <c r="J7" s="374"/>
      <c r="K7" s="374"/>
      <c r="L7" s="374"/>
      <c r="M7" s="374"/>
      <c r="N7" s="61"/>
    </row>
    <row r="8" spans="2:14" ht="39.6">
      <c r="B8" s="91" t="s">
        <v>228</v>
      </c>
      <c r="C8" s="91" t="s">
        <v>229</v>
      </c>
      <c r="D8" s="91" t="s">
        <v>286</v>
      </c>
      <c r="E8" s="91" t="s">
        <v>285</v>
      </c>
      <c r="F8" s="91" t="s">
        <v>287</v>
      </c>
      <c r="G8" s="91" t="s">
        <v>230</v>
      </c>
      <c r="H8" s="91" t="s">
        <v>231</v>
      </c>
      <c r="I8" s="91" t="s">
        <v>232</v>
      </c>
      <c r="J8" s="91" t="s">
        <v>233</v>
      </c>
      <c r="K8" s="91" t="s">
        <v>234</v>
      </c>
      <c r="L8" s="91" t="s">
        <v>235</v>
      </c>
      <c r="M8" s="91" t="s">
        <v>215</v>
      </c>
      <c r="N8" s="61"/>
    </row>
    <row r="9" spans="2:14">
      <c r="B9" s="35" t="s">
        <v>227</v>
      </c>
      <c r="C9" s="36">
        <f t="shared" ref="C9:D23" si="0">C78+C109</f>
        <v>538994817</v>
      </c>
      <c r="D9" s="36">
        <f t="shared" si="0"/>
        <v>538994817</v>
      </c>
      <c r="E9" s="36">
        <f>C6</f>
        <v>538994817</v>
      </c>
      <c r="F9" s="36">
        <f>E9-D9</f>
        <v>0</v>
      </c>
      <c r="G9" s="37">
        <f>IF(F9=0,0,F9/D9)</f>
        <v>0</v>
      </c>
      <c r="H9" s="37">
        <f>G9</f>
        <v>0</v>
      </c>
      <c r="I9" s="34"/>
      <c r="J9" s="34"/>
      <c r="K9" s="34"/>
      <c r="L9" s="34"/>
      <c r="M9" s="34"/>
      <c r="N9" s="61"/>
    </row>
    <row r="10" spans="2:14">
      <c r="B10" s="35" t="s">
        <v>2</v>
      </c>
      <c r="C10" s="36">
        <f t="shared" si="0"/>
        <v>702005946.5</v>
      </c>
      <c r="D10" s="36">
        <f t="shared" si="0"/>
        <v>683169390</v>
      </c>
      <c r="E10" s="36">
        <f t="shared" ref="E10:E21" si="1">E79+E110</f>
        <v>831978651</v>
      </c>
      <c r="F10" s="36">
        <f t="shared" ref="F10:F21" si="2">IF(E10=0,0,E10-D10)</f>
        <v>148809261</v>
      </c>
      <c r="G10" s="37">
        <f t="shared" ref="G10:G22" si="3">IF(F10=0,0,F10/D10)</f>
        <v>0.21782190943888749</v>
      </c>
      <c r="H10" s="37">
        <f>G10+G9</f>
        <v>0.21782190943888749</v>
      </c>
      <c r="I10" s="35"/>
      <c r="J10" s="35"/>
      <c r="K10" s="35"/>
      <c r="L10" s="35"/>
      <c r="M10" s="35"/>
      <c r="N10" s="61"/>
    </row>
    <row r="11" spans="2:14">
      <c r="B11" s="35" t="s">
        <v>3</v>
      </c>
      <c r="C11" s="36">
        <f t="shared" si="0"/>
        <v>299237761</v>
      </c>
      <c r="D11" s="36">
        <f t="shared" si="0"/>
        <v>286713376</v>
      </c>
      <c r="E11" s="36">
        <f t="shared" si="1"/>
        <v>276679738</v>
      </c>
      <c r="F11" s="36">
        <f t="shared" si="2"/>
        <v>-10033638</v>
      </c>
      <c r="G11" s="37">
        <f t="shared" si="3"/>
        <v>-3.4995360662908169E-2</v>
      </c>
      <c r="H11" s="37">
        <f t="shared" ref="H11:H21" si="4">G11+G10</f>
        <v>0.18282654877597931</v>
      </c>
      <c r="I11" s="35"/>
      <c r="J11" s="35"/>
      <c r="K11" s="35"/>
      <c r="L11" s="35"/>
      <c r="M11" s="35"/>
      <c r="N11" s="61"/>
    </row>
    <row r="12" spans="2:14">
      <c r="B12" s="35" t="s">
        <v>4</v>
      </c>
      <c r="C12" s="36">
        <f t="shared" si="0"/>
        <v>297976014</v>
      </c>
      <c r="D12" s="36">
        <f t="shared" si="0"/>
        <v>279689694</v>
      </c>
      <c r="E12" s="36">
        <f t="shared" si="1"/>
        <v>283422089</v>
      </c>
      <c r="F12" s="36">
        <f t="shared" si="2"/>
        <v>3732395</v>
      </c>
      <c r="G12" s="37">
        <f t="shared" si="3"/>
        <v>1.3344771295005243E-2</v>
      </c>
      <c r="H12" s="37">
        <f t="shared" si="4"/>
        <v>-2.1650589367902928E-2</v>
      </c>
      <c r="I12" s="35"/>
      <c r="J12" s="35"/>
      <c r="K12" s="35"/>
      <c r="L12" s="35"/>
      <c r="M12" s="35"/>
      <c r="N12" s="61"/>
    </row>
    <row r="13" spans="2:14">
      <c r="B13" s="35" t="s">
        <v>5</v>
      </c>
      <c r="C13" s="36">
        <f t="shared" si="0"/>
        <v>302389579.66666663</v>
      </c>
      <c r="D13" s="36">
        <f t="shared" si="0"/>
        <v>310886399</v>
      </c>
      <c r="E13" s="36">
        <f t="shared" si="1"/>
        <v>284230867</v>
      </c>
      <c r="F13" s="36">
        <f>IF(E13=0,0,E13-D13)</f>
        <v>-26655532</v>
      </c>
      <c r="G13" s="37">
        <f t="shared" si="3"/>
        <v>-8.5740425074047708E-2</v>
      </c>
      <c r="H13" s="37">
        <f t="shared" si="4"/>
        <v>-7.239565377904246E-2</v>
      </c>
      <c r="I13" s="35"/>
      <c r="J13" s="35"/>
      <c r="K13" s="35"/>
      <c r="L13" s="35"/>
      <c r="M13" s="35"/>
      <c r="N13" s="61"/>
    </row>
    <row r="14" spans="2:14">
      <c r="B14" s="35" t="s">
        <v>6</v>
      </c>
      <c r="C14" s="36">
        <f t="shared" si="0"/>
        <v>300155073.66666663</v>
      </c>
      <c r="D14" s="36">
        <f t="shared" si="0"/>
        <v>296979844</v>
      </c>
      <c r="E14" s="36">
        <f t="shared" si="1"/>
        <v>236326837</v>
      </c>
      <c r="F14" s="36">
        <f t="shared" si="2"/>
        <v>-60653007</v>
      </c>
      <c r="G14" s="37">
        <f t="shared" si="3"/>
        <v>-0.20423273910804532</v>
      </c>
      <c r="H14" s="37">
        <f t="shared" si="4"/>
        <v>-0.28997316418209301</v>
      </c>
      <c r="I14" s="35"/>
      <c r="J14" s="35"/>
      <c r="K14" s="35"/>
      <c r="L14" s="35"/>
      <c r="M14" s="35"/>
      <c r="N14" s="61"/>
    </row>
    <row r="15" spans="2:14">
      <c r="B15" s="35" t="s">
        <v>7</v>
      </c>
      <c r="C15" s="36">
        <f t="shared" si="0"/>
        <v>297864965.01666665</v>
      </c>
      <c r="D15" s="36">
        <f t="shared" si="0"/>
        <v>283656868</v>
      </c>
      <c r="E15" s="36">
        <f t="shared" si="1"/>
        <v>239519295</v>
      </c>
      <c r="F15" s="36">
        <f t="shared" si="2"/>
        <v>-44137573</v>
      </c>
      <c r="G15" s="37">
        <f t="shared" si="3"/>
        <v>-0.15560198951361193</v>
      </c>
      <c r="H15" s="37">
        <f t="shared" si="4"/>
        <v>-0.35983472862165722</v>
      </c>
      <c r="I15" s="35"/>
      <c r="J15" s="35"/>
      <c r="K15" s="35"/>
      <c r="L15" s="35"/>
      <c r="M15" s="35"/>
      <c r="N15" s="61"/>
    </row>
    <row r="16" spans="2:14">
      <c r="B16" s="35" t="s">
        <v>8</v>
      </c>
      <c r="C16" s="36">
        <f t="shared" si="0"/>
        <v>295574959.61666667</v>
      </c>
      <c r="D16" s="36">
        <f t="shared" si="0"/>
        <v>284702247</v>
      </c>
      <c r="E16" s="36">
        <f t="shared" si="1"/>
        <v>239174685</v>
      </c>
      <c r="F16" s="36">
        <f t="shared" si="2"/>
        <v>-45527562</v>
      </c>
      <c r="G16" s="37">
        <f t="shared" si="3"/>
        <v>-0.1599129001605667</v>
      </c>
      <c r="H16" s="37">
        <f t="shared" si="4"/>
        <v>-0.31551488967417862</v>
      </c>
      <c r="I16" s="35"/>
      <c r="J16" s="35"/>
      <c r="K16" s="35"/>
      <c r="L16" s="35"/>
      <c r="M16" s="35"/>
      <c r="N16" s="61"/>
    </row>
    <row r="17" spans="2:15">
      <c r="B17" s="35" t="s">
        <v>9</v>
      </c>
      <c r="C17" s="36">
        <f t="shared" si="0"/>
        <v>293172513.91666663</v>
      </c>
      <c r="D17" s="36">
        <f t="shared" si="0"/>
        <v>287575055</v>
      </c>
      <c r="E17" s="36">
        <f t="shared" si="1"/>
        <v>213202021</v>
      </c>
      <c r="F17" s="36">
        <f t="shared" si="2"/>
        <v>-74373034</v>
      </c>
      <c r="G17" s="37">
        <f>IF(F17=0,0,F17/D17)</f>
        <v>-0.25862129801209638</v>
      </c>
      <c r="H17" s="37">
        <f t="shared" si="4"/>
        <v>-0.41853419817266307</v>
      </c>
      <c r="I17" s="35"/>
      <c r="J17" s="35"/>
      <c r="K17" s="35"/>
      <c r="L17" s="35"/>
      <c r="M17" s="35"/>
      <c r="N17" s="61"/>
    </row>
    <row r="18" spans="2:15">
      <c r="B18" s="35" t="s">
        <v>10</v>
      </c>
      <c r="C18" s="36">
        <f t="shared" si="0"/>
        <v>291012582.4666667</v>
      </c>
      <c r="D18" s="36">
        <f t="shared" si="0"/>
        <v>269460105</v>
      </c>
      <c r="E18" s="36">
        <f t="shared" si="1"/>
        <v>572994287</v>
      </c>
      <c r="F18" s="36">
        <f t="shared" si="2"/>
        <v>303534182</v>
      </c>
      <c r="G18" s="37">
        <f t="shared" si="3"/>
        <v>1.1264531422935502</v>
      </c>
      <c r="H18" s="37">
        <f t="shared" si="4"/>
        <v>0.86783184428145388</v>
      </c>
      <c r="I18" s="35"/>
      <c r="J18" s="35"/>
      <c r="K18" s="35"/>
      <c r="L18" s="35"/>
      <c r="M18" s="35"/>
      <c r="N18" s="61"/>
    </row>
    <row r="19" spans="2:15">
      <c r="B19" s="35" t="s">
        <v>11</v>
      </c>
      <c r="C19" s="36">
        <f t="shared" si="0"/>
        <v>282018788.5</v>
      </c>
      <c r="D19" s="36">
        <f t="shared" si="0"/>
        <v>259679247</v>
      </c>
      <c r="E19" s="36">
        <f t="shared" si="1"/>
        <v>0</v>
      </c>
      <c r="F19" s="36">
        <f t="shared" si="2"/>
        <v>0</v>
      </c>
      <c r="G19" s="37">
        <f t="shared" si="3"/>
        <v>0</v>
      </c>
      <c r="H19" s="37">
        <f t="shared" si="4"/>
        <v>1.1264531422935502</v>
      </c>
      <c r="I19" s="35"/>
      <c r="J19" s="35"/>
      <c r="K19" s="35"/>
      <c r="L19" s="35"/>
      <c r="M19" s="35"/>
      <c r="N19" s="61"/>
    </row>
    <row r="20" spans="2:15">
      <c r="B20" s="35" t="s">
        <v>12</v>
      </c>
      <c r="C20" s="36">
        <f t="shared" si="0"/>
        <v>260826856</v>
      </c>
      <c r="D20" s="36">
        <f t="shared" si="0"/>
        <v>259679247</v>
      </c>
      <c r="E20" s="36">
        <f t="shared" si="1"/>
        <v>0</v>
      </c>
      <c r="F20" s="36">
        <f t="shared" si="2"/>
        <v>0</v>
      </c>
      <c r="G20" s="37">
        <f t="shared" si="3"/>
        <v>0</v>
      </c>
      <c r="H20" s="37">
        <f t="shared" si="4"/>
        <v>0</v>
      </c>
      <c r="I20" s="35"/>
      <c r="J20" s="35"/>
      <c r="K20" s="35"/>
      <c r="L20" s="35"/>
      <c r="M20" s="35"/>
      <c r="N20" s="61"/>
    </row>
    <row r="21" spans="2:15">
      <c r="B21" s="35" t="s">
        <v>13</v>
      </c>
      <c r="C21" s="36">
        <f t="shared" si="0"/>
        <v>251349271</v>
      </c>
      <c r="D21" s="36">
        <f t="shared" si="0"/>
        <v>259679247</v>
      </c>
      <c r="E21" s="36">
        <f t="shared" si="1"/>
        <v>0</v>
      </c>
      <c r="F21" s="36">
        <f t="shared" si="2"/>
        <v>0</v>
      </c>
      <c r="G21" s="37">
        <f t="shared" si="3"/>
        <v>0</v>
      </c>
      <c r="H21" s="37">
        <f t="shared" si="4"/>
        <v>0</v>
      </c>
      <c r="I21" s="35"/>
      <c r="J21" s="35"/>
      <c r="K21" s="35"/>
      <c r="L21" s="35"/>
      <c r="M21" s="35"/>
      <c r="N21" s="61"/>
    </row>
    <row r="22" spans="2:15">
      <c r="B22" s="35" t="s">
        <v>236</v>
      </c>
      <c r="C22" s="36">
        <f t="shared" si="0"/>
        <v>4412579128.3500004</v>
      </c>
      <c r="D22" s="36">
        <f t="shared" si="0"/>
        <v>4300865536</v>
      </c>
      <c r="E22" s="90">
        <f>SUM(E9:E21)</f>
        <v>3716523287</v>
      </c>
      <c r="F22" s="107">
        <f>SUM(F9:F21)</f>
        <v>194695492</v>
      </c>
      <c r="G22" s="88">
        <f t="shared" si="3"/>
        <v>4.5268909332393505E-2</v>
      </c>
      <c r="H22" s="88">
        <f>SUM(H9:H21)</f>
        <v>0.91703022099233356</v>
      </c>
      <c r="I22" s="35"/>
      <c r="J22" s="35"/>
      <c r="K22" s="35"/>
      <c r="L22" s="35"/>
      <c r="M22" s="35"/>
      <c r="N22" s="61"/>
    </row>
    <row r="23" spans="2:15">
      <c r="B23" s="35" t="s">
        <v>246</v>
      </c>
      <c r="C23" s="36">
        <f t="shared" si="0"/>
        <v>4475775855</v>
      </c>
      <c r="D23" s="106">
        <f t="shared" si="0"/>
        <v>4475775855</v>
      </c>
      <c r="E23" s="36" t="s">
        <v>334</v>
      </c>
      <c r="F23" s="36">
        <f>F92</f>
        <v>49726441</v>
      </c>
      <c r="G23" s="33"/>
      <c r="H23" s="33"/>
      <c r="N23" s="61"/>
    </row>
    <row r="24" spans="2:15">
      <c r="B24" s="35" t="s">
        <v>297</v>
      </c>
      <c r="C24" s="36">
        <v>276765629</v>
      </c>
      <c r="D24" s="106">
        <v>276765629</v>
      </c>
      <c r="E24" s="36" t="s">
        <v>1165</v>
      </c>
      <c r="F24" s="36">
        <f>F93-F123</f>
        <v>186819642.15468991</v>
      </c>
      <c r="G24" s="33"/>
      <c r="H24" s="33"/>
      <c r="N24" s="185"/>
      <c r="O24" s="33"/>
    </row>
    <row r="25" spans="2:15" ht="26.4">
      <c r="B25" s="35" t="s">
        <v>298</v>
      </c>
      <c r="C25" s="318">
        <f>C23-C24</f>
        <v>4199010226</v>
      </c>
      <c r="D25" s="318">
        <f>D23-D24</f>
        <v>4199010226</v>
      </c>
      <c r="E25" s="319" t="s">
        <v>1373</v>
      </c>
      <c r="F25" s="318">
        <f>D26</f>
        <v>101855310</v>
      </c>
      <c r="G25" s="33"/>
      <c r="H25" s="33"/>
      <c r="N25" s="61"/>
    </row>
    <row r="26" spans="2:15">
      <c r="B26" s="35" t="s">
        <v>247</v>
      </c>
      <c r="C26" s="108">
        <f>C22-C25</f>
        <v>213568902.35000038</v>
      </c>
      <c r="D26" s="108">
        <f>D22-D25</f>
        <v>101855310</v>
      </c>
      <c r="E26" s="108" t="s">
        <v>333</v>
      </c>
      <c r="F26" s="105">
        <f>F22+F23+F24+F25</f>
        <v>533096885.15468991</v>
      </c>
      <c r="G26" s="33"/>
      <c r="H26" s="33"/>
      <c r="N26" s="61"/>
    </row>
    <row r="27" spans="2:15">
      <c r="B27" s="186"/>
      <c r="C27" s="176"/>
      <c r="D27" s="176"/>
      <c r="E27" s="368" t="s">
        <v>1197</v>
      </c>
      <c r="F27" s="368"/>
      <c r="G27" s="368"/>
      <c r="H27" s="33"/>
      <c r="N27" s="61"/>
    </row>
    <row r="28" spans="2:15">
      <c r="B28" s="186"/>
      <c r="C28" s="176"/>
      <c r="D28" s="176"/>
      <c r="E28" s="176" t="s">
        <v>1196</v>
      </c>
      <c r="F28" s="177">
        <f>F96+F127</f>
        <v>727487225</v>
      </c>
      <c r="G28" s="178"/>
      <c r="H28" s="33"/>
      <c r="N28" s="61"/>
    </row>
    <row r="29" spans="2:15">
      <c r="B29" s="186"/>
      <c r="C29" s="176"/>
      <c r="D29" s="176"/>
      <c r="E29" s="176" t="s">
        <v>1194</v>
      </c>
      <c r="F29" s="177">
        <f>F97+F128</f>
        <v>2235155523</v>
      </c>
      <c r="G29" s="178" t="s">
        <v>247</v>
      </c>
      <c r="H29" s="33"/>
      <c r="N29" s="61"/>
    </row>
    <row r="30" spans="2:15">
      <c r="B30" s="186"/>
      <c r="C30" s="176"/>
      <c r="D30" s="176"/>
      <c r="E30" s="176" t="s">
        <v>1247</v>
      </c>
      <c r="F30" s="177">
        <f>SUM(F98:F98)+SUM(F129:F129)</f>
        <v>180886252</v>
      </c>
      <c r="G30" s="178"/>
      <c r="H30" s="33"/>
      <c r="N30" s="61"/>
    </row>
    <row r="31" spans="2:15">
      <c r="B31" s="186"/>
      <c r="C31" s="176"/>
      <c r="D31" s="176"/>
      <c r="E31" s="176" t="s">
        <v>1195</v>
      </c>
      <c r="F31" s="177">
        <f>F28+F29+F30</f>
        <v>3143529000</v>
      </c>
      <c r="G31" s="187">
        <f>F31-E22</f>
        <v>-572994287</v>
      </c>
      <c r="H31" s="33"/>
      <c r="N31" s="61"/>
    </row>
    <row r="32" spans="2:15">
      <c r="B32" s="186"/>
      <c r="C32" s="176"/>
      <c r="D32" s="176"/>
      <c r="E32" s="33"/>
      <c r="F32" s="33"/>
      <c r="G32" s="33"/>
      <c r="H32" s="33"/>
      <c r="N32" s="61"/>
    </row>
    <row r="33" spans="2:14">
      <c r="B33" s="186"/>
      <c r="C33" s="176"/>
      <c r="D33" s="176"/>
      <c r="E33" s="33"/>
      <c r="F33" s="33"/>
      <c r="G33" s="33"/>
      <c r="H33" s="33"/>
      <c r="N33" s="61"/>
    </row>
    <row r="34" spans="2:14"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</row>
    <row r="35" spans="2:14"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</row>
    <row r="36" spans="2:14"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2:14"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</row>
    <row r="38" spans="2:14"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</row>
    <row r="39" spans="2:14">
      <c r="B39" s="61"/>
      <c r="C39" s="61"/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</row>
    <row r="40" spans="2:14"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</row>
    <row r="41" spans="2:14"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</row>
    <row r="42" spans="2:14"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</row>
    <row r="43" spans="2:14"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</row>
    <row r="44" spans="2:14">
      <c r="B44" s="61"/>
      <c r="C44" s="61"/>
      <c r="D44" s="61"/>
      <c r="E44" s="61"/>
      <c r="F44" s="61"/>
      <c r="G44" s="61"/>
      <c r="H44" s="61"/>
      <c r="I44" s="61"/>
      <c r="J44" s="61"/>
      <c r="K44" s="61"/>
      <c r="L44" s="61"/>
      <c r="M44" s="61"/>
      <c r="N44" s="61"/>
    </row>
    <row r="45" spans="2:14"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</row>
    <row r="46" spans="2:14"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</row>
    <row r="47" spans="2:14"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</row>
    <row r="48" spans="2:14"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</row>
    <row r="49" spans="1:16"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</row>
    <row r="50" spans="1:16"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</row>
    <row r="51" spans="1:16"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</row>
    <row r="52" spans="1:16"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</row>
    <row r="53" spans="1:16"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</row>
    <row r="54" spans="1:16"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</row>
    <row r="55" spans="1:16"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</row>
    <row r="56" spans="1:16">
      <c r="A56" s="370" t="s">
        <v>1199</v>
      </c>
      <c r="B56" s="370"/>
      <c r="C56" s="370"/>
      <c r="D56" s="370"/>
      <c r="E56" s="370"/>
      <c r="F56" s="370"/>
      <c r="G56" s="370"/>
      <c r="H56" s="370"/>
      <c r="I56" s="370"/>
      <c r="J56" s="370"/>
      <c r="K56" s="370"/>
      <c r="L56" s="370"/>
      <c r="M56" s="370"/>
      <c r="N56" s="370"/>
      <c r="O56" s="370"/>
      <c r="P56" s="370"/>
    </row>
    <row r="57" spans="1:16">
      <c r="A57" s="370"/>
      <c r="B57" s="370"/>
      <c r="C57" s="370"/>
      <c r="D57" s="370"/>
      <c r="E57" s="370"/>
      <c r="F57" s="370"/>
      <c r="G57" s="370"/>
      <c r="H57" s="370"/>
      <c r="I57" s="370"/>
      <c r="J57" s="370"/>
      <c r="K57" s="370"/>
      <c r="L57" s="370"/>
      <c r="M57" s="370"/>
      <c r="N57" s="370"/>
      <c r="O57" s="370"/>
      <c r="P57" s="370"/>
    </row>
    <row r="58" spans="1:16" s="164" customFormat="1" ht="48" customHeight="1">
      <c r="A58" s="370"/>
      <c r="B58" s="370"/>
      <c r="C58" s="370"/>
      <c r="D58" s="370"/>
      <c r="E58" s="370"/>
      <c r="F58" s="370"/>
      <c r="G58" s="370"/>
      <c r="H58" s="370"/>
      <c r="I58" s="370"/>
      <c r="J58" s="370"/>
      <c r="K58" s="370"/>
      <c r="L58" s="370"/>
      <c r="M58" s="370"/>
      <c r="N58" s="370"/>
      <c r="O58" s="370"/>
      <c r="P58" s="370"/>
    </row>
    <row r="59" spans="1:16" s="164" customFormat="1" ht="13.8">
      <c r="C59" s="165"/>
      <c r="D59" s="166"/>
      <c r="E59" s="167"/>
      <c r="F59" s="168"/>
      <c r="G59" s="166"/>
      <c r="I59" s="166"/>
      <c r="J59" s="166"/>
      <c r="K59" s="169"/>
      <c r="L59" s="170"/>
      <c r="M59" s="167"/>
      <c r="N59" s="171"/>
      <c r="O59" s="166"/>
    </row>
    <row r="60" spans="1:16" s="164" customFormat="1" ht="13.8">
      <c r="B60" s="376" t="s">
        <v>1189</v>
      </c>
      <c r="C60" s="376"/>
      <c r="D60" s="166"/>
      <c r="E60" s="376" t="s">
        <v>1250</v>
      </c>
      <c r="F60" s="376"/>
      <c r="G60" s="376"/>
      <c r="I60" s="166"/>
      <c r="J60" s="166"/>
      <c r="K60" s="169"/>
      <c r="L60" s="170"/>
      <c r="M60" s="167"/>
      <c r="N60" s="167" t="s">
        <v>1174</v>
      </c>
      <c r="O60" s="166"/>
    </row>
    <row r="61" spans="1:16" s="164" customFormat="1" ht="13.8">
      <c r="B61" s="376" t="s">
        <v>1188</v>
      </c>
      <c r="C61" s="376"/>
      <c r="E61" s="376" t="s">
        <v>1190</v>
      </c>
      <c r="F61" s="376"/>
      <c r="G61" s="376"/>
      <c r="M61" s="173"/>
      <c r="N61" s="167" t="s">
        <v>1175</v>
      </c>
    </row>
    <row r="62" spans="1:16" s="164" customFormat="1" ht="13.8">
      <c r="B62" s="376" t="s">
        <v>1191</v>
      </c>
      <c r="C62" s="376"/>
      <c r="E62" s="376" t="s">
        <v>1192</v>
      </c>
      <c r="F62" s="376"/>
      <c r="G62" s="376"/>
      <c r="M62" s="173"/>
      <c r="N62" s="167" t="s">
        <v>1185</v>
      </c>
    </row>
    <row r="63" spans="1:16" s="164" customFormat="1" ht="15" customHeight="1">
      <c r="M63" s="173"/>
    </row>
    <row r="64" spans="1:16" s="164" customFormat="1" ht="66.75" customHeight="1"/>
    <row r="65" spans="1:17" s="164" customFormat="1" ht="13.8">
      <c r="B65" s="377" t="s">
        <v>1176</v>
      </c>
      <c r="C65" s="377"/>
      <c r="E65" s="376" t="s">
        <v>1177</v>
      </c>
      <c r="F65" s="376"/>
      <c r="G65" s="376"/>
      <c r="N65" s="167" t="s">
        <v>1182</v>
      </c>
    </row>
    <row r="66" spans="1:17" s="164" customFormat="1" ht="13.8">
      <c r="B66" s="377" t="s">
        <v>1178</v>
      </c>
      <c r="C66" s="377"/>
      <c r="E66" s="376" t="s">
        <v>1179</v>
      </c>
      <c r="F66" s="376"/>
      <c r="G66" s="376"/>
      <c r="N66" s="173" t="s">
        <v>1183</v>
      </c>
    </row>
    <row r="67" spans="1:17" s="164" customFormat="1" ht="13.8">
      <c r="B67" s="377" t="s">
        <v>1180</v>
      </c>
      <c r="C67" s="377"/>
      <c r="D67" s="166"/>
      <c r="E67" s="376" t="s">
        <v>1181</v>
      </c>
      <c r="F67" s="376"/>
      <c r="G67" s="376"/>
      <c r="I67" s="166"/>
      <c r="J67" s="166"/>
      <c r="K67" s="169"/>
      <c r="L67" s="170"/>
      <c r="M67" s="167"/>
      <c r="N67" s="173" t="s">
        <v>1184</v>
      </c>
      <c r="O67" s="166"/>
      <c r="P67" s="174"/>
    </row>
    <row r="68" spans="1:17" s="164" customFormat="1" ht="13.8">
      <c r="C68" s="165"/>
      <c r="D68" s="166"/>
      <c r="F68" s="168"/>
      <c r="G68" s="166"/>
      <c r="I68" s="166"/>
      <c r="J68" s="166"/>
      <c r="K68" s="169"/>
      <c r="L68" s="170"/>
      <c r="M68" s="167"/>
      <c r="N68" s="171"/>
      <c r="O68" s="166"/>
      <c r="P68" s="174"/>
    </row>
    <row r="69" spans="1:17" s="164" customFormat="1" ht="13.8">
      <c r="B69" s="172"/>
      <c r="C69" s="165"/>
      <c r="D69" s="166"/>
      <c r="F69" s="168"/>
      <c r="G69" s="166"/>
      <c r="H69" s="166"/>
      <c r="I69" s="166"/>
      <c r="J69" s="166"/>
      <c r="K69" s="169"/>
      <c r="L69" s="170"/>
      <c r="M69" s="167"/>
      <c r="N69" s="171"/>
      <c r="O69" s="166"/>
      <c r="P69" s="174"/>
    </row>
    <row r="70" spans="1:17" s="164" customFormat="1" ht="14.25" customHeight="1">
      <c r="B70" s="175"/>
      <c r="C70" s="175"/>
      <c r="D70" s="175"/>
      <c r="E70" s="175"/>
      <c r="F70" s="175"/>
      <c r="G70" s="175"/>
      <c r="H70" s="175"/>
      <c r="I70" s="175"/>
      <c r="J70" s="175"/>
      <c r="K70" s="175"/>
      <c r="L70" s="175"/>
      <c r="M70" s="175"/>
      <c r="N70" s="175"/>
      <c r="O70" s="175"/>
      <c r="P70" s="175"/>
      <c r="Q70" s="175"/>
    </row>
    <row r="71" spans="1:17" s="164" customFormat="1" ht="14.25" customHeight="1">
      <c r="B71" s="375" t="s">
        <v>1186</v>
      </c>
      <c r="C71" s="375"/>
      <c r="D71" s="375"/>
      <c r="E71" s="375"/>
      <c r="F71" s="375"/>
      <c r="G71" s="375"/>
      <c r="H71" s="375"/>
      <c r="I71" s="375"/>
      <c r="J71" s="375"/>
      <c r="K71" s="375"/>
      <c r="L71" s="375"/>
      <c r="M71" s="375"/>
      <c r="N71" s="375"/>
      <c r="O71" s="175"/>
      <c r="P71" s="175"/>
      <c r="Q71" s="175"/>
    </row>
    <row r="72" spans="1:17" s="164" customFormat="1" ht="14.25" customHeight="1">
      <c r="B72" s="175"/>
      <c r="C72" s="175"/>
      <c r="D72" s="175"/>
      <c r="E72" s="175"/>
      <c r="F72" s="175"/>
      <c r="G72" s="175"/>
      <c r="H72" s="175"/>
      <c r="I72" s="175"/>
      <c r="J72" s="175"/>
      <c r="K72" s="175"/>
      <c r="L72" s="175"/>
      <c r="M72" s="175"/>
      <c r="N72" s="175"/>
      <c r="O72" s="175"/>
      <c r="P72" s="175"/>
      <c r="Q72" s="175"/>
    </row>
    <row r="73" spans="1:17" s="164" customFormat="1" ht="14.25" customHeight="1">
      <c r="B73" s="175"/>
      <c r="C73" s="175"/>
      <c r="D73" s="175"/>
      <c r="E73" s="175"/>
      <c r="F73" s="175"/>
      <c r="G73" s="175"/>
      <c r="H73" s="175"/>
      <c r="I73" s="175"/>
      <c r="J73" s="175"/>
      <c r="K73" s="175"/>
      <c r="L73" s="175"/>
      <c r="M73" s="175"/>
      <c r="N73" s="175"/>
      <c r="O73" s="175"/>
      <c r="P73" s="175"/>
      <c r="Q73" s="175"/>
    </row>
    <row r="74" spans="1:17">
      <c r="B74" s="35" t="s">
        <v>226</v>
      </c>
      <c r="C74" s="72" t="s">
        <v>237</v>
      </c>
    </row>
    <row r="75" spans="1:17">
      <c r="A75" s="32"/>
      <c r="B75" s="35" t="s">
        <v>227</v>
      </c>
      <c r="C75" s="36">
        <v>490644465</v>
      </c>
    </row>
    <row r="76" spans="1:17">
      <c r="B76" s="374" t="s">
        <v>312</v>
      </c>
      <c r="C76" s="374"/>
      <c r="D76" s="374"/>
      <c r="E76" s="374"/>
      <c r="F76" s="374"/>
      <c r="G76" s="374"/>
      <c r="H76" s="374"/>
      <c r="I76" s="374" t="s">
        <v>289</v>
      </c>
      <c r="J76" s="374"/>
      <c r="K76" s="374"/>
      <c r="L76" s="374"/>
      <c r="M76" s="374"/>
    </row>
    <row r="77" spans="1:17" ht="39.6">
      <c r="B77" s="91" t="s">
        <v>228</v>
      </c>
      <c r="C77" s="91" t="s">
        <v>229</v>
      </c>
      <c r="D77" s="91" t="s">
        <v>286</v>
      </c>
      <c r="E77" s="91" t="s">
        <v>285</v>
      </c>
      <c r="F77" s="91" t="s">
        <v>287</v>
      </c>
      <c r="G77" s="91" t="s">
        <v>230</v>
      </c>
      <c r="H77" s="91" t="s">
        <v>231</v>
      </c>
      <c r="I77" s="91" t="s">
        <v>232</v>
      </c>
      <c r="J77" s="91" t="s">
        <v>233</v>
      </c>
      <c r="K77" s="91" t="s">
        <v>234</v>
      </c>
      <c r="L77" s="91" t="s">
        <v>235</v>
      </c>
      <c r="M77" s="91" t="s">
        <v>215</v>
      </c>
    </row>
    <row r="78" spans="1:17">
      <c r="B78" s="35" t="s">
        <v>227</v>
      </c>
      <c r="C78" s="36">
        <f>$C$75</f>
        <v>490644465</v>
      </c>
      <c r="D78" s="36">
        <f>$C$75</f>
        <v>490644465</v>
      </c>
      <c r="E78" s="36">
        <f>C75</f>
        <v>490644465</v>
      </c>
      <c r="F78" s="36">
        <f>E78-D78</f>
        <v>0</v>
      </c>
      <c r="G78" s="37">
        <f>IF(F78=0,0,F78/D78)</f>
        <v>0</v>
      </c>
      <c r="H78" s="37">
        <f>G78</f>
        <v>0</v>
      </c>
      <c r="I78" s="34"/>
      <c r="J78" s="34"/>
      <c r="K78" s="34"/>
      <c r="L78" s="34"/>
      <c r="M78" s="34"/>
    </row>
    <row r="79" spans="1:17">
      <c r="B79" s="35" t="s">
        <v>2</v>
      </c>
      <c r="C79" s="36">
        <f>'PROYECCIÓN PRESUPUESTARIA'!C57</f>
        <v>639446110.5</v>
      </c>
      <c r="D79" s="36">
        <f>'PROYECCIÓN PRESUPUESTARIA'!D57</f>
        <v>619820500</v>
      </c>
      <c r="E79" s="36">
        <v>776553606</v>
      </c>
      <c r="F79" s="36">
        <f t="shared" ref="F79:F90" si="5">IF(E79=0,0,E79-D79)</f>
        <v>156733106</v>
      </c>
      <c r="G79" s="37">
        <f t="shared" ref="G79:G85" si="6">IF(F79=0,0,F79/D79)</f>
        <v>0.25286854177943452</v>
      </c>
      <c r="H79" s="37">
        <f>G79+G78</f>
        <v>0.25286854177943452</v>
      </c>
      <c r="I79" s="35"/>
      <c r="J79" s="35"/>
      <c r="K79" s="35"/>
      <c r="L79" s="35"/>
      <c r="M79" s="35"/>
    </row>
    <row r="80" spans="1:17">
      <c r="B80" s="35" t="s">
        <v>3</v>
      </c>
      <c r="C80" s="36">
        <f>'PROYECCIÓN PRESUPUESTARIA'!E57</f>
        <v>219056638</v>
      </c>
      <c r="D80" s="36">
        <f>'PROYECCIÓN PRESUPUESTARIA'!F57</f>
        <v>205782788</v>
      </c>
      <c r="E80" s="36">
        <v>171323366</v>
      </c>
      <c r="F80" s="36">
        <f t="shared" si="5"/>
        <v>-34459422</v>
      </c>
      <c r="G80" s="37">
        <f t="shared" si="6"/>
        <v>-0.16745531701125557</v>
      </c>
      <c r="H80" s="37">
        <f t="shared" ref="H80:H90" si="7">G80+G79</f>
        <v>8.5413224768178947E-2</v>
      </c>
      <c r="I80" s="35"/>
      <c r="J80" s="35"/>
      <c r="K80" s="35"/>
      <c r="L80" s="35"/>
      <c r="M80" s="35"/>
    </row>
    <row r="81" spans="2:15">
      <c r="B81" s="35" t="s">
        <v>4</v>
      </c>
      <c r="C81" s="36">
        <f>'PROYECCIÓN PRESUPUESTARIA'!G57</f>
        <v>218120478</v>
      </c>
      <c r="D81" s="36">
        <f>'PROYECCIÓN PRESUPUESTARIA'!H57</f>
        <v>199084693</v>
      </c>
      <c r="E81" s="36">
        <v>195578447</v>
      </c>
      <c r="F81" s="36">
        <f t="shared" si="5"/>
        <v>-3506246</v>
      </c>
      <c r="G81" s="37">
        <f t="shared" si="6"/>
        <v>-1.7611831161725728E-2</v>
      </c>
      <c r="H81" s="37">
        <f t="shared" si="7"/>
        <v>-0.18506714817298131</v>
      </c>
      <c r="I81" s="35"/>
      <c r="J81" s="35"/>
      <c r="K81" s="35"/>
      <c r="L81" s="35"/>
      <c r="M81" s="35"/>
    </row>
    <row r="82" spans="2:15">
      <c r="B82" s="35" t="s">
        <v>5</v>
      </c>
      <c r="C82" s="36">
        <f>'PROYECCIÓN PRESUPUESTARIA'!I57</f>
        <v>223145628.66666666</v>
      </c>
      <c r="D82" s="36">
        <f>'PROYECCIÓN PRESUPUESTARIA'!J57</f>
        <v>230824043</v>
      </c>
      <c r="E82" s="188">
        <v>190389731</v>
      </c>
      <c r="F82" s="36">
        <f>IF(E82=0,0,E82-D82)</f>
        <v>-40434312</v>
      </c>
      <c r="G82" s="37">
        <f t="shared" si="6"/>
        <v>-0.17517374479052861</v>
      </c>
      <c r="H82" s="37">
        <f t="shared" si="7"/>
        <v>-0.19278557595225435</v>
      </c>
      <c r="I82" s="35"/>
      <c r="J82" s="35"/>
      <c r="K82" s="35"/>
      <c r="L82" s="35"/>
      <c r="M82" s="35"/>
    </row>
    <row r="83" spans="2:15">
      <c r="B83" s="35" t="s">
        <v>6</v>
      </c>
      <c r="C83" s="36">
        <f>'PROYECCIÓN PRESUPUESTARIA'!K57</f>
        <v>221522707.66666666</v>
      </c>
      <c r="D83" s="36">
        <f>'PROYECCIÓN PRESUPUESTARIA'!L57</f>
        <v>217677191</v>
      </c>
      <c r="E83" s="36">
        <v>152631820</v>
      </c>
      <c r="F83" s="36">
        <f t="shared" si="5"/>
        <v>-65045371</v>
      </c>
      <c r="G83" s="37">
        <f t="shared" si="6"/>
        <v>-0.29881574041443781</v>
      </c>
      <c r="H83" s="37">
        <f t="shared" si="7"/>
        <v>-0.47398948520496642</v>
      </c>
      <c r="I83" s="35"/>
      <c r="J83" s="35"/>
      <c r="K83" s="35"/>
      <c r="L83" s="35"/>
      <c r="M83" s="35"/>
    </row>
    <row r="84" spans="2:15">
      <c r="B84" s="35" t="s">
        <v>7</v>
      </c>
      <c r="C84" s="36">
        <f>'PROYECCIÓN PRESUPUESTARIA'!M57</f>
        <v>219844184.01666665</v>
      </c>
      <c r="D84" s="36">
        <f>'PROYECCIÓN PRESUPUESTARIA'!N57</f>
        <v>204896860</v>
      </c>
      <c r="E84" s="36">
        <v>155172476</v>
      </c>
      <c r="F84" s="36">
        <f t="shared" si="5"/>
        <v>-49724384</v>
      </c>
      <c r="G84" s="37">
        <f t="shared" si="6"/>
        <v>-0.24268006840124343</v>
      </c>
      <c r="H84" s="37">
        <f t="shared" si="7"/>
        <v>-0.54149580881568127</v>
      </c>
      <c r="I84" s="35"/>
      <c r="J84" s="35"/>
      <c r="K84" s="35"/>
      <c r="L84" s="35"/>
      <c r="M84" s="35"/>
    </row>
    <row r="85" spans="2:15">
      <c r="B85" s="35" t="s">
        <v>8</v>
      </c>
      <c r="C85" s="36">
        <f>'PROYECCIÓN PRESUPUESTARIA'!O57</f>
        <v>218165763.61666664</v>
      </c>
      <c r="D85" s="36">
        <f>'PROYECCIÓN PRESUPUESTARIA'!P57</f>
        <v>206267826</v>
      </c>
      <c r="E85" s="36">
        <v>158963618</v>
      </c>
      <c r="F85" s="36">
        <f>IF(E85=0,0,E85-D85)</f>
        <v>-47304208</v>
      </c>
      <c r="G85" s="37">
        <f t="shared" si="6"/>
        <v>-0.22933391463581915</v>
      </c>
      <c r="H85" s="37">
        <f t="shared" si="7"/>
        <v>-0.47201398303706255</v>
      </c>
      <c r="I85" s="35"/>
      <c r="J85" s="35"/>
      <c r="K85" s="35"/>
      <c r="L85" s="35"/>
      <c r="M85" s="35"/>
    </row>
    <row r="86" spans="2:15">
      <c r="B86" s="35" t="s">
        <v>9</v>
      </c>
      <c r="C86" s="36">
        <f>'PROYECCIÓN PRESUPUESTARIA'!Q57</f>
        <v>216374902.91666666</v>
      </c>
      <c r="D86" s="36">
        <f>'PROYECCIÓN PRESUPUESTARIA'!R57</f>
        <v>209466221</v>
      </c>
      <c r="E86" s="36">
        <v>133344091</v>
      </c>
      <c r="F86" s="36">
        <f t="shared" si="5"/>
        <v>-76122130</v>
      </c>
      <c r="G86" s="37">
        <f>IF(F86=0,0,F86/D86)</f>
        <v>-0.36341005073080496</v>
      </c>
      <c r="H86" s="37">
        <f t="shared" si="7"/>
        <v>-0.5927439653666241</v>
      </c>
      <c r="I86" s="35"/>
      <c r="J86" s="35"/>
      <c r="K86" s="35"/>
      <c r="L86" s="35"/>
      <c r="M86" s="35"/>
    </row>
    <row r="87" spans="2:15">
      <c r="B87" s="35" t="s">
        <v>10</v>
      </c>
      <c r="C87" s="36">
        <f>'PROYECCIÓN PRESUPUESTARIA'!S57</f>
        <v>214826556.46666667</v>
      </c>
      <c r="D87" s="36">
        <f>'PROYECCIÓN PRESUPUESTARIA'!T57</f>
        <v>191676858</v>
      </c>
      <c r="E87" s="36">
        <f>'CARTOLA INGRESOS SEP'!I210</f>
        <v>493927223</v>
      </c>
      <c r="F87" s="36">
        <f t="shared" si="5"/>
        <v>302250365</v>
      </c>
      <c r="G87" s="37">
        <f t="shared" ref="G87:G91" si="8">IF(F87=0,0,F87/D87)</f>
        <v>1.576874580237537</v>
      </c>
      <c r="H87" s="37">
        <f t="shared" si="7"/>
        <v>1.2134645295067321</v>
      </c>
      <c r="I87" s="35"/>
      <c r="J87" s="35"/>
      <c r="K87" s="35"/>
      <c r="L87" s="35"/>
      <c r="M87" s="35"/>
    </row>
    <row r="88" spans="2:15">
      <c r="B88" s="35" t="s">
        <v>11</v>
      </c>
      <c r="C88" s="36">
        <f>'PROYECCIÓN PRESUPUESTARIA'!U57</f>
        <v>206444347.5</v>
      </c>
      <c r="D88" s="36">
        <f>'PROYECCIÓN PRESUPUESTARIA'!V57</f>
        <v>181896000</v>
      </c>
      <c r="E88" s="36"/>
      <c r="F88" s="36">
        <f t="shared" si="5"/>
        <v>0</v>
      </c>
      <c r="G88" s="37">
        <f t="shared" si="8"/>
        <v>0</v>
      </c>
      <c r="H88" s="37">
        <f t="shared" si="7"/>
        <v>1.576874580237537</v>
      </c>
      <c r="I88" s="35"/>
      <c r="J88" s="35"/>
      <c r="K88" s="35"/>
      <c r="L88" s="35"/>
      <c r="M88" s="35"/>
    </row>
    <row r="89" spans="2:15">
      <c r="B89" s="35" t="s">
        <v>12</v>
      </c>
      <c r="C89" s="36">
        <f>'PROYECCIÓN PRESUPUESTARIA'!W57</f>
        <v>185864000</v>
      </c>
      <c r="D89" s="36">
        <f>'PROYECCIÓN PRESUPUESTARIA'!X57</f>
        <v>181896000</v>
      </c>
      <c r="E89" s="36"/>
      <c r="F89" s="36">
        <f t="shared" si="5"/>
        <v>0</v>
      </c>
      <c r="G89" s="37">
        <f t="shared" si="8"/>
        <v>0</v>
      </c>
      <c r="H89" s="37">
        <f t="shared" si="7"/>
        <v>0</v>
      </c>
      <c r="I89" s="35"/>
      <c r="J89" s="35"/>
      <c r="K89" s="35"/>
      <c r="L89" s="35"/>
      <c r="M89" s="35"/>
    </row>
    <row r="90" spans="2:15">
      <c r="B90" s="35" t="s">
        <v>13</v>
      </c>
      <c r="C90" s="36">
        <f>'PROYECCIÓN PRESUPUESTARIA'!Y57</f>
        <v>176998000</v>
      </c>
      <c r="D90" s="36">
        <f>'PROYECCIÓN PRESUPUESTARIA'!Z57</f>
        <v>181896000</v>
      </c>
      <c r="E90" s="36"/>
      <c r="F90" s="36">
        <f t="shared" si="5"/>
        <v>0</v>
      </c>
      <c r="G90" s="37">
        <f t="shared" si="8"/>
        <v>0</v>
      </c>
      <c r="H90" s="37">
        <f t="shared" si="7"/>
        <v>0</v>
      </c>
      <c r="I90" s="35"/>
      <c r="J90" s="35"/>
      <c r="K90" s="35"/>
      <c r="L90" s="35"/>
      <c r="M90" s="35"/>
    </row>
    <row r="91" spans="2:15">
      <c r="B91" s="35" t="s">
        <v>236</v>
      </c>
      <c r="C91" s="36">
        <f>SUM(C78:C90)</f>
        <v>3450453782.3500004</v>
      </c>
      <c r="D91" s="36">
        <f>SUM(D78:D90)</f>
        <v>3321829445</v>
      </c>
      <c r="E91" s="36">
        <f>SUM(E78:E90)</f>
        <v>2918528843</v>
      </c>
      <c r="F91" s="71">
        <f>SUM(F78:F90)</f>
        <v>142387398</v>
      </c>
      <c r="G91" s="88">
        <f t="shared" si="8"/>
        <v>4.2864150721019331E-2</v>
      </c>
      <c r="H91" s="88">
        <f>SUM(H78:H90)</f>
        <v>0.67052490974231294</v>
      </c>
      <c r="I91" s="35"/>
      <c r="J91" s="35"/>
      <c r="K91" s="35"/>
      <c r="L91" s="35"/>
      <c r="M91" s="35"/>
      <c r="N91" s="161"/>
      <c r="O91" s="33"/>
    </row>
    <row r="92" spans="2:15">
      <c r="B92" s="35" t="s">
        <v>246</v>
      </c>
      <c r="C92" s="36">
        <v>3215961503</v>
      </c>
      <c r="D92" s="36">
        <v>3215961503</v>
      </c>
      <c r="E92" s="36" t="s">
        <v>334</v>
      </c>
      <c r="F92" s="36">
        <f>'CTAS X COBRAR'!B20</f>
        <v>49726441</v>
      </c>
      <c r="G92" s="33"/>
      <c r="H92" s="33"/>
    </row>
    <row r="93" spans="2:15">
      <c r="B93" s="35" t="s">
        <v>247</v>
      </c>
      <c r="C93" s="36">
        <f>C91-C92</f>
        <v>234492279.35000038</v>
      </c>
      <c r="D93" s="36">
        <f>D91-D92</f>
        <v>105867942</v>
      </c>
      <c r="E93" s="36" t="s">
        <v>1165</v>
      </c>
      <c r="F93" s="90">
        <f>'CTAS X COBRAR'!$E$46</f>
        <v>252700484.15468991</v>
      </c>
      <c r="H93" s="33"/>
    </row>
    <row r="94" spans="2:15">
      <c r="E94" s="254" t="s">
        <v>333</v>
      </c>
      <c r="F94" s="105">
        <f>F91+F92+F93</f>
        <v>444814323.15468991</v>
      </c>
      <c r="G94" s="186"/>
    </row>
    <row r="95" spans="2:15">
      <c r="E95" s="369" t="s">
        <v>1197</v>
      </c>
      <c r="F95" s="368"/>
      <c r="G95" s="368"/>
    </row>
    <row r="96" spans="2:15">
      <c r="E96" s="176" t="s">
        <v>1196</v>
      </c>
      <c r="F96" s="177">
        <v>639726016</v>
      </c>
      <c r="G96" s="178"/>
    </row>
    <row r="97" spans="2:14" ht="26.4">
      <c r="E97" s="176" t="s">
        <v>1249</v>
      </c>
      <c r="F97" s="177">
        <v>1647697365</v>
      </c>
    </row>
    <row r="98" spans="2:14" ht="26.4">
      <c r="E98" s="176" t="s">
        <v>1318</v>
      </c>
      <c r="F98" s="259">
        <f>+'DETALLE MOVIMIENTOS CF 3'!C4</f>
        <v>137178239</v>
      </c>
      <c r="G98" s="178" t="s">
        <v>247</v>
      </c>
    </row>
    <row r="99" spans="2:14">
      <c r="E99" s="176" t="s">
        <v>1195</v>
      </c>
      <c r="F99" s="177">
        <f>SUM(F96:F98)</f>
        <v>2424601620</v>
      </c>
      <c r="G99" s="187">
        <f>F99-E91</f>
        <v>-493927223</v>
      </c>
    </row>
    <row r="100" spans="2:14">
      <c r="E100" s="176"/>
      <c r="F100" s="177"/>
      <c r="G100" s="178"/>
    </row>
    <row r="101" spans="2:14">
      <c r="E101" s="176"/>
      <c r="F101" s="177"/>
      <c r="G101" s="178"/>
    </row>
    <row r="102" spans="2:14" ht="15.75" customHeight="1">
      <c r="B102" s="375" t="s">
        <v>1187</v>
      </c>
      <c r="C102" s="375"/>
      <c r="D102" s="375"/>
      <c r="E102" s="375"/>
      <c r="F102" s="375"/>
      <c r="G102" s="375"/>
      <c r="H102" s="375"/>
      <c r="I102" s="375"/>
      <c r="J102" s="375"/>
      <c r="K102" s="375"/>
      <c r="L102" s="375"/>
      <c r="M102" s="375"/>
      <c r="N102" s="375"/>
    </row>
    <row r="103" spans="2:14" ht="15.6">
      <c r="B103" s="179"/>
      <c r="C103" s="179"/>
      <c r="D103" s="179"/>
      <c r="E103" s="179"/>
      <c r="F103" s="179"/>
      <c r="G103" s="179"/>
      <c r="H103" s="179"/>
      <c r="I103" s="179"/>
      <c r="J103" s="179"/>
      <c r="K103" s="179"/>
      <c r="L103" s="179"/>
      <c r="M103" s="179"/>
      <c r="N103" s="179"/>
    </row>
    <row r="104" spans="2:14" ht="15">
      <c r="B104" s="70" t="s">
        <v>225</v>
      </c>
      <c r="C104" s="69">
        <v>2025</v>
      </c>
      <c r="D104" s="28"/>
      <c r="E104" s="28"/>
      <c r="F104" s="28"/>
      <c r="G104" s="28"/>
      <c r="H104" s="28"/>
      <c r="I104" s="28"/>
      <c r="J104" s="28"/>
    </row>
    <row r="105" spans="2:14" ht="15">
      <c r="B105" s="35" t="s">
        <v>226</v>
      </c>
      <c r="C105" s="72">
        <v>10</v>
      </c>
      <c r="D105" s="29"/>
      <c r="E105" s="29"/>
      <c r="F105" s="29"/>
      <c r="G105" s="29"/>
      <c r="H105" s="29"/>
      <c r="I105" s="29"/>
      <c r="J105" s="29"/>
    </row>
    <row r="106" spans="2:14" ht="15">
      <c r="B106" s="35" t="s">
        <v>227</v>
      </c>
      <c r="C106" s="36">
        <f>'PROYECCIÓN PRESUPUESTARIA'!C6:D6</f>
        <v>48350352</v>
      </c>
      <c r="D106" s="29"/>
      <c r="E106" s="29"/>
      <c r="F106" s="29"/>
      <c r="G106" s="29"/>
      <c r="H106" s="29"/>
      <c r="I106" s="29"/>
      <c r="J106" s="29"/>
    </row>
    <row r="107" spans="2:14">
      <c r="B107" s="371" t="s">
        <v>312</v>
      </c>
      <c r="C107" s="372"/>
      <c r="D107" s="372"/>
      <c r="E107" s="372"/>
      <c r="F107" s="372"/>
      <c r="G107" s="372"/>
      <c r="H107" s="373"/>
      <c r="I107" s="374" t="s">
        <v>289</v>
      </c>
      <c r="J107" s="374"/>
      <c r="K107" s="374"/>
      <c r="L107" s="374"/>
      <c r="M107" s="374"/>
    </row>
    <row r="108" spans="2:14" ht="39.6">
      <c r="B108" s="91" t="s">
        <v>228</v>
      </c>
      <c r="C108" s="91" t="s">
        <v>229</v>
      </c>
      <c r="D108" s="91" t="s">
        <v>286</v>
      </c>
      <c r="E108" s="91" t="s">
        <v>285</v>
      </c>
      <c r="F108" s="91" t="s">
        <v>287</v>
      </c>
      <c r="G108" s="91" t="s">
        <v>230</v>
      </c>
      <c r="H108" s="91" t="s">
        <v>231</v>
      </c>
      <c r="I108" s="91" t="s">
        <v>232</v>
      </c>
      <c r="J108" s="91" t="s">
        <v>233</v>
      </c>
      <c r="K108" s="91" t="s">
        <v>234</v>
      </c>
      <c r="L108" s="91" t="s">
        <v>235</v>
      </c>
      <c r="M108" s="91" t="s">
        <v>215</v>
      </c>
    </row>
    <row r="109" spans="2:14">
      <c r="B109" s="35" t="s">
        <v>227</v>
      </c>
      <c r="C109" s="36">
        <f>$C$106</f>
        <v>48350352</v>
      </c>
      <c r="D109" s="36">
        <f>$C$106</f>
        <v>48350352</v>
      </c>
      <c r="E109" s="36">
        <f>C106</f>
        <v>48350352</v>
      </c>
      <c r="F109" s="36">
        <f>E109-D109</f>
        <v>0</v>
      </c>
      <c r="G109" s="37">
        <f t="shared" ref="G109:G122" si="9">IF(F109=0,0,F109/D109)</f>
        <v>0</v>
      </c>
      <c r="H109" s="37">
        <f>G109</f>
        <v>0</v>
      </c>
      <c r="I109" s="34"/>
      <c r="J109" s="34"/>
      <c r="K109" s="34"/>
      <c r="L109" s="34"/>
      <c r="M109" s="34"/>
    </row>
    <row r="110" spans="2:14">
      <c r="B110" s="35" t="s">
        <v>2</v>
      </c>
      <c r="C110" s="36">
        <f>'PROYECCIÓN PRESUPUESTARIA'!C59</f>
        <v>62559836</v>
      </c>
      <c r="D110" s="36">
        <f>'PROYECCIÓN PRESUPUESTARIA'!D59</f>
        <v>63348890</v>
      </c>
      <c r="E110" s="36">
        <v>55425045</v>
      </c>
      <c r="F110" s="36">
        <f t="shared" ref="F110:F121" si="10">IF(E110=0,0,E110-D110)</f>
        <v>-7923845</v>
      </c>
      <c r="G110" s="37">
        <f t="shared" si="9"/>
        <v>-0.12508261786433827</v>
      </c>
      <c r="H110" s="37">
        <f>G110+G109</f>
        <v>-0.12508261786433827</v>
      </c>
      <c r="I110" s="35"/>
      <c r="J110" s="35"/>
      <c r="K110" s="35"/>
      <c r="L110" s="35"/>
      <c r="M110" s="35"/>
    </row>
    <row r="111" spans="2:14">
      <c r="B111" s="35" t="s">
        <v>3</v>
      </c>
      <c r="C111" s="36">
        <f>'PROYECCIÓN PRESUPUESTARIA'!E59</f>
        <v>80181123</v>
      </c>
      <c r="D111" s="36">
        <f>'PROYECCIÓN PRESUPUESTARIA'!F59</f>
        <v>80930588</v>
      </c>
      <c r="E111" s="36">
        <v>105356372</v>
      </c>
      <c r="F111" s="36">
        <f t="shared" si="10"/>
        <v>24425784</v>
      </c>
      <c r="G111" s="37">
        <f t="shared" si="9"/>
        <v>0.30181152273353062</v>
      </c>
      <c r="H111" s="37">
        <f t="shared" ref="H111:H121" si="11">G111+G110</f>
        <v>0.17672890486919235</v>
      </c>
      <c r="I111" s="35"/>
      <c r="J111" s="35"/>
      <c r="K111" s="35"/>
      <c r="L111" s="35"/>
      <c r="M111" s="35"/>
    </row>
    <row r="112" spans="2:14">
      <c r="B112" s="35" t="s">
        <v>4</v>
      </c>
      <c r="C112" s="36">
        <f>'PROYECCIÓN PRESUPUESTARIA'!G59</f>
        <v>79855536</v>
      </c>
      <c r="D112" s="36">
        <f>'PROYECCIÓN PRESUPUESTARIA'!H59</f>
        <v>80605001</v>
      </c>
      <c r="E112" s="36">
        <v>87843642</v>
      </c>
      <c r="F112" s="36">
        <f t="shared" si="10"/>
        <v>7238641</v>
      </c>
      <c r="G112" s="37">
        <f t="shared" si="9"/>
        <v>8.9803869613499537E-2</v>
      </c>
      <c r="H112" s="37">
        <f t="shared" si="11"/>
        <v>0.39161539234703013</v>
      </c>
      <c r="I112" s="35"/>
      <c r="J112" s="35"/>
      <c r="K112" s="35"/>
      <c r="L112" s="35"/>
      <c r="M112" s="35"/>
    </row>
    <row r="113" spans="2:13">
      <c r="B113" s="35" t="s">
        <v>5</v>
      </c>
      <c r="C113" s="36">
        <f>'PROYECCIÓN PRESUPUESTARIA'!I59</f>
        <v>79243951</v>
      </c>
      <c r="D113" s="36">
        <f>'PROYECCIÓN PRESUPUESTARIA'!J59</f>
        <v>80062356</v>
      </c>
      <c r="E113" s="36">
        <v>93841136</v>
      </c>
      <c r="F113" s="36">
        <f t="shared" si="10"/>
        <v>13778780</v>
      </c>
      <c r="G113" s="37">
        <f t="shared" si="9"/>
        <v>0.17210060618251105</v>
      </c>
      <c r="H113" s="37">
        <f t="shared" si="11"/>
        <v>0.26190447579601062</v>
      </c>
      <c r="I113" s="35"/>
      <c r="J113" s="35"/>
      <c r="K113" s="35"/>
      <c r="L113" s="35"/>
      <c r="M113" s="35"/>
    </row>
    <row r="114" spans="2:13">
      <c r="B114" s="35" t="s">
        <v>6</v>
      </c>
      <c r="C114" s="36">
        <f>'PROYECCIÓN PRESUPUESTARIA'!K59</f>
        <v>78632366</v>
      </c>
      <c r="D114" s="36">
        <f>'PROYECCIÓN PRESUPUESTARIA'!L59</f>
        <v>79302653</v>
      </c>
      <c r="E114" s="36">
        <v>83695017</v>
      </c>
      <c r="F114" s="36">
        <f t="shared" si="10"/>
        <v>4392364</v>
      </c>
      <c r="G114" s="37">
        <f t="shared" si="9"/>
        <v>5.5387352551748807E-2</v>
      </c>
      <c r="H114" s="37">
        <f t="shared" si="11"/>
        <v>0.22748795873425987</v>
      </c>
      <c r="I114" s="35"/>
      <c r="J114" s="35"/>
      <c r="K114" s="35"/>
      <c r="L114" s="35"/>
      <c r="M114" s="35"/>
    </row>
    <row r="115" spans="2:13">
      <c r="B115" s="35" t="s">
        <v>7</v>
      </c>
      <c r="C115" s="36">
        <f>'PROYECCIÓN PRESUPUESTARIA'!M59</f>
        <v>78020781</v>
      </c>
      <c r="D115" s="36">
        <f>'PROYECCIÓN PRESUPUESTARIA'!N59</f>
        <v>78760008</v>
      </c>
      <c r="E115" s="36">
        <v>84346819</v>
      </c>
      <c r="F115" s="36">
        <f t="shared" si="10"/>
        <v>5586811</v>
      </c>
      <c r="G115" s="37">
        <f t="shared" si="9"/>
        <v>7.0934616969566586E-2</v>
      </c>
      <c r="H115" s="37">
        <f t="shared" si="11"/>
        <v>0.12632196952131539</v>
      </c>
      <c r="I115" s="35"/>
      <c r="J115" s="35"/>
      <c r="K115" s="35"/>
      <c r="L115" s="35"/>
      <c r="M115" s="35"/>
    </row>
    <row r="116" spans="2:13">
      <c r="B116" s="35" t="s">
        <v>8</v>
      </c>
      <c r="C116" s="36">
        <f>'PROYECCIÓN PRESUPUESTARIA'!O59</f>
        <v>77409196</v>
      </c>
      <c r="D116" s="36">
        <f>'PROYECCIÓN PRESUPUESTARIA'!P59</f>
        <v>78434421</v>
      </c>
      <c r="E116" s="36">
        <v>80211067</v>
      </c>
      <c r="F116" s="36">
        <f t="shared" si="10"/>
        <v>1776646</v>
      </c>
      <c r="G116" s="37">
        <f t="shared" si="9"/>
        <v>2.2651356092754225E-2</v>
      </c>
      <c r="H116" s="37">
        <f t="shared" si="11"/>
        <v>9.3585973062320804E-2</v>
      </c>
      <c r="I116" s="35"/>
      <c r="J116" s="35"/>
      <c r="K116" s="35"/>
      <c r="L116" s="35"/>
      <c r="M116" s="35"/>
    </row>
    <row r="117" spans="2:13">
      <c r="B117" s="35" t="s">
        <v>9</v>
      </c>
      <c r="C117" s="36">
        <f>'PROYECCIÓN PRESUPUESTARIA'!Q59</f>
        <v>76797611</v>
      </c>
      <c r="D117" s="36">
        <f>'PROYECCIÓN PRESUPUESTARIA'!R59</f>
        <v>78108834</v>
      </c>
      <c r="E117" s="36">
        <v>79857930</v>
      </c>
      <c r="F117" s="36">
        <f t="shared" si="10"/>
        <v>1749096</v>
      </c>
      <c r="G117" s="37">
        <f t="shared" si="9"/>
        <v>2.2393062479975058E-2</v>
      </c>
      <c r="H117" s="37">
        <f t="shared" si="11"/>
        <v>4.5044418572729283E-2</v>
      </c>
      <c r="I117" s="35"/>
      <c r="J117" s="35"/>
      <c r="K117" s="35"/>
      <c r="L117" s="35"/>
      <c r="M117" s="35"/>
    </row>
    <row r="118" spans="2:13">
      <c r="B118" s="35" t="s">
        <v>10</v>
      </c>
      <c r="C118" s="36">
        <f>'PROYECCIÓN PRESUPUESTARIA'!S59</f>
        <v>76186026</v>
      </c>
      <c r="D118" s="36">
        <f>'PROYECCIÓN PRESUPUESTARIA'!T59</f>
        <v>77783247</v>
      </c>
      <c r="E118" s="36">
        <f>'CARTOLA INGRESOS SEP'!I266</f>
        <v>79067064</v>
      </c>
      <c r="F118" s="36">
        <f t="shared" si="10"/>
        <v>1283817</v>
      </c>
      <c r="G118" s="37">
        <f t="shared" si="9"/>
        <v>1.6505057959331524E-2</v>
      </c>
      <c r="H118" s="37">
        <f t="shared" si="11"/>
        <v>3.8898120439306585E-2</v>
      </c>
      <c r="I118" s="35"/>
      <c r="J118" s="35"/>
      <c r="K118" s="35"/>
      <c r="L118" s="35"/>
      <c r="M118" s="35"/>
    </row>
    <row r="119" spans="2:13">
      <c r="B119" s="35" t="s">
        <v>11</v>
      </c>
      <c r="C119" s="36">
        <f>'PROYECCIÓN PRESUPUESTARIA'!U59</f>
        <v>75574441</v>
      </c>
      <c r="D119" s="36">
        <f>'PROYECCIÓN PRESUPUESTARIA'!V59</f>
        <v>77783247</v>
      </c>
      <c r="E119" s="36"/>
      <c r="F119" s="36">
        <f t="shared" si="10"/>
        <v>0</v>
      </c>
      <c r="G119" s="37">
        <f t="shared" si="9"/>
        <v>0</v>
      </c>
      <c r="H119" s="37">
        <f t="shared" si="11"/>
        <v>1.6505057959331524E-2</v>
      </c>
      <c r="I119" s="35"/>
      <c r="J119" s="35"/>
      <c r="K119" s="35"/>
      <c r="L119" s="35"/>
      <c r="M119" s="35"/>
    </row>
    <row r="120" spans="2:13">
      <c r="B120" s="35" t="s">
        <v>12</v>
      </c>
      <c r="C120" s="36">
        <f>'PROYECCIÓN PRESUPUESTARIA'!W59</f>
        <v>74962856</v>
      </c>
      <c r="D120" s="36">
        <f>'PROYECCIÓN PRESUPUESTARIA'!X59</f>
        <v>77783247</v>
      </c>
      <c r="E120" s="36"/>
      <c r="F120" s="36">
        <f t="shared" si="10"/>
        <v>0</v>
      </c>
      <c r="G120" s="37">
        <f t="shared" si="9"/>
        <v>0</v>
      </c>
      <c r="H120" s="37">
        <f t="shared" si="11"/>
        <v>0</v>
      </c>
      <c r="I120" s="35"/>
      <c r="J120" s="35"/>
      <c r="K120" s="35"/>
      <c r="L120" s="35"/>
      <c r="M120" s="35"/>
    </row>
    <row r="121" spans="2:13">
      <c r="B121" s="35" t="s">
        <v>13</v>
      </c>
      <c r="C121" s="36">
        <f>'PROYECCIÓN PRESUPUESTARIA'!Y59</f>
        <v>74351271</v>
      </c>
      <c r="D121" s="36">
        <f>'PROYECCIÓN PRESUPUESTARIA'!Z59</f>
        <v>77783247</v>
      </c>
      <c r="E121" s="36"/>
      <c r="F121" s="36">
        <f t="shared" si="10"/>
        <v>0</v>
      </c>
      <c r="G121" s="37">
        <f t="shared" si="9"/>
        <v>0</v>
      </c>
      <c r="H121" s="37">
        <f t="shared" si="11"/>
        <v>0</v>
      </c>
      <c r="I121" s="35"/>
      <c r="J121" s="35"/>
      <c r="K121" s="35"/>
      <c r="L121" s="35"/>
      <c r="M121" s="35"/>
    </row>
    <row r="122" spans="2:13">
      <c r="B122" s="35" t="s">
        <v>236</v>
      </c>
      <c r="C122" s="36">
        <f>SUM(C109:C121)</f>
        <v>962125346</v>
      </c>
      <c r="D122" s="36">
        <f>SUM(D109:D121)</f>
        <v>979036091</v>
      </c>
      <c r="E122" s="36">
        <f>SUM(E109:E121)</f>
        <v>797994444</v>
      </c>
      <c r="F122" s="71">
        <f>SUM(F109:F121)</f>
        <v>52308094</v>
      </c>
      <c r="G122" s="88">
        <f t="shared" si="9"/>
        <v>5.3428157021843642E-2</v>
      </c>
      <c r="H122" s="88">
        <f>SUM(H109:H121)</f>
        <v>1.2530096534371582</v>
      </c>
      <c r="I122" s="35"/>
      <c r="J122" s="35"/>
      <c r="K122" s="35"/>
      <c r="L122" s="35"/>
      <c r="M122" s="35"/>
    </row>
    <row r="123" spans="2:13">
      <c r="B123" s="35" t="s">
        <v>246</v>
      </c>
      <c r="C123" s="36">
        <v>1259814352</v>
      </c>
      <c r="D123" s="36">
        <v>1259814352</v>
      </c>
      <c r="E123" s="36" t="s">
        <v>1198</v>
      </c>
      <c r="F123" s="36">
        <v>65880842</v>
      </c>
      <c r="H123" s="33"/>
    </row>
    <row r="124" spans="2:13">
      <c r="B124" s="35" t="s">
        <v>297</v>
      </c>
      <c r="C124" s="36">
        <v>276765629</v>
      </c>
      <c r="D124" s="36">
        <v>276765629</v>
      </c>
      <c r="E124" s="108" t="s">
        <v>333</v>
      </c>
      <c r="F124" s="105">
        <f>F122-F123</f>
        <v>-13572748</v>
      </c>
      <c r="H124" s="33"/>
    </row>
    <row r="125" spans="2:13" ht="26.4">
      <c r="B125" s="35" t="s">
        <v>298</v>
      </c>
      <c r="C125" s="36">
        <f>C123-C124</f>
        <v>983048723</v>
      </c>
      <c r="D125" s="36">
        <f>D123-D124</f>
        <v>983048723</v>
      </c>
    </row>
    <row r="126" spans="2:13">
      <c r="C126" s="33"/>
      <c r="E126" s="368" t="s">
        <v>1197</v>
      </c>
      <c r="F126" s="368"/>
      <c r="G126" s="368"/>
    </row>
    <row r="127" spans="2:13">
      <c r="E127" s="176" t="s">
        <v>1196</v>
      </c>
      <c r="F127" s="177">
        <v>87761209</v>
      </c>
      <c r="G127" s="178"/>
    </row>
    <row r="128" spans="2:13">
      <c r="E128" s="176" t="s">
        <v>1194</v>
      </c>
      <c r="F128" s="177">
        <v>587458158</v>
      </c>
    </row>
    <row r="129" spans="5:7" ht="26.4">
      <c r="E129" s="241" t="s">
        <v>1318</v>
      </c>
      <c r="F129" s="297">
        <v>43708013</v>
      </c>
      <c r="G129" s="178" t="s">
        <v>247</v>
      </c>
    </row>
    <row r="130" spans="5:7">
      <c r="E130" s="176" t="s">
        <v>1195</v>
      </c>
      <c r="F130" s="177">
        <f>SUM(F127:F129)</f>
        <v>718927380</v>
      </c>
      <c r="G130" s="187">
        <f>F130-E122</f>
        <v>-79067064</v>
      </c>
    </row>
  </sheetData>
  <mergeCells count="25">
    <mergeCell ref="B2:N2"/>
    <mergeCell ref="B7:H7"/>
    <mergeCell ref="I7:M7"/>
    <mergeCell ref="B76:H76"/>
    <mergeCell ref="I76:M76"/>
    <mergeCell ref="B71:N71"/>
    <mergeCell ref="B67:C67"/>
    <mergeCell ref="B60:C60"/>
    <mergeCell ref="B61:C61"/>
    <mergeCell ref="B62:C62"/>
    <mergeCell ref="B65:C65"/>
    <mergeCell ref="B66:C66"/>
    <mergeCell ref="E126:G126"/>
    <mergeCell ref="E95:G95"/>
    <mergeCell ref="E27:G27"/>
    <mergeCell ref="A56:P58"/>
    <mergeCell ref="B107:H107"/>
    <mergeCell ref="I107:M107"/>
    <mergeCell ref="B102:N102"/>
    <mergeCell ref="E60:G60"/>
    <mergeCell ref="E61:G61"/>
    <mergeCell ref="E62:G62"/>
    <mergeCell ref="E65:G65"/>
    <mergeCell ref="E66:G66"/>
    <mergeCell ref="E67:G67"/>
  </mergeCells>
  <conditionalFormatting sqref="F91 G96 G127 F98:G98 G129 F128:F129">
    <cfRule type="cellIs" dxfId="53" priority="49" operator="lessThan">
      <formula>0</formula>
    </cfRule>
    <cfRule type="cellIs" dxfId="52" priority="50" operator="greaterThanOrEqual">
      <formula>0</formula>
    </cfRule>
  </conditionalFormatting>
  <conditionalFormatting sqref="F22">
    <cfRule type="cellIs" dxfId="51" priority="51" operator="lessThan">
      <formula>0</formula>
    </cfRule>
    <cfRule type="cellIs" dxfId="50" priority="52" operator="greaterThanOrEqual">
      <formula>0</formula>
    </cfRule>
  </conditionalFormatting>
  <conditionalFormatting sqref="F122">
    <cfRule type="cellIs" dxfId="49" priority="47" operator="lessThan">
      <formula>0</formula>
    </cfRule>
    <cfRule type="cellIs" dxfId="48" priority="48" operator="greaterThanOrEqual">
      <formula>0</formula>
    </cfRule>
  </conditionalFormatting>
  <conditionalFormatting sqref="G22">
    <cfRule type="cellIs" dxfId="47" priority="45" operator="lessThan">
      <formula>0</formula>
    </cfRule>
    <cfRule type="cellIs" dxfId="46" priority="46" operator="greaterThanOrEqual">
      <formula>0</formula>
    </cfRule>
  </conditionalFormatting>
  <conditionalFormatting sqref="H22">
    <cfRule type="cellIs" dxfId="45" priority="43" operator="lessThan">
      <formula>0</formula>
    </cfRule>
    <cfRule type="cellIs" dxfId="44" priority="44" operator="greaterThanOrEqual">
      <formula>0</formula>
    </cfRule>
  </conditionalFormatting>
  <conditionalFormatting sqref="G91">
    <cfRule type="cellIs" dxfId="43" priority="41" operator="lessThan">
      <formula>0</formula>
    </cfRule>
    <cfRule type="cellIs" dxfId="42" priority="42" operator="greaterThanOrEqual">
      <formula>0</formula>
    </cfRule>
  </conditionalFormatting>
  <conditionalFormatting sqref="H91">
    <cfRule type="cellIs" dxfId="41" priority="39" operator="lessThan">
      <formula>0</formula>
    </cfRule>
    <cfRule type="cellIs" dxfId="40" priority="40" operator="greaterThanOrEqual">
      <formula>0</formula>
    </cfRule>
  </conditionalFormatting>
  <conditionalFormatting sqref="G122">
    <cfRule type="cellIs" dxfId="39" priority="37" operator="lessThan">
      <formula>0</formula>
    </cfRule>
    <cfRule type="cellIs" dxfId="38" priority="38" operator="greaterThanOrEqual">
      <formula>0</formula>
    </cfRule>
  </conditionalFormatting>
  <conditionalFormatting sqref="H122">
    <cfRule type="cellIs" dxfId="37" priority="35" operator="lessThan">
      <formula>0</formula>
    </cfRule>
    <cfRule type="cellIs" dxfId="36" priority="36" operator="greaterThanOrEqual">
      <formula>0</formula>
    </cfRule>
  </conditionalFormatting>
  <conditionalFormatting sqref="F26">
    <cfRule type="cellIs" dxfId="35" priority="33" operator="lessThan">
      <formula>0</formula>
    </cfRule>
    <cfRule type="cellIs" dxfId="34" priority="34" operator="greaterThanOrEqual">
      <formula>0</formula>
    </cfRule>
  </conditionalFormatting>
  <conditionalFormatting sqref="G99:G101">
    <cfRule type="cellIs" dxfId="33" priority="31" operator="lessThan">
      <formula>0</formula>
    </cfRule>
    <cfRule type="cellIs" dxfId="32" priority="32" operator="greaterThanOrEqual">
      <formula>0</formula>
    </cfRule>
  </conditionalFormatting>
  <conditionalFormatting sqref="F94 F99:F101">
    <cfRule type="cellIs" dxfId="31" priority="29" operator="lessThan">
      <formula>0</formula>
    </cfRule>
    <cfRule type="cellIs" dxfId="30" priority="30" operator="greaterThanOrEqual">
      <formula>0</formula>
    </cfRule>
  </conditionalFormatting>
  <conditionalFormatting sqref="F124">
    <cfRule type="cellIs" dxfId="29" priority="25" operator="lessThan">
      <formula>0</formula>
    </cfRule>
    <cfRule type="cellIs" dxfId="28" priority="26" operator="greaterThanOrEqual">
      <formula>0</formula>
    </cfRule>
  </conditionalFormatting>
  <conditionalFormatting sqref="F127">
    <cfRule type="cellIs" dxfId="27" priority="21" operator="lessThan">
      <formula>0</formula>
    </cfRule>
    <cfRule type="cellIs" dxfId="26" priority="22" operator="greaterThanOrEqual">
      <formula>0</formula>
    </cfRule>
  </conditionalFormatting>
  <conditionalFormatting sqref="F97">
    <cfRule type="cellIs" dxfId="25" priority="3" operator="lessThan">
      <formula>0</formula>
    </cfRule>
    <cfRule type="cellIs" dxfId="24" priority="4" operator="greaterThanOrEqual">
      <formula>0</formula>
    </cfRule>
  </conditionalFormatting>
  <conditionalFormatting sqref="G28:G30">
    <cfRule type="cellIs" dxfId="23" priority="19" operator="lessThan">
      <formula>0</formula>
    </cfRule>
    <cfRule type="cellIs" dxfId="22" priority="20" operator="greaterThanOrEqual">
      <formula>0</formula>
    </cfRule>
  </conditionalFormatting>
  <conditionalFormatting sqref="F28:F30">
    <cfRule type="cellIs" dxfId="21" priority="17" operator="lessThan">
      <formula>0</formula>
    </cfRule>
    <cfRule type="cellIs" dxfId="20" priority="18" operator="greaterThanOrEqual">
      <formula>0</formula>
    </cfRule>
  </conditionalFormatting>
  <conditionalFormatting sqref="G130">
    <cfRule type="cellIs" dxfId="19" priority="15" operator="lessThan">
      <formula>0</formula>
    </cfRule>
    <cfRule type="cellIs" dxfId="18" priority="16" operator="greaterThanOrEqual">
      <formula>0</formula>
    </cfRule>
  </conditionalFormatting>
  <conditionalFormatting sqref="F130">
    <cfRule type="cellIs" dxfId="17" priority="13" operator="lessThan">
      <formula>0</formula>
    </cfRule>
    <cfRule type="cellIs" dxfId="16" priority="14" operator="greaterThanOrEqual">
      <formula>0</formula>
    </cfRule>
  </conditionalFormatting>
  <conditionalFormatting sqref="G31">
    <cfRule type="cellIs" dxfId="15" priority="11" operator="lessThan">
      <formula>0</formula>
    </cfRule>
    <cfRule type="cellIs" dxfId="14" priority="12" operator="greaterThanOrEqual">
      <formula>0</formula>
    </cfRule>
  </conditionalFormatting>
  <conditionalFormatting sqref="F31">
    <cfRule type="cellIs" dxfId="13" priority="9" operator="lessThan">
      <formula>0</formula>
    </cfRule>
    <cfRule type="cellIs" dxfId="12" priority="10" operator="greaterThanOrEqual">
      <formula>0</formula>
    </cfRule>
  </conditionalFormatting>
  <conditionalFormatting sqref="F96">
    <cfRule type="cellIs" dxfId="11" priority="5" operator="lessThan">
      <formula>0</formula>
    </cfRule>
    <cfRule type="cellIs" dxfId="10" priority="6" operator="greaterThanOrEqual">
      <formula>0</formula>
    </cfRule>
  </conditionalFormatting>
  <pageMargins left="0.70866141732283472" right="0.70866141732283472" top="0.74803149606299213" bottom="0.74803149606299213" header="0.31496062992125984" footer="0.31496062992125984"/>
  <pageSetup scale="51" orientation="landscape" r:id="rId1"/>
  <rowBreaks count="1" manualBreakCount="1">
    <brk id="67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B85"/>
  <sheetViews>
    <sheetView showGridLines="0" view="pageBreakPreview" topLeftCell="A28" zoomScale="90" zoomScaleNormal="85" zoomScaleSheetLayoutView="90" workbookViewId="0">
      <selection activeCell="T44" sqref="T44"/>
    </sheetView>
  </sheetViews>
  <sheetFormatPr baseColWidth="10" defaultColWidth="11" defaultRowHeight="13.2"/>
  <cols>
    <col min="1" max="1" width="27.8984375" style="18" bestFit="1" customWidth="1"/>
    <col min="2" max="2" width="24.69921875" style="18" bestFit="1" customWidth="1"/>
    <col min="3" max="3" width="13" style="18" bestFit="1" customWidth="1"/>
    <col min="4" max="4" width="16.19921875" style="18" customWidth="1"/>
    <col min="5" max="8" width="12.09765625" style="18" bestFit="1" customWidth="1"/>
    <col min="9" max="9" width="13.8984375" style="18" customWidth="1"/>
    <col min="10" max="10" width="15" style="18" customWidth="1"/>
    <col min="11" max="11" width="13.59765625" style="18" customWidth="1"/>
    <col min="12" max="12" width="13.09765625" style="18" customWidth="1"/>
    <col min="13" max="14" width="13.59765625" style="18" customWidth="1"/>
    <col min="15" max="15" width="13.8984375" style="18" customWidth="1"/>
    <col min="16" max="16" width="13.3984375" style="18" customWidth="1"/>
    <col min="17" max="17" width="13.09765625" style="18" customWidth="1"/>
    <col min="18" max="18" width="13.59765625" style="18" customWidth="1"/>
    <col min="19" max="19" width="12.8984375" style="18" customWidth="1"/>
    <col min="20" max="20" width="13" style="18" customWidth="1"/>
    <col min="21" max="21" width="12.69921875" style="18" customWidth="1"/>
    <col min="22" max="22" width="13.3984375" style="18" customWidth="1"/>
    <col min="23" max="23" width="13" style="18" customWidth="1"/>
    <col min="24" max="24" width="14.09765625" style="18" customWidth="1"/>
    <col min="25" max="25" width="13.3984375" style="18" customWidth="1"/>
    <col min="26" max="26" width="13.09765625" style="18" customWidth="1"/>
    <col min="27" max="27" width="16.59765625" style="18" customWidth="1"/>
    <col min="28" max="28" width="14.59765625" style="18" customWidth="1"/>
    <col min="29" max="16384" width="11" style="18"/>
  </cols>
  <sheetData>
    <row r="2" spans="1:25">
      <c r="A2" s="398" t="s">
        <v>293</v>
      </c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</row>
    <row r="3" spans="1:25">
      <c r="A3" s="75" t="s">
        <v>225</v>
      </c>
      <c r="B3" s="75">
        <v>2025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</row>
    <row r="4" spans="1:25">
      <c r="A4" s="75" t="s">
        <v>302</v>
      </c>
      <c r="B4" s="76">
        <f ca="1">TODAY()</f>
        <v>45938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</row>
    <row r="5" spans="1:25" ht="12.75" customHeight="1">
      <c r="A5" s="378" t="s">
        <v>294</v>
      </c>
      <c r="B5" s="379"/>
      <c r="C5" s="381">
        <v>490644465</v>
      </c>
      <c r="D5" s="381"/>
      <c r="E5" s="392" t="s">
        <v>276</v>
      </c>
      <c r="F5" s="379"/>
      <c r="G5" s="393">
        <v>108529</v>
      </c>
      <c r="H5" s="393"/>
      <c r="I5" s="61"/>
      <c r="J5" s="61"/>
      <c r="K5" s="61"/>
      <c r="L5" s="61"/>
      <c r="M5" s="61"/>
      <c r="N5" s="61"/>
      <c r="O5" s="66" t="s">
        <v>228</v>
      </c>
      <c r="P5" s="67" t="s">
        <v>279</v>
      </c>
      <c r="Q5" s="67" t="s">
        <v>248</v>
      </c>
      <c r="R5" s="67" t="s">
        <v>251</v>
      </c>
      <c r="S5" s="67" t="s">
        <v>248</v>
      </c>
      <c r="T5" s="61"/>
      <c r="U5" s="61"/>
      <c r="V5" s="61"/>
      <c r="W5" s="61"/>
      <c r="X5" s="61"/>
      <c r="Y5" s="61"/>
    </row>
    <row r="6" spans="1:25" ht="12.75" customHeight="1">
      <c r="A6" s="378" t="s">
        <v>295</v>
      </c>
      <c r="B6" s="379"/>
      <c r="C6" s="381">
        <v>48350352</v>
      </c>
      <c r="D6" s="381"/>
      <c r="E6" s="392" t="s">
        <v>277</v>
      </c>
      <c r="F6" s="379"/>
      <c r="G6" s="393">
        <v>285998</v>
      </c>
      <c r="H6" s="393"/>
      <c r="I6" s="61"/>
      <c r="J6" s="61"/>
      <c r="K6" s="61"/>
      <c r="L6" s="61"/>
      <c r="M6" s="61"/>
      <c r="N6" s="61"/>
      <c r="O6" s="66" t="s">
        <v>2</v>
      </c>
      <c r="P6" s="58">
        <f>C41</f>
        <v>4</v>
      </c>
      <c r="Q6" s="58">
        <f>P6</f>
        <v>4</v>
      </c>
      <c r="R6" s="58">
        <f>D41</f>
        <v>0</v>
      </c>
      <c r="S6" s="58">
        <f>R6</f>
        <v>0</v>
      </c>
      <c r="T6" s="61"/>
      <c r="U6" s="61"/>
      <c r="V6" s="61"/>
      <c r="W6" s="61"/>
      <c r="X6" s="61"/>
      <c r="Y6" s="61"/>
    </row>
    <row r="7" spans="1:25">
      <c r="A7" s="378" t="s">
        <v>253</v>
      </c>
      <c r="B7" s="379"/>
      <c r="C7" s="381">
        <v>39000</v>
      </c>
      <c r="D7" s="381"/>
      <c r="I7" s="56"/>
      <c r="J7" s="56"/>
      <c r="K7" s="56"/>
      <c r="L7" s="56"/>
      <c r="M7" s="56"/>
      <c r="N7" s="56"/>
      <c r="O7" s="66" t="s">
        <v>3</v>
      </c>
      <c r="P7" s="58">
        <f>E41</f>
        <v>6</v>
      </c>
      <c r="Q7" s="58">
        <f>P7+Q6</f>
        <v>10</v>
      </c>
      <c r="R7" s="58">
        <f>F41</f>
        <v>8</v>
      </c>
      <c r="S7" s="58">
        <f>R7+S6</f>
        <v>8</v>
      </c>
      <c r="T7" s="56"/>
      <c r="U7" s="56"/>
      <c r="V7" s="56"/>
      <c r="W7" s="56"/>
      <c r="X7" s="56"/>
      <c r="Y7" s="56"/>
    </row>
    <row r="8" spans="1:25" ht="14.25" customHeight="1">
      <c r="A8" s="378" t="s">
        <v>254</v>
      </c>
      <c r="B8" s="379"/>
      <c r="C8" s="380">
        <v>11</v>
      </c>
      <c r="D8" s="387"/>
      <c r="E8" s="396" t="s">
        <v>309</v>
      </c>
      <c r="F8" s="396"/>
      <c r="G8" s="396"/>
      <c r="I8" s="31"/>
      <c r="J8" s="31"/>
      <c r="K8" s="31"/>
      <c r="L8" s="31"/>
      <c r="M8" s="31"/>
      <c r="N8" s="31"/>
      <c r="O8" s="66" t="s">
        <v>4</v>
      </c>
      <c r="P8" s="58">
        <f>G41</f>
        <v>3</v>
      </c>
      <c r="Q8" s="58">
        <f t="shared" ref="Q8:S13" si="0">P8+Q7</f>
        <v>13</v>
      </c>
      <c r="R8" s="58">
        <f>H41</f>
        <v>3</v>
      </c>
      <c r="S8" s="58">
        <f t="shared" si="0"/>
        <v>11</v>
      </c>
      <c r="T8" s="30"/>
      <c r="U8" s="30"/>
      <c r="V8" s="30"/>
      <c r="W8" s="30"/>
      <c r="X8" s="30"/>
      <c r="Y8" s="30"/>
    </row>
    <row r="9" spans="1:25" ht="12.75" customHeight="1">
      <c r="A9" s="378" t="s">
        <v>255</v>
      </c>
      <c r="B9" s="379"/>
      <c r="C9" s="381">
        <f>$C$7*C8</f>
        <v>429000</v>
      </c>
      <c r="D9" s="388"/>
      <c r="E9" s="396"/>
      <c r="F9" s="396"/>
      <c r="G9" s="396"/>
      <c r="H9" s="31"/>
      <c r="I9" s="31"/>
      <c r="J9" s="31"/>
      <c r="K9" s="31"/>
      <c r="L9" s="31"/>
      <c r="M9" s="31"/>
      <c r="N9" s="31"/>
      <c r="O9" s="66" t="s">
        <v>5</v>
      </c>
      <c r="P9" s="58">
        <f>I41</f>
        <v>4</v>
      </c>
      <c r="Q9" s="58">
        <f t="shared" si="0"/>
        <v>17</v>
      </c>
      <c r="R9" s="58">
        <f>J41</f>
        <v>5</v>
      </c>
      <c r="S9" s="58">
        <f t="shared" si="0"/>
        <v>16</v>
      </c>
      <c r="T9" s="30"/>
      <c r="U9" s="30"/>
      <c r="V9" s="30"/>
      <c r="W9" s="30"/>
      <c r="X9" s="30"/>
      <c r="Y9" s="30"/>
    </row>
    <row r="10" spans="1:25">
      <c r="A10" s="378" t="s">
        <v>303</v>
      </c>
      <c r="B10" s="379"/>
      <c r="C10" s="380">
        <v>9</v>
      </c>
      <c r="D10" s="380"/>
      <c r="E10" s="394" t="s">
        <v>306</v>
      </c>
      <c r="F10" s="395"/>
      <c r="G10" s="104">
        <v>10</v>
      </c>
      <c r="H10" s="31"/>
      <c r="I10" s="31"/>
      <c r="J10" s="31"/>
      <c r="K10" s="31"/>
      <c r="L10" s="31"/>
      <c r="M10" s="31"/>
      <c r="N10" s="31"/>
      <c r="O10" s="66" t="s">
        <v>6</v>
      </c>
      <c r="P10" s="58">
        <f>K41</f>
        <v>4</v>
      </c>
      <c r="Q10" s="58">
        <f t="shared" si="0"/>
        <v>21</v>
      </c>
      <c r="R10" s="58">
        <f>L41</f>
        <v>7</v>
      </c>
      <c r="S10" s="58">
        <f t="shared" si="0"/>
        <v>23</v>
      </c>
      <c r="T10" s="30"/>
      <c r="U10" s="30"/>
      <c r="V10" s="30"/>
      <c r="W10" s="30"/>
      <c r="X10" s="30"/>
      <c r="Y10" s="30"/>
    </row>
    <row r="11" spans="1:25" ht="12.75" customHeight="1">
      <c r="A11" s="378" t="s">
        <v>304</v>
      </c>
      <c r="B11" s="379"/>
      <c r="C11" s="381">
        <f>$C$7*C10</f>
        <v>351000</v>
      </c>
      <c r="D11" s="381"/>
      <c r="E11" s="392" t="s">
        <v>307</v>
      </c>
      <c r="F11" s="379"/>
      <c r="G11" s="103">
        <v>3</v>
      </c>
      <c r="H11" s="31"/>
      <c r="I11" s="31"/>
      <c r="J11" s="31"/>
      <c r="K11" s="31"/>
      <c r="L11" s="31"/>
      <c r="M11" s="31"/>
      <c r="N11" s="31"/>
      <c r="O11" s="66" t="s">
        <v>7</v>
      </c>
      <c r="P11" s="58">
        <f>M41</f>
        <v>4</v>
      </c>
      <c r="Q11" s="58">
        <f t="shared" si="0"/>
        <v>25</v>
      </c>
      <c r="R11" s="58">
        <f>N41</f>
        <v>5</v>
      </c>
      <c r="S11" s="58">
        <f t="shared" si="0"/>
        <v>28</v>
      </c>
      <c r="T11" s="30"/>
      <c r="U11" s="30"/>
      <c r="V11" s="30"/>
      <c r="W11" s="30"/>
      <c r="X11" s="30"/>
      <c r="Y11" s="30"/>
    </row>
    <row r="12" spans="1:25" ht="12.75" customHeight="1">
      <c r="A12" s="378" t="s">
        <v>288</v>
      </c>
      <c r="B12" s="379"/>
      <c r="C12" s="380">
        <v>80</v>
      </c>
      <c r="D12" s="380"/>
      <c r="E12" s="392" t="s">
        <v>308</v>
      </c>
      <c r="F12" s="379"/>
      <c r="G12" s="103">
        <f>SUM(G10:G11)</f>
        <v>13</v>
      </c>
      <c r="H12" s="31"/>
      <c r="I12" s="31"/>
      <c r="J12" s="31"/>
      <c r="K12" s="31"/>
      <c r="L12" s="31"/>
      <c r="M12" s="31"/>
      <c r="N12" s="31"/>
      <c r="O12" s="66" t="s">
        <v>8</v>
      </c>
      <c r="P12" s="58">
        <f>O41</f>
        <v>4</v>
      </c>
      <c r="Q12" s="58">
        <f t="shared" si="0"/>
        <v>29</v>
      </c>
      <c r="R12" s="58">
        <f>P41</f>
        <v>3</v>
      </c>
      <c r="S12" s="58">
        <f t="shared" si="0"/>
        <v>31</v>
      </c>
      <c r="T12" s="30"/>
      <c r="U12" s="30"/>
      <c r="V12" s="30"/>
      <c r="W12" s="30"/>
      <c r="X12" s="30"/>
      <c r="Y12" s="30"/>
    </row>
    <row r="13" spans="1:25">
      <c r="A13" s="378" t="s">
        <v>1172</v>
      </c>
      <c r="B13" s="379"/>
      <c r="C13" s="381">
        <f>C7*C12</f>
        <v>3120000</v>
      </c>
      <c r="D13" s="38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66" t="s">
        <v>9</v>
      </c>
      <c r="P13" s="58">
        <f>Q41</f>
        <v>4</v>
      </c>
      <c r="Q13" s="58">
        <f t="shared" si="0"/>
        <v>33</v>
      </c>
      <c r="R13" s="58">
        <f>R41</f>
        <v>3</v>
      </c>
      <c r="S13" s="58">
        <f t="shared" si="0"/>
        <v>34</v>
      </c>
      <c r="T13" s="30"/>
      <c r="U13" s="30"/>
      <c r="V13" s="30"/>
      <c r="W13" s="30"/>
      <c r="X13" s="30"/>
      <c r="Y13" s="30"/>
    </row>
    <row r="14" spans="1:25">
      <c r="A14" s="378" t="s">
        <v>1168</v>
      </c>
      <c r="B14" s="379"/>
      <c r="C14" s="380">
        <v>1.5</v>
      </c>
      <c r="D14" s="380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66" t="s">
        <v>10</v>
      </c>
      <c r="P14" s="58">
        <f>S41</f>
        <v>4</v>
      </c>
      <c r="Q14" s="58">
        <f>P14+Q13</f>
        <v>37</v>
      </c>
      <c r="R14" s="58">
        <f>T41</f>
        <v>3</v>
      </c>
      <c r="S14" s="58">
        <f>R14+S13</f>
        <v>37</v>
      </c>
      <c r="T14" s="30"/>
      <c r="U14" s="30"/>
      <c r="V14" s="30"/>
      <c r="W14" s="30"/>
      <c r="X14" s="30"/>
      <c r="Y14" s="30"/>
    </row>
    <row r="15" spans="1:25">
      <c r="A15" s="378" t="s">
        <v>1171</v>
      </c>
      <c r="B15" s="379"/>
      <c r="C15" s="381">
        <v>84500</v>
      </c>
      <c r="D15" s="38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66" t="s">
        <v>11</v>
      </c>
      <c r="P15" s="58">
        <f>U41</f>
        <v>4</v>
      </c>
      <c r="Q15" s="58">
        <f>P15+Q14</f>
        <v>41</v>
      </c>
      <c r="R15" s="58">
        <f>V41</f>
        <v>0</v>
      </c>
      <c r="S15" s="58">
        <f>R15+S14</f>
        <v>37</v>
      </c>
      <c r="T15" s="30"/>
      <c r="U15" s="30"/>
      <c r="V15" s="30"/>
      <c r="W15" s="30"/>
      <c r="X15" s="30"/>
      <c r="Y15" s="30"/>
    </row>
    <row r="16" spans="1:25">
      <c r="A16" s="378" t="s">
        <v>1169</v>
      </c>
      <c r="B16" s="379"/>
      <c r="C16" s="380">
        <v>1.8</v>
      </c>
      <c r="D16" s="380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66" t="s">
        <v>12</v>
      </c>
      <c r="P16" s="58">
        <f>W41</f>
        <v>4</v>
      </c>
      <c r="Q16" s="58">
        <f>P16+Q15</f>
        <v>45</v>
      </c>
      <c r="R16" s="58">
        <f>X41</f>
        <v>0</v>
      </c>
      <c r="S16" s="58">
        <f>R16+S15</f>
        <v>37</v>
      </c>
      <c r="T16" s="30"/>
      <c r="U16" s="30"/>
      <c r="V16" s="30"/>
      <c r="W16" s="30"/>
      <c r="X16" s="30"/>
      <c r="Y16" s="30"/>
    </row>
    <row r="17" spans="1:25">
      <c r="A17" s="378" t="s">
        <v>1170</v>
      </c>
      <c r="B17" s="379"/>
      <c r="C17" s="381">
        <f>C7*C16</f>
        <v>70200</v>
      </c>
      <c r="D17" s="38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66" t="s">
        <v>13</v>
      </c>
      <c r="P17" s="58">
        <f>Y41</f>
        <v>4</v>
      </c>
      <c r="Q17" s="58">
        <f>P17+Q16</f>
        <v>49</v>
      </c>
      <c r="R17" s="58">
        <f>Z41</f>
        <v>0</v>
      </c>
      <c r="S17" s="58">
        <f>R17+S16</f>
        <v>37</v>
      </c>
      <c r="T17" s="30"/>
      <c r="U17" s="30"/>
      <c r="V17" s="30"/>
      <c r="W17" s="30"/>
      <c r="X17" s="30"/>
      <c r="Y17" s="30"/>
    </row>
    <row r="18" spans="1:25">
      <c r="A18" s="30"/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T18" s="30"/>
      <c r="U18" s="30"/>
      <c r="V18" s="30"/>
      <c r="W18" s="30"/>
      <c r="X18" s="30"/>
      <c r="Y18" s="30"/>
    </row>
    <row r="19" spans="1:25">
      <c r="A19" s="386" t="s">
        <v>310</v>
      </c>
      <c r="B19" s="386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T19" s="30"/>
      <c r="U19" s="30"/>
      <c r="V19" s="30"/>
      <c r="W19" s="30"/>
      <c r="X19" s="30"/>
      <c r="Y19" s="30"/>
    </row>
    <row r="20" spans="1:25">
      <c r="A20" s="66" t="s">
        <v>290</v>
      </c>
      <c r="B20" s="64">
        <f>B25+B30</f>
        <v>4412579128.3500004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T20" s="30"/>
      <c r="U20" s="30"/>
      <c r="V20" s="30"/>
      <c r="W20" s="30"/>
      <c r="X20" s="30"/>
      <c r="Y20" s="30"/>
    </row>
    <row r="21" spans="1:25">
      <c r="A21" s="66" t="s">
        <v>291</v>
      </c>
      <c r="B21" s="64">
        <f>B26+B31</f>
        <v>4300865536</v>
      </c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T21" s="30"/>
      <c r="U21" s="30"/>
      <c r="V21" s="30"/>
      <c r="W21" s="30"/>
      <c r="X21" s="30"/>
      <c r="Y21" s="30"/>
    </row>
    <row r="22" spans="1:25">
      <c r="A22" s="66" t="s">
        <v>311</v>
      </c>
      <c r="B22" s="71">
        <f>B21-B20</f>
        <v>-111713592.35000038</v>
      </c>
      <c r="C22" s="30"/>
      <c r="D22" s="159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</row>
    <row r="23" spans="1:25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</row>
    <row r="24" spans="1:25">
      <c r="A24" s="386" t="s">
        <v>292</v>
      </c>
      <c r="B24" s="386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</row>
    <row r="25" spans="1:25">
      <c r="A25" s="66" t="s">
        <v>290</v>
      </c>
      <c r="B25" s="64">
        <f>$C$5+AA57</f>
        <v>3450453782.3499999</v>
      </c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</row>
    <row r="26" spans="1:25">
      <c r="A26" s="66" t="s">
        <v>291</v>
      </c>
      <c r="B26" s="64">
        <f>$C$5+AB57</f>
        <v>3321829445</v>
      </c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</row>
    <row r="27" spans="1:25">
      <c r="A27" s="66" t="s">
        <v>311</v>
      </c>
      <c r="B27" s="71">
        <f>B26-B25</f>
        <v>-128624337.3499999</v>
      </c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</row>
    <row r="28" spans="1:25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</row>
    <row r="29" spans="1:25">
      <c r="A29" s="386" t="s">
        <v>296</v>
      </c>
      <c r="B29" s="386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</row>
    <row r="30" spans="1:25">
      <c r="A30" s="66" t="s">
        <v>290</v>
      </c>
      <c r="B30" s="64">
        <f>AA59+$C$6</f>
        <v>962125346</v>
      </c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</row>
    <row r="31" spans="1:25">
      <c r="A31" s="66" t="s">
        <v>291</v>
      </c>
      <c r="B31" s="64">
        <f>AB59+$C$6</f>
        <v>979036091</v>
      </c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</row>
    <row r="32" spans="1:25">
      <c r="A32" s="66" t="s">
        <v>311</v>
      </c>
      <c r="B32" s="71">
        <f>B31-B30</f>
        <v>16910745</v>
      </c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</row>
    <row r="33" spans="1:28">
      <c r="A33" s="391" t="s">
        <v>316</v>
      </c>
      <c r="B33" s="391"/>
      <c r="C33" s="385">
        <v>38419</v>
      </c>
      <c r="D33" s="385"/>
      <c r="E33" s="385">
        <v>38381</v>
      </c>
      <c r="F33" s="385"/>
      <c r="G33" s="385">
        <v>38663</v>
      </c>
      <c r="H33" s="385"/>
      <c r="I33" s="385">
        <v>38899</v>
      </c>
      <c r="J33" s="385"/>
      <c r="K33" s="385">
        <v>39081</v>
      </c>
      <c r="L33" s="385"/>
      <c r="M33" s="320">
        <v>39191.97</v>
      </c>
      <c r="N33" s="321"/>
      <c r="O33" s="385">
        <v>39269.69</v>
      </c>
      <c r="P33" s="385"/>
      <c r="Q33" s="385">
        <v>39173.949999999997</v>
      </c>
      <c r="R33" s="385"/>
      <c r="S33" s="385">
        <v>39394.46</v>
      </c>
      <c r="T33" s="385"/>
      <c r="U33" s="385">
        <v>39486</v>
      </c>
      <c r="V33" s="385"/>
      <c r="W33" s="385"/>
      <c r="X33" s="385"/>
      <c r="Y33" s="385"/>
      <c r="Z33" s="385"/>
    </row>
    <row r="34" spans="1:28">
      <c r="A34" s="391" t="s">
        <v>315</v>
      </c>
      <c r="B34" s="391"/>
      <c r="C34" s="385">
        <v>67429</v>
      </c>
      <c r="D34" s="385"/>
      <c r="E34" s="385">
        <v>67294</v>
      </c>
      <c r="F34" s="385"/>
      <c r="G34" s="385">
        <v>68034</v>
      </c>
      <c r="H34" s="385"/>
      <c r="I34" s="385">
        <v>68306</v>
      </c>
      <c r="J34" s="385"/>
      <c r="K34" s="385">
        <v>68648</v>
      </c>
      <c r="L34" s="385"/>
      <c r="M34" s="385">
        <v>68785</v>
      </c>
      <c r="N34" s="385"/>
      <c r="O34" s="385">
        <v>68923</v>
      </c>
      <c r="P34" s="385"/>
      <c r="Q34" s="385">
        <v>68647</v>
      </c>
      <c r="R34" s="385"/>
      <c r="S34" s="385">
        <v>69265</v>
      </c>
      <c r="T34" s="385"/>
      <c r="U34" s="385">
        <v>69265</v>
      </c>
      <c r="V34" s="385"/>
      <c r="W34" s="385"/>
      <c r="X34" s="385"/>
      <c r="Y34" s="385"/>
      <c r="Z34" s="385"/>
    </row>
    <row r="35" spans="1:28">
      <c r="A35" s="389" t="s">
        <v>249</v>
      </c>
      <c r="B35" s="389" t="s">
        <v>250</v>
      </c>
      <c r="C35" s="374" t="s">
        <v>2</v>
      </c>
      <c r="D35" s="374"/>
      <c r="E35" s="374" t="s">
        <v>3</v>
      </c>
      <c r="F35" s="374"/>
      <c r="G35" s="374" t="s">
        <v>4</v>
      </c>
      <c r="H35" s="374"/>
      <c r="I35" s="374" t="s">
        <v>5</v>
      </c>
      <c r="J35" s="374"/>
      <c r="K35" s="374" t="s">
        <v>6</v>
      </c>
      <c r="L35" s="374"/>
      <c r="M35" s="374" t="s">
        <v>7</v>
      </c>
      <c r="N35" s="374"/>
      <c r="O35" s="374" t="s">
        <v>8</v>
      </c>
      <c r="P35" s="374"/>
      <c r="Q35" s="374" t="s">
        <v>9</v>
      </c>
      <c r="R35" s="374"/>
      <c r="S35" s="374" t="s">
        <v>10</v>
      </c>
      <c r="T35" s="374"/>
      <c r="U35" s="374" t="s">
        <v>11</v>
      </c>
      <c r="V35" s="374"/>
      <c r="W35" s="374" t="s">
        <v>12</v>
      </c>
      <c r="X35" s="374"/>
      <c r="Y35" s="374" t="s">
        <v>13</v>
      </c>
      <c r="Z35" s="374"/>
      <c r="AA35" s="374" t="s">
        <v>236</v>
      </c>
      <c r="AB35" s="374"/>
    </row>
    <row r="36" spans="1:28">
      <c r="A36" s="390"/>
      <c r="B36" s="390"/>
      <c r="C36" s="73" t="s">
        <v>278</v>
      </c>
      <c r="D36" s="73" t="s">
        <v>251</v>
      </c>
      <c r="E36" s="73" t="s">
        <v>252</v>
      </c>
      <c r="F36" s="73" t="s">
        <v>251</v>
      </c>
      <c r="G36" s="73" t="s">
        <v>252</v>
      </c>
      <c r="H36" s="73" t="s">
        <v>251</v>
      </c>
      <c r="I36" s="73" t="s">
        <v>252</v>
      </c>
      <c r="J36" s="73" t="s">
        <v>251</v>
      </c>
      <c r="K36" s="73" t="s">
        <v>252</v>
      </c>
      <c r="L36" s="73" t="s">
        <v>251</v>
      </c>
      <c r="M36" s="73" t="s">
        <v>252</v>
      </c>
      <c r="N36" s="73" t="s">
        <v>251</v>
      </c>
      <c r="O36" s="73" t="s">
        <v>252</v>
      </c>
      <c r="P36" s="73" t="s">
        <v>251</v>
      </c>
      <c r="Q36" s="73" t="s">
        <v>252</v>
      </c>
      <c r="R36" s="73" t="s">
        <v>251</v>
      </c>
      <c r="S36" s="73" t="s">
        <v>252</v>
      </c>
      <c r="T36" s="73" t="s">
        <v>251</v>
      </c>
      <c r="U36" s="73" t="s">
        <v>252</v>
      </c>
      <c r="V36" s="73" t="s">
        <v>251</v>
      </c>
      <c r="W36" s="73" t="s">
        <v>252</v>
      </c>
      <c r="X36" s="73" t="s">
        <v>251</v>
      </c>
      <c r="Y36" s="73" t="s">
        <v>252</v>
      </c>
      <c r="Z36" s="73" t="s">
        <v>251</v>
      </c>
      <c r="AA36" s="73" t="s">
        <v>252</v>
      </c>
      <c r="AB36" s="73" t="s">
        <v>251</v>
      </c>
    </row>
    <row r="37" spans="1:28">
      <c r="A37" s="74">
        <v>1</v>
      </c>
      <c r="B37" s="74">
        <v>170</v>
      </c>
      <c r="C37" s="59">
        <v>0</v>
      </c>
      <c r="D37" s="190">
        <v>0</v>
      </c>
      <c r="E37" s="59">
        <v>4</v>
      </c>
      <c r="F37" s="190">
        <v>7</v>
      </c>
      <c r="G37" s="59">
        <v>2</v>
      </c>
      <c r="H37" s="190">
        <v>1</v>
      </c>
      <c r="I37" s="59">
        <v>2</v>
      </c>
      <c r="J37" s="190">
        <v>5</v>
      </c>
      <c r="K37" s="59">
        <v>2</v>
      </c>
      <c r="L37" s="209">
        <v>6</v>
      </c>
      <c r="M37" s="59">
        <v>2</v>
      </c>
      <c r="N37" s="209">
        <v>4</v>
      </c>
      <c r="O37" s="59">
        <v>2</v>
      </c>
      <c r="P37" s="59">
        <v>2</v>
      </c>
      <c r="Q37" s="59">
        <v>2</v>
      </c>
      <c r="R37" s="59">
        <v>1</v>
      </c>
      <c r="S37" s="59">
        <v>2</v>
      </c>
      <c r="T37" s="59">
        <v>3</v>
      </c>
      <c r="U37" s="59">
        <v>2</v>
      </c>
      <c r="V37" s="59"/>
      <c r="W37" s="59">
        <v>2</v>
      </c>
      <c r="X37" s="59"/>
      <c r="Y37" s="59">
        <v>2</v>
      </c>
      <c r="Z37" s="59"/>
      <c r="AA37" s="59">
        <f>C37+E37+G37+I37+K37+M37+O37+Q37+S37+U37+W37+Y37</f>
        <v>24</v>
      </c>
      <c r="AB37" s="59">
        <f>D37+F37+H37+J37+L37+N37+P37+R37+T37+V37+X37+Z37</f>
        <v>29</v>
      </c>
    </row>
    <row r="38" spans="1:28" ht="13.8">
      <c r="A38" s="74">
        <v>2</v>
      </c>
      <c r="B38" s="74">
        <v>112</v>
      </c>
      <c r="C38" s="59">
        <v>2</v>
      </c>
      <c r="D38" s="190">
        <v>0</v>
      </c>
      <c r="E38" s="59">
        <v>1</v>
      </c>
      <c r="F38" s="190">
        <v>1</v>
      </c>
      <c r="G38" s="59">
        <v>1</v>
      </c>
      <c r="H38" s="190">
        <v>2</v>
      </c>
      <c r="I38" s="59">
        <v>1</v>
      </c>
      <c r="J38" s="190">
        <v>0</v>
      </c>
      <c r="K38" s="59">
        <v>1</v>
      </c>
      <c r="L38" s="209">
        <v>1</v>
      </c>
      <c r="M38" s="59">
        <v>1</v>
      </c>
      <c r="N38" s="209">
        <v>1</v>
      </c>
      <c r="O38" s="59">
        <v>1</v>
      </c>
      <c r="P38" s="59">
        <v>1</v>
      </c>
      <c r="Q38" s="59">
        <v>1</v>
      </c>
      <c r="R38" s="346">
        <v>2</v>
      </c>
      <c r="S38" s="59">
        <v>1</v>
      </c>
      <c r="T38" s="59"/>
      <c r="U38" s="59">
        <v>1</v>
      </c>
      <c r="V38" s="59"/>
      <c r="W38" s="59">
        <v>1</v>
      </c>
      <c r="X38" s="59"/>
      <c r="Y38" s="59">
        <v>1</v>
      </c>
      <c r="Z38" s="59"/>
      <c r="AA38" s="59">
        <f t="shared" ref="AA38:AA41" si="1">C38+E38+G38+I38+K38+M38+O38+Q38+S38+U38+W38+Y38</f>
        <v>13</v>
      </c>
      <c r="AB38" s="59">
        <f t="shared" ref="AB38:AB41" si="2">D38+F38+H38+J38+L38+N38+P38+R38+T38+V38+X38+Z38</f>
        <v>8</v>
      </c>
    </row>
    <row r="39" spans="1:28">
      <c r="A39" s="74">
        <v>3</v>
      </c>
      <c r="B39" s="74">
        <v>93</v>
      </c>
      <c r="C39" s="59">
        <v>2</v>
      </c>
      <c r="D39" s="190">
        <v>0</v>
      </c>
      <c r="E39" s="59">
        <v>1</v>
      </c>
      <c r="F39" s="190">
        <v>0</v>
      </c>
      <c r="G39" s="59">
        <v>0</v>
      </c>
      <c r="H39" s="190">
        <v>0</v>
      </c>
      <c r="I39" s="59">
        <v>1</v>
      </c>
      <c r="J39" s="190">
        <v>0</v>
      </c>
      <c r="K39" s="59">
        <v>1</v>
      </c>
      <c r="L39" s="209">
        <v>0</v>
      </c>
      <c r="M39" s="59">
        <v>1</v>
      </c>
      <c r="N39" s="209">
        <v>0</v>
      </c>
      <c r="O39" s="59">
        <v>1</v>
      </c>
      <c r="P39" s="59">
        <v>0</v>
      </c>
      <c r="Q39" s="59">
        <v>1</v>
      </c>
      <c r="R39" s="59">
        <v>0</v>
      </c>
      <c r="S39" s="59">
        <v>1</v>
      </c>
      <c r="T39" s="59"/>
      <c r="U39" s="59">
        <v>1</v>
      </c>
      <c r="V39" s="59"/>
      <c r="W39" s="59">
        <v>1</v>
      </c>
      <c r="X39" s="59"/>
      <c r="Y39" s="59">
        <v>1</v>
      </c>
      <c r="Z39" s="59"/>
      <c r="AA39" s="59">
        <f t="shared" si="1"/>
        <v>12</v>
      </c>
      <c r="AB39" s="59">
        <f t="shared" si="2"/>
        <v>0</v>
      </c>
    </row>
    <row r="40" spans="1:28">
      <c r="A40" s="74">
        <v>4</v>
      </c>
      <c r="B40" s="74">
        <v>86</v>
      </c>
      <c r="C40" s="59">
        <v>0</v>
      </c>
      <c r="D40" s="190">
        <v>0</v>
      </c>
      <c r="E40" s="59">
        <v>0</v>
      </c>
      <c r="F40" s="190">
        <v>0</v>
      </c>
      <c r="G40" s="59">
        <v>0</v>
      </c>
      <c r="H40" s="190">
        <v>0</v>
      </c>
      <c r="I40" s="59">
        <v>0</v>
      </c>
      <c r="J40" s="190">
        <v>0</v>
      </c>
      <c r="K40" s="59">
        <v>0</v>
      </c>
      <c r="L40" s="209">
        <v>0</v>
      </c>
      <c r="M40" s="59">
        <v>0</v>
      </c>
      <c r="N40" s="209">
        <v>0</v>
      </c>
      <c r="O40" s="59">
        <v>0</v>
      </c>
      <c r="P40" s="59">
        <v>0</v>
      </c>
      <c r="Q40" s="59">
        <v>0</v>
      </c>
      <c r="R40" s="59">
        <v>0</v>
      </c>
      <c r="S40" s="59">
        <v>0</v>
      </c>
      <c r="T40" s="59"/>
      <c r="U40" s="59">
        <v>0</v>
      </c>
      <c r="V40" s="59"/>
      <c r="W40" s="59">
        <v>0</v>
      </c>
      <c r="X40" s="59"/>
      <c r="Y40" s="59">
        <v>0</v>
      </c>
      <c r="Z40" s="59"/>
      <c r="AA40" s="59">
        <f t="shared" si="1"/>
        <v>0</v>
      </c>
      <c r="AB40" s="59">
        <f t="shared" si="2"/>
        <v>0</v>
      </c>
    </row>
    <row r="41" spans="1:28">
      <c r="A41" s="67" t="s">
        <v>248</v>
      </c>
      <c r="B41" s="67">
        <f>SUM(B37:B40)</f>
        <v>461</v>
      </c>
      <c r="C41" s="160">
        <f>SUM(C37:C40)</f>
        <v>4</v>
      </c>
      <c r="D41" s="191">
        <v>0</v>
      </c>
      <c r="E41" s="160">
        <f t="shared" ref="E41:Z41" si="3">SUM(E37:E40)</f>
        <v>6</v>
      </c>
      <c r="F41" s="191">
        <f t="shared" si="3"/>
        <v>8</v>
      </c>
      <c r="G41" s="160">
        <f t="shared" si="3"/>
        <v>3</v>
      </c>
      <c r="H41" s="191">
        <f t="shared" si="3"/>
        <v>3</v>
      </c>
      <c r="I41" s="160">
        <f t="shared" si="3"/>
        <v>4</v>
      </c>
      <c r="J41" s="191">
        <f t="shared" si="3"/>
        <v>5</v>
      </c>
      <c r="K41" s="160">
        <f t="shared" si="3"/>
        <v>4</v>
      </c>
      <c r="L41" s="210">
        <f t="shared" si="3"/>
        <v>7</v>
      </c>
      <c r="M41" s="160">
        <f t="shared" si="3"/>
        <v>4</v>
      </c>
      <c r="N41" s="210">
        <f t="shared" si="3"/>
        <v>5</v>
      </c>
      <c r="O41" s="160">
        <f t="shared" si="3"/>
        <v>4</v>
      </c>
      <c r="P41" s="160">
        <f t="shared" si="3"/>
        <v>3</v>
      </c>
      <c r="Q41" s="160">
        <f t="shared" si="3"/>
        <v>4</v>
      </c>
      <c r="R41" s="160">
        <f t="shared" si="3"/>
        <v>3</v>
      </c>
      <c r="S41" s="160">
        <f t="shared" si="3"/>
        <v>4</v>
      </c>
      <c r="T41" s="160">
        <f t="shared" si="3"/>
        <v>3</v>
      </c>
      <c r="U41" s="160">
        <f t="shared" si="3"/>
        <v>4</v>
      </c>
      <c r="V41" s="160">
        <f t="shared" si="3"/>
        <v>0</v>
      </c>
      <c r="W41" s="160">
        <f t="shared" si="3"/>
        <v>4</v>
      </c>
      <c r="X41" s="160">
        <f t="shared" si="3"/>
        <v>0</v>
      </c>
      <c r="Y41" s="160">
        <f t="shared" si="3"/>
        <v>4</v>
      </c>
      <c r="Z41" s="160">
        <f t="shared" si="3"/>
        <v>0</v>
      </c>
      <c r="AA41" s="160">
        <f t="shared" si="1"/>
        <v>49</v>
      </c>
      <c r="AB41" s="160">
        <f t="shared" si="2"/>
        <v>37</v>
      </c>
    </row>
    <row r="42" spans="1:28">
      <c r="A42" s="383" t="s">
        <v>272</v>
      </c>
      <c r="B42" s="384"/>
      <c r="C42" s="59">
        <f>B41-C41</f>
        <v>457</v>
      </c>
      <c r="D42" s="59">
        <f>B41-D41</f>
        <v>461</v>
      </c>
      <c r="E42" s="59">
        <f>C42-E41</f>
        <v>451</v>
      </c>
      <c r="F42" s="59">
        <f>D42-F41</f>
        <v>453</v>
      </c>
      <c r="G42" s="59">
        <f>E42-G41</f>
        <v>448</v>
      </c>
      <c r="H42" s="59">
        <f>F42-H41</f>
        <v>450</v>
      </c>
      <c r="I42" s="59">
        <f t="shared" ref="I42:Z42" si="4">G42-I41</f>
        <v>444</v>
      </c>
      <c r="J42" s="59">
        <f t="shared" si="4"/>
        <v>445</v>
      </c>
      <c r="K42" s="59">
        <f t="shared" si="4"/>
        <v>440</v>
      </c>
      <c r="L42" s="59">
        <f t="shared" si="4"/>
        <v>438</v>
      </c>
      <c r="M42" s="59">
        <f t="shared" si="4"/>
        <v>436</v>
      </c>
      <c r="N42" s="59">
        <f t="shared" si="4"/>
        <v>433</v>
      </c>
      <c r="O42" s="59">
        <f t="shared" si="4"/>
        <v>432</v>
      </c>
      <c r="P42" s="59">
        <f t="shared" si="4"/>
        <v>430</v>
      </c>
      <c r="Q42" s="59">
        <f t="shared" si="4"/>
        <v>428</v>
      </c>
      <c r="R42" s="59">
        <f t="shared" si="4"/>
        <v>427</v>
      </c>
      <c r="S42" s="59">
        <f t="shared" si="4"/>
        <v>424</v>
      </c>
      <c r="T42" s="59">
        <f t="shared" si="4"/>
        <v>424</v>
      </c>
      <c r="U42" s="59">
        <f t="shared" si="4"/>
        <v>420</v>
      </c>
      <c r="V42" s="59">
        <f t="shared" si="4"/>
        <v>424</v>
      </c>
      <c r="W42" s="59">
        <f t="shared" si="4"/>
        <v>416</v>
      </c>
      <c r="X42" s="59">
        <f t="shared" si="4"/>
        <v>424</v>
      </c>
      <c r="Y42" s="59">
        <f t="shared" si="4"/>
        <v>412</v>
      </c>
      <c r="Z42" s="59">
        <f t="shared" si="4"/>
        <v>424</v>
      </c>
      <c r="AA42" s="59">
        <f>B41-AA41</f>
        <v>412</v>
      </c>
      <c r="AB42" s="59">
        <f>B41-AB41</f>
        <v>424</v>
      </c>
    </row>
    <row r="43" spans="1:28">
      <c r="A43" s="383" t="s">
        <v>273</v>
      </c>
      <c r="B43" s="384"/>
      <c r="C43" s="382">
        <f>D42-C42</f>
        <v>4</v>
      </c>
      <c r="D43" s="382"/>
      <c r="E43" s="382">
        <f t="shared" ref="E43" si="5">F42-E42</f>
        <v>2</v>
      </c>
      <c r="F43" s="382"/>
      <c r="G43" s="382">
        <f t="shared" ref="G43" si="6">H42-G42</f>
        <v>2</v>
      </c>
      <c r="H43" s="382"/>
      <c r="I43" s="382">
        <f t="shared" ref="I43" si="7">J42-I42</f>
        <v>1</v>
      </c>
      <c r="J43" s="382"/>
      <c r="K43" s="382">
        <f t="shared" ref="K43" si="8">L42-K42</f>
        <v>-2</v>
      </c>
      <c r="L43" s="382"/>
      <c r="M43" s="382">
        <f t="shared" ref="M43" si="9">N42-M42</f>
        <v>-3</v>
      </c>
      <c r="N43" s="382"/>
      <c r="O43" s="382">
        <f t="shared" ref="O43" si="10">P42-O42</f>
        <v>-2</v>
      </c>
      <c r="P43" s="382"/>
      <c r="Q43" s="382">
        <f t="shared" ref="Q43" si="11">R42-Q42</f>
        <v>-1</v>
      </c>
      <c r="R43" s="382"/>
      <c r="S43" s="382">
        <f t="shared" ref="S43" si="12">T42-S42</f>
        <v>0</v>
      </c>
      <c r="T43" s="382"/>
      <c r="U43" s="382">
        <f t="shared" ref="U43" si="13">V42-U42</f>
        <v>4</v>
      </c>
      <c r="V43" s="382"/>
      <c r="W43" s="382">
        <f t="shared" ref="W43" si="14">X42-W42</f>
        <v>8</v>
      </c>
      <c r="X43" s="382"/>
      <c r="Y43" s="382">
        <f t="shared" ref="Y43" si="15">Z42-Y42</f>
        <v>12</v>
      </c>
      <c r="Z43" s="382"/>
      <c r="AA43" s="382">
        <f t="shared" ref="AA43" si="16">AB42-AA42</f>
        <v>12</v>
      </c>
      <c r="AB43" s="382"/>
    </row>
    <row r="44" spans="1:28">
      <c r="A44" s="80" t="s">
        <v>274</v>
      </c>
      <c r="B44" s="64">
        <f>B41*$C$9</f>
        <v>197769000</v>
      </c>
      <c r="C44" s="82">
        <v>0</v>
      </c>
      <c r="D44" s="82">
        <v>0</v>
      </c>
      <c r="E44" s="82">
        <f t="shared" ref="E44:Z44" si="17">E42*$C$9</f>
        <v>193479000</v>
      </c>
      <c r="F44" s="295">
        <f>F42*$C$9-429000</f>
        <v>193908000</v>
      </c>
      <c r="G44" s="82">
        <f>G42*$C$9</f>
        <v>192192000</v>
      </c>
      <c r="H44" s="295">
        <f>H42*$C$9</f>
        <v>193050000</v>
      </c>
      <c r="I44" s="82">
        <f t="shared" si="17"/>
        <v>190476000</v>
      </c>
      <c r="J44" s="295">
        <f t="shared" si="17"/>
        <v>190905000</v>
      </c>
      <c r="K44" s="82">
        <f t="shared" si="17"/>
        <v>188760000</v>
      </c>
      <c r="L44" s="295">
        <f t="shared" si="17"/>
        <v>187902000</v>
      </c>
      <c r="M44" s="82">
        <f t="shared" si="17"/>
        <v>187044000</v>
      </c>
      <c r="N44" s="295">
        <f t="shared" si="17"/>
        <v>185757000</v>
      </c>
      <c r="O44" s="82">
        <f t="shared" si="17"/>
        <v>185328000</v>
      </c>
      <c r="P44" s="295">
        <f t="shared" si="17"/>
        <v>184470000</v>
      </c>
      <c r="Q44" s="82">
        <f t="shared" si="17"/>
        <v>183612000</v>
      </c>
      <c r="R44" s="295">
        <f t="shared" si="17"/>
        <v>183183000</v>
      </c>
      <c r="S44" s="82">
        <f t="shared" si="17"/>
        <v>181896000</v>
      </c>
      <c r="T44" s="295">
        <f t="shared" si="17"/>
        <v>181896000</v>
      </c>
      <c r="U44" s="82">
        <f t="shared" si="17"/>
        <v>180180000</v>
      </c>
      <c r="V44" s="82">
        <f t="shared" si="17"/>
        <v>181896000</v>
      </c>
      <c r="W44" s="82">
        <f t="shared" si="17"/>
        <v>178464000</v>
      </c>
      <c r="X44" s="82">
        <f t="shared" si="17"/>
        <v>181896000</v>
      </c>
      <c r="Y44" s="82">
        <f t="shared" si="17"/>
        <v>176748000</v>
      </c>
      <c r="Z44" s="82">
        <f t="shared" si="17"/>
        <v>181896000</v>
      </c>
      <c r="AA44" s="82">
        <f>C44+E44+G44+K44+I44+M44+O44+Q44+S44+U44+W44+Y44</f>
        <v>2038179000</v>
      </c>
      <c r="AB44" s="82">
        <f>D44+F44+H44+L44+J44+N44+P44+R44+T44+V44+X44+Z44</f>
        <v>2046759000</v>
      </c>
    </row>
    <row r="45" spans="1:28">
      <c r="A45" s="80" t="s">
        <v>1204</v>
      </c>
      <c r="B45" s="98">
        <v>0</v>
      </c>
      <c r="C45" s="99">
        <f>(VLOOKUP($A$38,'REGISTRO DE RETIROS'!$M:$N,2,FALSE)+VLOOKUP($A$39,'REGISTRO DE RETIROS'!$M:$N,2,FALSE)+VLOOKUP($A$40,'REGISTRO DE RETIROS'!$M:$N,2,FALSE)+VLOOKUP($A$37,'REGISTRO DE RETIROS'!$M:$N,2,FALSE))*C34</f>
        <v>17936114</v>
      </c>
      <c r="D45" s="99">
        <f>VLOOKUP(C35,'REGISTRO DE RETIROS'!$F:$N,9,FALSE)*C34</f>
        <v>0</v>
      </c>
      <c r="E45" s="99">
        <f>(VLOOKUP($A$38,'REGISTRO DE RETIROS'!$M:$N,2,FALSE)+VLOOKUP($A$39,'REGISTRO DE RETIROS'!$M:$N,2,FALSE)+VLOOKUP($A$40,'REGISTRO DE RETIROS'!$M:$N,2,FALSE)+VLOOKUP($A$37,'REGISTRO DE RETIROS'!$M:$N,2,FALSE))*E34</f>
        <v>17900204</v>
      </c>
      <c r="F45" s="99">
        <f>VLOOKUP(E35,'REGISTRO DE RETIROS'!$F:$N,9,FALSE)*E34</f>
        <v>8613632</v>
      </c>
      <c r="G45" s="99">
        <f>(VLOOKUP($A$38,'REGISTRO DE RETIROS'!$M:$N,2,FALSE)+VLOOKUP($A$39,'REGISTRO DE RETIROS'!$M:$N,2,FALSE)+VLOOKUP($A$40,'REGISTRO DE RETIROS'!$M:$N,2,FALSE)+VLOOKUP($A$37,'REGISTRO DE RETIROS'!$M:$N,2,FALSE))*G34</f>
        <v>18097044</v>
      </c>
      <c r="H45" s="99">
        <f>VLOOKUP(G35,'REGISTRO DE RETIROS'!$F:$N,9,FALSE)*G34</f>
        <v>1360680</v>
      </c>
      <c r="I45" s="99">
        <f>(VLOOKUP($A$38,'REGISTRO DE RETIROS'!$M:$N,2,FALSE)+VLOOKUP($A$39,'REGISTRO DE RETIROS'!$M:$N,2,FALSE)+VLOOKUP($A$40,'REGISTRO DE RETIROS'!$M:$N,2,FALSE)+VLOOKUP($A$37,'REGISTRO DE RETIROS'!$M:$N,2,FALSE))*I34</f>
        <v>18169396</v>
      </c>
      <c r="J45" s="99">
        <f>VLOOKUP(I35,'REGISTRO DE RETIROS'!$F:$N,9,FALSE)*I34</f>
        <v>12841528</v>
      </c>
      <c r="K45" s="99">
        <f>(VLOOKUP($A$38,'REGISTRO DE RETIROS'!$M:$N,2,FALSE)+VLOOKUP($A$39,'REGISTRO DE RETIROS'!$M:$N,2,FALSE)+VLOOKUP($A$40,'REGISTRO DE RETIROS'!$M:$N,2,FALSE)+VLOOKUP($A$37,'REGISTRO DE RETIROS'!$M:$N,2,FALSE))*K34</f>
        <v>18260368</v>
      </c>
      <c r="L45" s="99">
        <f>VLOOKUP(K35,'REGISTRO DE RETIROS'!$F:$N,9,FALSE)*K34</f>
        <v>12631232</v>
      </c>
      <c r="M45" s="99">
        <f>(VLOOKUP($A$38,'REGISTRO DE RETIROS'!$M:$N,2,FALSE)+VLOOKUP($A$39,'REGISTRO DE RETIROS'!$M:$N,2,FALSE)+VLOOKUP($A$40,'REGISTRO DE RETIROS'!$M:$N,2,FALSE)+VLOOKUP($A$37,'REGISTRO DE RETIROS'!$M:$N,2,FALSE))*M34</f>
        <v>18296810</v>
      </c>
      <c r="N45" s="99">
        <f>VLOOKUP(M35,'REGISTRO DE RETIROS'!$F:$N,9,FALSE)*M34</f>
        <v>10248965</v>
      </c>
      <c r="O45" s="99">
        <f>(VLOOKUP($A$38,'REGISTRO DE RETIROS'!$M:$N,2,FALSE)+VLOOKUP($A$39,'REGISTRO DE RETIROS'!$M:$N,2,FALSE)+VLOOKUP($A$40,'REGISTRO DE RETIROS'!$M:$N,2,FALSE)+VLOOKUP($A$37,'REGISTRO DE RETIROS'!$M:$N,2,FALSE))*O34</f>
        <v>18333518</v>
      </c>
      <c r="P45" s="99">
        <f>VLOOKUP(O35,'REGISTRO DE RETIROS'!$F:$N,9,FALSE)*O34</f>
        <v>8132914</v>
      </c>
      <c r="Q45" s="99">
        <f>(VLOOKUP($A$38,'REGISTRO DE RETIROS'!$M:$N,2,FALSE)+VLOOKUP($A$39,'REGISTRO DE RETIROS'!$M:$N,2,FALSE)+VLOOKUP($A$40,'REGISTRO DE RETIROS'!$M:$N,2,FALSE)+VLOOKUP($A$37,'REGISTRO DE RETIROS'!$M:$N,2,FALSE))*Q34</f>
        <v>18260102</v>
      </c>
      <c r="R45" s="99">
        <f>VLOOKUP(Q35,'REGISTRO DE RETIROS'!$F:$N,9,FALSE)*Q34</f>
        <v>8100346</v>
      </c>
      <c r="S45" s="99">
        <f>(VLOOKUP($A$38,'REGISTRO DE RETIROS'!$M:$N,2,FALSE)+VLOOKUP($A$39,'REGISTRO DE RETIROS'!$M:$N,2,FALSE)+VLOOKUP($A$40,'REGISTRO DE RETIROS'!$M:$N,2,FALSE)+VLOOKUP($A$37,'REGISTRO DE RETIROS'!$M:$N,2,FALSE))*S34</f>
        <v>18424490</v>
      </c>
      <c r="T45" s="99">
        <f>VLOOKUP(S35,'REGISTRO DE RETIROS'!$F:$N,9,FALSE)*S34</f>
        <v>0</v>
      </c>
      <c r="U45" s="99">
        <f>(VLOOKUP($A$38,'REGISTRO DE RETIROS'!$M:$N,2,FALSE)+VLOOKUP($A$39,'REGISTRO DE RETIROS'!$M:$N,2,FALSE)+VLOOKUP($A$40,'REGISTRO DE RETIROS'!$M:$N,2,FALSE)+VLOOKUP($A$37,'REGISTRO DE RETIROS'!$M:$N,2,FALSE))*U34</f>
        <v>18424490</v>
      </c>
      <c r="V45" s="99">
        <f>VLOOKUP(U35,'REGISTRO DE RETIROS'!$F:$N,9,FALSE)*U34</f>
        <v>0</v>
      </c>
      <c r="W45" s="99">
        <f>(VLOOKUP($A$38,'REGISTRO DE RETIROS'!$M:$N,2,FALSE)+VLOOKUP($A$39,'REGISTRO DE RETIROS'!$M:$N,2,FALSE)+VLOOKUP($A$40,'REGISTRO DE RETIROS'!$M:$N,2,FALSE)+VLOOKUP($A$37,'REGISTRO DE RETIROS'!$M:$N,2,FALSE))*W34</f>
        <v>0</v>
      </c>
      <c r="X45" s="99">
        <f>VLOOKUP(W35,'REGISTRO DE RETIROS'!$F:$N,9,FALSE)*W34</f>
        <v>0</v>
      </c>
      <c r="Y45" s="99">
        <f>(VLOOKUP($A$38,'REGISTRO DE RETIROS'!$M:$N,2,FALSE)+VLOOKUP($A$39,'REGISTRO DE RETIROS'!$M:$N,2,FALSE)+VLOOKUP($A$40,'REGISTRO DE RETIROS'!$M:$N,2,FALSE)+VLOOKUP($A$37,'REGISTRO DE RETIROS'!$M:$N,2,FALSE))*Y34</f>
        <v>0</v>
      </c>
      <c r="Z45" s="99">
        <f>VLOOKUP(Y35,'REGISTRO DE RETIROS'!$F:$N,9,FALSE)*Y34</f>
        <v>0</v>
      </c>
      <c r="AA45" s="82">
        <f t="shared" ref="AA45:AA56" si="18">C45+E45+G45+K45+I45+M45+O45+Q45+S45+U45+W45+Y45</f>
        <v>182102536</v>
      </c>
      <c r="AB45" s="82">
        <f t="shared" ref="AB45:AB56" si="19">D45+F45+H45+L45+J45+N45+P45+R45+T45+V45+X45+Z45</f>
        <v>61929297</v>
      </c>
    </row>
    <row r="46" spans="1:28" s="100" customFormat="1">
      <c r="A46" s="139" t="s">
        <v>314</v>
      </c>
      <c r="B46" s="98">
        <f>5*C33</f>
        <v>192095</v>
      </c>
      <c r="C46" s="99">
        <f>5*C33</f>
        <v>192095</v>
      </c>
      <c r="D46" s="99"/>
      <c r="E46" s="99">
        <f t="shared" ref="E46" si="20">5*E33</f>
        <v>191905</v>
      </c>
      <c r="F46" s="99"/>
      <c r="G46" s="99">
        <f t="shared" ref="G46" si="21">5*G33</f>
        <v>193315</v>
      </c>
      <c r="H46" s="99"/>
      <c r="I46" s="99">
        <f t="shared" ref="I46" si="22">5*I33</f>
        <v>194495</v>
      </c>
      <c r="J46" s="99">
        <v>3029188</v>
      </c>
      <c r="K46" s="99">
        <f t="shared" ref="K46" si="23">5*K33</f>
        <v>195405</v>
      </c>
      <c r="L46" s="99"/>
      <c r="M46" s="99">
        <f t="shared" ref="M46" si="24">5*M33</f>
        <v>195959.85</v>
      </c>
      <c r="N46" s="99"/>
      <c r="O46" s="99">
        <f t="shared" ref="O46" si="25">5*O33</f>
        <v>196348.45</v>
      </c>
      <c r="P46" s="99"/>
      <c r="Q46" s="99">
        <f t="shared" ref="Q46" si="26">5*Q33</f>
        <v>195869.75</v>
      </c>
      <c r="R46" s="99"/>
      <c r="S46" s="99">
        <f t="shared" ref="S46" si="27">5*S33</f>
        <v>196972.3</v>
      </c>
      <c r="T46" s="317">
        <v>980919</v>
      </c>
      <c r="U46" s="99">
        <f t="shared" ref="U46" si="28">5*U33</f>
        <v>197430</v>
      </c>
      <c r="V46" s="99"/>
      <c r="W46" s="99">
        <f t="shared" ref="W46" si="29">5*W33</f>
        <v>0</v>
      </c>
      <c r="X46" s="99"/>
      <c r="Y46" s="99">
        <f t="shared" ref="Y46" si="30">5*Y33</f>
        <v>0</v>
      </c>
      <c r="Z46" s="99"/>
      <c r="AA46" s="82">
        <f t="shared" ref="AA46:AA47" si="31">C46+E46+G46+K46+I46+M46+O46+Q46+S46+U46+W46+Y46</f>
        <v>1949795.35</v>
      </c>
      <c r="AB46" s="82">
        <f t="shared" ref="AB46:AB47" si="32">D46+F46+H46+L46+J46+N46+P46+R46+T46+V46+X46+Z46</f>
        <v>4010107</v>
      </c>
    </row>
    <row r="47" spans="1:28" s="100" customFormat="1">
      <c r="A47" s="139" t="s">
        <v>317</v>
      </c>
      <c r="B47" s="98">
        <f>3.5*C34</f>
        <v>236001.5</v>
      </c>
      <c r="C47" s="99">
        <f>3.5*C34</f>
        <v>236001.5</v>
      </c>
      <c r="D47" s="99"/>
      <c r="E47" s="99">
        <f t="shared" ref="E47" si="33">3.5*E34</f>
        <v>235529</v>
      </c>
      <c r="F47" s="99"/>
      <c r="G47" s="99">
        <f t="shared" ref="G47" si="34">3.5*G34</f>
        <v>238119</v>
      </c>
      <c r="H47" s="99"/>
      <c r="I47" s="99">
        <f t="shared" ref="I47" si="35">3.5*I34</f>
        <v>239071</v>
      </c>
      <c r="J47" s="99">
        <v>0</v>
      </c>
      <c r="K47" s="99">
        <f t="shared" ref="K47" si="36">3.5*K34</f>
        <v>240268</v>
      </c>
      <c r="L47" s="99">
        <v>240268</v>
      </c>
      <c r="M47" s="99">
        <f t="shared" ref="M47" si="37">3.5*M34</f>
        <v>240747.5</v>
      </c>
      <c r="N47" s="99">
        <v>240747</v>
      </c>
      <c r="O47" s="99">
        <f t="shared" ref="O47" si="38">3.5*O34</f>
        <v>241230.5</v>
      </c>
      <c r="P47" s="317">
        <v>241230</v>
      </c>
      <c r="Q47" s="99">
        <f t="shared" ref="Q47" si="39">3.5*Q34</f>
        <v>240264.5</v>
      </c>
      <c r="R47" s="317">
        <v>240264</v>
      </c>
      <c r="S47" s="99">
        <f t="shared" ref="S47" si="40">3.5*S34</f>
        <v>242427.5</v>
      </c>
      <c r="T47" s="317">
        <v>242427</v>
      </c>
      <c r="U47" s="99">
        <f t="shared" ref="U47" si="41">3.5*U34</f>
        <v>242427.5</v>
      </c>
      <c r="V47" s="99"/>
      <c r="W47" s="99">
        <f t="shared" ref="W47" si="42">3.5*W34</f>
        <v>0</v>
      </c>
      <c r="X47" s="99"/>
      <c r="Y47" s="99">
        <f t="shared" ref="Y47" si="43">3.5*Y34</f>
        <v>0</v>
      </c>
      <c r="Z47" s="99"/>
      <c r="AA47" s="82">
        <f t="shared" si="31"/>
        <v>2396086</v>
      </c>
      <c r="AB47" s="82">
        <f t="shared" si="32"/>
        <v>1204936</v>
      </c>
    </row>
    <row r="48" spans="1:28">
      <c r="A48" s="139" t="s">
        <v>282</v>
      </c>
      <c r="B48" s="81">
        <v>35000000</v>
      </c>
      <c r="C48" s="82">
        <v>0</v>
      </c>
      <c r="D48" s="82">
        <v>0</v>
      </c>
      <c r="E48" s="82">
        <f>$B$48/10</f>
        <v>3500000</v>
      </c>
      <c r="F48" s="82">
        <v>3261156</v>
      </c>
      <c r="G48" s="82">
        <f>$B$48/10</f>
        <v>3500000</v>
      </c>
      <c r="H48" s="82">
        <v>4674013</v>
      </c>
      <c r="I48" s="82">
        <f t="shared" ref="I48" si="44">$B$48/10</f>
        <v>3500000</v>
      </c>
      <c r="J48" s="82">
        <v>2916325</v>
      </c>
      <c r="K48" s="82">
        <f t="shared" ref="K48" si="45">$B$48/10</f>
        <v>3500000</v>
      </c>
      <c r="L48" s="82">
        <v>8869271</v>
      </c>
      <c r="M48" s="82">
        <f t="shared" ref="M48" si="46">$B$48/10</f>
        <v>3500000</v>
      </c>
      <c r="N48" s="82">
        <v>2409278</v>
      </c>
      <c r="O48" s="82">
        <f t="shared" ref="O48" si="47">$B$48/10</f>
        <v>3500000</v>
      </c>
      <c r="P48" s="295">
        <v>2314854</v>
      </c>
      <c r="Q48" s="82">
        <f t="shared" ref="Q48" si="48">$B$48/10</f>
        <v>3500000</v>
      </c>
      <c r="R48" s="295">
        <v>10923755</v>
      </c>
      <c r="S48" s="82">
        <f t="shared" ref="S48" si="49">$B$48/10</f>
        <v>3500000</v>
      </c>
      <c r="T48" s="295">
        <v>6045956</v>
      </c>
      <c r="U48" s="82">
        <f t="shared" ref="U48" si="50">$B$48/10</f>
        <v>3500000</v>
      </c>
      <c r="V48" s="82"/>
      <c r="W48" s="82">
        <f t="shared" ref="W48" si="51">$B$48/10</f>
        <v>3500000</v>
      </c>
      <c r="X48" s="82"/>
      <c r="Y48" s="82">
        <v>0</v>
      </c>
      <c r="Z48" s="82"/>
      <c r="AA48" s="82">
        <f t="shared" si="18"/>
        <v>35000000</v>
      </c>
      <c r="AB48" s="82">
        <f t="shared" si="19"/>
        <v>41414608</v>
      </c>
    </row>
    <row r="49" spans="1:28">
      <c r="A49" s="139" t="s">
        <v>1129</v>
      </c>
      <c r="B49" s="81">
        <v>40000000</v>
      </c>
      <c r="C49" s="82">
        <v>0</v>
      </c>
      <c r="D49" s="82">
        <v>0</v>
      </c>
      <c r="E49" s="82">
        <v>0</v>
      </c>
      <c r="F49" s="82"/>
      <c r="G49" s="82">
        <v>0</v>
      </c>
      <c r="H49" s="82"/>
      <c r="I49" s="82">
        <f>$B$49/6</f>
        <v>6666666.666666667</v>
      </c>
      <c r="J49" s="82">
        <v>20775000</v>
      </c>
      <c r="K49" s="82">
        <f t="shared" ref="K49" si="52">$B$49/6</f>
        <v>6666666.666666667</v>
      </c>
      <c r="L49" s="82">
        <v>7875000</v>
      </c>
      <c r="M49" s="82">
        <f t="shared" ref="M49" si="53">$B$49/6</f>
        <v>6666666.666666667</v>
      </c>
      <c r="N49" s="82">
        <v>6125000</v>
      </c>
      <c r="O49" s="82">
        <f t="shared" ref="O49" si="54">$B$49/6</f>
        <v>6666666.666666667</v>
      </c>
      <c r="P49" s="295">
        <v>7075000</v>
      </c>
      <c r="Q49" s="82">
        <f t="shared" ref="Q49" si="55">$B$49/6</f>
        <v>6666666.666666667</v>
      </c>
      <c r="R49" s="295">
        <v>6275000</v>
      </c>
      <c r="S49" s="82">
        <f t="shared" ref="S49" si="56">$B$49/6</f>
        <v>6666666.666666667</v>
      </c>
      <c r="T49" s="295">
        <v>1975000</v>
      </c>
      <c r="U49" s="82">
        <v>0</v>
      </c>
      <c r="V49" s="82"/>
      <c r="W49" s="82">
        <v>0</v>
      </c>
      <c r="X49" s="82"/>
      <c r="Y49" s="82">
        <v>0</v>
      </c>
      <c r="Z49" s="82"/>
      <c r="AA49" s="82">
        <f t="shared" ref="AA49:AA51" si="57">C49+E49+G49+K49+I49+M49+O49+Q49+S49+U49+W49+Y49</f>
        <v>40000000</v>
      </c>
      <c r="AB49" s="82">
        <f t="shared" si="19"/>
        <v>50100000</v>
      </c>
    </row>
    <row r="50" spans="1:28">
      <c r="A50" s="139" t="s">
        <v>1130</v>
      </c>
      <c r="B50" s="81">
        <f>250000*12</f>
        <v>3000000</v>
      </c>
      <c r="C50" s="82">
        <f>$B$50/12</f>
        <v>250000</v>
      </c>
      <c r="D50" s="82"/>
      <c r="E50" s="82">
        <f t="shared" ref="E50" si="58">$B$50/12</f>
        <v>250000</v>
      </c>
      <c r="F50" s="82"/>
      <c r="G50" s="82">
        <f t="shared" ref="G50" si="59">$B$50/12</f>
        <v>250000</v>
      </c>
      <c r="H50" s="82"/>
      <c r="I50" s="82">
        <f t="shared" ref="I50" si="60">$B$50/12</f>
        <v>250000</v>
      </c>
      <c r="J50" s="82">
        <v>171522</v>
      </c>
      <c r="K50" s="82">
        <f t="shared" ref="K50" si="61">$B$50/12</f>
        <v>250000</v>
      </c>
      <c r="L50" s="82">
        <v>109740</v>
      </c>
      <c r="M50" s="82">
        <f t="shared" ref="M50" si="62">$B$50/12</f>
        <v>250000</v>
      </c>
      <c r="N50" s="82">
        <v>115870</v>
      </c>
      <c r="O50" s="82">
        <f t="shared" ref="O50" si="63">$B$50/12</f>
        <v>250000</v>
      </c>
      <c r="P50" s="295">
        <v>138280</v>
      </c>
      <c r="Q50" s="82">
        <f t="shared" ref="Q50" si="64">$B$50/12</f>
        <v>250000</v>
      </c>
      <c r="R50" s="295">
        <v>158436</v>
      </c>
      <c r="S50" s="82">
        <f t="shared" ref="S50" si="65">$B$50/12</f>
        <v>250000</v>
      </c>
      <c r="T50" s="295">
        <v>120236</v>
      </c>
      <c r="U50" s="82">
        <f t="shared" ref="U50" si="66">$B$50/12</f>
        <v>250000</v>
      </c>
      <c r="V50" s="82"/>
      <c r="W50" s="82">
        <f t="shared" ref="W50" si="67">$B$50/12</f>
        <v>250000</v>
      </c>
      <c r="X50" s="82"/>
      <c r="Y50" s="82">
        <f t="shared" ref="Y50" si="68">$B$50/12</f>
        <v>250000</v>
      </c>
      <c r="Z50" s="82"/>
      <c r="AA50" s="82">
        <f t="shared" si="57"/>
        <v>3000000</v>
      </c>
      <c r="AB50" s="82">
        <f t="shared" si="19"/>
        <v>814084</v>
      </c>
    </row>
    <row r="51" spans="1:28">
      <c r="A51" s="139" t="s">
        <v>1131</v>
      </c>
      <c r="B51" s="81">
        <f>150000*9</f>
        <v>1350000</v>
      </c>
      <c r="C51" s="82">
        <v>0</v>
      </c>
      <c r="D51" s="82"/>
      <c r="E51" s="82">
        <v>0</v>
      </c>
      <c r="F51" s="82"/>
      <c r="G51" s="82">
        <f>$B$51/9</f>
        <v>150000</v>
      </c>
      <c r="H51" s="82"/>
      <c r="I51" s="82">
        <f t="shared" ref="I51" si="69">$B$51/9</f>
        <v>150000</v>
      </c>
      <c r="J51" s="82">
        <v>0</v>
      </c>
      <c r="K51" s="82">
        <f t="shared" ref="K51" si="70">$B$51/9</f>
        <v>150000</v>
      </c>
      <c r="L51" s="82"/>
      <c r="M51" s="82">
        <f t="shared" ref="M51" si="71">$B$51/9</f>
        <v>150000</v>
      </c>
      <c r="N51" s="82"/>
      <c r="O51" s="82">
        <f t="shared" ref="O51" si="72">$B$51/9</f>
        <v>150000</v>
      </c>
      <c r="P51" s="295">
        <f>1278900+2563308</f>
        <v>3842208</v>
      </c>
      <c r="Q51" s="82">
        <f t="shared" ref="Q51" si="73">$B$51/9</f>
        <v>150000</v>
      </c>
      <c r="R51" s="295">
        <v>485100</v>
      </c>
      <c r="S51" s="82">
        <f t="shared" ref="S51" si="74">$B$51/9</f>
        <v>150000</v>
      </c>
      <c r="T51" s="295">
        <v>352200</v>
      </c>
      <c r="U51" s="82">
        <f t="shared" ref="U51" si="75">$B$51/9</f>
        <v>150000</v>
      </c>
      <c r="V51" s="82"/>
      <c r="W51" s="82">
        <f t="shared" ref="W51" si="76">$B$51/9</f>
        <v>150000</v>
      </c>
      <c r="X51" s="82"/>
      <c r="Y51" s="82">
        <v>0</v>
      </c>
      <c r="Z51" s="82"/>
      <c r="AA51" s="82">
        <f t="shared" si="57"/>
        <v>1350000</v>
      </c>
      <c r="AB51" s="82">
        <f t="shared" si="19"/>
        <v>4679508</v>
      </c>
    </row>
    <row r="52" spans="1:28">
      <c r="A52" s="80" t="s">
        <v>305</v>
      </c>
      <c r="B52" s="64">
        <f>(B38+B39+B40+G12)*C11</f>
        <v>106704000</v>
      </c>
      <c r="C52" s="82">
        <f>(B38+B39+B40+G12)*C11</f>
        <v>106704000</v>
      </c>
      <c r="D52" s="82">
        <f>($B$37+$B$38+$B$39+$B$40-159)*C11</f>
        <v>106002000</v>
      </c>
      <c r="E52" s="82">
        <v>0</v>
      </c>
      <c r="F52" s="82"/>
      <c r="G52" s="82">
        <v>0</v>
      </c>
      <c r="H52" s="82"/>
      <c r="I52" s="82">
        <v>0</v>
      </c>
      <c r="J52" s="82"/>
      <c r="K52" s="82">
        <v>0</v>
      </c>
      <c r="L52" s="82"/>
      <c r="M52" s="82">
        <v>0</v>
      </c>
      <c r="N52" s="82"/>
      <c r="O52" s="82">
        <v>0</v>
      </c>
      <c r="P52" s="82">
        <v>0</v>
      </c>
      <c r="Q52" s="82">
        <v>0</v>
      </c>
      <c r="R52" s="82"/>
      <c r="S52" s="82">
        <v>0</v>
      </c>
      <c r="T52" s="82">
        <v>0</v>
      </c>
      <c r="U52" s="82">
        <v>0</v>
      </c>
      <c r="V52" s="82"/>
      <c r="W52" s="82">
        <v>0</v>
      </c>
      <c r="X52" s="82"/>
      <c r="Y52" s="82">
        <v>0</v>
      </c>
      <c r="Z52" s="82"/>
      <c r="AA52" s="82">
        <f t="shared" si="18"/>
        <v>106704000</v>
      </c>
      <c r="AB52" s="82">
        <f t="shared" si="19"/>
        <v>106002000</v>
      </c>
    </row>
    <row r="53" spans="1:28">
      <c r="A53" s="80" t="s">
        <v>1166</v>
      </c>
      <c r="B53" s="82">
        <f>($B$37-$G$12)*C15</f>
        <v>13266500</v>
      </c>
      <c r="C53" s="82">
        <f>($B$37-$G$12)*C15</f>
        <v>13266500</v>
      </c>
      <c r="D53" s="82">
        <f>($B$37-$G$12-2)*C15</f>
        <v>13097500</v>
      </c>
      <c r="E53" s="82">
        <v>0</v>
      </c>
      <c r="F53" s="82">
        <v>0</v>
      </c>
      <c r="G53" s="82">
        <v>0</v>
      </c>
      <c r="H53" s="82">
        <v>0</v>
      </c>
      <c r="I53" s="82">
        <v>0</v>
      </c>
      <c r="J53" s="82">
        <v>0</v>
      </c>
      <c r="K53" s="82">
        <v>0</v>
      </c>
      <c r="L53" s="82">
        <v>0</v>
      </c>
      <c r="M53" s="82">
        <v>0</v>
      </c>
      <c r="N53" s="82">
        <v>0</v>
      </c>
      <c r="O53" s="82">
        <v>0</v>
      </c>
      <c r="P53" s="82">
        <v>0</v>
      </c>
      <c r="Q53" s="82">
        <v>0</v>
      </c>
      <c r="R53" s="82">
        <v>0</v>
      </c>
      <c r="S53" s="82">
        <v>0</v>
      </c>
      <c r="T53" s="82">
        <v>0</v>
      </c>
      <c r="U53" s="82">
        <v>0</v>
      </c>
      <c r="V53" s="82">
        <v>0</v>
      </c>
      <c r="W53" s="82">
        <v>0</v>
      </c>
      <c r="X53" s="82">
        <v>0</v>
      </c>
      <c r="Y53" s="82">
        <v>0</v>
      </c>
      <c r="Z53" s="82">
        <v>0</v>
      </c>
      <c r="AA53" s="82">
        <f t="shared" ref="AA53:AA54" si="77">C53+E53+G53+K53+I53+M53+O53+Q53+S53+U53+W53+Y53</f>
        <v>13266500</v>
      </c>
      <c r="AB53" s="82">
        <f t="shared" ref="AB53:AB54" si="78">D53+F53+H53+L53+J53+N53+P53+R53+T53+V53+X53+Z53</f>
        <v>13097500</v>
      </c>
    </row>
    <row r="54" spans="1:28">
      <c r="A54" s="80" t="s">
        <v>1167</v>
      </c>
      <c r="B54" s="82">
        <f>($B$37-$G$12)*$C$17</f>
        <v>11021400</v>
      </c>
      <c r="C54" s="82">
        <f>($B$37-$G$12)*$C$17</f>
        <v>11021400</v>
      </c>
      <c r="D54" s="82">
        <f>($B$37-$G$12-2)*C17</f>
        <v>10881000</v>
      </c>
      <c r="E54" s="82">
        <v>0</v>
      </c>
      <c r="F54" s="82">
        <v>0</v>
      </c>
      <c r="G54" s="82">
        <v>0</v>
      </c>
      <c r="H54" s="82">
        <v>0</v>
      </c>
      <c r="I54" s="82">
        <v>0</v>
      </c>
      <c r="J54" s="82">
        <v>0</v>
      </c>
      <c r="K54" s="82">
        <v>0</v>
      </c>
      <c r="L54" s="82">
        <v>0</v>
      </c>
      <c r="M54" s="82">
        <v>0</v>
      </c>
      <c r="N54" s="82">
        <v>0</v>
      </c>
      <c r="O54" s="82">
        <v>0</v>
      </c>
      <c r="P54" s="82">
        <v>0</v>
      </c>
      <c r="Q54" s="82">
        <v>0</v>
      </c>
      <c r="R54" s="82">
        <v>0</v>
      </c>
      <c r="S54" s="82">
        <v>0</v>
      </c>
      <c r="T54" s="82">
        <v>0</v>
      </c>
      <c r="U54" s="82">
        <v>0</v>
      </c>
      <c r="V54" s="82">
        <v>0</v>
      </c>
      <c r="W54" s="82">
        <v>0</v>
      </c>
      <c r="X54" s="82">
        <v>0</v>
      </c>
      <c r="Y54" s="82">
        <v>0</v>
      </c>
      <c r="Z54" s="82">
        <v>0</v>
      </c>
      <c r="AA54" s="82">
        <f t="shared" si="77"/>
        <v>11021400</v>
      </c>
      <c r="AB54" s="82">
        <f t="shared" si="78"/>
        <v>10881000</v>
      </c>
    </row>
    <row r="55" spans="1:28">
      <c r="A55" s="80" t="s">
        <v>1193</v>
      </c>
      <c r="B55" s="64">
        <f>(B37-G12)*C13</f>
        <v>489840000</v>
      </c>
      <c r="C55" s="82">
        <f>(B37-G12)*C13</f>
        <v>489840000</v>
      </c>
      <c r="D55" s="82">
        <f>(B37-G12)*C13</f>
        <v>489840000</v>
      </c>
      <c r="E55" s="82">
        <v>0</v>
      </c>
      <c r="F55" s="82">
        <v>0</v>
      </c>
      <c r="G55" s="82">
        <v>0</v>
      </c>
      <c r="H55" s="82">
        <v>0</v>
      </c>
      <c r="I55" s="82">
        <v>0</v>
      </c>
      <c r="J55" s="82">
        <v>0</v>
      </c>
      <c r="K55" s="82">
        <v>0</v>
      </c>
      <c r="L55" s="82">
        <v>0</v>
      </c>
      <c r="M55" s="82">
        <v>0</v>
      </c>
      <c r="N55" s="82">
        <v>0</v>
      </c>
      <c r="O55" s="82">
        <v>0</v>
      </c>
      <c r="P55" s="82">
        <v>0</v>
      </c>
      <c r="Q55" s="82">
        <v>0</v>
      </c>
      <c r="R55" s="82">
        <v>0</v>
      </c>
      <c r="S55" s="82">
        <v>0</v>
      </c>
      <c r="T55" s="82">
        <v>0</v>
      </c>
      <c r="U55" s="82">
        <v>0</v>
      </c>
      <c r="V55" s="82">
        <v>0</v>
      </c>
      <c r="W55" s="82">
        <v>0</v>
      </c>
      <c r="X55" s="82">
        <v>0</v>
      </c>
      <c r="Y55" s="82">
        <v>0</v>
      </c>
      <c r="Z55" s="82">
        <v>0</v>
      </c>
      <c r="AA55" s="82">
        <f t="shared" si="18"/>
        <v>489840000</v>
      </c>
      <c r="AB55" s="82">
        <f t="shared" si="19"/>
        <v>489840000</v>
      </c>
    </row>
    <row r="56" spans="1:28">
      <c r="A56" s="139" t="s">
        <v>283</v>
      </c>
      <c r="B56" s="81">
        <v>21000000</v>
      </c>
      <c r="C56" s="82">
        <v>0</v>
      </c>
      <c r="D56" s="82">
        <v>0</v>
      </c>
      <c r="E56" s="82">
        <f>$B$48/10</f>
        <v>3500000</v>
      </c>
      <c r="F56" s="82"/>
      <c r="G56" s="82">
        <f>$B$48/10</f>
        <v>3500000</v>
      </c>
      <c r="H56" s="82"/>
      <c r="I56" s="82">
        <f t="shared" ref="I56" si="79">$B$48/10</f>
        <v>3500000</v>
      </c>
      <c r="J56" s="82">
        <v>185480</v>
      </c>
      <c r="K56" s="82">
        <f t="shared" ref="K56" si="80">$B$48/10</f>
        <v>3500000</v>
      </c>
      <c r="L56" s="82">
        <v>49680</v>
      </c>
      <c r="M56" s="82">
        <f t="shared" ref="M56" si="81">$B$48/10</f>
        <v>3500000</v>
      </c>
      <c r="N56" s="82"/>
      <c r="O56" s="82">
        <f t="shared" ref="O56" si="82">$B$48/10</f>
        <v>3500000</v>
      </c>
      <c r="P56" s="295">
        <v>53340</v>
      </c>
      <c r="Q56" s="82">
        <f t="shared" ref="Q56" si="83">$B$48/10</f>
        <v>3500000</v>
      </c>
      <c r="R56" s="295">
        <v>100320</v>
      </c>
      <c r="S56" s="82">
        <f t="shared" ref="S56" si="84">$B$48/10</f>
        <v>3500000</v>
      </c>
      <c r="T56" s="295">
        <v>64120</v>
      </c>
      <c r="U56" s="82">
        <f t="shared" ref="U56" si="85">$B$48/10</f>
        <v>3500000</v>
      </c>
      <c r="V56" s="82"/>
      <c r="W56" s="82">
        <f t="shared" ref="W56" si="86">$B$48/10</f>
        <v>3500000</v>
      </c>
      <c r="X56" s="82"/>
      <c r="Y56" s="82">
        <v>0</v>
      </c>
      <c r="Z56" s="82"/>
      <c r="AA56" s="82">
        <f t="shared" si="18"/>
        <v>35000000</v>
      </c>
      <c r="AB56" s="82">
        <f t="shared" si="19"/>
        <v>452940</v>
      </c>
    </row>
    <row r="57" spans="1:28">
      <c r="A57" s="80" t="s">
        <v>284</v>
      </c>
      <c r="B57" s="64">
        <f t="shared" ref="B57:AA57" si="87">SUM(B44:B56)</f>
        <v>919378996.5</v>
      </c>
      <c r="C57" s="82">
        <f t="shared" si="87"/>
        <v>639446110.5</v>
      </c>
      <c r="D57" s="82">
        <f t="shared" si="87"/>
        <v>619820500</v>
      </c>
      <c r="E57" s="82">
        <f t="shared" si="87"/>
        <v>219056638</v>
      </c>
      <c r="F57" s="82">
        <f t="shared" si="87"/>
        <v>205782788</v>
      </c>
      <c r="G57" s="82">
        <f t="shared" si="87"/>
        <v>218120478</v>
      </c>
      <c r="H57" s="82">
        <f t="shared" si="87"/>
        <v>199084693</v>
      </c>
      <c r="I57" s="82">
        <f t="shared" si="87"/>
        <v>223145628.66666666</v>
      </c>
      <c r="J57" s="82">
        <f t="shared" si="87"/>
        <v>230824043</v>
      </c>
      <c r="K57" s="82">
        <f t="shared" si="87"/>
        <v>221522707.66666666</v>
      </c>
      <c r="L57" s="82">
        <f t="shared" si="87"/>
        <v>217677191</v>
      </c>
      <c r="M57" s="82">
        <f t="shared" si="87"/>
        <v>219844184.01666665</v>
      </c>
      <c r="N57" s="82">
        <f t="shared" si="87"/>
        <v>204896860</v>
      </c>
      <c r="O57" s="82">
        <f t="shared" si="87"/>
        <v>218165763.61666664</v>
      </c>
      <c r="P57" s="82">
        <f>SUM(P44:P56)</f>
        <v>206267826</v>
      </c>
      <c r="Q57" s="82">
        <f t="shared" si="87"/>
        <v>216374902.91666666</v>
      </c>
      <c r="R57" s="82">
        <f t="shared" si="87"/>
        <v>209466221</v>
      </c>
      <c r="S57" s="82">
        <f t="shared" si="87"/>
        <v>214826556.46666667</v>
      </c>
      <c r="T57" s="82">
        <f t="shared" si="87"/>
        <v>191676858</v>
      </c>
      <c r="U57" s="82">
        <f t="shared" si="87"/>
        <v>206444347.5</v>
      </c>
      <c r="V57" s="82">
        <f t="shared" si="87"/>
        <v>181896000</v>
      </c>
      <c r="W57" s="82">
        <f t="shared" si="87"/>
        <v>185864000</v>
      </c>
      <c r="X57" s="82">
        <f t="shared" si="87"/>
        <v>181896000</v>
      </c>
      <c r="Y57" s="82">
        <f t="shared" si="87"/>
        <v>176998000</v>
      </c>
      <c r="Z57" s="82">
        <f t="shared" si="87"/>
        <v>181896000</v>
      </c>
      <c r="AA57" s="82">
        <f t="shared" si="87"/>
        <v>2959809317.3499999</v>
      </c>
      <c r="AB57" s="82">
        <f>SUM(AB44:AB56)</f>
        <v>2831184980</v>
      </c>
    </row>
    <row r="58" spans="1:28">
      <c r="A58" s="397" t="s">
        <v>280</v>
      </c>
      <c r="B58" s="397"/>
      <c r="C58" s="385">
        <f>D57-C57</f>
        <v>-19625610.5</v>
      </c>
      <c r="D58" s="385"/>
      <c r="E58" s="385">
        <f t="shared" ref="E58" si="88">F57-E57</f>
        <v>-13273850</v>
      </c>
      <c r="F58" s="385"/>
      <c r="G58" s="385">
        <f t="shared" ref="G58" si="89">H57-G57</f>
        <v>-19035785</v>
      </c>
      <c r="H58" s="385"/>
      <c r="I58" s="385">
        <f t="shared" ref="I58" si="90">J57-I57</f>
        <v>7678414.3333333433</v>
      </c>
      <c r="J58" s="385"/>
      <c r="K58" s="385">
        <f t="shared" ref="K58" si="91">L57-K57</f>
        <v>-3845516.6666666567</v>
      </c>
      <c r="L58" s="385"/>
      <c r="M58" s="385">
        <f t="shared" ref="M58" si="92">N57-M57</f>
        <v>-14947324.016666651</v>
      </c>
      <c r="N58" s="385"/>
      <c r="O58" s="385">
        <f t="shared" ref="O58" si="93">P57-O57</f>
        <v>-11897937.616666645</v>
      </c>
      <c r="P58" s="385"/>
      <c r="Q58" s="385">
        <f t="shared" ref="Q58" si="94">R57-Q57</f>
        <v>-6908681.9166666567</v>
      </c>
      <c r="R58" s="385"/>
      <c r="S58" s="385">
        <f t="shared" ref="S58" si="95">T57-S57</f>
        <v>-23149698.466666669</v>
      </c>
      <c r="T58" s="385"/>
      <c r="U58" s="385">
        <f t="shared" ref="U58" si="96">V57-U57</f>
        <v>-24548347.5</v>
      </c>
      <c r="V58" s="385"/>
      <c r="W58" s="385">
        <f t="shared" ref="W58" si="97">X57-W57</f>
        <v>-3968000</v>
      </c>
      <c r="X58" s="385"/>
      <c r="Y58" s="385">
        <f t="shared" ref="Y58" si="98">Z57-Y57</f>
        <v>4898000</v>
      </c>
      <c r="Z58" s="385"/>
      <c r="AA58" s="385">
        <f t="shared" ref="AA58" si="99">AB57-AA57</f>
        <v>-128624337.3499999</v>
      </c>
      <c r="AB58" s="385"/>
    </row>
    <row r="59" spans="1:28">
      <c r="A59" s="65" t="s">
        <v>275</v>
      </c>
      <c r="B59" s="64">
        <f>(B37+B38)*$G$5+(B39+B40)*G6</f>
        <v>81798820</v>
      </c>
      <c r="C59" s="82">
        <f>(($B$38-C38)*$G$5)+(($B$39+$B$40-C39-C40)*$G$6)</f>
        <v>62559836</v>
      </c>
      <c r="D59" s="82">
        <f>(($B$38-D38)*$G$5)+(($B$39+$B$40-D39-D40)*$G$6)</f>
        <v>63348890</v>
      </c>
      <c r="E59" s="82">
        <f>(($B$37-E37+$B$38-E38-C38)*$G$5)+($B$39+$B$40-C39-C40-E39-E40)*$G$6</f>
        <v>80181123</v>
      </c>
      <c r="F59" s="82">
        <f>(($B$37-F37+$B$38-F38-D38)*$G$5)+($B$39+$B$40-D39-D40-F39-F40)*$G$6</f>
        <v>80930588</v>
      </c>
      <c r="G59" s="82">
        <f>(($B$37-G37+$B$38-G38-E38-C38-E37)*$G$5)+($B$39+$B$40-E39-E40-G39-G40-C39-C40)*$G$6</f>
        <v>79855536</v>
      </c>
      <c r="H59" s="82">
        <f>(($B$37-H37+$B$38-H38-F38-D38-F37)*$G$5)+($B$39+$B$40-F39-F40-H39-H40-D39-D40)*$G$6</f>
        <v>80605001</v>
      </c>
      <c r="I59" s="82">
        <f>(($B$37-I37+$B$38-I38-G38-E38-G37-E37-C38)*$G$5)+($B$39+$B$40-G39-G40-I39-I40-E39-E40-C39-C40)*$G$6</f>
        <v>79243951</v>
      </c>
      <c r="J59" s="82">
        <f>(($B$37-J37+$B$38-J38-H38-F38-H37-F37-D38)*$G$5)+($B$39+$B$40-H39-H40-J39-J40-F39-F40-D39-D40)*$G$6</f>
        <v>80062356</v>
      </c>
      <c r="K59" s="82">
        <f>(($B$37-K37+$B$38-K38-I38-G38-I37-G37-E38-C38-E37)*$G$5)+($B$39+$B$40-I39-I40-K39-K40-G39-G40-E39-E40-C39-C40)*$G$6</f>
        <v>78632366</v>
      </c>
      <c r="L59" s="82">
        <f>(($B$37-L37+$B$38-L38-J38-H38-J37-H37-F38-D38-F37)*$G$5)+($B$39+$B$40-J39-J40-L39-L40-H39-H40-F39-F40-D39-D40)*$G$6</f>
        <v>79302653</v>
      </c>
      <c r="M59" s="82">
        <f>(($B$37-M37+$B$38-M38-K38-I38-K37-I37-G38-E38-G37-E37-C38)*$G$5)+($B$39+$B$40-K39-K40-M39-M40-I39-I40-G39-G40-E39-E40-C39-C40)*$G$6</f>
        <v>78020781</v>
      </c>
      <c r="N59" s="82">
        <f>(($B$37-N37+$B$38-N38-L38-J38-L37-J37-H38-F38-H37-F37-D38)*$G$5)+($B$39+$B$40-L39-L40-N39-N40-J39-J40-H39-H40-F39-F40-D39-D40)*$G$6</f>
        <v>78760008</v>
      </c>
      <c r="O59" s="82">
        <f>(($B$37-O37+$B$38-O38-M38-K38-M37-K37-I38-G38-I37-G37-E38-E37-C38)*$G$5)+($B$39+$B$40-M39-M40-O39-O40-K39-K40-I39-I40-G39-G40-E39-E40-C39-C40)*$G$6</f>
        <v>77409196</v>
      </c>
      <c r="P59" s="82">
        <f>(($B$37-P37+$B$38-P38-N38-L38-N37-L37-J38-H38-J37-H37-F38-F37-D38)*$G$5)+($B$39+$B$40-N39-N40-P39-P40-L39-L40-J39-J40-H39-H40-F39-F40-D39-D40)*$G$6</f>
        <v>78434421</v>
      </c>
      <c r="Q59" s="82">
        <f>(($B$37-Q37+$B$38-Q38-O38-M38-O37-M37-K38-I38-K37-I37-G38-G37-E38-E37-C38)*$G$5)+($B$39+$B$40-O39-O40-Q39-Q40-M39-M40-K39-K40-I39-I40-G39-G40-E39-E40-C39-C40)*$G$6</f>
        <v>76797611</v>
      </c>
      <c r="R59" s="82">
        <f>(($B$37-R37+$B$38-R38-P38-N38-P37-N37-L38-J38-L37-J37-H38-H37-F38-F37-D38)*$G$5)+($B$39+$B$40-P39-P40-R39-R40-N39-N40-L39-L40-J39-J40-H39-H40-F39-F40-D39-D40)*$G$6</f>
        <v>78108834</v>
      </c>
      <c r="S59" s="82">
        <f>(($B$37-S37+$B$38-S38-Q38-O38-Q37-O37-M38-K38-M37-K37-I38-I37-G38-G37-E38-E37-C38)*$G$5)+($B$39+$B$40-Q39-Q40-S39-S40-O39-O40-M39-M40-K39-K40-I39-I40-G39-G40-E39-E40-C39-C40)*$G$6</f>
        <v>76186026</v>
      </c>
      <c r="T59" s="82">
        <f>(($B$37-T37+$B$38-T38-R38-P38-R37-P37-N38-L38-N37-L37-J38-J37-H38-H37-F38-F37-D38)*$G$5)+($B$39+$B$40-R39-R40-T39-T40-P39-P40-N39-N40-L39-L40-J39-J40-H39-H40-F39-F40-D39-D40)*$G$6</f>
        <v>77783247</v>
      </c>
      <c r="U59" s="82">
        <f>(($B$37-U37+$B$38-U38-S38-Q38-S37-Q37-O38-M38-O37-M37-K38-K37-I38-I37-G38-G37-E38-E37-C38)*$G$5)+($B$39+$B$40-S39-S40-U39-U40-Q39-Q40-O39-O40-M39-M40-K39-K40-I39-I40-G39-G40-E39-E40-C39-C40)*$G$6</f>
        <v>75574441</v>
      </c>
      <c r="V59" s="82">
        <f>(($B$37-V37+$B$38-V38-T38-R38-T37-R37-P38-N38-P37-N37-L38-L37-J38-J37-H38-H37-F38-F37-D38)*$G$5)+($B$39+$B$40-T39-T40-V39-V40-R39-R40-P39-P40-N39-N40-L39-L40-J39-J40-H39-H40-F39-F40-D39-D40)*$G$6</f>
        <v>77783247</v>
      </c>
      <c r="W59" s="82">
        <f>(($B$37-W37+$B$38-W38-U38-S38-U37-S37-Q38-O38-Q37-O37-M38-M37-K38-K37-I38-I37-G38-G37-E38-E37-C38)*$G$5)+($B$39+$B$40-U39-U40-W39-W40-S39-S40-Q39-Q40-O39-O40-M39-M40-K39-K40-I39-I40-G39-G40-E39-E40-C39-C40)*$G$6</f>
        <v>74962856</v>
      </c>
      <c r="X59" s="82">
        <f>(($B$37-X37+$B$38-X38-V38-T38-V37-T37-R38-P38-R37-P37-N38-N37-L38-L37-J38-J37-H38-H37-F38-F37-D38)*$G$5)+($B$39+$B$40-V39-V40-X39-X40-T39-T40-R39-R40-P39-P40-N39-N40-L39-L40-J39-J40-H39-H40-F39-F40-D39-D40)*$G$6</f>
        <v>77783247</v>
      </c>
      <c r="Y59" s="82">
        <f>(($B$37-Y37+$B$38-Y38-W38-U38-W37-U37-S38-Q38-S37-Q37-O38-O37-M38-M37-K38-K37-I38-I37-G38-G37-E38-E37-C38)*$G$5)+($B$39+$B$40-W39-W40-Y39-Y40-U39-U40-S39-S40-Q39-Q40-O39-O40-M39-M40-K39-K40-I39-I40-G39-G40-E39-E40-C39-C40)*$G$6</f>
        <v>74351271</v>
      </c>
      <c r="Z59" s="82">
        <f>(($B$37-Z37+$B$38-Z38-X38-V38-X37-V37-T38-R38-T37-R37-P38-P37-N38-N37-L38-L37-J38-J37-H38-H37-F38-F37-D38)*$G$5)+($B$39+$B$40-X39-X40-Z39-Z40-V39-V40-T39-T40-R39-R40-P39-P40-N39-N40-L39-L40-J39-J40-H39-H40-F39-F40-D39-D40)*$G$6</f>
        <v>77783247</v>
      </c>
      <c r="AA59" s="82">
        <f t="shared" ref="AA59:AB59" si="100">C59+E59+G59+K59+I59+M59+O59+Q59+S59+U59+W59+Y59</f>
        <v>913774994</v>
      </c>
      <c r="AB59" s="82">
        <f t="shared" si="100"/>
        <v>930685739</v>
      </c>
    </row>
    <row r="60" spans="1:28">
      <c r="A60" s="397" t="s">
        <v>281</v>
      </c>
      <c r="B60" s="397"/>
      <c r="C60" s="385">
        <f>D59-C59</f>
        <v>789054</v>
      </c>
      <c r="D60" s="385"/>
      <c r="E60" s="385">
        <f t="shared" ref="E60" si="101">F59-E59</f>
        <v>749465</v>
      </c>
      <c r="F60" s="385"/>
      <c r="G60" s="385">
        <f t="shared" ref="G60" si="102">H59-G59</f>
        <v>749465</v>
      </c>
      <c r="H60" s="385"/>
      <c r="I60" s="385">
        <f t="shared" ref="I60" si="103">J59-I59</f>
        <v>818405</v>
      </c>
      <c r="J60" s="385"/>
      <c r="K60" s="385">
        <f t="shared" ref="K60" si="104">L59-K59</f>
        <v>670287</v>
      </c>
      <c r="L60" s="385"/>
      <c r="M60" s="385">
        <f t="shared" ref="M60" si="105">N59-M59</f>
        <v>739227</v>
      </c>
      <c r="N60" s="385"/>
      <c r="O60" s="385">
        <f t="shared" ref="O60" si="106">P59-O59</f>
        <v>1025225</v>
      </c>
      <c r="P60" s="385"/>
      <c r="Q60" s="385">
        <f t="shared" ref="Q60" si="107">R59-Q59</f>
        <v>1311223</v>
      </c>
      <c r="R60" s="385"/>
      <c r="S60" s="385">
        <f t="shared" ref="S60" si="108">T59-S59</f>
        <v>1597221</v>
      </c>
      <c r="T60" s="385"/>
      <c r="U60" s="385">
        <f t="shared" ref="U60" si="109">V59-U59</f>
        <v>2208806</v>
      </c>
      <c r="V60" s="385"/>
      <c r="W60" s="385">
        <f t="shared" ref="W60" si="110">X59-W59</f>
        <v>2820391</v>
      </c>
      <c r="X60" s="385"/>
      <c r="Y60" s="385">
        <f t="shared" ref="Y60" si="111">Z59-Y59</f>
        <v>3431976</v>
      </c>
      <c r="Z60" s="385"/>
      <c r="AA60" s="385">
        <f t="shared" ref="AA60" si="112">AB59-AA59</f>
        <v>16910745</v>
      </c>
      <c r="AB60" s="385"/>
    </row>
    <row r="61" spans="1:28">
      <c r="A61" s="77"/>
      <c r="B61" s="77"/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  <c r="T61" s="78"/>
      <c r="U61" s="78"/>
      <c r="V61" s="78"/>
      <c r="W61" s="78"/>
      <c r="X61" s="78"/>
      <c r="Y61" s="78"/>
      <c r="Z61" s="78"/>
      <c r="AA61" s="78"/>
      <c r="AB61" s="78"/>
    </row>
    <row r="62" spans="1:28">
      <c r="C62" s="78"/>
      <c r="D62" s="78"/>
      <c r="E62" s="78"/>
      <c r="F62" s="78"/>
      <c r="G62" s="78"/>
      <c r="H62" s="78"/>
      <c r="I62" s="78"/>
      <c r="J62" s="78"/>
      <c r="K62" s="78"/>
      <c r="L62" s="78"/>
      <c r="M62" s="78"/>
      <c r="N62" s="78"/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8"/>
      <c r="Z62" s="78"/>
      <c r="AA62" s="78"/>
      <c r="AB62" s="78"/>
    </row>
    <row r="63" spans="1:28"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8"/>
      <c r="Z63" s="78"/>
      <c r="AA63" s="78"/>
      <c r="AB63" s="78"/>
    </row>
    <row r="64" spans="1:28">
      <c r="C64" s="78"/>
      <c r="D64" s="78"/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  <c r="AA64" s="78"/>
      <c r="AB64" s="78"/>
    </row>
    <row r="65" spans="2:28" ht="168.75" customHeight="1"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8"/>
      <c r="AB65" s="78"/>
    </row>
    <row r="66" spans="2:28">
      <c r="C66" s="78"/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8"/>
      <c r="Z66" s="78"/>
      <c r="AA66" s="78"/>
      <c r="AB66" s="78"/>
    </row>
    <row r="67" spans="2:28" s="180" customFormat="1" ht="17.399999999999999">
      <c r="B67" s="399" t="s">
        <v>1189</v>
      </c>
      <c r="C67" s="399"/>
      <c r="D67" s="399"/>
      <c r="G67" s="181"/>
      <c r="J67" s="181"/>
      <c r="K67" s="182"/>
      <c r="L67" s="399" t="s">
        <v>1413</v>
      </c>
      <c r="M67" s="399"/>
      <c r="N67" s="399"/>
      <c r="O67" s="399"/>
      <c r="W67" s="399" t="s">
        <v>1174</v>
      </c>
      <c r="X67" s="399"/>
      <c r="Y67" s="399"/>
      <c r="Z67" s="399"/>
    </row>
    <row r="68" spans="2:28" s="180" customFormat="1" ht="17.399999999999999">
      <c r="B68" s="399" t="s">
        <v>1188</v>
      </c>
      <c r="C68" s="399"/>
      <c r="D68" s="399"/>
      <c r="L68" s="399" t="s">
        <v>1190</v>
      </c>
      <c r="M68" s="399"/>
      <c r="N68" s="399"/>
      <c r="O68" s="399"/>
      <c r="W68" s="399" t="s">
        <v>1175</v>
      </c>
      <c r="X68" s="399"/>
      <c r="Y68" s="399"/>
      <c r="Z68" s="399"/>
    </row>
    <row r="69" spans="2:28" s="180" customFormat="1" ht="17.399999999999999">
      <c r="B69" s="399" t="s">
        <v>1191</v>
      </c>
      <c r="C69" s="399"/>
      <c r="D69" s="399"/>
      <c r="L69" s="399" t="s">
        <v>1192</v>
      </c>
      <c r="M69" s="399"/>
      <c r="N69" s="399"/>
      <c r="O69" s="399"/>
      <c r="W69" s="399" t="s">
        <v>1185</v>
      </c>
      <c r="X69" s="399"/>
      <c r="Y69" s="399"/>
      <c r="Z69" s="399"/>
    </row>
    <row r="70" spans="2:28" s="180" customFormat="1" ht="15" customHeight="1">
      <c r="B70" s="400"/>
      <c r="C70" s="400"/>
      <c r="D70" s="400"/>
      <c r="H70" s="183"/>
      <c r="I70" s="184"/>
      <c r="J70" s="184"/>
      <c r="W70" s="400"/>
      <c r="X70" s="400"/>
      <c r="Y70" s="400"/>
      <c r="Z70" s="400"/>
    </row>
    <row r="71" spans="2:28" s="180" customFormat="1" ht="17.399999999999999">
      <c r="B71" s="400"/>
      <c r="C71" s="400"/>
      <c r="D71" s="400"/>
      <c r="H71" s="183"/>
      <c r="I71" s="184"/>
      <c r="J71" s="184"/>
      <c r="W71" s="400"/>
      <c r="X71" s="400"/>
      <c r="Y71" s="400"/>
      <c r="Z71" s="400"/>
    </row>
    <row r="72" spans="2:28" s="184" customFormat="1" ht="17.399999999999999">
      <c r="H72" s="183"/>
    </row>
    <row r="73" spans="2:28" s="184" customFormat="1" ht="17.399999999999999"/>
    <row r="74" spans="2:28" s="184" customFormat="1" ht="117" customHeight="1"/>
    <row r="75" spans="2:28" s="180" customFormat="1" ht="17.399999999999999">
      <c r="B75" s="401" t="s">
        <v>1176</v>
      </c>
      <c r="C75" s="401"/>
      <c r="D75" s="401"/>
      <c r="L75" s="399" t="s">
        <v>1177</v>
      </c>
      <c r="M75" s="399"/>
      <c r="N75" s="399"/>
      <c r="O75" s="399"/>
      <c r="W75" s="399" t="s">
        <v>1182</v>
      </c>
      <c r="X75" s="399"/>
      <c r="Y75" s="399"/>
      <c r="Z75" s="399"/>
    </row>
    <row r="76" spans="2:28" s="180" customFormat="1" ht="17.399999999999999">
      <c r="B76" s="401" t="s">
        <v>1178</v>
      </c>
      <c r="C76" s="401"/>
      <c r="D76" s="401"/>
      <c r="L76" s="399" t="s">
        <v>1179</v>
      </c>
      <c r="M76" s="399"/>
      <c r="N76" s="399"/>
      <c r="O76" s="399"/>
      <c r="W76" s="401" t="s">
        <v>1183</v>
      </c>
      <c r="X76" s="401"/>
      <c r="Y76" s="401"/>
      <c r="Z76" s="401"/>
    </row>
    <row r="77" spans="2:28" s="180" customFormat="1" ht="17.399999999999999">
      <c r="B77" s="401" t="s">
        <v>1180</v>
      </c>
      <c r="C77" s="401"/>
      <c r="D77" s="401"/>
      <c r="G77" s="181"/>
      <c r="J77" s="181"/>
      <c r="K77" s="182"/>
      <c r="L77" s="399" t="s">
        <v>1181</v>
      </c>
      <c r="M77" s="399"/>
      <c r="N77" s="399"/>
      <c r="O77" s="399"/>
      <c r="P77" s="183"/>
      <c r="W77" s="401" t="s">
        <v>1184</v>
      </c>
      <c r="X77" s="401"/>
      <c r="Y77" s="401"/>
      <c r="Z77" s="401"/>
    </row>
    <row r="79" spans="2:28">
      <c r="C79" s="27"/>
    </row>
    <row r="85" spans="4:12">
      <c r="D85" s="27"/>
      <c r="E85" s="27"/>
      <c r="F85" s="27"/>
      <c r="G85" s="27"/>
      <c r="H85" s="27"/>
      <c r="I85" s="27"/>
      <c r="J85" s="27"/>
      <c r="K85" s="27"/>
      <c r="L85" s="27"/>
    </row>
  </sheetData>
  <mergeCells count="143">
    <mergeCell ref="W67:Z67"/>
    <mergeCell ref="W68:Z68"/>
    <mergeCell ref="W69:Z69"/>
    <mergeCell ref="W70:Z70"/>
    <mergeCell ref="W71:Z71"/>
    <mergeCell ref="W75:Z75"/>
    <mergeCell ref="W76:Z76"/>
    <mergeCell ref="W77:Z77"/>
    <mergeCell ref="L67:O67"/>
    <mergeCell ref="L68:O68"/>
    <mergeCell ref="L69:O69"/>
    <mergeCell ref="L75:O75"/>
    <mergeCell ref="L76:O76"/>
    <mergeCell ref="L77:O77"/>
    <mergeCell ref="B67:D67"/>
    <mergeCell ref="B68:D68"/>
    <mergeCell ref="B69:D69"/>
    <mergeCell ref="B70:D70"/>
    <mergeCell ref="B71:D71"/>
    <mergeCell ref="B75:D75"/>
    <mergeCell ref="B76:D76"/>
    <mergeCell ref="B77:D77"/>
    <mergeCell ref="S60:T60"/>
    <mergeCell ref="U60:V60"/>
    <mergeCell ref="W60:X60"/>
    <mergeCell ref="Y60:Z60"/>
    <mergeCell ref="AA60:AB60"/>
    <mergeCell ref="I60:J60"/>
    <mergeCell ref="K60:L60"/>
    <mergeCell ref="M60:N60"/>
    <mergeCell ref="O60:P60"/>
    <mergeCell ref="Q60:R60"/>
    <mergeCell ref="S58:T58"/>
    <mergeCell ref="U58:V58"/>
    <mergeCell ref="W58:X58"/>
    <mergeCell ref="Y58:Z58"/>
    <mergeCell ref="AA58:AB58"/>
    <mergeCell ref="I58:J58"/>
    <mergeCell ref="K58:L58"/>
    <mergeCell ref="M58:N58"/>
    <mergeCell ref="O58:P58"/>
    <mergeCell ref="Q58:R58"/>
    <mergeCell ref="A58:B58"/>
    <mergeCell ref="A60:B60"/>
    <mergeCell ref="C58:D58"/>
    <mergeCell ref="E58:F58"/>
    <mergeCell ref="G58:H58"/>
    <mergeCell ref="C60:D60"/>
    <mergeCell ref="E60:F60"/>
    <mergeCell ref="G60:H60"/>
    <mergeCell ref="A2:Y2"/>
    <mergeCell ref="C35:D35"/>
    <mergeCell ref="E35:F35"/>
    <mergeCell ref="G35:H35"/>
    <mergeCell ref="I35:J35"/>
    <mergeCell ref="K35:L35"/>
    <mergeCell ref="M35:N35"/>
    <mergeCell ref="O35:P35"/>
    <mergeCell ref="Q35:R35"/>
    <mergeCell ref="A12:B12"/>
    <mergeCell ref="C12:D12"/>
    <mergeCell ref="A13:B13"/>
    <mergeCell ref="C13:D13"/>
    <mergeCell ref="C7:D7"/>
    <mergeCell ref="A7:B7"/>
    <mergeCell ref="A34:B34"/>
    <mergeCell ref="E5:F5"/>
    <mergeCell ref="E6:F6"/>
    <mergeCell ref="G5:H5"/>
    <mergeCell ref="G6:H6"/>
    <mergeCell ref="M43:N43"/>
    <mergeCell ref="O43:P43"/>
    <mergeCell ref="Q43:R43"/>
    <mergeCell ref="S43:T43"/>
    <mergeCell ref="U43:V43"/>
    <mergeCell ref="K43:L43"/>
    <mergeCell ref="E10:F10"/>
    <mergeCell ref="E11:F11"/>
    <mergeCell ref="E12:F12"/>
    <mergeCell ref="E43:F43"/>
    <mergeCell ref="S35:T35"/>
    <mergeCell ref="U35:V35"/>
    <mergeCell ref="E33:F33"/>
    <mergeCell ref="G33:H33"/>
    <mergeCell ref="E8:G9"/>
    <mergeCell ref="U33:V33"/>
    <mergeCell ref="E34:F34"/>
    <mergeCell ref="G34:H34"/>
    <mergeCell ref="I34:J34"/>
    <mergeCell ref="K34:L34"/>
    <mergeCell ref="A29:B29"/>
    <mergeCell ref="A10:B10"/>
    <mergeCell ref="A11:B11"/>
    <mergeCell ref="C10:D10"/>
    <mergeCell ref="C11:D11"/>
    <mergeCell ref="A19:B19"/>
    <mergeCell ref="A24:B24"/>
    <mergeCell ref="A8:B8"/>
    <mergeCell ref="AA43:AB43"/>
    <mergeCell ref="W43:X43"/>
    <mergeCell ref="AA35:AB35"/>
    <mergeCell ref="W35:X35"/>
    <mergeCell ref="Y35:Z35"/>
    <mergeCell ref="W33:X33"/>
    <mergeCell ref="Y33:Z33"/>
    <mergeCell ref="W34:X34"/>
    <mergeCell ref="Y34:Z34"/>
    <mergeCell ref="C8:D8"/>
    <mergeCell ref="A9:B9"/>
    <mergeCell ref="C9:D9"/>
    <mergeCell ref="A35:A36"/>
    <mergeCell ref="B35:B36"/>
    <mergeCell ref="A33:B33"/>
    <mergeCell ref="C33:D33"/>
    <mergeCell ref="Y43:Z43"/>
    <mergeCell ref="A43:B43"/>
    <mergeCell ref="C43:D43"/>
    <mergeCell ref="G43:H43"/>
    <mergeCell ref="I43:J43"/>
    <mergeCell ref="A42:B42"/>
    <mergeCell ref="I33:J33"/>
    <mergeCell ref="K33:L33"/>
    <mergeCell ref="O33:P33"/>
    <mergeCell ref="Q33:R33"/>
    <mergeCell ref="S33:T33"/>
    <mergeCell ref="C34:D34"/>
    <mergeCell ref="M34:N34"/>
    <mergeCell ref="O34:P34"/>
    <mergeCell ref="Q34:R34"/>
    <mergeCell ref="S34:T34"/>
    <mergeCell ref="U34:V34"/>
    <mergeCell ref="A16:B16"/>
    <mergeCell ref="A15:B15"/>
    <mergeCell ref="A17:B17"/>
    <mergeCell ref="C14:D14"/>
    <mergeCell ref="C15:D15"/>
    <mergeCell ref="C16:D16"/>
    <mergeCell ref="C17:D17"/>
    <mergeCell ref="A5:B5"/>
    <mergeCell ref="A6:B6"/>
    <mergeCell ref="C5:D5"/>
    <mergeCell ref="C6:D6"/>
    <mergeCell ref="A14:B14"/>
  </mergeCells>
  <conditionalFormatting sqref="C43:AB43 C60:AB66">
    <cfRule type="cellIs" dxfId="9" priority="17" operator="lessThan">
      <formula>0</formula>
    </cfRule>
    <cfRule type="cellIs" dxfId="8" priority="18" operator="greaterThanOrEqual">
      <formula>0</formula>
    </cfRule>
  </conditionalFormatting>
  <conditionalFormatting sqref="C58:AB58">
    <cfRule type="cellIs" dxfId="7" priority="15" operator="lessThan">
      <formula>0</formula>
    </cfRule>
    <cfRule type="cellIs" dxfId="6" priority="16" operator="greaterThanOrEqual">
      <formula>0</formula>
    </cfRule>
  </conditionalFormatting>
  <conditionalFormatting sqref="B22">
    <cfRule type="cellIs" dxfId="5" priority="11" operator="lessThan">
      <formula>0</formula>
    </cfRule>
    <cfRule type="cellIs" dxfId="4" priority="12" operator="greaterThanOrEqual">
      <formula>0</formula>
    </cfRule>
  </conditionalFormatting>
  <conditionalFormatting sqref="B32 B27">
    <cfRule type="cellIs" dxfId="3" priority="1" operator="lessThan">
      <formula>0</formula>
    </cfRule>
    <cfRule type="cellIs" dxfId="2" priority="2" operator="greaterThanOrEqual">
      <formula>0</formula>
    </cfRule>
  </conditionalFormatting>
  <pageMargins left="0.7" right="0.7" top="0.75" bottom="0.75" header="0.3" footer="0.3"/>
  <pageSetup paperSize="9" scale="27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83"/>
  <sheetViews>
    <sheetView showGridLines="0" topLeftCell="A34" workbookViewId="0">
      <selection activeCell="F27" sqref="F27"/>
    </sheetView>
  </sheetViews>
  <sheetFormatPr baseColWidth="10" defaultColWidth="11" defaultRowHeight="13.2"/>
  <cols>
    <col min="1" max="1" width="11" style="18"/>
    <col min="2" max="2" width="3.5" style="18" bestFit="1" customWidth="1"/>
    <col min="3" max="3" width="5.69921875" style="18" bestFit="1" customWidth="1"/>
    <col min="4" max="4" width="4.5" style="18" bestFit="1" customWidth="1"/>
    <col min="5" max="5" width="5.3984375" style="18" bestFit="1" customWidth="1"/>
    <col min="6" max="6" width="36.19921875" style="18" bestFit="1" customWidth="1"/>
    <col min="7" max="7" width="12.69921875" style="18" bestFit="1" customWidth="1"/>
    <col min="8" max="8" width="11.3984375" style="68" bestFit="1" customWidth="1"/>
    <col min="9" max="9" width="12.59765625" style="68" bestFit="1" customWidth="1"/>
    <col min="10" max="10" width="3" style="68" bestFit="1" customWidth="1"/>
    <col min="11" max="11" width="1.69921875" style="18" bestFit="1" customWidth="1"/>
    <col min="12" max="12" width="7.8984375" style="18" bestFit="1" customWidth="1"/>
    <col min="13" max="13" width="4.8984375" style="18" bestFit="1" customWidth="1"/>
    <col min="14" max="14" width="14.19921875" style="18" bestFit="1" customWidth="1"/>
    <col min="15" max="15" width="11" style="18"/>
    <col min="16" max="16" width="15.69921875" style="18" bestFit="1" customWidth="1"/>
    <col min="17" max="17" width="14.09765625" style="18" bestFit="1" customWidth="1"/>
    <col min="18" max="18" width="16.8984375" style="18" bestFit="1" customWidth="1"/>
    <col min="19" max="16384" width="11" style="18"/>
  </cols>
  <sheetData>
    <row r="2" spans="2:14">
      <c r="B2" s="408" t="s">
        <v>327</v>
      </c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</row>
    <row r="4" spans="2:14">
      <c r="F4" s="386" t="s">
        <v>330</v>
      </c>
      <c r="G4" s="386"/>
      <c r="H4" s="386"/>
      <c r="I4" s="386"/>
      <c r="J4" s="386"/>
      <c r="K4" s="386"/>
      <c r="L4" s="386"/>
      <c r="M4" s="386"/>
      <c r="N4" s="386"/>
    </row>
    <row r="5" spans="2:14">
      <c r="F5" s="66" t="s">
        <v>228</v>
      </c>
      <c r="G5" s="79">
        <v>0.5</v>
      </c>
      <c r="H5" s="79">
        <v>1</v>
      </c>
      <c r="I5" s="79">
        <v>2</v>
      </c>
      <c r="J5" s="79">
        <v>3</v>
      </c>
      <c r="K5" s="79">
        <v>4</v>
      </c>
      <c r="L5" s="79">
        <v>5</v>
      </c>
      <c r="M5" s="79">
        <v>6</v>
      </c>
      <c r="N5" s="79" t="s">
        <v>331</v>
      </c>
    </row>
    <row r="6" spans="2:14">
      <c r="F6" s="65" t="s">
        <v>2</v>
      </c>
      <c r="G6" s="58">
        <f t="shared" ref="G6:G17" si="0">SUMIFS($J$24:$J$65,$H$24:$H$65,$F6,$I$24:$I$65,$G$5)</f>
        <v>0</v>
      </c>
      <c r="H6" s="58">
        <f t="shared" ref="H6:H17" si="1">SUMIFS($J$24:$J$65,$H$24:$H$65,$F6,$I$24:$I$65,$H$5)</f>
        <v>0</v>
      </c>
      <c r="I6" s="58">
        <f t="shared" ref="I6:I17" si="2">SUMIFS($J$24:$J$65,$H$24:$H$65,$F6,$I$24:$I$65,$I$5)</f>
        <v>0</v>
      </c>
      <c r="J6" s="58">
        <f t="shared" ref="J6:J17" si="3">SUMIFS($J$24:$J$65,$H$24:$H$65,$F6,$I$24:$I$65,$J$5)</f>
        <v>0</v>
      </c>
      <c r="K6" s="58">
        <f t="shared" ref="K6:K17" si="4">SUMIFS($J$24:$J$65,$H$24:$H$65,$F6,$I$24:$I$65,$K$5)</f>
        <v>0</v>
      </c>
      <c r="L6" s="58">
        <f t="shared" ref="L6:L17" si="5">SUMIFS($J$24:$J$65,$H$24:$H$65,$F6,$I$24:$I$65,$L$5)</f>
        <v>0</v>
      </c>
      <c r="M6" s="58">
        <f t="shared" ref="M6:M17" si="6">SUMIFS($J$24:$J$65,$H$24:$H$65,$F6,$I$24:$I$65,$M$5)</f>
        <v>0</v>
      </c>
      <c r="N6" s="58">
        <f>SUM(H6:M6)</f>
        <v>0</v>
      </c>
    </row>
    <row r="7" spans="2:14">
      <c r="F7" s="65" t="s">
        <v>3</v>
      </c>
      <c r="G7" s="58">
        <f t="shared" si="0"/>
        <v>0</v>
      </c>
      <c r="H7" s="58">
        <f t="shared" si="1"/>
        <v>0</v>
      </c>
      <c r="I7" s="58">
        <f t="shared" si="2"/>
        <v>128</v>
      </c>
      <c r="J7" s="58">
        <f t="shared" si="3"/>
        <v>0</v>
      </c>
      <c r="K7" s="58">
        <f t="shared" si="4"/>
        <v>0</v>
      </c>
      <c r="L7" s="58">
        <f t="shared" si="5"/>
        <v>0</v>
      </c>
      <c r="M7" s="58">
        <f t="shared" si="6"/>
        <v>0</v>
      </c>
      <c r="N7" s="58">
        <f t="shared" ref="N7:N17" si="7">SUM(G7:M7)</f>
        <v>128</v>
      </c>
    </row>
    <row r="8" spans="2:14">
      <c r="F8" s="65" t="s">
        <v>4</v>
      </c>
      <c r="G8" s="58">
        <f t="shared" si="0"/>
        <v>20</v>
      </c>
      <c r="H8" s="58">
        <f t="shared" si="1"/>
        <v>0</v>
      </c>
      <c r="I8" s="58">
        <f t="shared" si="2"/>
        <v>0</v>
      </c>
      <c r="J8" s="58">
        <f t="shared" si="3"/>
        <v>0</v>
      </c>
      <c r="K8" s="58">
        <f t="shared" si="4"/>
        <v>0</v>
      </c>
      <c r="L8" s="58">
        <f t="shared" si="5"/>
        <v>0</v>
      </c>
      <c r="M8" s="58">
        <f t="shared" si="6"/>
        <v>0</v>
      </c>
      <c r="N8" s="58">
        <f t="shared" si="7"/>
        <v>20</v>
      </c>
    </row>
    <row r="9" spans="2:14">
      <c r="F9" s="65" t="s">
        <v>5</v>
      </c>
      <c r="G9" s="58">
        <f t="shared" si="0"/>
        <v>60</v>
      </c>
      <c r="H9" s="58">
        <f t="shared" si="1"/>
        <v>0</v>
      </c>
      <c r="I9" s="58">
        <f t="shared" si="2"/>
        <v>128</v>
      </c>
      <c r="J9" s="58">
        <f t="shared" si="3"/>
        <v>0</v>
      </c>
      <c r="K9" s="58">
        <f t="shared" si="4"/>
        <v>0</v>
      </c>
      <c r="L9" s="58">
        <f t="shared" si="5"/>
        <v>0</v>
      </c>
      <c r="M9" s="58">
        <f t="shared" si="6"/>
        <v>0</v>
      </c>
      <c r="N9" s="58">
        <f t="shared" si="7"/>
        <v>188</v>
      </c>
    </row>
    <row r="10" spans="2:14">
      <c r="F10" s="65" t="s">
        <v>6</v>
      </c>
      <c r="G10" s="58">
        <f t="shared" si="0"/>
        <v>120</v>
      </c>
      <c r="H10" s="58">
        <f t="shared" si="1"/>
        <v>0</v>
      </c>
      <c r="I10" s="58">
        <f t="shared" si="2"/>
        <v>64</v>
      </c>
      <c r="J10" s="58">
        <f t="shared" si="3"/>
        <v>0</v>
      </c>
      <c r="K10" s="58">
        <f t="shared" si="4"/>
        <v>0</v>
      </c>
      <c r="L10" s="58">
        <f t="shared" si="5"/>
        <v>0</v>
      </c>
      <c r="M10" s="58">
        <f t="shared" si="6"/>
        <v>0</v>
      </c>
      <c r="N10" s="58">
        <f t="shared" si="7"/>
        <v>184</v>
      </c>
    </row>
    <row r="11" spans="2:14">
      <c r="F11" s="65" t="s">
        <v>7</v>
      </c>
      <c r="G11" s="58">
        <f t="shared" si="0"/>
        <v>80</v>
      </c>
      <c r="H11" s="58">
        <f t="shared" si="1"/>
        <v>0</v>
      </c>
      <c r="I11" s="58">
        <f t="shared" si="2"/>
        <v>0</v>
      </c>
      <c r="J11" s="58">
        <f t="shared" si="3"/>
        <v>69</v>
      </c>
      <c r="K11" s="58">
        <f t="shared" si="4"/>
        <v>0</v>
      </c>
      <c r="L11" s="58">
        <f t="shared" si="5"/>
        <v>0</v>
      </c>
      <c r="M11" s="58">
        <f t="shared" si="6"/>
        <v>0</v>
      </c>
      <c r="N11" s="58">
        <f t="shared" si="7"/>
        <v>149</v>
      </c>
    </row>
    <row r="12" spans="2:14">
      <c r="F12" s="65" t="s">
        <v>8</v>
      </c>
      <c r="G12" s="58">
        <f t="shared" si="0"/>
        <v>0</v>
      </c>
      <c r="H12" s="58">
        <f t="shared" si="1"/>
        <v>118</v>
      </c>
      <c r="I12" s="58">
        <f t="shared" si="2"/>
        <v>0</v>
      </c>
      <c r="J12" s="58">
        <f t="shared" si="3"/>
        <v>0</v>
      </c>
      <c r="K12" s="58">
        <f t="shared" si="4"/>
        <v>0</v>
      </c>
      <c r="L12" s="58">
        <f t="shared" si="5"/>
        <v>0</v>
      </c>
      <c r="M12" s="58">
        <f t="shared" si="6"/>
        <v>0</v>
      </c>
      <c r="N12" s="58">
        <f t="shared" si="7"/>
        <v>118</v>
      </c>
    </row>
    <row r="13" spans="2:14">
      <c r="F13" s="65" t="s">
        <v>9</v>
      </c>
      <c r="G13" s="58">
        <f t="shared" si="0"/>
        <v>0</v>
      </c>
      <c r="H13" s="58">
        <f t="shared" si="1"/>
        <v>118</v>
      </c>
      <c r="I13" s="58">
        <f t="shared" si="2"/>
        <v>0</v>
      </c>
      <c r="J13" s="58">
        <f t="shared" si="3"/>
        <v>0</v>
      </c>
      <c r="K13" s="58">
        <f t="shared" si="4"/>
        <v>0</v>
      </c>
      <c r="L13" s="58">
        <f t="shared" si="5"/>
        <v>0</v>
      </c>
      <c r="M13" s="58">
        <f t="shared" si="6"/>
        <v>0</v>
      </c>
      <c r="N13" s="58">
        <f t="shared" si="7"/>
        <v>118</v>
      </c>
    </row>
    <row r="14" spans="2:14">
      <c r="F14" s="65" t="s">
        <v>10</v>
      </c>
      <c r="G14" s="58">
        <f t="shared" si="0"/>
        <v>0</v>
      </c>
      <c r="H14" s="58">
        <f t="shared" si="1"/>
        <v>0</v>
      </c>
      <c r="I14" s="58">
        <f t="shared" si="2"/>
        <v>0</v>
      </c>
      <c r="J14" s="58">
        <f t="shared" si="3"/>
        <v>0</v>
      </c>
      <c r="K14" s="58">
        <f t="shared" si="4"/>
        <v>0</v>
      </c>
      <c r="L14" s="58">
        <f t="shared" si="5"/>
        <v>0</v>
      </c>
      <c r="M14" s="58">
        <f t="shared" si="6"/>
        <v>0</v>
      </c>
      <c r="N14" s="58">
        <f t="shared" si="7"/>
        <v>0</v>
      </c>
    </row>
    <row r="15" spans="2:14">
      <c r="F15" s="65" t="s">
        <v>11</v>
      </c>
      <c r="G15" s="58">
        <f t="shared" si="0"/>
        <v>0</v>
      </c>
      <c r="H15" s="58">
        <f t="shared" si="1"/>
        <v>0</v>
      </c>
      <c r="I15" s="58">
        <f t="shared" si="2"/>
        <v>0</v>
      </c>
      <c r="J15" s="58">
        <f t="shared" si="3"/>
        <v>0</v>
      </c>
      <c r="K15" s="58">
        <f t="shared" si="4"/>
        <v>0</v>
      </c>
      <c r="L15" s="58">
        <f t="shared" si="5"/>
        <v>0</v>
      </c>
      <c r="M15" s="58">
        <f t="shared" si="6"/>
        <v>0</v>
      </c>
      <c r="N15" s="58">
        <f t="shared" si="7"/>
        <v>0</v>
      </c>
    </row>
    <row r="16" spans="2:14">
      <c r="F16" s="65" t="s">
        <v>12</v>
      </c>
      <c r="G16" s="58">
        <f t="shared" si="0"/>
        <v>0</v>
      </c>
      <c r="H16" s="58">
        <f t="shared" si="1"/>
        <v>0</v>
      </c>
      <c r="I16" s="58">
        <f t="shared" si="2"/>
        <v>0</v>
      </c>
      <c r="J16" s="58">
        <f t="shared" si="3"/>
        <v>0</v>
      </c>
      <c r="K16" s="58">
        <f t="shared" si="4"/>
        <v>0</v>
      </c>
      <c r="L16" s="58">
        <f t="shared" si="5"/>
        <v>0</v>
      </c>
      <c r="M16" s="58">
        <f t="shared" si="6"/>
        <v>0</v>
      </c>
      <c r="N16" s="58">
        <f t="shared" si="7"/>
        <v>0</v>
      </c>
    </row>
    <row r="17" spans="1:14">
      <c r="F17" s="65" t="s">
        <v>13</v>
      </c>
      <c r="G17" s="58">
        <f t="shared" si="0"/>
        <v>0</v>
      </c>
      <c r="H17" s="58">
        <f t="shared" si="1"/>
        <v>0</v>
      </c>
      <c r="I17" s="58">
        <f t="shared" si="2"/>
        <v>0</v>
      </c>
      <c r="J17" s="58">
        <f t="shared" si="3"/>
        <v>0</v>
      </c>
      <c r="K17" s="58">
        <f t="shared" si="4"/>
        <v>0</v>
      </c>
      <c r="L17" s="58">
        <f t="shared" si="5"/>
        <v>0</v>
      </c>
      <c r="M17" s="58">
        <f t="shared" si="6"/>
        <v>0</v>
      </c>
      <c r="N17" s="58">
        <f t="shared" si="7"/>
        <v>0</v>
      </c>
    </row>
    <row r="18" spans="1:14">
      <c r="H18" s="18"/>
    </row>
    <row r="19" spans="1:14">
      <c r="H19" s="18"/>
    </row>
    <row r="20" spans="1:14">
      <c r="H20" s="18"/>
    </row>
    <row r="21" spans="1:14">
      <c r="H21" s="18"/>
    </row>
    <row r="22" spans="1:14">
      <c r="B22" s="405" t="s">
        <v>301</v>
      </c>
      <c r="C22" s="406"/>
      <c r="D22" s="406"/>
      <c r="E22" s="406"/>
      <c r="F22" s="406"/>
      <c r="G22" s="406"/>
      <c r="H22" s="406"/>
      <c r="I22" s="407"/>
      <c r="J22" s="79">
        <f>COUNTA(F24:F83)</f>
        <v>34</v>
      </c>
      <c r="L22" s="402" t="s">
        <v>326</v>
      </c>
      <c r="M22" s="403"/>
      <c r="N22" s="404"/>
    </row>
    <row r="23" spans="1:14" s="97" customFormat="1" ht="39.6">
      <c r="B23" s="93" t="s">
        <v>256</v>
      </c>
      <c r="C23" s="94" t="s">
        <v>257</v>
      </c>
      <c r="D23" s="95" t="s">
        <v>258</v>
      </c>
      <c r="E23" s="93" t="s">
        <v>259</v>
      </c>
      <c r="F23" s="93" t="s">
        <v>260</v>
      </c>
      <c r="G23" s="95" t="s">
        <v>261</v>
      </c>
      <c r="H23" s="96" t="s">
        <v>228</v>
      </c>
      <c r="I23" s="91" t="s">
        <v>313</v>
      </c>
      <c r="J23" s="91" t="s">
        <v>329</v>
      </c>
      <c r="L23" s="79" t="s">
        <v>318</v>
      </c>
      <c r="M23" s="79" t="s">
        <v>328</v>
      </c>
      <c r="N23" s="79" t="s">
        <v>315</v>
      </c>
    </row>
    <row r="24" spans="1:14">
      <c r="B24" s="85">
        <v>1</v>
      </c>
      <c r="C24" s="85" t="str">
        <f>VLOOKUP(F24,CADETES!$B:$G,6,FALSE)</f>
        <v>1E</v>
      </c>
      <c r="D24" s="85">
        <f>VLOOKUP(F24,CADETES!$B:$E,4,FALSE)</f>
        <v>347</v>
      </c>
      <c r="E24" s="85" t="str">
        <f>VLOOKUP(F24,CADETES!$B:$H,7,FALSE)</f>
        <v>M</v>
      </c>
      <c r="F24" s="109" t="s">
        <v>456</v>
      </c>
      <c r="G24" s="86">
        <v>45688</v>
      </c>
      <c r="H24" s="85" t="s">
        <v>3</v>
      </c>
      <c r="I24" s="58">
        <v>0</v>
      </c>
      <c r="J24" s="58">
        <f t="shared" ref="J24:J56" si="8">VLOOKUP(I24,M:N,2,FALSE)</f>
        <v>0</v>
      </c>
      <c r="L24" s="58" t="s">
        <v>332</v>
      </c>
      <c r="M24" s="58">
        <v>0</v>
      </c>
      <c r="N24" s="92">
        <v>0</v>
      </c>
    </row>
    <row r="25" spans="1:14">
      <c r="B25" s="85">
        <v>2</v>
      </c>
      <c r="C25" s="85" t="str">
        <f>VLOOKUP(F25,CADETES!$B:$G,6,FALSE)</f>
        <v>1K</v>
      </c>
      <c r="D25" s="85">
        <f>VLOOKUP(F25,CADETES!$B:$E,4,FALSE)</f>
        <v>376</v>
      </c>
      <c r="E25" s="85" t="str">
        <f>VLOOKUP(F25,CADETES!$B:$H,7,FALSE)</f>
        <v>F</v>
      </c>
      <c r="F25" s="83" t="s">
        <v>266</v>
      </c>
      <c r="G25" s="86">
        <v>45694</v>
      </c>
      <c r="H25" s="85" t="s">
        <v>3</v>
      </c>
      <c r="I25" s="58">
        <v>0</v>
      </c>
      <c r="J25" s="58">
        <f t="shared" ref="J25:J51" si="9">VLOOKUP(I25,M:N,2,FALSE)</f>
        <v>0</v>
      </c>
      <c r="L25" s="58" t="s">
        <v>319</v>
      </c>
      <c r="M25" s="58">
        <v>0.5</v>
      </c>
      <c r="N25" s="92">
        <v>20</v>
      </c>
    </row>
    <row r="26" spans="1:14">
      <c r="B26" s="85">
        <v>3</v>
      </c>
      <c r="C26" s="85" t="str">
        <f>VLOOKUP(F26,CADETES!$B:$G,6,FALSE)</f>
        <v>1K</v>
      </c>
      <c r="D26" s="85">
        <f>VLOOKUP(F26,CADETES!$B:$E,4,FALSE)</f>
        <v>486</v>
      </c>
      <c r="E26" s="85" t="str">
        <f>VLOOKUP(F26,CADETES!$B:$H,7,FALSE)</f>
        <v>M</v>
      </c>
      <c r="F26" s="109" t="s">
        <v>509</v>
      </c>
      <c r="G26" s="86">
        <v>45695</v>
      </c>
      <c r="H26" s="85" t="s">
        <v>3</v>
      </c>
      <c r="I26" s="58">
        <v>0</v>
      </c>
      <c r="J26" s="58">
        <f t="shared" si="9"/>
        <v>0</v>
      </c>
      <c r="L26" s="58" t="s">
        <v>320</v>
      </c>
      <c r="M26" s="58">
        <v>1</v>
      </c>
      <c r="N26" s="92">
        <v>59</v>
      </c>
    </row>
    <row r="27" spans="1:14">
      <c r="B27" s="85">
        <v>4</v>
      </c>
      <c r="C27" s="85" t="str">
        <f>VLOOKUP(F27,CADETES!$B:$G,6,FALSE)</f>
        <v>1K</v>
      </c>
      <c r="D27" s="85">
        <f>VLOOKUP(F27,CADETES!$B:$E,4,FALSE)</f>
        <v>448</v>
      </c>
      <c r="E27" s="85" t="str">
        <f>VLOOKUP(F27,CADETES!$B:$H,7,FALSE)</f>
        <v>M</v>
      </c>
      <c r="F27" s="109" t="s">
        <v>513</v>
      </c>
      <c r="G27" s="86">
        <v>45695</v>
      </c>
      <c r="H27" s="85" t="s">
        <v>3</v>
      </c>
      <c r="I27" s="58">
        <v>0</v>
      </c>
      <c r="J27" s="58">
        <f t="shared" si="9"/>
        <v>0</v>
      </c>
      <c r="L27" s="58" t="s">
        <v>321</v>
      </c>
      <c r="M27" s="58">
        <v>2</v>
      </c>
      <c r="N27" s="92">
        <v>64</v>
      </c>
    </row>
    <row r="28" spans="1:14">
      <c r="B28" s="85">
        <v>5</v>
      </c>
      <c r="C28" s="85" t="str">
        <f>VLOOKUP(F28,CADETES!$B:$G,6,FALSE)</f>
        <v>1H</v>
      </c>
      <c r="D28" s="85">
        <f>VLOOKUP(F28,CADETES!$B:$E,4,FALSE)</f>
        <v>417</v>
      </c>
      <c r="E28" s="85" t="str">
        <f>VLOOKUP(F28,CADETES!$B:$H,7,FALSE)</f>
        <v>M</v>
      </c>
      <c r="F28" s="109" t="s">
        <v>503</v>
      </c>
      <c r="G28" s="87">
        <v>45695</v>
      </c>
      <c r="H28" s="85" t="s">
        <v>3</v>
      </c>
      <c r="I28" s="58">
        <v>0</v>
      </c>
      <c r="J28" s="58">
        <f t="shared" si="9"/>
        <v>0</v>
      </c>
      <c r="L28" s="58" t="s">
        <v>322</v>
      </c>
      <c r="M28" s="58">
        <v>3</v>
      </c>
      <c r="N28" s="92">
        <v>69</v>
      </c>
    </row>
    <row r="29" spans="1:14">
      <c r="B29" s="85">
        <v>6</v>
      </c>
      <c r="C29" s="85" t="str">
        <f>VLOOKUP(F29,CADETES!$B:$G,6,FALSE)</f>
        <v>1H</v>
      </c>
      <c r="D29" s="85">
        <f>VLOOKUP(F29,CADETES!$B:$E,4,FALSE)</f>
        <v>485</v>
      </c>
      <c r="E29" s="85" t="str">
        <f>VLOOKUP(F29,CADETES!$B:$H,7,FALSE)</f>
        <v>M</v>
      </c>
      <c r="F29" s="109" t="s">
        <v>507</v>
      </c>
      <c r="G29" s="86">
        <v>45700</v>
      </c>
      <c r="H29" s="85" t="s">
        <v>3</v>
      </c>
      <c r="I29" s="58">
        <v>0</v>
      </c>
      <c r="J29" s="58">
        <f t="shared" si="9"/>
        <v>0</v>
      </c>
      <c r="L29" s="58" t="s">
        <v>323</v>
      </c>
      <c r="M29" s="58">
        <v>4</v>
      </c>
      <c r="N29" s="92">
        <v>74</v>
      </c>
    </row>
    <row r="30" spans="1:14" ht="13.8" thickBot="1">
      <c r="A30" s="196"/>
      <c r="B30" s="197">
        <v>7</v>
      </c>
      <c r="C30" s="197" t="str">
        <f>VLOOKUP(F30,CADETES!$B:$G,6,FALSE)</f>
        <v>1C</v>
      </c>
      <c r="D30" s="197">
        <f>VLOOKUP(F30,CADETES!$B:$E,4,FALSE)</f>
        <v>352</v>
      </c>
      <c r="E30" s="197" t="str">
        <f>VLOOKUP(F30,CADETES!$B:$H,7,FALSE)</f>
        <v>M</v>
      </c>
      <c r="F30" s="198" t="s">
        <v>420</v>
      </c>
      <c r="G30" s="199">
        <v>45705</v>
      </c>
      <c r="H30" s="197" t="s">
        <v>3</v>
      </c>
      <c r="I30" s="200">
        <v>0</v>
      </c>
      <c r="J30" s="200">
        <f t="shared" si="9"/>
        <v>0</v>
      </c>
      <c r="L30" s="58" t="s">
        <v>324</v>
      </c>
      <c r="M30" s="58">
        <v>5</v>
      </c>
      <c r="N30" s="92">
        <v>79</v>
      </c>
    </row>
    <row r="31" spans="1:14" ht="13.8" thickTop="1">
      <c r="A31" s="18" t="s">
        <v>1200</v>
      </c>
      <c r="B31" s="192">
        <v>8</v>
      </c>
      <c r="C31" s="192" t="str">
        <f>VLOOKUP(F31,CADETES!$B:$G,6,FALSE)</f>
        <v>2I</v>
      </c>
      <c r="D31" s="192">
        <f>VLOOKUP(F31,CADETES!$B:$E,4,FALSE)</f>
        <v>33</v>
      </c>
      <c r="E31" s="192" t="str">
        <f>VLOOKUP(F31,CADETES!$B:$H,7,FALSE)</f>
        <v>M</v>
      </c>
      <c r="F31" s="193" t="s">
        <v>270</v>
      </c>
      <c r="G31" s="194">
        <v>45705</v>
      </c>
      <c r="H31" s="192" t="s">
        <v>3</v>
      </c>
      <c r="I31" s="195">
        <v>2</v>
      </c>
      <c r="J31" s="195">
        <f t="shared" si="9"/>
        <v>64</v>
      </c>
      <c r="L31" s="58" t="s">
        <v>325</v>
      </c>
      <c r="M31" s="58">
        <v>6</v>
      </c>
      <c r="N31" s="92">
        <v>84</v>
      </c>
    </row>
    <row r="32" spans="1:14">
      <c r="B32" s="85">
        <v>9</v>
      </c>
      <c r="C32" s="85" t="str">
        <f>VLOOKUP(F32,CADETES!$B:$G,6,FALSE)</f>
        <v>2B</v>
      </c>
      <c r="D32" s="85">
        <f>VLOOKUP(F32,CADETES!$B:$E,4,FALSE)</f>
        <v>9</v>
      </c>
      <c r="E32" s="85" t="str">
        <f>VLOOKUP(F32,CADETES!$B:$H,7,FALSE)</f>
        <v>M</v>
      </c>
      <c r="F32" s="109" t="s">
        <v>271</v>
      </c>
      <c r="G32" s="84">
        <v>45708</v>
      </c>
      <c r="H32" s="85" t="s">
        <v>3</v>
      </c>
      <c r="I32" s="58">
        <v>2</v>
      </c>
      <c r="J32" s="58">
        <f t="shared" si="9"/>
        <v>64</v>
      </c>
      <c r="L32" s="101" t="s">
        <v>248</v>
      </c>
      <c r="M32" s="102"/>
    </row>
    <row r="33" spans="1:12" ht="13.8" thickBot="1">
      <c r="A33" s="196"/>
      <c r="B33" s="197">
        <v>10</v>
      </c>
      <c r="C33" s="197" t="str">
        <f>VLOOKUP(F33,CADETES!$B:$G,6,FALSE)</f>
        <v>1C</v>
      </c>
      <c r="D33" s="197">
        <f>VLOOKUP(F33,CADETES!$B:$E,4,FALSE)</f>
        <v>321</v>
      </c>
      <c r="E33" s="197" t="str">
        <f>VLOOKUP(F33,CADETES!$B:$H,7,FALSE)</f>
        <v>M</v>
      </c>
      <c r="F33" s="198" t="s">
        <v>300</v>
      </c>
      <c r="G33" s="202">
        <v>45727</v>
      </c>
      <c r="H33" s="197" t="s">
        <v>4</v>
      </c>
      <c r="I33" s="200">
        <v>0.5</v>
      </c>
      <c r="J33" s="200">
        <f t="shared" si="9"/>
        <v>20</v>
      </c>
    </row>
    <row r="34" spans="1:12" ht="13.8" thickTop="1">
      <c r="A34" s="18" t="s">
        <v>1201</v>
      </c>
      <c r="B34" s="192">
        <v>11</v>
      </c>
      <c r="C34" s="192" t="str">
        <f>VLOOKUP(F34,CADETES!$B:$G,6,FALSE)</f>
        <v>1H</v>
      </c>
      <c r="D34" s="192">
        <f>VLOOKUP(F34,CADETES!$B:$E,4,FALSE)</f>
        <v>295</v>
      </c>
      <c r="E34" s="192" t="str">
        <f>VLOOKUP(F34,CADETES!$B:$H,7,FALSE)</f>
        <v>F</v>
      </c>
      <c r="F34" s="193" t="s">
        <v>482</v>
      </c>
      <c r="G34" s="201">
        <v>45754</v>
      </c>
      <c r="H34" s="192" t="s">
        <v>5</v>
      </c>
      <c r="I34" s="195">
        <v>0.5</v>
      </c>
      <c r="J34" s="195">
        <f t="shared" si="9"/>
        <v>20</v>
      </c>
    </row>
    <row r="35" spans="1:12">
      <c r="B35" s="85">
        <v>12</v>
      </c>
      <c r="C35" s="85" t="str">
        <f>VLOOKUP(F35,CADETES!$B:$G,6,FALSE)</f>
        <v>1B</v>
      </c>
      <c r="D35" s="85">
        <f>VLOOKUP(F35,CADETES!$B:$E,4,FALSE)</f>
        <v>61</v>
      </c>
      <c r="E35" s="85" t="str">
        <f>VLOOKUP(F35,CADETES!$B:$H,7,FALSE)</f>
        <v>F</v>
      </c>
      <c r="F35" s="109" t="s">
        <v>335</v>
      </c>
      <c r="G35" s="86">
        <v>45749</v>
      </c>
      <c r="H35" s="85" t="s">
        <v>5</v>
      </c>
      <c r="I35" s="58">
        <v>0.5</v>
      </c>
      <c r="J35" s="58">
        <f t="shared" si="9"/>
        <v>20</v>
      </c>
    </row>
    <row r="36" spans="1:12" ht="13.8" thickBot="1">
      <c r="A36" s="196"/>
      <c r="B36" s="197">
        <v>13</v>
      </c>
      <c r="C36" s="197" t="str">
        <f>VLOOKUP(F36,CADETES!$B:$G,6,FALSE)</f>
        <v>1C</v>
      </c>
      <c r="D36" s="197">
        <f>VLOOKUP(F36,CADETES!$B:$E,4,FALSE)</f>
        <v>173</v>
      </c>
      <c r="E36" s="197" t="str">
        <f>VLOOKUP(F36,CADETES!$B:$H,7,FALSE)</f>
        <v>M</v>
      </c>
      <c r="F36" s="198" t="s">
        <v>336</v>
      </c>
      <c r="G36" s="202">
        <v>45758</v>
      </c>
      <c r="H36" s="197" t="s">
        <v>5</v>
      </c>
      <c r="I36" s="200">
        <v>0.5</v>
      </c>
      <c r="J36" s="200">
        <f t="shared" si="9"/>
        <v>20</v>
      </c>
    </row>
    <row r="37" spans="1:12" ht="13.8" thickTop="1">
      <c r="A37" s="18" t="s">
        <v>1202</v>
      </c>
      <c r="B37" s="192">
        <v>14</v>
      </c>
      <c r="C37" s="192" t="str">
        <f>VLOOKUP(F37,CADETES!$B:$G,6,FALSE)</f>
        <v>1K</v>
      </c>
      <c r="D37" s="192">
        <f>VLOOKUP(F37,CADETES!$B:$E,4,FALSE)</f>
        <v>311</v>
      </c>
      <c r="E37" s="192" t="str">
        <f>VLOOKUP(F37,CADETES!$B:$H,7,FALSE)</f>
        <v>M</v>
      </c>
      <c r="F37" s="193" t="s">
        <v>524</v>
      </c>
      <c r="G37" s="201">
        <v>45768</v>
      </c>
      <c r="H37" s="192" t="s">
        <v>5</v>
      </c>
      <c r="I37" s="195">
        <v>2</v>
      </c>
      <c r="J37" s="195">
        <f t="shared" si="9"/>
        <v>64</v>
      </c>
    </row>
    <row r="38" spans="1:12">
      <c r="B38" s="85">
        <v>15</v>
      </c>
      <c r="C38" s="85" t="str">
        <f>VLOOKUP(F38,CADETES!$B:$G,6,FALSE)</f>
        <v>1A</v>
      </c>
      <c r="D38" s="85">
        <f>VLOOKUP(F38,CADETES!$B:$E,4,FALSE)</f>
        <v>333</v>
      </c>
      <c r="E38" s="85" t="str">
        <f>VLOOKUP(F38,CADETES!$B:$H,7,FALSE)</f>
        <v>F</v>
      </c>
      <c r="F38" s="109" t="s">
        <v>348</v>
      </c>
      <c r="G38" s="87">
        <v>45775</v>
      </c>
      <c r="H38" s="85" t="s">
        <v>5</v>
      </c>
      <c r="I38" s="58">
        <v>2</v>
      </c>
      <c r="J38" s="58">
        <f t="shared" si="9"/>
        <v>64</v>
      </c>
    </row>
    <row r="39" spans="1:12">
      <c r="B39" s="255">
        <v>16</v>
      </c>
      <c r="C39" s="255" t="str">
        <f>VLOOKUP(F39,CADETES!$B:$G,6,FALSE)</f>
        <v>2L</v>
      </c>
      <c r="D39" s="255">
        <f>VLOOKUP(F39,CADETES!$B:$E,4,FALSE)</f>
        <v>299</v>
      </c>
      <c r="E39" s="255" t="str">
        <f>VLOOKUP(F39,CADETES!$B:$H,7,FALSE)</f>
        <v>F</v>
      </c>
      <c r="F39" s="256" t="s">
        <v>758</v>
      </c>
      <c r="G39" s="257">
        <v>45781</v>
      </c>
      <c r="H39" s="255" t="s">
        <v>3</v>
      </c>
      <c r="I39" s="255">
        <v>0</v>
      </c>
      <c r="J39" s="255">
        <f t="shared" si="9"/>
        <v>0</v>
      </c>
      <c r="L39" s="18" t="s">
        <v>1248</v>
      </c>
    </row>
    <row r="40" spans="1:12">
      <c r="B40" s="85">
        <v>17</v>
      </c>
      <c r="C40" s="85" t="str">
        <f>VLOOKUP(F40,CADETES!$B:$G,6,FALSE)</f>
        <v>1H</v>
      </c>
      <c r="D40" s="85">
        <f>VLOOKUP(F40,CADETES!$B:$E,4,FALSE)</f>
        <v>97</v>
      </c>
      <c r="E40" s="85" t="str">
        <f>VLOOKUP(F40,CADETES!$B:$H,7,FALSE)</f>
        <v>M</v>
      </c>
      <c r="F40" s="109" t="s">
        <v>481</v>
      </c>
      <c r="G40" s="87">
        <v>45782</v>
      </c>
      <c r="H40" s="57" t="s">
        <v>6</v>
      </c>
      <c r="I40" s="58">
        <v>0.5</v>
      </c>
      <c r="J40" s="58">
        <f t="shared" si="9"/>
        <v>20</v>
      </c>
    </row>
    <row r="41" spans="1:12">
      <c r="B41" s="85">
        <v>18</v>
      </c>
      <c r="C41" s="85" t="str">
        <f>VLOOKUP(F41,CADETES!$B:$G,6,FALSE)</f>
        <v>1K</v>
      </c>
      <c r="D41" s="85">
        <f>VLOOKUP(F41,CADETES!$B:$E,4,FALSE)</f>
        <v>286</v>
      </c>
      <c r="E41" s="85" t="str">
        <f>VLOOKUP(F41,CADETES!$B:$H,7,FALSE)</f>
        <v>M</v>
      </c>
      <c r="F41" s="109" t="s">
        <v>519</v>
      </c>
      <c r="G41" s="87">
        <v>45782</v>
      </c>
      <c r="H41" s="57" t="s">
        <v>6</v>
      </c>
      <c r="I41" s="58">
        <v>0.5</v>
      </c>
      <c r="J41" s="58">
        <f t="shared" si="9"/>
        <v>20</v>
      </c>
    </row>
    <row r="42" spans="1:12">
      <c r="B42" s="85">
        <v>19</v>
      </c>
      <c r="C42" s="85" t="str">
        <f>VLOOKUP(F42,CADETES!$B:$G,6,FALSE)</f>
        <v>1B</v>
      </c>
      <c r="D42" s="85">
        <f>VLOOKUP(F42,CADETES!$B:$E,4,FALSE)</f>
        <v>490</v>
      </c>
      <c r="E42" s="85" t="str">
        <f>VLOOKUP(F42,CADETES!$B:$H,7,FALSE)</f>
        <v>M</v>
      </c>
      <c r="F42" s="109" t="s">
        <v>395</v>
      </c>
      <c r="G42" s="87">
        <v>45782</v>
      </c>
      <c r="H42" s="57" t="s">
        <v>6</v>
      </c>
      <c r="I42" s="58">
        <v>0.5</v>
      </c>
      <c r="J42" s="58">
        <f t="shared" si="9"/>
        <v>20</v>
      </c>
    </row>
    <row r="43" spans="1:12">
      <c r="B43" s="85">
        <v>20</v>
      </c>
      <c r="C43" s="85" t="str">
        <f>VLOOKUP(F43,CADETES!$B:$G,6,FALSE)</f>
        <v>1B</v>
      </c>
      <c r="D43" s="85">
        <f>VLOOKUP(F43,CADETES!$B:$E,4,FALSE)</f>
        <v>60</v>
      </c>
      <c r="E43" s="85" t="str">
        <f>VLOOKUP(F43,CADETES!$B:$H,7,FALSE)</f>
        <v>F</v>
      </c>
      <c r="F43" s="109" t="s">
        <v>393</v>
      </c>
      <c r="G43" s="87">
        <v>45782</v>
      </c>
      <c r="H43" s="57" t="s">
        <v>6</v>
      </c>
      <c r="I43" s="58">
        <v>0.5</v>
      </c>
      <c r="J43" s="58">
        <f t="shared" si="9"/>
        <v>20</v>
      </c>
    </row>
    <row r="44" spans="1:12" ht="13.8" thickBot="1">
      <c r="A44" s="196"/>
      <c r="B44" s="197">
        <v>21</v>
      </c>
      <c r="C44" s="197" t="str">
        <f>VLOOKUP(F44,CADETES!$B:$G,6,FALSE)</f>
        <v>1E</v>
      </c>
      <c r="D44" s="197">
        <f>VLOOKUP(F44,CADETES!$B:$E,4,FALSE)</f>
        <v>233</v>
      </c>
      <c r="E44" s="197" t="str">
        <f>VLOOKUP(F44,CADETES!$B:$H,7,FALSE)</f>
        <v>M</v>
      </c>
      <c r="F44" s="206" t="s">
        <v>477</v>
      </c>
      <c r="G44" s="207">
        <v>45785</v>
      </c>
      <c r="H44" s="208" t="s">
        <v>6</v>
      </c>
      <c r="I44" s="200">
        <v>0.5</v>
      </c>
      <c r="J44" s="200">
        <f t="shared" si="9"/>
        <v>20</v>
      </c>
    </row>
    <row r="45" spans="1:12" ht="13.8" thickTop="1">
      <c r="A45" s="18" t="s">
        <v>1203</v>
      </c>
      <c r="B45" s="192">
        <v>22</v>
      </c>
      <c r="C45" s="192" t="str">
        <f>VLOOKUP(F45,CADETES!$B:$G,6,FALSE)</f>
        <v>1A</v>
      </c>
      <c r="D45" s="192">
        <f>VLOOKUP(F45,CADETES!$B:$E,4,FALSE)</f>
        <v>272</v>
      </c>
      <c r="E45" s="192" t="str">
        <f>VLOOKUP(F45,CADETES!$B:$H,7,FALSE)</f>
        <v>M</v>
      </c>
      <c r="F45" s="203" t="s">
        <v>351</v>
      </c>
      <c r="G45" s="204">
        <v>45792</v>
      </c>
      <c r="H45" s="205" t="s">
        <v>6</v>
      </c>
      <c r="I45" s="195">
        <v>0.5</v>
      </c>
      <c r="J45" s="195">
        <f t="shared" si="9"/>
        <v>20</v>
      </c>
    </row>
    <row r="46" spans="1:12">
      <c r="B46" s="85">
        <v>23</v>
      </c>
      <c r="C46" s="85" t="str">
        <f>VLOOKUP(F46,CADETES!$B:$G,6,FALSE)</f>
        <v>2A</v>
      </c>
      <c r="D46" s="85">
        <f>VLOOKUP(F46,CADETES!$B:$E,4,FALSE)</f>
        <v>214</v>
      </c>
      <c r="E46" s="85" t="str">
        <f>VLOOKUP(F46,CADETES!$B:$H,7,FALSE)</f>
        <v>M</v>
      </c>
      <c r="F46" s="60" t="s">
        <v>535</v>
      </c>
      <c r="G46" s="87">
        <v>45803</v>
      </c>
      <c r="H46" s="57" t="s">
        <v>6</v>
      </c>
      <c r="I46" s="58">
        <v>2</v>
      </c>
      <c r="J46" s="58">
        <f t="shared" si="9"/>
        <v>64</v>
      </c>
    </row>
    <row r="47" spans="1:12">
      <c r="B47" s="85">
        <v>24</v>
      </c>
      <c r="C47" s="85" t="str">
        <f>VLOOKUP(F47,CADETES!$B:$G,6,FALSE)</f>
        <v>1E</v>
      </c>
      <c r="D47" s="85">
        <f>VLOOKUP(F47,CADETES!$B:$E,4,FALSE)</f>
        <v>450</v>
      </c>
      <c r="E47" s="85" t="str">
        <f>VLOOKUP(F47,CADETES!$B:$H,7,FALSE)</f>
        <v>M</v>
      </c>
      <c r="F47" s="109" t="s">
        <v>455</v>
      </c>
      <c r="G47" s="87">
        <v>45812</v>
      </c>
      <c r="H47" s="57" t="s">
        <v>7</v>
      </c>
      <c r="I47" s="58">
        <v>0.5</v>
      </c>
      <c r="J47" s="58">
        <f t="shared" si="9"/>
        <v>20</v>
      </c>
    </row>
    <row r="48" spans="1:12">
      <c r="B48" s="85">
        <v>25</v>
      </c>
      <c r="C48" s="85" t="str">
        <f>VLOOKUP(F48,CADETES!$B:$G,6,FALSE)</f>
        <v>1C</v>
      </c>
      <c r="D48" s="85">
        <f>VLOOKUP(F48,CADETES!$B:$E,4,FALSE)</f>
        <v>58</v>
      </c>
      <c r="E48" s="85" t="str">
        <f>VLOOKUP(F48,CADETES!$B:$H,7,FALSE)</f>
        <v>M</v>
      </c>
      <c r="F48" s="109" t="s">
        <v>409</v>
      </c>
      <c r="G48" s="87">
        <v>45812</v>
      </c>
      <c r="H48" s="57" t="s">
        <v>7</v>
      </c>
      <c r="I48" s="58">
        <v>0.5</v>
      </c>
      <c r="J48" s="58">
        <f t="shared" si="9"/>
        <v>20</v>
      </c>
    </row>
    <row r="49" spans="1:12" ht="13.8" thickBot="1">
      <c r="B49" s="284">
        <v>26</v>
      </c>
      <c r="C49" s="284" t="str">
        <f>VLOOKUP(F49,CADETES!$B:$G,6,FALSE)</f>
        <v>1B</v>
      </c>
      <c r="D49" s="284">
        <f>VLOOKUP(F49,CADETES!$B:$E,4,FALSE)</f>
        <v>174</v>
      </c>
      <c r="E49" s="284" t="str">
        <f>VLOOKUP(F49,CADETES!$B:$H,7,FALSE)</f>
        <v>F</v>
      </c>
      <c r="F49" s="285" t="s">
        <v>398</v>
      </c>
      <c r="G49" s="286">
        <v>45812</v>
      </c>
      <c r="H49" s="287" t="s">
        <v>7</v>
      </c>
      <c r="I49" s="288">
        <v>0.5</v>
      </c>
      <c r="J49" s="288">
        <f t="shared" si="9"/>
        <v>20</v>
      </c>
    </row>
    <row r="50" spans="1:12" ht="13.8" thickTop="1">
      <c r="A50" s="289" t="s">
        <v>1317</v>
      </c>
      <c r="B50" s="290">
        <v>27</v>
      </c>
      <c r="C50" s="290" t="str">
        <f>VLOOKUP(F50,CADETES!$B:$G,6,FALSE)</f>
        <v>2C</v>
      </c>
      <c r="D50" s="290">
        <f>VLOOKUP(F50,CADETES!$B:$E,4,FALSE)</f>
        <v>156</v>
      </c>
      <c r="E50" s="290" t="str">
        <f>VLOOKUP(F50,CADETES!$B:$H,7,FALSE)</f>
        <v>M</v>
      </c>
      <c r="F50" s="291" t="s">
        <v>621</v>
      </c>
      <c r="G50" s="292">
        <v>45820</v>
      </c>
      <c r="H50" s="293" t="s">
        <v>7</v>
      </c>
      <c r="I50" s="294">
        <v>3</v>
      </c>
      <c r="J50" s="294">
        <f t="shared" si="9"/>
        <v>69</v>
      </c>
    </row>
    <row r="51" spans="1:12">
      <c r="B51" s="85">
        <v>28</v>
      </c>
      <c r="C51" s="85" t="str">
        <f>VLOOKUP(F51,CADETES!$B:$G,6,FALSE)</f>
        <v>1H</v>
      </c>
      <c r="D51" s="85">
        <f>VLOOKUP(F51,CADETES!$B:$E,4,FALSE)</f>
        <v>446</v>
      </c>
      <c r="E51" s="85" t="str">
        <f>VLOOKUP(F51,CADETES!$B:$H,7,FALSE)</f>
        <v>M</v>
      </c>
      <c r="F51" s="109" t="s">
        <v>499</v>
      </c>
      <c r="G51" s="87">
        <v>45820</v>
      </c>
      <c r="H51" s="57" t="s">
        <v>7</v>
      </c>
      <c r="I51" s="58">
        <v>0.5</v>
      </c>
      <c r="J51" s="58">
        <f t="shared" si="9"/>
        <v>20</v>
      </c>
    </row>
    <row r="52" spans="1:12">
      <c r="B52" s="255">
        <v>29</v>
      </c>
      <c r="C52" s="255" t="str">
        <f>VLOOKUP(F52,CADETES!$B:$G,6,FALSE)</f>
        <v>1H</v>
      </c>
      <c r="D52" s="255">
        <f>VLOOKUP(F52,CADETES!$B:$E,4,FALSE)</f>
        <v>306</v>
      </c>
      <c r="E52" s="255" t="str">
        <f>VLOOKUP(F52,CADETES!$B:$H,7,FALSE)</f>
        <v>M</v>
      </c>
      <c r="F52" s="303" t="s">
        <v>490</v>
      </c>
      <c r="G52" s="257">
        <v>45831</v>
      </c>
      <c r="H52" s="255" t="s">
        <v>7</v>
      </c>
      <c r="I52" s="255">
        <v>0</v>
      </c>
      <c r="J52" s="255">
        <f t="shared" ref="J52" si="10">VLOOKUP(I52,M:N,2,FALSE)</f>
        <v>0</v>
      </c>
      <c r="L52" s="18" t="s">
        <v>1316</v>
      </c>
    </row>
    <row r="53" spans="1:12">
      <c r="B53" s="255">
        <v>30</v>
      </c>
      <c r="C53" s="255" t="str">
        <f>VLOOKUP(F53,CADETES!$B:$G,6,FALSE)</f>
        <v>1A</v>
      </c>
      <c r="D53" s="255">
        <f>VLOOKUP(F53,CADETES!$B:$E,4,FALSE)</f>
        <v>496</v>
      </c>
      <c r="E53" s="255" t="str">
        <f>VLOOKUP(F53,CADETES!$B:$H,7,FALSE)</f>
        <v>M</v>
      </c>
      <c r="F53" s="304" t="s">
        <v>356</v>
      </c>
      <c r="G53" s="257">
        <v>45842</v>
      </c>
      <c r="H53" s="255" t="s">
        <v>8</v>
      </c>
      <c r="I53" s="255">
        <v>0</v>
      </c>
      <c r="J53" s="255">
        <f t="shared" si="8"/>
        <v>0</v>
      </c>
      <c r="L53" s="18" t="s">
        <v>1316</v>
      </c>
    </row>
    <row r="54" spans="1:12" ht="13.8" thickBot="1">
      <c r="A54" s="196"/>
      <c r="B54" s="197">
        <v>31</v>
      </c>
      <c r="C54" s="197" t="str">
        <f>VLOOKUP(F54,CADETES!$B:$G,6,FALSE)</f>
        <v>1A</v>
      </c>
      <c r="D54" s="197">
        <f>VLOOKUP(F54,CADETES!$B:$E,4,FALSE)</f>
        <v>126</v>
      </c>
      <c r="E54" s="197" t="str">
        <f>VLOOKUP(F54,CADETES!$B:$H,7,FALSE)</f>
        <v>F</v>
      </c>
      <c r="F54" s="198" t="s">
        <v>345</v>
      </c>
      <c r="G54" s="207">
        <v>45848</v>
      </c>
      <c r="H54" s="208" t="s">
        <v>8</v>
      </c>
      <c r="I54" s="200">
        <v>1</v>
      </c>
      <c r="J54" s="200">
        <f t="shared" si="8"/>
        <v>59</v>
      </c>
    </row>
    <row r="55" spans="1:12" ht="14.4" thickTop="1" thickBot="1">
      <c r="A55" s="327" t="s">
        <v>1350</v>
      </c>
      <c r="B55" s="322">
        <v>32</v>
      </c>
      <c r="C55" s="322" t="str">
        <f>VLOOKUP(F55,CADETES!$B:$G,6,FALSE)</f>
        <v>1E</v>
      </c>
      <c r="D55" s="322">
        <f>VLOOKUP(F55,CADETES!$B:$E,4,FALSE)</f>
        <v>491</v>
      </c>
      <c r="E55" s="322" t="str">
        <f>VLOOKUP(F55,CADETES!$B:$H,7,FALSE)</f>
        <v>M</v>
      </c>
      <c r="F55" s="323" t="s">
        <v>454</v>
      </c>
      <c r="G55" s="324">
        <v>45861</v>
      </c>
      <c r="H55" s="325" t="s">
        <v>8</v>
      </c>
      <c r="I55" s="326">
        <v>1</v>
      </c>
      <c r="J55" s="326">
        <f t="shared" si="8"/>
        <v>59</v>
      </c>
    </row>
    <row r="56" spans="1:12">
      <c r="A56" s="328" t="s">
        <v>1375</v>
      </c>
      <c r="B56" s="329">
        <v>33</v>
      </c>
      <c r="C56" s="329" t="str">
        <f>VLOOKUP(F56,CADETES!$B:$G,6,FALSE)</f>
        <v>1E</v>
      </c>
      <c r="D56" s="329">
        <f>VLOOKUP(F56,CADETES!$B:$E,4,FALSE)</f>
        <v>433</v>
      </c>
      <c r="E56" s="329" t="str">
        <f>VLOOKUP(F56,CADETES!$B:$H,7,FALSE)</f>
        <v>M</v>
      </c>
      <c r="F56" s="330" t="s">
        <v>478</v>
      </c>
      <c r="G56" s="331">
        <v>45883</v>
      </c>
      <c r="H56" s="332" t="s">
        <v>9</v>
      </c>
      <c r="I56" s="333">
        <v>1</v>
      </c>
      <c r="J56" s="334">
        <f t="shared" si="8"/>
        <v>59</v>
      </c>
    </row>
    <row r="57" spans="1:12" ht="13.8" thickBot="1">
      <c r="A57" s="335"/>
      <c r="B57" s="336">
        <v>34</v>
      </c>
      <c r="C57" s="336" t="str">
        <f>VLOOKUP(F57,CADETES!$B:$G,6,FALSE)</f>
        <v>1D</v>
      </c>
      <c r="D57" s="336">
        <f>VLOOKUP(F57,CADETES!$B:$E,4,FALSE)</f>
        <v>444</v>
      </c>
      <c r="E57" s="336" t="str">
        <f>VLOOKUP(F57,CADETES!$B:$H,7,FALSE)</f>
        <v>M</v>
      </c>
      <c r="F57" s="337" t="s">
        <v>440</v>
      </c>
      <c r="G57" s="338">
        <v>45891</v>
      </c>
      <c r="H57" s="339" t="s">
        <v>9</v>
      </c>
      <c r="I57" s="340">
        <v>1</v>
      </c>
      <c r="J57" s="341">
        <f t="shared" ref="J57:J83" si="11">VLOOKUP(I57,M:N,2,FALSE)</f>
        <v>59</v>
      </c>
    </row>
    <row r="58" spans="1:12">
      <c r="B58" s="192">
        <v>35</v>
      </c>
      <c r="C58" s="192" t="e">
        <f>VLOOKUP(F58,CADETES!$B:$G,6,FALSE)</f>
        <v>#N/A</v>
      </c>
      <c r="D58" s="192" t="e">
        <f>VLOOKUP(F58,CADETES!$B:$E,4,FALSE)</f>
        <v>#N/A</v>
      </c>
      <c r="E58" s="192" t="e">
        <f>VLOOKUP(F58,CADETES!$B:$H,7,FALSE)</f>
        <v>#N/A</v>
      </c>
      <c r="F58" s="193"/>
      <c r="G58" s="204"/>
      <c r="H58" s="205"/>
      <c r="I58" s="195"/>
      <c r="J58" s="195">
        <f t="shared" si="11"/>
        <v>0</v>
      </c>
    </row>
    <row r="59" spans="1:12">
      <c r="B59" s="85">
        <v>36</v>
      </c>
      <c r="C59" s="85" t="e">
        <f>VLOOKUP(F59,CADETES!$B:$G,6,FALSE)</f>
        <v>#N/A</v>
      </c>
      <c r="D59" s="85" t="e">
        <f>VLOOKUP(F59,CADETES!$B:$E,4,FALSE)</f>
        <v>#N/A</v>
      </c>
      <c r="E59" s="85" t="e">
        <f>VLOOKUP(F59,CADETES!$B:$H,7,FALSE)</f>
        <v>#N/A</v>
      </c>
      <c r="F59" s="60"/>
      <c r="G59" s="87"/>
      <c r="H59" s="57"/>
      <c r="I59" s="58"/>
      <c r="J59" s="58">
        <f t="shared" si="11"/>
        <v>0</v>
      </c>
    </row>
    <row r="60" spans="1:12">
      <c r="B60" s="85">
        <v>37</v>
      </c>
      <c r="C60" s="85" t="e">
        <f>VLOOKUP(F60,CADETES!$B:$G,6,FALSE)</f>
        <v>#N/A</v>
      </c>
      <c r="D60" s="85" t="e">
        <f>VLOOKUP(F60,CADETES!$B:$E,4,FALSE)</f>
        <v>#N/A</v>
      </c>
      <c r="E60" s="85" t="e">
        <f>VLOOKUP(F60,CADETES!$B:$H,7,FALSE)</f>
        <v>#N/A</v>
      </c>
      <c r="F60" s="60"/>
      <c r="G60" s="87"/>
      <c r="H60" s="57"/>
      <c r="I60" s="58"/>
      <c r="J60" s="58">
        <f t="shared" si="11"/>
        <v>0</v>
      </c>
    </row>
    <row r="61" spans="1:12">
      <c r="B61" s="85">
        <v>38</v>
      </c>
      <c r="C61" s="85" t="e">
        <f>VLOOKUP(F61,CADETES!$B:$G,6,FALSE)</f>
        <v>#N/A</v>
      </c>
      <c r="D61" s="85" t="e">
        <f>VLOOKUP(F61,CADETES!$B:$E,4,FALSE)</f>
        <v>#N/A</v>
      </c>
      <c r="E61" s="85" t="e">
        <f>VLOOKUP(F61,CADETES!$B:$H,7,FALSE)</f>
        <v>#N/A</v>
      </c>
      <c r="F61" s="60"/>
      <c r="G61" s="87"/>
      <c r="H61" s="57"/>
      <c r="I61" s="58"/>
      <c r="J61" s="58">
        <f t="shared" si="11"/>
        <v>0</v>
      </c>
    </row>
    <row r="62" spans="1:12">
      <c r="B62" s="85">
        <v>39</v>
      </c>
      <c r="C62" s="85" t="e">
        <f>VLOOKUP(F62,CADETES!$B:$G,6,FALSE)</f>
        <v>#N/A</v>
      </c>
      <c r="D62" s="85" t="e">
        <f>VLOOKUP(F62,CADETES!$B:$E,4,FALSE)</f>
        <v>#N/A</v>
      </c>
      <c r="E62" s="85" t="e">
        <f>VLOOKUP(F62,CADETES!$B:$H,7,FALSE)</f>
        <v>#N/A</v>
      </c>
      <c r="F62" s="60"/>
      <c r="G62" s="87"/>
      <c r="H62" s="57"/>
      <c r="I62" s="58"/>
      <c r="J62" s="58">
        <f t="shared" si="11"/>
        <v>0</v>
      </c>
    </row>
    <row r="63" spans="1:12">
      <c r="B63" s="85">
        <v>40</v>
      </c>
      <c r="C63" s="85" t="e">
        <f>VLOOKUP(F63,CADETES!$B:$G,6,FALSE)</f>
        <v>#N/A</v>
      </c>
      <c r="D63" s="85" t="e">
        <f>VLOOKUP(F63,CADETES!$B:$E,4,FALSE)</f>
        <v>#N/A</v>
      </c>
      <c r="E63" s="85" t="e">
        <f>VLOOKUP(F63,CADETES!$B:$H,7,FALSE)</f>
        <v>#N/A</v>
      </c>
      <c r="F63" s="60"/>
      <c r="G63" s="87"/>
      <c r="H63" s="57"/>
      <c r="I63" s="58"/>
      <c r="J63" s="58">
        <f t="shared" si="11"/>
        <v>0</v>
      </c>
    </row>
    <row r="64" spans="1:12">
      <c r="B64" s="85">
        <v>41</v>
      </c>
      <c r="C64" s="85" t="e">
        <f>VLOOKUP(F64,CADETES!$B:$G,6,FALSE)</f>
        <v>#N/A</v>
      </c>
      <c r="D64" s="85" t="e">
        <f>VLOOKUP(F64,CADETES!$B:$E,4,FALSE)</f>
        <v>#N/A</v>
      </c>
      <c r="E64" s="85" t="e">
        <f>VLOOKUP(F64,CADETES!$B:$H,7,FALSE)</f>
        <v>#N/A</v>
      </c>
      <c r="F64" s="60"/>
      <c r="G64" s="87"/>
      <c r="H64" s="57"/>
      <c r="I64" s="58"/>
      <c r="J64" s="58">
        <f t="shared" si="11"/>
        <v>0</v>
      </c>
    </row>
    <row r="65" spans="2:10">
      <c r="B65" s="85">
        <v>42</v>
      </c>
      <c r="C65" s="85" t="e">
        <f>VLOOKUP(F65,CADETES!$B:$G,6,FALSE)</f>
        <v>#N/A</v>
      </c>
      <c r="D65" s="85" t="e">
        <f>VLOOKUP(F65,CADETES!$B:$E,4,FALSE)</f>
        <v>#N/A</v>
      </c>
      <c r="E65" s="85" t="e">
        <f>VLOOKUP(F65,CADETES!$B:$H,7,FALSE)</f>
        <v>#N/A</v>
      </c>
      <c r="F65" s="60"/>
      <c r="G65" s="87"/>
      <c r="H65" s="57"/>
      <c r="I65" s="58"/>
      <c r="J65" s="58">
        <f t="shared" si="11"/>
        <v>0</v>
      </c>
    </row>
    <row r="66" spans="2:10">
      <c r="B66" s="85">
        <v>43</v>
      </c>
      <c r="C66" s="85" t="e">
        <f>VLOOKUP(F66,CADETES!$B:$G,6,FALSE)</f>
        <v>#N/A</v>
      </c>
      <c r="D66" s="85" t="e">
        <f>VLOOKUP(F66,CADETES!$B:$E,4,FALSE)</f>
        <v>#N/A</v>
      </c>
      <c r="E66" s="85" t="e">
        <f>VLOOKUP(F66,CADETES!$B:$H,7,FALSE)</f>
        <v>#N/A</v>
      </c>
      <c r="F66" s="60"/>
      <c r="G66" s="87"/>
      <c r="H66" s="57"/>
      <c r="I66" s="58"/>
      <c r="J66" s="58">
        <f t="shared" si="11"/>
        <v>0</v>
      </c>
    </row>
    <row r="67" spans="2:10">
      <c r="B67" s="85">
        <v>44</v>
      </c>
      <c r="C67" s="85" t="e">
        <f>VLOOKUP(F67,CADETES!$B:$G,6,FALSE)</f>
        <v>#N/A</v>
      </c>
      <c r="D67" s="85" t="e">
        <f>VLOOKUP(F67,CADETES!$B:$E,4,FALSE)</f>
        <v>#N/A</v>
      </c>
      <c r="E67" s="85" t="e">
        <f>VLOOKUP(F67,CADETES!$B:$H,7,FALSE)</f>
        <v>#N/A</v>
      </c>
      <c r="F67" s="60"/>
      <c r="G67" s="87"/>
      <c r="H67" s="57"/>
      <c r="I67" s="58"/>
      <c r="J67" s="58">
        <f t="shared" si="11"/>
        <v>0</v>
      </c>
    </row>
    <row r="68" spans="2:10">
      <c r="B68" s="85">
        <v>45</v>
      </c>
      <c r="C68" s="85" t="e">
        <f>VLOOKUP(F68,CADETES!$B:$G,6,FALSE)</f>
        <v>#N/A</v>
      </c>
      <c r="D68" s="85" t="e">
        <f>VLOOKUP(F68,CADETES!$B:$E,4,FALSE)</f>
        <v>#N/A</v>
      </c>
      <c r="E68" s="85" t="e">
        <f>VLOOKUP(F68,CADETES!$B:$H,7,FALSE)</f>
        <v>#N/A</v>
      </c>
      <c r="F68" s="60"/>
      <c r="G68" s="87"/>
      <c r="H68" s="57"/>
      <c r="I68" s="58"/>
      <c r="J68" s="58">
        <f t="shared" si="11"/>
        <v>0</v>
      </c>
    </row>
    <row r="69" spans="2:10">
      <c r="B69" s="85">
        <v>46</v>
      </c>
      <c r="C69" s="85" t="e">
        <f>VLOOKUP(F69,CADETES!$B:$G,6,FALSE)</f>
        <v>#N/A</v>
      </c>
      <c r="D69" s="85" t="e">
        <f>VLOOKUP(F69,CADETES!$B:$E,4,FALSE)</f>
        <v>#N/A</v>
      </c>
      <c r="E69" s="85" t="e">
        <f>VLOOKUP(F69,CADETES!$B:$H,7,FALSE)</f>
        <v>#N/A</v>
      </c>
      <c r="F69" s="60"/>
      <c r="G69" s="87"/>
      <c r="H69" s="57"/>
      <c r="I69" s="58"/>
      <c r="J69" s="58">
        <f t="shared" si="11"/>
        <v>0</v>
      </c>
    </row>
    <row r="70" spans="2:10">
      <c r="B70" s="85">
        <v>47</v>
      </c>
      <c r="C70" s="85" t="e">
        <f>VLOOKUP(F70,CADETES!$B:$G,6,FALSE)</f>
        <v>#N/A</v>
      </c>
      <c r="D70" s="85" t="e">
        <f>VLOOKUP(F70,CADETES!$B:$E,4,FALSE)</f>
        <v>#N/A</v>
      </c>
      <c r="E70" s="85" t="e">
        <f>VLOOKUP(F70,CADETES!$B:$H,7,FALSE)</f>
        <v>#N/A</v>
      </c>
      <c r="F70" s="60"/>
      <c r="G70" s="87"/>
      <c r="H70" s="57"/>
      <c r="I70" s="58"/>
      <c r="J70" s="58">
        <f t="shared" si="11"/>
        <v>0</v>
      </c>
    </row>
    <row r="71" spans="2:10">
      <c r="B71" s="85">
        <v>48</v>
      </c>
      <c r="C71" s="85" t="e">
        <f>VLOOKUP(F71,CADETES!$B:$G,6,FALSE)</f>
        <v>#N/A</v>
      </c>
      <c r="D71" s="85" t="e">
        <f>VLOOKUP(F71,CADETES!$B:$E,4,FALSE)</f>
        <v>#N/A</v>
      </c>
      <c r="E71" s="85" t="e">
        <f>VLOOKUP(F71,CADETES!$B:$H,7,FALSE)</f>
        <v>#N/A</v>
      </c>
      <c r="F71" s="60"/>
      <c r="G71" s="87"/>
      <c r="H71" s="57"/>
      <c r="I71" s="58"/>
      <c r="J71" s="58">
        <f t="shared" si="11"/>
        <v>0</v>
      </c>
    </row>
    <row r="72" spans="2:10">
      <c r="B72" s="85">
        <v>49</v>
      </c>
      <c r="C72" s="85" t="e">
        <f>VLOOKUP(F72,CADETES!$B:$G,6,FALSE)</f>
        <v>#N/A</v>
      </c>
      <c r="D72" s="85" t="e">
        <f>VLOOKUP(F72,CADETES!$B:$E,4,FALSE)</f>
        <v>#N/A</v>
      </c>
      <c r="E72" s="85" t="e">
        <f>VLOOKUP(F72,CADETES!$B:$H,7,FALSE)</f>
        <v>#N/A</v>
      </c>
      <c r="F72" s="60"/>
      <c r="G72" s="87"/>
      <c r="H72" s="57"/>
      <c r="I72" s="58"/>
      <c r="J72" s="58">
        <f t="shared" si="11"/>
        <v>0</v>
      </c>
    </row>
    <row r="73" spans="2:10">
      <c r="B73" s="85">
        <v>50</v>
      </c>
      <c r="C73" s="85" t="e">
        <f>VLOOKUP(F73,CADETES!$B:$G,6,FALSE)</f>
        <v>#N/A</v>
      </c>
      <c r="D73" s="85" t="e">
        <f>VLOOKUP(F73,CADETES!$B:$E,4,FALSE)</f>
        <v>#N/A</v>
      </c>
      <c r="E73" s="85" t="e">
        <f>VLOOKUP(F73,CADETES!$B:$H,7,FALSE)</f>
        <v>#N/A</v>
      </c>
      <c r="F73" s="60"/>
      <c r="G73" s="87"/>
      <c r="H73" s="57"/>
      <c r="I73" s="58"/>
      <c r="J73" s="58">
        <f t="shared" si="11"/>
        <v>0</v>
      </c>
    </row>
    <row r="74" spans="2:10">
      <c r="B74" s="85">
        <v>51</v>
      </c>
      <c r="C74" s="85" t="e">
        <f>VLOOKUP(F74,CADETES!$B:$G,6,FALSE)</f>
        <v>#N/A</v>
      </c>
      <c r="D74" s="85" t="e">
        <f>VLOOKUP(F74,CADETES!$B:$E,4,FALSE)</f>
        <v>#N/A</v>
      </c>
      <c r="E74" s="85" t="e">
        <f>VLOOKUP(F74,CADETES!$B:$H,7,FALSE)</f>
        <v>#N/A</v>
      </c>
      <c r="F74" s="60"/>
      <c r="G74" s="87"/>
      <c r="H74" s="57"/>
      <c r="I74" s="58"/>
      <c r="J74" s="58">
        <f t="shared" si="11"/>
        <v>0</v>
      </c>
    </row>
    <row r="75" spans="2:10">
      <c r="B75" s="85">
        <v>52</v>
      </c>
      <c r="C75" s="85" t="e">
        <f>VLOOKUP(F75,CADETES!$B:$G,6,FALSE)</f>
        <v>#N/A</v>
      </c>
      <c r="D75" s="85" t="e">
        <f>VLOOKUP(F75,CADETES!$B:$E,4,FALSE)</f>
        <v>#N/A</v>
      </c>
      <c r="E75" s="85" t="e">
        <f>VLOOKUP(F75,CADETES!$B:$H,7,FALSE)</f>
        <v>#N/A</v>
      </c>
      <c r="F75" s="60"/>
      <c r="G75" s="87"/>
      <c r="H75" s="57"/>
      <c r="I75" s="58"/>
      <c r="J75" s="58">
        <f t="shared" si="11"/>
        <v>0</v>
      </c>
    </row>
    <row r="76" spans="2:10">
      <c r="B76" s="85">
        <v>53</v>
      </c>
      <c r="C76" s="85" t="e">
        <f>VLOOKUP(F76,CADETES!$B:$G,6,FALSE)</f>
        <v>#N/A</v>
      </c>
      <c r="D76" s="85" t="e">
        <f>VLOOKUP(F76,CADETES!$B:$E,4,FALSE)</f>
        <v>#N/A</v>
      </c>
      <c r="E76" s="85" t="e">
        <f>VLOOKUP(F76,CADETES!$B:$H,7,FALSE)</f>
        <v>#N/A</v>
      </c>
      <c r="F76" s="60"/>
      <c r="G76" s="87"/>
      <c r="H76" s="57"/>
      <c r="I76" s="58"/>
      <c r="J76" s="58">
        <f t="shared" si="11"/>
        <v>0</v>
      </c>
    </row>
    <row r="77" spans="2:10">
      <c r="B77" s="85">
        <v>54</v>
      </c>
      <c r="C77" s="85" t="e">
        <f>VLOOKUP(F77,CADETES!$B:$G,6,FALSE)</f>
        <v>#N/A</v>
      </c>
      <c r="D77" s="85" t="e">
        <f>VLOOKUP(F77,CADETES!$B:$E,4,FALSE)</f>
        <v>#N/A</v>
      </c>
      <c r="E77" s="85" t="e">
        <f>VLOOKUP(F77,CADETES!$B:$H,7,FALSE)</f>
        <v>#N/A</v>
      </c>
      <c r="F77" s="60"/>
      <c r="G77" s="87"/>
      <c r="H77" s="57"/>
      <c r="I77" s="58"/>
      <c r="J77" s="58">
        <f t="shared" si="11"/>
        <v>0</v>
      </c>
    </row>
    <row r="78" spans="2:10">
      <c r="B78" s="85">
        <v>55</v>
      </c>
      <c r="C78" s="85" t="e">
        <f>VLOOKUP(F78,CADETES!$B:$G,6,FALSE)</f>
        <v>#N/A</v>
      </c>
      <c r="D78" s="85" t="e">
        <f>VLOOKUP(F78,CADETES!$B:$E,4,FALSE)</f>
        <v>#N/A</v>
      </c>
      <c r="E78" s="85" t="e">
        <f>VLOOKUP(F78,CADETES!$B:$H,7,FALSE)</f>
        <v>#N/A</v>
      </c>
      <c r="F78" s="60"/>
      <c r="G78" s="87"/>
      <c r="H78" s="57"/>
      <c r="I78" s="58"/>
      <c r="J78" s="58">
        <f t="shared" si="11"/>
        <v>0</v>
      </c>
    </row>
    <row r="79" spans="2:10">
      <c r="B79" s="85">
        <v>56</v>
      </c>
      <c r="C79" s="85" t="e">
        <f>VLOOKUP(F79,CADETES!$B:$G,6,FALSE)</f>
        <v>#N/A</v>
      </c>
      <c r="D79" s="85" t="e">
        <f>VLOOKUP(F79,CADETES!$B:$E,4,FALSE)</f>
        <v>#N/A</v>
      </c>
      <c r="E79" s="85" t="e">
        <f>VLOOKUP(F79,CADETES!$B:$H,7,FALSE)</f>
        <v>#N/A</v>
      </c>
      <c r="F79" s="60"/>
      <c r="G79" s="87"/>
      <c r="H79" s="57"/>
      <c r="I79" s="58"/>
      <c r="J79" s="58">
        <f t="shared" si="11"/>
        <v>0</v>
      </c>
    </row>
    <row r="80" spans="2:10">
      <c r="B80" s="85">
        <v>57</v>
      </c>
      <c r="C80" s="85" t="e">
        <f>VLOOKUP(F80,CADETES!$B:$G,6,FALSE)</f>
        <v>#N/A</v>
      </c>
      <c r="D80" s="85" t="e">
        <f>VLOOKUP(F80,CADETES!$B:$E,4,FALSE)</f>
        <v>#N/A</v>
      </c>
      <c r="E80" s="85" t="e">
        <f>VLOOKUP(F80,CADETES!$B:$H,7,FALSE)</f>
        <v>#N/A</v>
      </c>
      <c r="F80" s="60"/>
      <c r="G80" s="87"/>
      <c r="H80" s="57"/>
      <c r="I80" s="58"/>
      <c r="J80" s="58">
        <f t="shared" si="11"/>
        <v>0</v>
      </c>
    </row>
    <row r="81" spans="2:10">
      <c r="B81" s="85">
        <v>58</v>
      </c>
      <c r="C81" s="85" t="e">
        <f>VLOOKUP(F81,CADETES!$B:$G,6,FALSE)</f>
        <v>#N/A</v>
      </c>
      <c r="D81" s="85" t="e">
        <f>VLOOKUP(F81,CADETES!$B:$E,4,FALSE)</f>
        <v>#N/A</v>
      </c>
      <c r="E81" s="85" t="e">
        <f>VLOOKUP(F81,CADETES!$B:$H,7,FALSE)</f>
        <v>#N/A</v>
      </c>
      <c r="F81" s="60"/>
      <c r="G81" s="87"/>
      <c r="H81" s="57"/>
      <c r="I81" s="58"/>
      <c r="J81" s="58">
        <f t="shared" si="11"/>
        <v>0</v>
      </c>
    </row>
    <row r="82" spans="2:10">
      <c r="B82" s="85">
        <v>59</v>
      </c>
      <c r="C82" s="85" t="e">
        <f>VLOOKUP(F82,CADETES!$B:$G,6,FALSE)</f>
        <v>#N/A</v>
      </c>
      <c r="D82" s="85" t="e">
        <f>VLOOKUP(F82,CADETES!$B:$E,4,FALSE)</f>
        <v>#N/A</v>
      </c>
      <c r="E82" s="85" t="e">
        <f>VLOOKUP(F82,CADETES!$B:$H,7,FALSE)</f>
        <v>#N/A</v>
      </c>
      <c r="F82" s="60"/>
      <c r="G82" s="87"/>
      <c r="H82" s="57"/>
      <c r="I82" s="58"/>
      <c r="J82" s="58">
        <f t="shared" si="11"/>
        <v>0</v>
      </c>
    </row>
    <row r="83" spans="2:10">
      <c r="B83" s="85">
        <v>60</v>
      </c>
      <c r="C83" s="85" t="e">
        <f>VLOOKUP(F83,CADETES!$B:$G,6,FALSE)</f>
        <v>#N/A</v>
      </c>
      <c r="D83" s="85" t="e">
        <f>VLOOKUP(F83,CADETES!$B:$E,4,FALSE)</f>
        <v>#N/A</v>
      </c>
      <c r="E83" s="85" t="e">
        <f>VLOOKUP(F83,CADETES!$B:$H,7,FALSE)</f>
        <v>#N/A</v>
      </c>
      <c r="F83" s="60"/>
      <c r="G83" s="87"/>
      <c r="H83" s="57"/>
      <c r="I83" s="58"/>
      <c r="J83" s="58">
        <f t="shared" si="11"/>
        <v>0</v>
      </c>
    </row>
  </sheetData>
  <autoFilter ref="B23:J83"/>
  <mergeCells count="4">
    <mergeCell ref="L22:N22"/>
    <mergeCell ref="F4:N4"/>
    <mergeCell ref="B22:I22"/>
    <mergeCell ref="B2:N2"/>
  </mergeCells>
  <pageMargins left="0.7" right="0.7" top="0.75" bottom="0.75" header="0.3" footer="0.3"/>
  <pageSetup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51"/>
  <sheetViews>
    <sheetView workbookViewId="0">
      <pane xSplit="2" topLeftCell="E1" activePane="topRight" state="frozenSplit"/>
      <selection activeCell="A7" sqref="A7"/>
      <selection pane="topRight" activeCell="M13" sqref="M13"/>
    </sheetView>
  </sheetViews>
  <sheetFormatPr baseColWidth="10" defaultRowHeight="13.8"/>
  <cols>
    <col min="2" max="2" width="27.59765625" customWidth="1"/>
    <col min="3" max="3" width="16.69921875" hidden="1" customWidth="1"/>
    <col min="4" max="4" width="18.19921875" hidden="1" customWidth="1"/>
    <col min="5" max="5" width="16.69921875" bestFit="1" customWidth="1"/>
    <col min="6" max="6" width="23" customWidth="1"/>
    <col min="7" max="7" width="9.19921875" customWidth="1"/>
    <col min="8" max="8" width="16.3984375" customWidth="1"/>
    <col min="9" max="9" width="8.09765625" bestFit="1" customWidth="1"/>
    <col min="10" max="10" width="14.3984375" bestFit="1" customWidth="1"/>
    <col min="11" max="11" width="16.59765625" customWidth="1"/>
    <col min="12" max="12" width="16" bestFit="1" customWidth="1"/>
    <col min="13" max="13" width="14.3984375" bestFit="1" customWidth="1"/>
    <col min="14" max="14" width="16" bestFit="1" customWidth="1"/>
    <col min="15" max="15" width="14.3984375" bestFit="1" customWidth="1"/>
    <col min="16" max="16" width="19.09765625" bestFit="1" customWidth="1"/>
    <col min="17" max="18" width="15.19921875" bestFit="1" customWidth="1"/>
  </cols>
  <sheetData>
    <row r="3" spans="1:18" ht="22.8">
      <c r="A3" s="411" t="s">
        <v>1244</v>
      </c>
      <c r="B3" s="411"/>
      <c r="C3" s="411"/>
      <c r="D3" s="411"/>
      <c r="E3" s="411"/>
      <c r="F3" s="411"/>
      <c r="G3" s="411"/>
      <c r="H3" s="411"/>
      <c r="I3" s="411"/>
      <c r="J3" s="411"/>
      <c r="K3" s="411"/>
      <c r="L3" s="411"/>
      <c r="M3" s="411"/>
      <c r="N3" s="411"/>
      <c r="O3" s="411"/>
      <c r="P3" s="411"/>
      <c r="Q3" s="411"/>
      <c r="R3" s="411"/>
    </row>
    <row r="4" spans="1:18" ht="22.8">
      <c r="A4" s="411" t="s">
        <v>1409</v>
      </c>
      <c r="B4" s="411"/>
      <c r="C4" s="411"/>
      <c r="D4" s="411"/>
      <c r="E4" s="411"/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</row>
    <row r="8" spans="1:18" ht="23.25" customHeight="1">
      <c r="A8" s="411" t="s">
        <v>1410</v>
      </c>
      <c r="B8" s="411"/>
      <c r="C8" s="411"/>
      <c r="D8" s="411"/>
      <c r="E8" s="411"/>
      <c r="F8" s="411"/>
      <c r="G8" s="411"/>
      <c r="H8" s="411"/>
      <c r="I8" s="411"/>
      <c r="J8" s="411"/>
      <c r="K8" s="411"/>
      <c r="L8" s="411"/>
      <c r="M8" s="411"/>
      <c r="N8" s="411"/>
      <c r="O8" s="411"/>
      <c r="P8" s="411"/>
      <c r="Q8" s="411"/>
      <c r="R8" s="411"/>
    </row>
    <row r="9" spans="1:18" ht="15" customHeight="1">
      <c r="A9" s="409" t="s">
        <v>1206</v>
      </c>
      <c r="B9" s="409" t="s">
        <v>342</v>
      </c>
      <c r="C9" s="412" t="s">
        <v>1245</v>
      </c>
      <c r="D9" s="412"/>
      <c r="E9" s="412"/>
      <c r="F9" s="412"/>
      <c r="G9" s="412"/>
      <c r="H9" s="412"/>
      <c r="I9" s="412"/>
      <c r="J9" s="412"/>
      <c r="K9" s="412"/>
      <c r="L9" s="412"/>
      <c r="M9" s="413" t="s">
        <v>1246</v>
      </c>
      <c r="N9" s="413"/>
      <c r="O9" s="413"/>
      <c r="P9" s="413"/>
      <c r="Q9" s="413"/>
      <c r="R9" s="413"/>
    </row>
    <row r="10" spans="1:18" ht="62.4">
      <c r="A10" s="410"/>
      <c r="B10" s="410"/>
      <c r="C10" s="212" t="s">
        <v>1207</v>
      </c>
      <c r="D10" s="212" t="s">
        <v>1208</v>
      </c>
      <c r="E10" s="212" t="s">
        <v>246</v>
      </c>
      <c r="F10" s="212" t="s">
        <v>1209</v>
      </c>
      <c r="G10" s="212" t="s">
        <v>1210</v>
      </c>
      <c r="H10" s="212" t="s">
        <v>1211</v>
      </c>
      <c r="I10" s="212" t="s">
        <v>1212</v>
      </c>
      <c r="J10" s="212" t="s">
        <v>1213</v>
      </c>
      <c r="K10" s="212" t="s">
        <v>1205</v>
      </c>
      <c r="L10" s="212" t="s">
        <v>1214</v>
      </c>
      <c r="M10" s="248" t="s">
        <v>1215</v>
      </c>
      <c r="N10" s="248" t="s">
        <v>1216</v>
      </c>
      <c r="O10" s="248" t="s">
        <v>1217</v>
      </c>
      <c r="P10" s="248" t="s">
        <v>1241</v>
      </c>
      <c r="Q10" s="248" t="s">
        <v>1242</v>
      </c>
      <c r="R10" s="248" t="s">
        <v>1243</v>
      </c>
    </row>
    <row r="11" spans="1:18" ht="15">
      <c r="A11" s="213">
        <v>1332</v>
      </c>
      <c r="B11" s="214" t="s">
        <v>1218</v>
      </c>
      <c r="C11" s="215">
        <v>204445304</v>
      </c>
      <c r="D11" s="216">
        <f>+E11-C11</f>
        <v>447520</v>
      </c>
      <c r="E11" s="230">
        <v>204892824</v>
      </c>
      <c r="F11" s="230">
        <v>163174440</v>
      </c>
      <c r="G11" s="218">
        <f t="shared" ref="G11:G18" si="0">F11/E11</f>
        <v>0.79638923811211659</v>
      </c>
      <c r="H11" s="230">
        <v>94426624</v>
      </c>
      <c r="I11" s="218">
        <f t="shared" ref="I11:I18" si="1">H11/E11</f>
        <v>0.46085861943120077</v>
      </c>
      <c r="J11" s="216">
        <f>+F11-H11</f>
        <v>68747816</v>
      </c>
      <c r="K11" s="230">
        <v>94426624</v>
      </c>
      <c r="L11" s="216">
        <f t="shared" ref="L11:L17" si="2">E11-F11</f>
        <v>41718384</v>
      </c>
      <c r="M11" s="233">
        <v>5982611</v>
      </c>
      <c r="N11" s="216">
        <f t="shared" ref="N11:N17" si="3">L11-M11</f>
        <v>35735773</v>
      </c>
      <c r="O11" s="218">
        <f>1-N11/E11</f>
        <v>0.82558797178763077</v>
      </c>
      <c r="P11" s="249">
        <f>L11</f>
        <v>41718384</v>
      </c>
      <c r="Q11" s="249">
        <f>L11-P11</f>
        <v>0</v>
      </c>
      <c r="R11" s="237">
        <f>(L11+F11-Q11)/E11</f>
        <v>1</v>
      </c>
    </row>
    <row r="12" spans="1:18" ht="15">
      <c r="A12" s="219">
        <v>1346</v>
      </c>
      <c r="B12" s="220" t="s">
        <v>1219</v>
      </c>
      <c r="C12" s="221">
        <v>92597591</v>
      </c>
      <c r="D12" s="222">
        <v>0</v>
      </c>
      <c r="E12" s="230">
        <v>92597591</v>
      </c>
      <c r="F12" s="230">
        <v>40485032</v>
      </c>
      <c r="G12" s="224">
        <f t="shared" si="0"/>
        <v>0.43721474352394329</v>
      </c>
      <c r="H12" s="230">
        <v>35754249</v>
      </c>
      <c r="I12" s="224">
        <f t="shared" si="1"/>
        <v>0.38612504508891599</v>
      </c>
      <c r="J12" s="216">
        <f t="shared" ref="J12:J17" si="4">+F12-H12</f>
        <v>4730783</v>
      </c>
      <c r="K12" s="230">
        <v>35754249</v>
      </c>
      <c r="L12" s="222">
        <f t="shared" si="2"/>
        <v>52112559</v>
      </c>
      <c r="M12" s="233">
        <v>20402940</v>
      </c>
      <c r="N12" s="222">
        <f t="shared" si="3"/>
        <v>31709619</v>
      </c>
      <c r="O12" s="224">
        <f t="shared" ref="O12:O18" si="5">1-N12/E12</f>
        <v>0.65755460096148721</v>
      </c>
      <c r="P12" s="249">
        <f t="shared" ref="P12:P16" si="6">L12</f>
        <v>52112559</v>
      </c>
      <c r="Q12" s="249">
        <f t="shared" ref="Q12:Q16" si="7">L12-P12</f>
        <v>0</v>
      </c>
      <c r="R12" s="237">
        <f t="shared" ref="R12:R18" si="8">(L12+F12-Q12)/E12</f>
        <v>1</v>
      </c>
    </row>
    <row r="13" spans="1:18" ht="15">
      <c r="A13" s="219">
        <v>1347</v>
      </c>
      <c r="B13" s="220" t="s">
        <v>1220</v>
      </c>
      <c r="C13" s="221">
        <v>90687529</v>
      </c>
      <c r="D13" s="222">
        <v>-1038089</v>
      </c>
      <c r="E13" s="230">
        <v>88914412</v>
      </c>
      <c r="F13" s="230">
        <v>66052817</v>
      </c>
      <c r="G13" s="224">
        <f t="shared" si="0"/>
        <v>0.74288088414733033</v>
      </c>
      <c r="H13" s="230">
        <v>63200993</v>
      </c>
      <c r="I13" s="224">
        <f t="shared" si="1"/>
        <v>0.71080707366090434</v>
      </c>
      <c r="J13" s="216">
        <f t="shared" si="4"/>
        <v>2851824</v>
      </c>
      <c r="K13" s="230">
        <v>63200993</v>
      </c>
      <c r="L13" s="222">
        <f t="shared" si="2"/>
        <v>22861595</v>
      </c>
      <c r="M13" s="233">
        <v>10887532</v>
      </c>
      <c r="N13" s="222">
        <f t="shared" si="3"/>
        <v>11974063</v>
      </c>
      <c r="O13" s="224">
        <f t="shared" si="5"/>
        <v>0.86533045958848609</v>
      </c>
      <c r="P13" s="249">
        <f t="shared" si="6"/>
        <v>22861595</v>
      </c>
      <c r="Q13" s="249">
        <f t="shared" si="7"/>
        <v>0</v>
      </c>
      <c r="R13" s="237">
        <f t="shared" si="8"/>
        <v>1</v>
      </c>
    </row>
    <row r="14" spans="1:18" ht="15">
      <c r="A14" s="219">
        <v>1348</v>
      </c>
      <c r="B14" s="220" t="s">
        <v>1221</v>
      </c>
      <c r="C14" s="221">
        <v>3166000</v>
      </c>
      <c r="D14" s="222">
        <v>0</v>
      </c>
      <c r="E14" s="230">
        <v>3166000</v>
      </c>
      <c r="F14" s="347">
        <v>3061333</v>
      </c>
      <c r="G14" s="224">
        <f t="shared" si="0"/>
        <v>0.96694030322173086</v>
      </c>
      <c r="H14" s="239">
        <v>0</v>
      </c>
      <c r="I14" s="224">
        <f t="shared" si="1"/>
        <v>0</v>
      </c>
      <c r="J14" s="216">
        <f t="shared" si="4"/>
        <v>3061333</v>
      </c>
      <c r="K14" s="239">
        <v>0</v>
      </c>
      <c r="L14" s="222">
        <f t="shared" si="2"/>
        <v>104667</v>
      </c>
      <c r="M14" s="233">
        <v>0</v>
      </c>
      <c r="N14" s="222">
        <f t="shared" si="3"/>
        <v>104667</v>
      </c>
      <c r="O14" s="224">
        <f t="shared" si="5"/>
        <v>0.96694030322173086</v>
      </c>
      <c r="P14" s="249">
        <f>L14</f>
        <v>104667</v>
      </c>
      <c r="Q14" s="249">
        <f t="shared" si="7"/>
        <v>0</v>
      </c>
      <c r="R14" s="237">
        <f t="shared" si="8"/>
        <v>1</v>
      </c>
    </row>
    <row r="15" spans="1:18" ht="15">
      <c r="A15" s="219">
        <v>1350</v>
      </c>
      <c r="B15" s="220" t="s">
        <v>1222</v>
      </c>
      <c r="C15" s="221">
        <v>46288020</v>
      </c>
      <c r="D15" s="222">
        <v>-1950171</v>
      </c>
      <c r="E15" s="230">
        <v>43380604</v>
      </c>
      <c r="F15" s="230">
        <v>20359512</v>
      </c>
      <c r="G15" s="224">
        <f t="shared" si="0"/>
        <v>0.46932292597862402</v>
      </c>
      <c r="H15" s="230">
        <v>15210365</v>
      </c>
      <c r="I15" s="224">
        <f t="shared" si="1"/>
        <v>0.35062593872597991</v>
      </c>
      <c r="J15" s="216">
        <f t="shared" si="4"/>
        <v>5149147</v>
      </c>
      <c r="K15" s="230">
        <v>15210365</v>
      </c>
      <c r="L15" s="222">
        <f t="shared" si="2"/>
        <v>23021092</v>
      </c>
      <c r="M15" s="233">
        <v>7022813</v>
      </c>
      <c r="N15" s="222">
        <f t="shared" si="3"/>
        <v>15998279</v>
      </c>
      <c r="O15" s="224">
        <f t="shared" si="5"/>
        <v>0.63121124362399383</v>
      </c>
      <c r="P15" s="249">
        <f t="shared" si="6"/>
        <v>23021092</v>
      </c>
      <c r="Q15" s="249">
        <f t="shared" si="7"/>
        <v>0</v>
      </c>
      <c r="R15" s="237">
        <f t="shared" si="8"/>
        <v>1</v>
      </c>
    </row>
    <row r="16" spans="1:18" ht="15">
      <c r="A16" s="219">
        <v>1351</v>
      </c>
      <c r="B16" s="220" t="s">
        <v>1223</v>
      </c>
      <c r="C16" s="221">
        <v>545864279</v>
      </c>
      <c r="D16" s="222">
        <v>1958260</v>
      </c>
      <c r="E16" s="230">
        <v>550097292</v>
      </c>
      <c r="F16" s="230">
        <v>459914639</v>
      </c>
      <c r="G16" s="224">
        <f t="shared" si="0"/>
        <v>0.8360605399962594</v>
      </c>
      <c r="H16" s="230">
        <v>377592639</v>
      </c>
      <c r="I16" s="224">
        <f t="shared" si="1"/>
        <v>0.68641064860941003</v>
      </c>
      <c r="J16" s="216">
        <f t="shared" si="4"/>
        <v>82322000</v>
      </c>
      <c r="K16" s="230">
        <v>377592639</v>
      </c>
      <c r="L16" s="222">
        <f t="shared" si="2"/>
        <v>90182653</v>
      </c>
      <c r="M16" s="233">
        <v>107007626</v>
      </c>
      <c r="N16" s="222">
        <f t="shared" si="3"/>
        <v>-16824973</v>
      </c>
      <c r="O16" s="224">
        <f t="shared" si="5"/>
        <v>1.0305854496007953</v>
      </c>
      <c r="P16" s="249">
        <f t="shared" si="6"/>
        <v>90182653</v>
      </c>
      <c r="Q16" s="249">
        <f t="shared" si="7"/>
        <v>0</v>
      </c>
      <c r="R16" s="237">
        <f t="shared" si="8"/>
        <v>1</v>
      </c>
    </row>
    <row r="17" spans="1:18" ht="15">
      <c r="A17" s="219">
        <v>1353</v>
      </c>
      <c r="B17" s="220" t="s">
        <v>297</v>
      </c>
      <c r="C17" s="221">
        <v>276765629</v>
      </c>
      <c r="D17" s="222">
        <v>0</v>
      </c>
      <c r="E17" s="230">
        <v>276765629</v>
      </c>
      <c r="F17" s="230">
        <v>1273288</v>
      </c>
      <c r="G17" s="224">
        <f t="shared" si="0"/>
        <v>4.600600170623065E-3</v>
      </c>
      <c r="H17" s="230">
        <v>1273288</v>
      </c>
      <c r="I17" s="224">
        <f t="shared" si="1"/>
        <v>4.600600170623065E-3</v>
      </c>
      <c r="J17" s="216">
        <f t="shared" si="4"/>
        <v>0</v>
      </c>
      <c r="K17" s="230">
        <v>1273288</v>
      </c>
      <c r="L17" s="222">
        <f t="shared" si="2"/>
        <v>275492341</v>
      </c>
      <c r="M17" s="233">
        <v>0</v>
      </c>
      <c r="N17" s="222">
        <f t="shared" si="3"/>
        <v>275492341</v>
      </c>
      <c r="O17" s="224">
        <f t="shared" si="5"/>
        <v>4.600600170623026E-3</v>
      </c>
      <c r="P17" s="249">
        <v>0</v>
      </c>
      <c r="Q17" s="249">
        <f>L17-P17</f>
        <v>275492341</v>
      </c>
      <c r="R17" s="237">
        <f t="shared" si="8"/>
        <v>4.600600170623065E-3</v>
      </c>
    </row>
    <row r="18" spans="1:18" ht="15.6">
      <c r="A18" s="211"/>
      <c r="B18" s="225" t="s">
        <v>1224</v>
      </c>
      <c r="C18" s="226">
        <f>SUM(C11:C17)</f>
        <v>1259814352</v>
      </c>
      <c r="D18" s="226">
        <f t="shared" ref="D18" si="9">SUM(D11:D17)</f>
        <v>-582480</v>
      </c>
      <c r="E18" s="226">
        <f t="shared" ref="E18:F18" si="10">SUM(E11:E17)</f>
        <v>1259814352</v>
      </c>
      <c r="F18" s="226">
        <f t="shared" si="10"/>
        <v>754321061</v>
      </c>
      <c r="G18" s="227">
        <f t="shared" si="0"/>
        <v>0.59875572920921927</v>
      </c>
      <c r="H18" s="226">
        <f>SUM(H11:H17)</f>
        <v>587458158</v>
      </c>
      <c r="I18" s="227">
        <f t="shared" si="1"/>
        <v>0.46630533861389128</v>
      </c>
      <c r="J18" s="226">
        <f>SUM(J11:J17)</f>
        <v>166862903</v>
      </c>
      <c r="K18" s="226">
        <f>SUM(K11:K17)</f>
        <v>587458158</v>
      </c>
      <c r="L18" s="226">
        <f>SUM(L11:L17)</f>
        <v>505493291</v>
      </c>
      <c r="M18" s="226">
        <f>SUM(M11:M17)</f>
        <v>151303522</v>
      </c>
      <c r="N18" s="226">
        <f>SUM(N11:N17)</f>
        <v>354189769</v>
      </c>
      <c r="O18" s="227">
        <f t="shared" si="5"/>
        <v>0.71885558500130498</v>
      </c>
      <c r="P18" s="250">
        <f>SUM(P11:P17)</f>
        <v>230000950</v>
      </c>
      <c r="Q18" s="250">
        <f>L18-P18</f>
        <v>275492341</v>
      </c>
      <c r="R18" s="227">
        <f t="shared" si="8"/>
        <v>0.78132306513047245</v>
      </c>
    </row>
    <row r="19" spans="1:18">
      <c r="M19" s="252"/>
    </row>
    <row r="20" spans="1:18" ht="15">
      <c r="B20" s="251"/>
    </row>
    <row r="26" spans="1:18" ht="22.8">
      <c r="A26" s="411" t="s">
        <v>1411</v>
      </c>
      <c r="B26" s="411"/>
      <c r="C26" s="411"/>
      <c r="D26" s="411"/>
      <c r="E26" s="411"/>
      <c r="F26" s="411"/>
      <c r="G26" s="411"/>
      <c r="H26" s="411"/>
      <c r="I26" s="411"/>
      <c r="J26" s="411"/>
      <c r="K26" s="411"/>
      <c r="L26" s="411"/>
      <c r="M26" s="411"/>
      <c r="N26" s="411"/>
      <c r="O26" s="411"/>
      <c r="P26" s="411"/>
      <c r="Q26" s="411"/>
      <c r="R26" s="411"/>
    </row>
    <row r="27" spans="1:18" ht="15.6">
      <c r="A27" s="409" t="s">
        <v>1206</v>
      </c>
      <c r="B27" s="409" t="s">
        <v>342</v>
      </c>
      <c r="C27" s="412" t="s">
        <v>1245</v>
      </c>
      <c r="D27" s="412"/>
      <c r="E27" s="412"/>
      <c r="F27" s="412"/>
      <c r="G27" s="412"/>
      <c r="H27" s="412"/>
      <c r="I27" s="412"/>
      <c r="J27" s="412"/>
      <c r="K27" s="412"/>
      <c r="L27" s="412"/>
      <c r="M27" s="413" t="s">
        <v>1246</v>
      </c>
      <c r="N27" s="413"/>
      <c r="O27" s="413"/>
      <c r="P27" s="413"/>
      <c r="Q27" s="413"/>
      <c r="R27" s="413"/>
    </row>
    <row r="28" spans="1:18" ht="62.4">
      <c r="A28" s="410"/>
      <c r="B28" s="410"/>
      <c r="C28" s="212" t="s">
        <v>1207</v>
      </c>
      <c r="D28" s="212" t="s">
        <v>1208</v>
      </c>
      <c r="E28" s="212" t="s">
        <v>246</v>
      </c>
      <c r="F28" s="212" t="s">
        <v>1209</v>
      </c>
      <c r="G28" s="212" t="s">
        <v>1210</v>
      </c>
      <c r="H28" s="212" t="s">
        <v>1211</v>
      </c>
      <c r="I28" s="212" t="s">
        <v>1212</v>
      </c>
      <c r="J28" s="212" t="s">
        <v>1213</v>
      </c>
      <c r="K28" s="212" t="s">
        <v>1205</v>
      </c>
      <c r="L28" s="212" t="s">
        <v>1214</v>
      </c>
      <c r="M28" s="248" t="s">
        <v>1215</v>
      </c>
      <c r="N28" s="248" t="s">
        <v>1216</v>
      </c>
      <c r="O28" s="248" t="s">
        <v>1217</v>
      </c>
      <c r="P28" s="248" t="s">
        <v>1241</v>
      </c>
      <c r="Q28" s="248" t="s">
        <v>1242</v>
      </c>
      <c r="R28" s="248" t="s">
        <v>1243</v>
      </c>
    </row>
    <row r="29" spans="1:18" ht="15">
      <c r="A29" s="228">
        <v>1320</v>
      </c>
      <c r="B29" s="229" t="s">
        <v>289</v>
      </c>
      <c r="C29" s="217">
        <v>296994493</v>
      </c>
      <c r="D29" s="216">
        <v>1</v>
      </c>
      <c r="E29" s="232">
        <v>296994494</v>
      </c>
      <c r="F29" s="232">
        <v>296891369</v>
      </c>
      <c r="G29" s="231">
        <f>F29/E29</f>
        <v>0.99965277134060271</v>
      </c>
      <c r="H29" s="232">
        <v>266046488</v>
      </c>
      <c r="I29" s="231">
        <f>H29/E29</f>
        <v>0.89579602778763978</v>
      </c>
      <c r="J29" s="232">
        <f>+F29-H29</f>
        <v>30844881</v>
      </c>
      <c r="K29" s="232">
        <v>265296788</v>
      </c>
      <c r="L29" s="216">
        <f>E29-F29</f>
        <v>103125</v>
      </c>
      <c r="M29" s="233">
        <v>103125</v>
      </c>
      <c r="N29" s="234">
        <f>L29-M29</f>
        <v>0</v>
      </c>
      <c r="O29" s="231">
        <f>1-N29/E29</f>
        <v>1</v>
      </c>
      <c r="P29" s="253">
        <f>L29</f>
        <v>103125</v>
      </c>
      <c r="Q29" s="253">
        <f t="shared" ref="Q29:Q45" si="11">L29-P29</f>
        <v>0</v>
      </c>
      <c r="R29" s="231">
        <f t="shared" ref="R29:R44" si="12">(L29+F29-Q29)/E29</f>
        <v>1</v>
      </c>
    </row>
    <row r="30" spans="1:18" ht="15">
      <c r="A30" s="235">
        <v>1331</v>
      </c>
      <c r="B30" s="236" t="s">
        <v>1225</v>
      </c>
      <c r="C30" s="223">
        <v>649010446</v>
      </c>
      <c r="D30" s="222">
        <f>+E30-C30</f>
        <v>62107905</v>
      </c>
      <c r="E30" s="232">
        <v>711118351</v>
      </c>
      <c r="F30" s="232">
        <v>520443353</v>
      </c>
      <c r="G30" s="237">
        <f>F30/E30</f>
        <v>0.73186601395974948</v>
      </c>
      <c r="H30" s="232">
        <v>220847091</v>
      </c>
      <c r="I30" s="237">
        <f>H30/E30</f>
        <v>0.3105630598471224</v>
      </c>
      <c r="J30" s="232">
        <f t="shared" ref="J30:J44" si="13">+F30-H30</f>
        <v>299596262</v>
      </c>
      <c r="K30" s="232">
        <v>210969805</v>
      </c>
      <c r="L30" s="216">
        <f t="shared" ref="L30:L44" si="14">E30-F30</f>
        <v>190674998</v>
      </c>
      <c r="M30" s="238">
        <v>203432604</v>
      </c>
      <c r="N30" s="232">
        <f>L30-M30</f>
        <v>-12757606</v>
      </c>
      <c r="O30" s="231">
        <f t="shared" ref="O30:O45" si="15">1-N30/E30</f>
        <v>1.0179402007866338</v>
      </c>
      <c r="P30" s="249">
        <f t="shared" ref="P30:P44" si="16">L30</f>
        <v>190674998</v>
      </c>
      <c r="Q30" s="249">
        <f t="shared" si="11"/>
        <v>0</v>
      </c>
      <c r="R30" s="237">
        <f t="shared" si="12"/>
        <v>1</v>
      </c>
    </row>
    <row r="31" spans="1:18" ht="15">
      <c r="A31" s="235">
        <v>1333</v>
      </c>
      <c r="B31" s="236" t="s">
        <v>1226</v>
      </c>
      <c r="C31" s="223">
        <v>2595500</v>
      </c>
      <c r="D31" s="222">
        <f>+E31-C31</f>
        <v>3434731</v>
      </c>
      <c r="E31" s="232">
        <v>6030231</v>
      </c>
      <c r="F31" s="232">
        <v>3932190</v>
      </c>
      <c r="G31" s="237">
        <f>F31/E31</f>
        <v>0.65207949745208771</v>
      </c>
      <c r="H31" s="232">
        <v>2912190</v>
      </c>
      <c r="I31" s="237">
        <f>H31/E31</f>
        <v>0.48293174838575836</v>
      </c>
      <c r="J31" s="232">
        <f t="shared" si="13"/>
        <v>1020000</v>
      </c>
      <c r="K31" s="232">
        <v>2912190</v>
      </c>
      <c r="L31" s="216">
        <f t="shared" si="14"/>
        <v>2098041</v>
      </c>
      <c r="M31" s="238">
        <v>563730</v>
      </c>
      <c r="N31" s="232">
        <f t="shared" ref="N31:N44" si="17">L31-M31</f>
        <v>1534311</v>
      </c>
      <c r="O31" s="231">
        <f t="shared" si="15"/>
        <v>0.74556347841401105</v>
      </c>
      <c r="P31" s="249">
        <f t="shared" si="16"/>
        <v>2098041</v>
      </c>
      <c r="Q31" s="249">
        <f t="shared" si="11"/>
        <v>0</v>
      </c>
      <c r="R31" s="237">
        <f t="shared" si="12"/>
        <v>1</v>
      </c>
    </row>
    <row r="32" spans="1:18" ht="15">
      <c r="A32" s="235">
        <v>1334</v>
      </c>
      <c r="B32" s="236" t="s">
        <v>1227</v>
      </c>
      <c r="C32" s="223">
        <v>170445609</v>
      </c>
      <c r="D32" s="222">
        <v>1555886</v>
      </c>
      <c r="E32" s="232">
        <v>182307401</v>
      </c>
      <c r="F32" s="232">
        <v>137640828</v>
      </c>
      <c r="G32" s="237">
        <f t="shared" ref="G32:G45" si="18">F32/E32</f>
        <v>0.75499308994043524</v>
      </c>
      <c r="H32" s="232">
        <v>112415114</v>
      </c>
      <c r="I32" s="237">
        <f t="shared" ref="I32:I45" si="19">H32/E32</f>
        <v>0.61662397348311715</v>
      </c>
      <c r="J32" s="232">
        <f t="shared" si="13"/>
        <v>25225714</v>
      </c>
      <c r="K32" s="232">
        <v>111796319</v>
      </c>
      <c r="L32" s="216">
        <f t="shared" si="14"/>
        <v>44666573</v>
      </c>
      <c r="M32" s="238">
        <v>9005609</v>
      </c>
      <c r="N32" s="232">
        <f t="shared" si="17"/>
        <v>35660964</v>
      </c>
      <c r="O32" s="231">
        <f t="shared" si="15"/>
        <v>0.80439102414717656</v>
      </c>
      <c r="P32" s="249">
        <f t="shared" si="16"/>
        <v>44666573</v>
      </c>
      <c r="Q32" s="249">
        <f t="shared" si="11"/>
        <v>0</v>
      </c>
      <c r="R32" s="237">
        <f t="shared" si="12"/>
        <v>1</v>
      </c>
    </row>
    <row r="33" spans="1:18" ht="15">
      <c r="A33" s="235">
        <v>1335</v>
      </c>
      <c r="B33" s="236" t="s">
        <v>1228</v>
      </c>
      <c r="C33" s="223">
        <v>1132217982</v>
      </c>
      <c r="D33" s="222">
        <f t="shared" ref="D33:D41" si="20">+E33-C33</f>
        <v>16609168</v>
      </c>
      <c r="E33" s="232">
        <v>1148827150</v>
      </c>
      <c r="F33" s="232">
        <v>757449171</v>
      </c>
      <c r="G33" s="237">
        <f t="shared" si="18"/>
        <v>0.65932387739965925</v>
      </c>
      <c r="H33" s="232">
        <v>708782117</v>
      </c>
      <c r="I33" s="237">
        <f t="shared" si="19"/>
        <v>0.61696149590475813</v>
      </c>
      <c r="J33" s="232">
        <f t="shared" si="13"/>
        <v>48667054</v>
      </c>
      <c r="K33" s="232">
        <v>701697278</v>
      </c>
      <c r="L33" s="216">
        <f t="shared" si="14"/>
        <v>391377979</v>
      </c>
      <c r="M33" s="238">
        <v>87571642</v>
      </c>
      <c r="N33" s="232">
        <f t="shared" si="17"/>
        <v>303806337</v>
      </c>
      <c r="O33" s="231">
        <f t="shared" si="15"/>
        <v>0.73555087290546717</v>
      </c>
      <c r="P33" s="249">
        <f t="shared" si="16"/>
        <v>391377979</v>
      </c>
      <c r="Q33" s="249">
        <f t="shared" si="11"/>
        <v>0</v>
      </c>
      <c r="R33" s="237">
        <f t="shared" si="12"/>
        <v>1</v>
      </c>
    </row>
    <row r="34" spans="1:18" ht="15">
      <c r="A34" s="235">
        <v>1336</v>
      </c>
      <c r="B34" s="236" t="s">
        <v>1229</v>
      </c>
      <c r="C34" s="223">
        <v>21018819</v>
      </c>
      <c r="D34" s="222">
        <f t="shared" si="20"/>
        <v>-588136</v>
      </c>
      <c r="E34" s="232">
        <v>20430683</v>
      </c>
      <c r="F34" s="232">
        <v>15535163</v>
      </c>
      <c r="G34" s="237">
        <f t="shared" si="18"/>
        <v>0.76038392842764968</v>
      </c>
      <c r="H34" s="232">
        <v>7355066</v>
      </c>
      <c r="I34" s="237">
        <f t="shared" si="19"/>
        <v>0.36000098479331305</v>
      </c>
      <c r="J34" s="232">
        <f t="shared" si="13"/>
        <v>8180097</v>
      </c>
      <c r="K34" s="232">
        <v>7355066</v>
      </c>
      <c r="L34" s="216">
        <f t="shared" si="14"/>
        <v>4895520</v>
      </c>
      <c r="M34" s="238">
        <v>3036529</v>
      </c>
      <c r="N34" s="232">
        <f t="shared" si="17"/>
        <v>1858991</v>
      </c>
      <c r="O34" s="231">
        <f t="shared" si="15"/>
        <v>0.90900984563266929</v>
      </c>
      <c r="P34" s="249">
        <f t="shared" si="16"/>
        <v>4895520</v>
      </c>
      <c r="Q34" s="249">
        <f t="shared" si="11"/>
        <v>0</v>
      </c>
      <c r="R34" s="237">
        <f t="shared" si="12"/>
        <v>1</v>
      </c>
    </row>
    <row r="35" spans="1:18" ht="15">
      <c r="A35" s="235">
        <v>1337</v>
      </c>
      <c r="B35" s="236" t="s">
        <v>1230</v>
      </c>
      <c r="C35" s="223">
        <v>354972782</v>
      </c>
      <c r="D35" s="222">
        <f t="shared" si="20"/>
        <v>8309619</v>
      </c>
      <c r="E35" s="232">
        <v>363282401</v>
      </c>
      <c r="F35" s="232">
        <v>256507028</v>
      </c>
      <c r="G35" s="237">
        <f t="shared" si="18"/>
        <v>0.7060816249119648</v>
      </c>
      <c r="H35" s="232">
        <v>183521466</v>
      </c>
      <c r="I35" s="237">
        <f t="shared" si="19"/>
        <v>0.50517576820353594</v>
      </c>
      <c r="J35" s="232">
        <f t="shared" si="13"/>
        <v>72985562</v>
      </c>
      <c r="K35" s="232">
        <v>181115405</v>
      </c>
      <c r="L35" s="216">
        <f t="shared" si="14"/>
        <v>106775373</v>
      </c>
      <c r="M35" s="238">
        <v>102486975</v>
      </c>
      <c r="N35" s="232">
        <f t="shared" si="17"/>
        <v>4288398</v>
      </c>
      <c r="O35" s="231">
        <f t="shared" si="15"/>
        <v>0.98819541494937435</v>
      </c>
      <c r="P35" s="249">
        <f t="shared" si="16"/>
        <v>106775373</v>
      </c>
      <c r="Q35" s="249">
        <f t="shared" si="11"/>
        <v>0</v>
      </c>
      <c r="R35" s="237">
        <f t="shared" si="12"/>
        <v>1</v>
      </c>
    </row>
    <row r="36" spans="1:18" ht="15">
      <c r="A36" s="235">
        <v>1338</v>
      </c>
      <c r="B36" s="236" t="s">
        <v>1231</v>
      </c>
      <c r="C36" s="223">
        <v>15935997</v>
      </c>
      <c r="D36" s="222">
        <f t="shared" si="20"/>
        <v>-2138152</v>
      </c>
      <c r="E36" s="232">
        <v>13797845</v>
      </c>
      <c r="F36" s="232">
        <v>13060631</v>
      </c>
      <c r="G36" s="237">
        <f t="shared" si="18"/>
        <v>0.94657035210933305</v>
      </c>
      <c r="H36" s="232">
        <v>11781829</v>
      </c>
      <c r="I36" s="237">
        <f t="shared" si="19"/>
        <v>0.85388906745944748</v>
      </c>
      <c r="J36" s="232">
        <f t="shared" si="13"/>
        <v>1278802</v>
      </c>
      <c r="K36" s="232">
        <v>11781829</v>
      </c>
      <c r="L36" s="216">
        <f t="shared" si="14"/>
        <v>737214</v>
      </c>
      <c r="M36" s="238">
        <v>1009410</v>
      </c>
      <c r="N36" s="232">
        <f t="shared" si="17"/>
        <v>-272196</v>
      </c>
      <c r="O36" s="231">
        <f t="shared" si="15"/>
        <v>1.0197274284498774</v>
      </c>
      <c r="P36" s="249">
        <f t="shared" si="16"/>
        <v>737214</v>
      </c>
      <c r="Q36" s="249">
        <f t="shared" si="11"/>
        <v>0</v>
      </c>
      <c r="R36" s="237">
        <f t="shared" si="12"/>
        <v>1</v>
      </c>
    </row>
    <row r="37" spans="1:18" ht="15">
      <c r="A37" s="235">
        <v>1339</v>
      </c>
      <c r="B37" s="236" t="s">
        <v>1232</v>
      </c>
      <c r="C37" s="223">
        <v>90533036</v>
      </c>
      <c r="D37" s="222">
        <f t="shared" si="20"/>
        <v>329634</v>
      </c>
      <c r="E37" s="232">
        <v>90862670</v>
      </c>
      <c r="F37" s="232">
        <v>59908199</v>
      </c>
      <c r="G37" s="237">
        <f t="shared" si="18"/>
        <v>0.65932686107507077</v>
      </c>
      <c r="H37" s="232">
        <v>49442878</v>
      </c>
      <c r="I37" s="237">
        <f t="shared" si="19"/>
        <v>0.54414951706790038</v>
      </c>
      <c r="J37" s="232">
        <f t="shared" si="13"/>
        <v>10465321</v>
      </c>
      <c r="K37" s="232">
        <v>49442878</v>
      </c>
      <c r="L37" s="216">
        <f t="shared" si="14"/>
        <v>30954471</v>
      </c>
      <c r="M37" s="238">
        <v>2262406</v>
      </c>
      <c r="N37" s="232">
        <f t="shared" si="17"/>
        <v>28692065</v>
      </c>
      <c r="O37" s="231">
        <f t="shared" si="15"/>
        <v>0.6842260413434913</v>
      </c>
      <c r="P37" s="249">
        <f t="shared" si="16"/>
        <v>30954471</v>
      </c>
      <c r="Q37" s="249">
        <f t="shared" si="11"/>
        <v>0</v>
      </c>
      <c r="R37" s="237">
        <f t="shared" si="12"/>
        <v>1</v>
      </c>
    </row>
    <row r="38" spans="1:18" ht="15">
      <c r="A38" s="235">
        <v>1340</v>
      </c>
      <c r="B38" s="236" t="s">
        <v>1233</v>
      </c>
      <c r="C38" s="223">
        <v>43475040</v>
      </c>
      <c r="D38" s="222">
        <f t="shared" si="20"/>
        <v>-2606625</v>
      </c>
      <c r="E38" s="232">
        <v>40868415</v>
      </c>
      <c r="F38" s="232">
        <v>20172031</v>
      </c>
      <c r="G38" s="237">
        <f t="shared" si="18"/>
        <v>0.49358486253993455</v>
      </c>
      <c r="H38" s="232">
        <v>18399405</v>
      </c>
      <c r="I38" s="237">
        <f t="shared" si="19"/>
        <v>0.45021087800933801</v>
      </c>
      <c r="J38" s="232">
        <f t="shared" si="13"/>
        <v>1772626</v>
      </c>
      <c r="K38" s="232">
        <v>18399405</v>
      </c>
      <c r="L38" s="216">
        <f t="shared" si="14"/>
        <v>20696384</v>
      </c>
      <c r="M38" s="238">
        <v>5680775</v>
      </c>
      <c r="N38" s="232">
        <f t="shared" si="17"/>
        <v>15015609</v>
      </c>
      <c r="O38" s="231">
        <f t="shared" si="15"/>
        <v>0.63258646071789182</v>
      </c>
      <c r="P38" s="249">
        <f t="shared" si="16"/>
        <v>20696384</v>
      </c>
      <c r="Q38" s="249">
        <f t="shared" si="11"/>
        <v>0</v>
      </c>
      <c r="R38" s="237">
        <f t="shared" si="12"/>
        <v>1</v>
      </c>
    </row>
    <row r="39" spans="1:18" ht="15">
      <c r="A39" s="235">
        <v>1341</v>
      </c>
      <c r="B39" s="236" t="s">
        <v>1234</v>
      </c>
      <c r="C39" s="223">
        <v>92124226</v>
      </c>
      <c r="D39" s="222">
        <f t="shared" si="20"/>
        <v>5108660</v>
      </c>
      <c r="E39" s="232">
        <v>97232886</v>
      </c>
      <c r="F39" s="232">
        <v>56959143</v>
      </c>
      <c r="G39" s="237">
        <f t="shared" si="18"/>
        <v>0.58580121750165881</v>
      </c>
      <c r="H39" s="232">
        <v>27035160</v>
      </c>
      <c r="I39" s="237">
        <f t="shared" si="19"/>
        <v>0.27804543413429073</v>
      </c>
      <c r="J39" s="232">
        <f t="shared" si="13"/>
        <v>29923983</v>
      </c>
      <c r="K39" s="232">
        <v>27035160</v>
      </c>
      <c r="L39" s="216">
        <f t="shared" si="14"/>
        <v>40273743</v>
      </c>
      <c r="M39" s="238">
        <v>13507204</v>
      </c>
      <c r="N39" s="232">
        <f t="shared" si="17"/>
        <v>26766539</v>
      </c>
      <c r="O39" s="231">
        <f t="shared" si="15"/>
        <v>0.72471722170213071</v>
      </c>
      <c r="P39" s="249">
        <f t="shared" si="16"/>
        <v>40273743</v>
      </c>
      <c r="Q39" s="249">
        <f t="shared" si="11"/>
        <v>0</v>
      </c>
      <c r="R39" s="237">
        <f t="shared" si="12"/>
        <v>1</v>
      </c>
    </row>
    <row r="40" spans="1:18" ht="15">
      <c r="A40" s="219">
        <v>1342</v>
      </c>
      <c r="B40" s="220" t="s">
        <v>1235</v>
      </c>
      <c r="C40" s="223">
        <v>236988223</v>
      </c>
      <c r="D40" s="222">
        <f t="shared" si="20"/>
        <v>-117922408</v>
      </c>
      <c r="E40" s="232">
        <v>119065815</v>
      </c>
      <c r="F40" s="232">
        <v>6711715</v>
      </c>
      <c r="G40" s="237">
        <f t="shared" si="18"/>
        <v>5.6369790103061909E-2</v>
      </c>
      <c r="H40" s="232">
        <v>6711715</v>
      </c>
      <c r="I40" s="237">
        <f t="shared" si="19"/>
        <v>5.6369790103061909E-2</v>
      </c>
      <c r="J40" s="232">
        <f t="shared" si="13"/>
        <v>0</v>
      </c>
      <c r="K40" s="232">
        <v>6711715</v>
      </c>
      <c r="L40" s="216">
        <f t="shared" si="14"/>
        <v>112354100</v>
      </c>
      <c r="M40" s="238">
        <v>429000</v>
      </c>
      <c r="N40" s="232">
        <f t="shared" si="17"/>
        <v>111925100</v>
      </c>
      <c r="O40" s="231">
        <f t="shared" si="15"/>
        <v>5.997283939139042E-2</v>
      </c>
      <c r="P40" s="249">
        <v>0</v>
      </c>
      <c r="Q40" s="249">
        <f t="shared" si="11"/>
        <v>112354100</v>
      </c>
      <c r="R40" s="237">
        <f t="shared" si="12"/>
        <v>5.6369790103061909E-2</v>
      </c>
    </row>
    <row r="41" spans="1:18" ht="15">
      <c r="A41" s="235">
        <v>1343</v>
      </c>
      <c r="B41" s="236" t="s">
        <v>1236</v>
      </c>
      <c r="C41" s="223">
        <v>42712810</v>
      </c>
      <c r="D41" s="222">
        <f t="shared" si="20"/>
        <v>7535500</v>
      </c>
      <c r="E41" s="232">
        <v>50248310</v>
      </c>
      <c r="F41" s="232">
        <v>43992943</v>
      </c>
      <c r="G41" s="237">
        <f t="shared" si="18"/>
        <v>0.87551089777944768</v>
      </c>
      <c r="H41" s="232">
        <v>19374591</v>
      </c>
      <c r="I41" s="237">
        <f t="shared" si="19"/>
        <v>0.38557696766319105</v>
      </c>
      <c r="J41" s="232">
        <f t="shared" si="13"/>
        <v>24618352</v>
      </c>
      <c r="K41" s="232">
        <v>18737591</v>
      </c>
      <c r="L41" s="216">
        <f t="shared" si="14"/>
        <v>6255367</v>
      </c>
      <c r="M41" s="238">
        <v>0</v>
      </c>
      <c r="N41" s="232">
        <f t="shared" si="17"/>
        <v>6255367</v>
      </c>
      <c r="O41" s="231">
        <f t="shared" si="15"/>
        <v>0.87551089777944768</v>
      </c>
      <c r="P41" s="249">
        <f t="shared" si="16"/>
        <v>6255367</v>
      </c>
      <c r="Q41" s="249">
        <f t="shared" si="11"/>
        <v>0</v>
      </c>
      <c r="R41" s="237">
        <f t="shared" si="12"/>
        <v>1</v>
      </c>
    </row>
    <row r="42" spans="1:18" ht="15">
      <c r="A42" s="235">
        <v>1344</v>
      </c>
      <c r="B42" s="236" t="s">
        <v>1237</v>
      </c>
      <c r="C42" s="223">
        <v>38255683</v>
      </c>
      <c r="D42" s="222">
        <v>-5095922</v>
      </c>
      <c r="E42" s="232">
        <v>34132808</v>
      </c>
      <c r="F42" s="232">
        <v>13075465</v>
      </c>
      <c r="G42" s="237">
        <f t="shared" si="18"/>
        <v>0.38307615945339157</v>
      </c>
      <c r="H42" s="232">
        <v>8929456</v>
      </c>
      <c r="I42" s="237">
        <f t="shared" si="19"/>
        <v>0.26160918257882565</v>
      </c>
      <c r="J42" s="232">
        <f t="shared" si="13"/>
        <v>4146009</v>
      </c>
      <c r="K42" s="232">
        <v>8929456</v>
      </c>
      <c r="L42" s="216">
        <f t="shared" si="14"/>
        <v>21057343</v>
      </c>
      <c r="M42" s="238">
        <v>2581544</v>
      </c>
      <c r="N42" s="232">
        <f t="shared" si="17"/>
        <v>18475799</v>
      </c>
      <c r="O42" s="231">
        <f t="shared" si="15"/>
        <v>0.4587084953573114</v>
      </c>
      <c r="P42" s="249">
        <f t="shared" si="16"/>
        <v>21057343</v>
      </c>
      <c r="Q42" s="249">
        <f t="shared" si="11"/>
        <v>0</v>
      </c>
      <c r="R42" s="237">
        <f t="shared" si="12"/>
        <v>1</v>
      </c>
    </row>
    <row r="43" spans="1:18" ht="15">
      <c r="A43" s="235">
        <v>1345</v>
      </c>
      <c r="B43" s="236" t="s">
        <v>1238</v>
      </c>
      <c r="C43" s="223">
        <v>8086755</v>
      </c>
      <c r="D43" s="222">
        <f>+E43-C43</f>
        <v>6398797</v>
      </c>
      <c r="E43" s="232">
        <v>14485552</v>
      </c>
      <c r="F43" s="232">
        <v>14485552</v>
      </c>
      <c r="G43" s="237">
        <f t="shared" si="18"/>
        <v>1</v>
      </c>
      <c r="H43" s="232">
        <v>13556242</v>
      </c>
      <c r="I43" s="237">
        <f t="shared" si="19"/>
        <v>0.93584573097386969</v>
      </c>
      <c r="J43" s="232">
        <f t="shared" si="13"/>
        <v>929310</v>
      </c>
      <c r="K43" s="232">
        <v>13556242</v>
      </c>
      <c r="L43" s="216">
        <f t="shared" si="14"/>
        <v>0</v>
      </c>
      <c r="M43" s="238">
        <v>2459770</v>
      </c>
      <c r="N43" s="232">
        <f>L43-M43</f>
        <v>-2459770</v>
      </c>
      <c r="O43" s="231">
        <f t="shared" si="15"/>
        <v>1.1698085098862645</v>
      </c>
      <c r="P43" s="249">
        <f t="shared" si="16"/>
        <v>0</v>
      </c>
      <c r="Q43" s="249">
        <f t="shared" si="11"/>
        <v>0</v>
      </c>
      <c r="R43" s="237">
        <f t="shared" si="12"/>
        <v>1</v>
      </c>
    </row>
    <row r="44" spans="1:18" ht="15">
      <c r="A44" s="235">
        <v>1349</v>
      </c>
      <c r="B44" s="236" t="s">
        <v>1239</v>
      </c>
      <c r="C44" s="223">
        <v>20594102</v>
      </c>
      <c r="D44" s="222">
        <f>+E44-C44</f>
        <v>5682389</v>
      </c>
      <c r="E44" s="232">
        <v>26276491</v>
      </c>
      <c r="F44" s="232">
        <v>26276482</v>
      </c>
      <c r="G44" s="237">
        <f t="shared" si="18"/>
        <v>0.99999965748851316</v>
      </c>
      <c r="H44" s="232">
        <v>14825463</v>
      </c>
      <c r="I44" s="237">
        <f t="shared" si="19"/>
        <v>0.56421015271788</v>
      </c>
      <c r="J44" s="232">
        <f t="shared" si="13"/>
        <v>11451019</v>
      </c>
      <c r="K44" s="232">
        <v>11960238</v>
      </c>
      <c r="L44" s="216">
        <f t="shared" si="14"/>
        <v>9</v>
      </c>
      <c r="M44" s="238">
        <v>0</v>
      </c>
      <c r="N44" s="232">
        <f t="shared" si="17"/>
        <v>9</v>
      </c>
      <c r="O44" s="231">
        <f t="shared" si="15"/>
        <v>0.99999965748851316</v>
      </c>
      <c r="P44" s="249">
        <f t="shared" si="16"/>
        <v>9</v>
      </c>
      <c r="Q44" s="249">
        <f t="shared" si="11"/>
        <v>0</v>
      </c>
      <c r="R44" s="237">
        <f t="shared" si="12"/>
        <v>1</v>
      </c>
    </row>
    <row r="45" spans="1:18" ht="15.6">
      <c r="A45" s="211"/>
      <c r="B45" s="225" t="s">
        <v>1240</v>
      </c>
      <c r="C45" s="226">
        <f>SUM(C29:C44)</f>
        <v>3215961503</v>
      </c>
      <c r="D45" s="226">
        <f>SUM(D29:D44)</f>
        <v>-11278953</v>
      </c>
      <c r="E45" s="226">
        <f>SUM(E29:E44)</f>
        <v>3215961503</v>
      </c>
      <c r="F45" s="226">
        <f>SUM(F29:F44)</f>
        <v>2243041263</v>
      </c>
      <c r="G45" s="227">
        <f t="shared" si="18"/>
        <v>0.69747142834501774</v>
      </c>
      <c r="H45" s="226">
        <f>SUM(H29:H44)</f>
        <v>1671936271</v>
      </c>
      <c r="I45" s="227">
        <f t="shared" si="19"/>
        <v>0.51988690456659359</v>
      </c>
      <c r="J45" s="226">
        <f>SUM(J29:J44)</f>
        <v>571104992</v>
      </c>
      <c r="K45" s="240">
        <f>SUM(K29:K44)</f>
        <v>1647697365</v>
      </c>
      <c r="L45" s="226">
        <f>SUM(L29:L44)</f>
        <v>972920240</v>
      </c>
      <c r="M45" s="226">
        <f>SUM(M29:M44)</f>
        <v>434130323</v>
      </c>
      <c r="N45" s="226">
        <f>SUM(N29:N44)</f>
        <v>538789917</v>
      </c>
      <c r="O45" s="227">
        <f t="shared" si="15"/>
        <v>0.83246381634313982</v>
      </c>
      <c r="P45" s="250">
        <f>SUM(P29:P44)</f>
        <v>860566140</v>
      </c>
      <c r="Q45" s="250">
        <f t="shared" si="11"/>
        <v>112354100</v>
      </c>
      <c r="R45" s="227">
        <f t="shared" ref="R45" si="21">Q45/N45</f>
        <v>0.20853044285904854</v>
      </c>
    </row>
    <row r="50" spans="15:16">
      <c r="O50" s="252"/>
    </row>
    <row r="51" spans="15:16">
      <c r="O51" s="252"/>
      <c r="P51" s="252"/>
    </row>
  </sheetData>
  <mergeCells count="12">
    <mergeCell ref="A27:A28"/>
    <mergeCell ref="B27:B28"/>
    <mergeCell ref="A26:R26"/>
    <mergeCell ref="A8:R8"/>
    <mergeCell ref="A3:R3"/>
    <mergeCell ref="A4:R4"/>
    <mergeCell ref="A9:A10"/>
    <mergeCell ref="B9:B10"/>
    <mergeCell ref="C9:L9"/>
    <mergeCell ref="M9:R9"/>
    <mergeCell ref="C27:L27"/>
    <mergeCell ref="M27:R2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64"/>
  <sheetViews>
    <sheetView workbookViewId="0">
      <selection activeCell="C15" sqref="C15"/>
    </sheetView>
  </sheetViews>
  <sheetFormatPr baseColWidth="10" defaultColWidth="11" defaultRowHeight="13.2"/>
  <cols>
    <col min="1" max="1" width="30.19921875" style="18" bestFit="1" customWidth="1"/>
    <col min="2" max="2" width="14.09765625" style="18" bestFit="1" customWidth="1"/>
    <col min="3" max="3" width="16.8984375" style="18" bestFit="1" customWidth="1"/>
    <col min="4" max="4" width="3.5" style="18" bestFit="1" customWidth="1"/>
    <col min="5" max="5" width="13.19921875" style="18" customWidth="1"/>
    <col min="6" max="6" width="3.5" style="18" hidden="1" customWidth="1"/>
    <col min="7" max="7" width="12.09765625" style="18" hidden="1" customWidth="1"/>
    <col min="8" max="8" width="3.09765625" style="18" hidden="1" customWidth="1"/>
    <col min="9" max="9" width="12.09765625" style="18" hidden="1" customWidth="1"/>
    <col min="10" max="10" width="3.09765625" style="18" hidden="1" customWidth="1"/>
    <col min="11" max="11" width="11.19921875" style="18" hidden="1" customWidth="1"/>
    <col min="12" max="16384" width="11" style="18"/>
  </cols>
  <sheetData>
    <row r="2" spans="1:15">
      <c r="A2" s="408" t="s">
        <v>1137</v>
      </c>
      <c r="B2" s="408"/>
      <c r="C2" s="408"/>
      <c r="D2" s="408"/>
      <c r="E2" s="408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4" spans="1:15">
      <c r="A4" s="386" t="s">
        <v>1136</v>
      </c>
      <c r="B4" s="386"/>
      <c r="C4" s="386"/>
    </row>
    <row r="5" spans="1:15">
      <c r="A5" s="137" t="s">
        <v>228</v>
      </c>
      <c r="B5" s="137" t="s">
        <v>1134</v>
      </c>
      <c r="C5" s="137" t="s">
        <v>1132</v>
      </c>
    </row>
    <row r="6" spans="1:15">
      <c r="A6" s="65" t="s">
        <v>1173</v>
      </c>
      <c r="B6" s="162">
        <f>50322972+3970346</f>
        <v>54293318</v>
      </c>
      <c r="C6" s="162">
        <f>24831486+3931052</f>
        <v>28762538</v>
      </c>
      <c r="E6" s="163"/>
    </row>
    <row r="7" spans="1:15">
      <c r="A7" s="65" t="s">
        <v>2</v>
      </c>
      <c r="B7" s="64">
        <f>'PROYECCIÓN PRESUPUESTARIA'!D45</f>
        <v>0</v>
      </c>
      <c r="C7" s="65"/>
    </row>
    <row r="8" spans="1:15">
      <c r="A8" s="65" t="s">
        <v>3</v>
      </c>
      <c r="B8" s="64">
        <f>'PROYECCIÓN PRESUPUESTARIA'!F45</f>
        <v>8613632</v>
      </c>
      <c r="C8" s="64"/>
    </row>
    <row r="9" spans="1:15">
      <c r="A9" s="65" t="s">
        <v>4</v>
      </c>
      <c r="B9" s="64">
        <f>'PROYECCIÓN PRESUPUESTARIA'!H45</f>
        <v>1360680</v>
      </c>
      <c r="C9" s="65"/>
    </row>
    <row r="10" spans="1:15">
      <c r="A10" s="65" t="s">
        <v>5</v>
      </c>
      <c r="B10" s="64">
        <f>'PROYECCIÓN PRESUPUESTARIA'!J45</f>
        <v>12841528</v>
      </c>
      <c r="C10" s="65"/>
    </row>
    <row r="11" spans="1:15">
      <c r="A11" s="65" t="s">
        <v>6</v>
      </c>
      <c r="B11" s="64">
        <f>'PROYECCIÓN PRESUPUESTARIA'!L45</f>
        <v>12631232</v>
      </c>
      <c r="C11" s="65"/>
    </row>
    <row r="12" spans="1:15">
      <c r="A12" s="65" t="s">
        <v>7</v>
      </c>
      <c r="B12" s="64">
        <f>'PROYECCIÓN PRESUPUESTARIA'!N45</f>
        <v>10248965</v>
      </c>
      <c r="C12" s="65"/>
    </row>
    <row r="13" spans="1:15">
      <c r="A13" s="65" t="s">
        <v>8</v>
      </c>
      <c r="B13" s="64">
        <f>'PROYECCIÓN PRESUPUESTARIA'!P45</f>
        <v>8132914</v>
      </c>
      <c r="C13" s="316">
        <v>5491840</v>
      </c>
    </row>
    <row r="14" spans="1:15">
      <c r="A14" s="65" t="s">
        <v>9</v>
      </c>
      <c r="B14" s="64">
        <f>'PROYECCIÓN PRESUPUESTARIA'!R45</f>
        <v>8100346</v>
      </c>
      <c r="C14" s="65"/>
    </row>
    <row r="15" spans="1:15">
      <c r="A15" s="65" t="s">
        <v>10</v>
      </c>
      <c r="B15" s="64">
        <f>'PROYECCIÓN PRESUPUESTARIA'!T45</f>
        <v>0</v>
      </c>
      <c r="C15" s="316">
        <v>32241796</v>
      </c>
    </row>
    <row r="16" spans="1:15">
      <c r="A16" s="65" t="s">
        <v>11</v>
      </c>
      <c r="B16" s="64">
        <f>'PROYECCIÓN PRESUPUESTARIA'!V45</f>
        <v>0</v>
      </c>
      <c r="C16" s="65"/>
    </row>
    <row r="17" spans="1:11">
      <c r="A17" s="65" t="s">
        <v>12</v>
      </c>
      <c r="B17" s="64">
        <f>'PROYECCIÓN PRESUPUESTARIA'!X45</f>
        <v>0</v>
      </c>
      <c r="C17" s="65"/>
    </row>
    <row r="18" spans="1:11">
      <c r="A18" s="65" t="s">
        <v>13</v>
      </c>
      <c r="B18" s="64">
        <f>'PROYECCIÓN PRESUPUESTARIA'!Z45</f>
        <v>0</v>
      </c>
      <c r="C18" s="65"/>
    </row>
    <row r="19" spans="1:11">
      <c r="A19" s="141" t="s">
        <v>1133</v>
      </c>
      <c r="B19" s="142">
        <f>SUM(B6:B18)</f>
        <v>116222615</v>
      </c>
      <c r="C19" s="142">
        <f>SUM(C6:C18)</f>
        <v>66496174</v>
      </c>
    </row>
    <row r="20" spans="1:11">
      <c r="A20" s="141" t="s">
        <v>1135</v>
      </c>
      <c r="B20" s="422">
        <f>B19-C19</f>
        <v>49726441</v>
      </c>
      <c r="C20" s="386"/>
    </row>
    <row r="23" spans="1:11">
      <c r="D23" s="138"/>
      <c r="E23" s="138"/>
      <c r="F23" s="138"/>
      <c r="G23" s="138"/>
      <c r="H23" s="138"/>
      <c r="I23" s="138"/>
      <c r="J23" s="138"/>
      <c r="K23" s="138"/>
    </row>
    <row r="24" spans="1:11">
      <c r="A24" s="423" t="s">
        <v>1138</v>
      </c>
      <c r="B24" s="423"/>
      <c r="C24" s="423"/>
      <c r="D24" s="423"/>
      <c r="E24" s="423"/>
      <c r="F24" s="423"/>
      <c r="G24" s="423"/>
      <c r="H24" s="423"/>
      <c r="I24" s="423"/>
      <c r="J24" s="423"/>
      <c r="K24" s="423"/>
    </row>
    <row r="25" spans="1:11">
      <c r="D25" s="138"/>
      <c r="E25" s="138"/>
      <c r="F25" s="138"/>
      <c r="G25" s="138"/>
      <c r="H25" s="138"/>
      <c r="I25" s="138"/>
      <c r="J25" s="138"/>
      <c r="K25" s="138"/>
    </row>
    <row r="26" spans="1:11">
      <c r="A26" s="143" t="s">
        <v>1139</v>
      </c>
      <c r="B26" s="143" t="s">
        <v>1140</v>
      </c>
      <c r="C26" s="144" t="s">
        <v>1141</v>
      </c>
      <c r="D26" s="414" t="s">
        <v>1142</v>
      </c>
      <c r="E26" s="415"/>
      <c r="F26" s="414" t="s">
        <v>1143</v>
      </c>
      <c r="G26" s="415"/>
      <c r="H26" s="414" t="s">
        <v>1144</v>
      </c>
      <c r="I26" s="415"/>
      <c r="J26" s="414" t="s">
        <v>1145</v>
      </c>
      <c r="K26" s="415"/>
    </row>
    <row r="27" spans="1:11">
      <c r="A27" s="145" t="s">
        <v>1146</v>
      </c>
      <c r="B27" s="146">
        <v>0.5</v>
      </c>
      <c r="C27" s="147">
        <f>39000*11*B27</f>
        <v>214500</v>
      </c>
      <c r="D27" s="148">
        <v>9</v>
      </c>
      <c r="E27" s="147">
        <f>+C27*11*D27</f>
        <v>21235500</v>
      </c>
      <c r="F27" s="148">
        <v>10</v>
      </c>
      <c r="G27" s="147">
        <f>+$C27*11*F27</f>
        <v>23595000</v>
      </c>
      <c r="H27" s="148">
        <v>10</v>
      </c>
      <c r="I27" s="147">
        <f>+$C27*11*H27</f>
        <v>23595000</v>
      </c>
      <c r="J27" s="148">
        <v>0</v>
      </c>
      <c r="K27" s="147">
        <f>+$C27*11*J27</f>
        <v>0</v>
      </c>
    </row>
    <row r="28" spans="1:11">
      <c r="A28" s="145" t="s">
        <v>1147</v>
      </c>
      <c r="B28" s="146">
        <v>0.5</v>
      </c>
      <c r="C28" s="147">
        <f>39000*11*B28</f>
        <v>214500</v>
      </c>
      <c r="D28" s="149">
        <v>23</v>
      </c>
      <c r="E28" s="147">
        <f>+C28*11*D28</f>
        <v>54268500</v>
      </c>
      <c r="F28" s="149">
        <v>23</v>
      </c>
      <c r="G28" s="147">
        <f>+$C28*11*F28</f>
        <v>54268500</v>
      </c>
      <c r="H28" s="149">
        <v>0</v>
      </c>
      <c r="I28" s="147">
        <f>+$C28*11*H28</f>
        <v>0</v>
      </c>
      <c r="J28" s="149">
        <v>0</v>
      </c>
      <c r="K28" s="147">
        <f>+$C28*11*J28</f>
        <v>0</v>
      </c>
    </row>
    <row r="29" spans="1:11">
      <c r="A29" s="145" t="s">
        <v>1148</v>
      </c>
      <c r="B29" s="146">
        <v>1</v>
      </c>
      <c r="C29" s="147">
        <f>39000*11*B29</f>
        <v>429000</v>
      </c>
      <c r="D29" s="148">
        <v>2</v>
      </c>
      <c r="E29" s="147">
        <f>+C29*11*D29</f>
        <v>9438000</v>
      </c>
      <c r="F29" s="148">
        <v>2</v>
      </c>
      <c r="G29" s="147">
        <f>+$C29*11*F29</f>
        <v>9438000</v>
      </c>
      <c r="H29" s="148">
        <v>2</v>
      </c>
      <c r="I29" s="147">
        <f>+$C29*11*H29</f>
        <v>9438000</v>
      </c>
      <c r="J29" s="148">
        <v>2</v>
      </c>
      <c r="K29" s="147">
        <f>+$C29*11*J29</f>
        <v>9438000</v>
      </c>
    </row>
    <row r="30" spans="1:11">
      <c r="A30" s="145" t="s">
        <v>1149</v>
      </c>
      <c r="B30" s="146">
        <v>1</v>
      </c>
      <c r="C30" s="147">
        <f>80/11*39000*B30</f>
        <v>283636.36363636365</v>
      </c>
      <c r="D30" s="148">
        <v>2</v>
      </c>
      <c r="E30" s="147">
        <f>+C30*11*D30</f>
        <v>6240000</v>
      </c>
      <c r="F30" s="148">
        <v>2</v>
      </c>
      <c r="G30" s="147">
        <f>+$C30*11*F30</f>
        <v>6240000</v>
      </c>
      <c r="H30" s="148">
        <v>2</v>
      </c>
      <c r="I30" s="147">
        <f>+$C30*11*H30</f>
        <v>6240000</v>
      </c>
      <c r="J30" s="148">
        <v>2</v>
      </c>
      <c r="K30" s="147">
        <f>+$C30*11*J30</f>
        <v>6240000</v>
      </c>
    </row>
    <row r="31" spans="1:11">
      <c r="A31" s="150"/>
      <c r="B31" s="151"/>
      <c r="C31" s="152"/>
      <c r="D31" s="153"/>
      <c r="E31" s="152"/>
      <c r="F31" s="153"/>
      <c r="G31" s="152"/>
      <c r="H31" s="153"/>
      <c r="I31" s="152"/>
      <c r="J31" s="153"/>
      <c r="K31" s="152"/>
    </row>
    <row r="32" spans="1:11">
      <c r="A32" s="154" t="s">
        <v>1150</v>
      </c>
      <c r="C32" s="155"/>
      <c r="D32" s="138"/>
      <c r="E32" s="155"/>
      <c r="F32" s="138"/>
      <c r="G32" s="155"/>
      <c r="H32" s="138"/>
      <c r="I32" s="155"/>
      <c r="J32" s="138"/>
      <c r="K32" s="155"/>
    </row>
    <row r="33" spans="1:11">
      <c r="A33" s="145" t="s">
        <v>1146</v>
      </c>
      <c r="B33" s="146">
        <v>0.5</v>
      </c>
      <c r="C33" s="147">
        <f>39000*11*B33</f>
        <v>214500</v>
      </c>
      <c r="D33" s="148">
        <v>9</v>
      </c>
      <c r="E33" s="147">
        <f>+C33*11*D33</f>
        <v>21235500</v>
      </c>
      <c r="F33" s="148">
        <v>10</v>
      </c>
      <c r="G33" s="147">
        <f>+$C33*11*F33</f>
        <v>23595000</v>
      </c>
      <c r="H33" s="148">
        <v>10</v>
      </c>
      <c r="I33" s="147">
        <f>+$C33*11*H33</f>
        <v>23595000</v>
      </c>
      <c r="J33" s="148">
        <v>0</v>
      </c>
      <c r="K33" s="147">
        <f>+$C33*11*J33</f>
        <v>0</v>
      </c>
    </row>
    <row r="34" spans="1:11">
      <c r="A34" s="145" t="s">
        <v>1147</v>
      </c>
      <c r="B34" s="146">
        <v>0.5</v>
      </c>
      <c r="C34" s="147">
        <f>39000*11*B34</f>
        <v>214500</v>
      </c>
      <c r="D34" s="149">
        <f>17</f>
        <v>17</v>
      </c>
      <c r="E34" s="147">
        <f>+C34*11*D34</f>
        <v>40111500</v>
      </c>
      <c r="F34" s="149">
        <v>17</v>
      </c>
      <c r="G34" s="147">
        <f>+$C34*11*F34</f>
        <v>40111500</v>
      </c>
      <c r="H34" s="149">
        <v>0</v>
      </c>
      <c r="I34" s="147">
        <f>+$C34*11*H34</f>
        <v>0</v>
      </c>
      <c r="J34" s="149">
        <v>0</v>
      </c>
      <c r="K34" s="147">
        <f>+$C34*11*J34</f>
        <v>0</v>
      </c>
    </row>
    <row r="35" spans="1:11">
      <c r="C35" s="155"/>
      <c r="D35" s="138"/>
      <c r="E35" s="156"/>
      <c r="F35" s="138"/>
      <c r="G35" s="156"/>
      <c r="H35" s="138"/>
      <c r="I35" s="156"/>
      <c r="J35" s="138"/>
      <c r="K35" s="156"/>
    </row>
    <row r="36" spans="1:11">
      <c r="A36" s="143" t="s">
        <v>1151</v>
      </c>
      <c r="C36" s="155"/>
      <c r="D36" s="138"/>
      <c r="E36" s="156"/>
      <c r="F36" s="138"/>
      <c r="G36" s="156"/>
      <c r="H36" s="138"/>
      <c r="I36" s="156"/>
      <c r="J36" s="138"/>
      <c r="K36" s="156"/>
    </row>
    <row r="37" spans="1:11">
      <c r="A37" s="145" t="s">
        <v>1146</v>
      </c>
      <c r="B37" s="146">
        <v>0.5</v>
      </c>
      <c r="C37" s="147">
        <f>39000*11*B37</f>
        <v>214500</v>
      </c>
      <c r="D37" s="148">
        <v>10</v>
      </c>
      <c r="E37" s="147">
        <f>+C37*11*D37</f>
        <v>23595000</v>
      </c>
      <c r="F37" s="148">
        <v>9</v>
      </c>
      <c r="G37" s="147">
        <f>+$C37*11*F37</f>
        <v>21235500</v>
      </c>
      <c r="H37" s="148">
        <v>10</v>
      </c>
      <c r="I37" s="147">
        <f>+$C37*11*H37</f>
        <v>23595000</v>
      </c>
      <c r="J37" s="148">
        <v>0</v>
      </c>
      <c r="K37" s="147">
        <f>+$C37*11*J37</f>
        <v>0</v>
      </c>
    </row>
    <row r="38" spans="1:11">
      <c r="A38" s="145" t="s">
        <v>1147</v>
      </c>
      <c r="B38" s="146">
        <v>0.5</v>
      </c>
      <c r="C38" s="147">
        <f>39000*11*B38</f>
        <v>214500</v>
      </c>
      <c r="D38" s="149">
        <v>9</v>
      </c>
      <c r="E38" s="147">
        <f>+C38*11*D38</f>
        <v>21235500</v>
      </c>
      <c r="F38" s="149">
        <v>10</v>
      </c>
      <c r="G38" s="147">
        <f>+$C38*11*F38</f>
        <v>23595000</v>
      </c>
      <c r="H38" s="149">
        <v>0</v>
      </c>
      <c r="I38" s="147">
        <f>+$C38*11*H38</f>
        <v>0</v>
      </c>
      <c r="J38" s="149">
        <v>0</v>
      </c>
      <c r="K38" s="147">
        <f>+$C38*11*J38</f>
        <v>0</v>
      </c>
    </row>
    <row r="39" spans="1:11">
      <c r="A39" s="150"/>
      <c r="B39" s="151"/>
      <c r="C39" s="152"/>
      <c r="D39" s="153"/>
      <c r="E39" s="152"/>
      <c r="F39" s="153"/>
      <c r="G39" s="152"/>
      <c r="H39" s="153"/>
      <c r="I39" s="152"/>
      <c r="J39" s="153"/>
      <c r="K39" s="152"/>
    </row>
    <row r="40" spans="1:11">
      <c r="C40" s="155"/>
      <c r="D40" s="138"/>
      <c r="E40" s="156"/>
      <c r="F40" s="138"/>
      <c r="G40" s="156"/>
      <c r="H40" s="138"/>
      <c r="I40" s="156"/>
      <c r="J40" s="138"/>
      <c r="K40" s="156"/>
    </row>
    <row r="41" spans="1:11">
      <c r="A41" s="143" t="s">
        <v>1152</v>
      </c>
      <c r="C41" s="155"/>
      <c r="D41" s="138"/>
      <c r="E41" s="156"/>
      <c r="F41" s="138"/>
      <c r="G41" s="156"/>
      <c r="H41" s="138"/>
      <c r="I41" s="156"/>
      <c r="J41" s="138"/>
      <c r="K41" s="156"/>
    </row>
    <row r="42" spans="1:11">
      <c r="A42" s="145" t="s">
        <v>1146</v>
      </c>
      <c r="B42" s="146">
        <v>0.5</v>
      </c>
      <c r="C42" s="147">
        <f>39000*11*B42</f>
        <v>214500</v>
      </c>
      <c r="D42" s="148">
        <v>10</v>
      </c>
      <c r="E42" s="147">
        <f>+C42*11*D42</f>
        <v>23595000</v>
      </c>
      <c r="F42" s="148">
        <v>10</v>
      </c>
      <c r="G42" s="147">
        <f>+$C42*11*F42</f>
        <v>23595000</v>
      </c>
      <c r="H42" s="148">
        <v>10</v>
      </c>
      <c r="I42" s="147">
        <f>+$C42*11*H42</f>
        <v>23595000</v>
      </c>
      <c r="J42" s="148">
        <v>0</v>
      </c>
      <c r="K42" s="147">
        <f>+$C42*11*J42</f>
        <v>0</v>
      </c>
    </row>
    <row r="43" spans="1:11">
      <c r="A43" s="145" t="s">
        <v>1147</v>
      </c>
      <c r="B43" s="146">
        <v>0.5</v>
      </c>
      <c r="C43" s="147">
        <f>39000*11*B43</f>
        <v>214500</v>
      </c>
      <c r="D43" s="149">
        <v>10</v>
      </c>
      <c r="E43" s="147">
        <f>+C43*11*D43</f>
        <v>23595000</v>
      </c>
      <c r="F43" s="149">
        <v>10</v>
      </c>
      <c r="G43" s="147">
        <f>+$C43*11*F43</f>
        <v>23595000</v>
      </c>
      <c r="H43" s="149">
        <v>0</v>
      </c>
      <c r="I43" s="147">
        <f>+$C43*11*H43</f>
        <v>0</v>
      </c>
      <c r="J43" s="149">
        <v>0</v>
      </c>
      <c r="K43" s="147">
        <f>+$C43*11*J43</f>
        <v>0</v>
      </c>
    </row>
    <row r="44" spans="1:11">
      <c r="A44" s="145" t="s">
        <v>1148</v>
      </c>
      <c r="B44" s="146">
        <v>1</v>
      </c>
      <c r="C44" s="147">
        <f>39000*11*B44</f>
        <v>429000</v>
      </c>
      <c r="D44" s="148">
        <v>2</v>
      </c>
      <c r="E44" s="147">
        <f>+C44*11*D44</f>
        <v>9438000</v>
      </c>
      <c r="F44" s="148">
        <v>2</v>
      </c>
      <c r="G44" s="147">
        <f>+$C44*11*F44</f>
        <v>9438000</v>
      </c>
      <c r="H44" s="148">
        <v>2</v>
      </c>
      <c r="I44" s="147">
        <f>+$C44*11*H44</f>
        <v>9438000</v>
      </c>
      <c r="J44" s="148">
        <v>2</v>
      </c>
      <c r="K44" s="147">
        <f>+$C44*11*J44</f>
        <v>9438000</v>
      </c>
    </row>
    <row r="45" spans="1:11">
      <c r="E45" s="157">
        <f>SUM(E27:E44)</f>
        <v>253987500</v>
      </c>
    </row>
    <row r="46" spans="1:11" ht="14.4">
      <c r="A46" s="143" t="s">
        <v>1153</v>
      </c>
      <c r="D46" s="58">
        <f>SUM(D27:D44)</f>
        <v>103</v>
      </c>
      <c r="E46" s="189">
        <v>252700484.15468991</v>
      </c>
      <c r="F46" s="58">
        <f t="shared" ref="F46:K46" si="0">SUM(F27:F44)</f>
        <v>105</v>
      </c>
      <c r="G46" s="157">
        <f t="shared" si="0"/>
        <v>258706500</v>
      </c>
      <c r="H46" s="58">
        <f t="shared" si="0"/>
        <v>46</v>
      </c>
      <c r="I46" s="157">
        <f t="shared" si="0"/>
        <v>119496000</v>
      </c>
      <c r="J46" s="58">
        <f t="shared" si="0"/>
        <v>6</v>
      </c>
      <c r="K46" s="157">
        <f t="shared" si="0"/>
        <v>25116000</v>
      </c>
    </row>
    <row r="47" spans="1:11">
      <c r="D47" s="138"/>
      <c r="F47" s="138"/>
      <c r="H47" s="138"/>
      <c r="J47" s="138"/>
    </row>
    <row r="48" spans="1:11">
      <c r="D48" s="138"/>
      <c r="F48" s="138"/>
      <c r="H48" s="138"/>
      <c r="J48" s="138"/>
    </row>
    <row r="49" spans="1:11">
      <c r="D49" s="138"/>
      <c r="F49" s="138"/>
      <c r="H49" s="138"/>
      <c r="J49" s="138"/>
    </row>
    <row r="50" spans="1:11">
      <c r="A50" s="143" t="s">
        <v>1154</v>
      </c>
      <c r="C50" s="155"/>
      <c r="D50" s="138"/>
      <c r="E50" s="156"/>
      <c r="F50" s="138"/>
      <c r="G50" s="156"/>
      <c r="H50" s="138"/>
      <c r="I50" s="156"/>
      <c r="J50" s="138"/>
      <c r="K50" s="156"/>
    </row>
    <row r="51" spans="1:11">
      <c r="A51" s="145" t="s">
        <v>1146</v>
      </c>
      <c r="B51" s="146">
        <v>0.5</v>
      </c>
      <c r="C51" s="147">
        <f>39000*11*B51</f>
        <v>214500</v>
      </c>
      <c r="D51" s="148">
        <f>SUMIF($A$27:$A$44,A51,$D$27:$D$44)</f>
        <v>38</v>
      </c>
      <c r="E51" s="147">
        <f>+C51*11*$D51</f>
        <v>89661000</v>
      </c>
      <c r="F51" s="148">
        <f>SUMIF($A$27:$A$44,A51,$F$27:$F$44)</f>
        <v>39</v>
      </c>
      <c r="G51" s="147">
        <f>+C51*11*F51</f>
        <v>92020500</v>
      </c>
      <c r="H51" s="148">
        <f>SUMIF($A$27:$A$44,A51,$H$27:$H$44)</f>
        <v>40</v>
      </c>
      <c r="I51" s="147">
        <f>+C51*11*H51</f>
        <v>94380000</v>
      </c>
      <c r="J51" s="148">
        <f>SUMIF($A$27:$A$44,A51,$J$27:$J$44)</f>
        <v>0</v>
      </c>
      <c r="K51" s="147">
        <f>+C51*11*J51</f>
        <v>0</v>
      </c>
    </row>
    <row r="52" spans="1:11">
      <c r="A52" s="145" t="s">
        <v>1147</v>
      </c>
      <c r="B52" s="146">
        <v>0.5</v>
      </c>
      <c r="C52" s="147">
        <f>39000*11*B52</f>
        <v>214500</v>
      </c>
      <c r="D52" s="148">
        <f t="shared" ref="D52:D54" si="1">SUMIF($A$27:$A$44,A52,$D$27:$D$44)</f>
        <v>59</v>
      </c>
      <c r="E52" s="147">
        <f>+C52*11*D52</f>
        <v>139210500</v>
      </c>
      <c r="F52" s="148">
        <f t="shared" ref="F52:F54" si="2">SUMIF($A$27:$A$44,A52,$F$27:$F$44)</f>
        <v>60</v>
      </c>
      <c r="G52" s="147">
        <f t="shared" ref="G52:G54" si="3">+C52*11*F52</f>
        <v>141570000</v>
      </c>
      <c r="H52" s="148">
        <f t="shared" ref="H52:H54" si="4">SUMIF($A$27:$A$44,A52,$H$27:$H$44)</f>
        <v>0</v>
      </c>
      <c r="I52" s="147">
        <f t="shared" ref="I52:I54" si="5">+C52*11*H52</f>
        <v>0</v>
      </c>
      <c r="J52" s="148">
        <f t="shared" ref="J52:J54" si="6">SUMIF($A$27:$A$44,A52,$J$27:$J$44)</f>
        <v>0</v>
      </c>
      <c r="K52" s="147">
        <f t="shared" ref="K52:K54" si="7">+C52*11*J52</f>
        <v>0</v>
      </c>
    </row>
    <row r="53" spans="1:11">
      <c r="A53" s="145" t="s">
        <v>1148</v>
      </c>
      <c r="B53" s="146">
        <v>1</v>
      </c>
      <c r="C53" s="147">
        <f>39000*11*B53</f>
        <v>429000</v>
      </c>
      <c r="D53" s="148">
        <f t="shared" si="1"/>
        <v>4</v>
      </c>
      <c r="E53" s="147">
        <f>+C53*11*D53</f>
        <v>18876000</v>
      </c>
      <c r="F53" s="148">
        <f t="shared" si="2"/>
        <v>4</v>
      </c>
      <c r="G53" s="147">
        <f t="shared" si="3"/>
        <v>18876000</v>
      </c>
      <c r="H53" s="148">
        <f t="shared" si="4"/>
        <v>4</v>
      </c>
      <c r="I53" s="147">
        <f t="shared" si="5"/>
        <v>18876000</v>
      </c>
      <c r="J53" s="148">
        <f t="shared" si="6"/>
        <v>4</v>
      </c>
      <c r="K53" s="147">
        <f t="shared" si="7"/>
        <v>18876000</v>
      </c>
    </row>
    <row r="54" spans="1:11">
      <c r="A54" s="145" t="s">
        <v>1149</v>
      </c>
      <c r="B54" s="146">
        <v>1</v>
      </c>
      <c r="C54" s="147">
        <f>80/11*39000*B54</f>
        <v>283636.36363636365</v>
      </c>
      <c r="D54" s="148">
        <f t="shared" si="1"/>
        <v>2</v>
      </c>
      <c r="E54" s="147">
        <f>+C54*11*D54</f>
        <v>6240000</v>
      </c>
      <c r="F54" s="148">
        <f t="shared" si="2"/>
        <v>2</v>
      </c>
      <c r="G54" s="147">
        <f t="shared" si="3"/>
        <v>6240000</v>
      </c>
      <c r="H54" s="148">
        <f t="shared" si="4"/>
        <v>2</v>
      </c>
      <c r="I54" s="147">
        <f t="shared" si="5"/>
        <v>6240000</v>
      </c>
      <c r="J54" s="148">
        <f t="shared" si="6"/>
        <v>2</v>
      </c>
      <c r="K54" s="147">
        <f t="shared" si="7"/>
        <v>6240000</v>
      </c>
    </row>
    <row r="55" spans="1:11">
      <c r="D55" s="58">
        <f>SUM(D51:D54)</f>
        <v>103</v>
      </c>
      <c r="E55" s="158">
        <f>SUM(E51:E54)</f>
        <v>253987500</v>
      </c>
      <c r="F55" s="58">
        <f>SUM(F51:F53)</f>
        <v>103</v>
      </c>
      <c r="G55" s="158">
        <f>SUM(G51:G54)</f>
        <v>258706500</v>
      </c>
      <c r="H55" s="58">
        <f>SUM(H51:H53)</f>
        <v>44</v>
      </c>
      <c r="I55" s="158">
        <f>SUM(I51:I54)</f>
        <v>119496000</v>
      </c>
      <c r="J55" s="58">
        <f>SUM(J51:J53)</f>
        <v>4</v>
      </c>
      <c r="K55" s="158">
        <f>SUM(K51:K54)</f>
        <v>25116000</v>
      </c>
    </row>
    <row r="56" spans="1:11" hidden="1">
      <c r="D56" s="384" t="s">
        <v>1155</v>
      </c>
      <c r="E56" s="384"/>
      <c r="F56" s="58">
        <f>F55-$D$34</f>
        <v>86</v>
      </c>
      <c r="G56" s="158">
        <f>G55-$E$34</f>
        <v>218595000</v>
      </c>
      <c r="H56" s="58">
        <f>H55-$D$34</f>
        <v>27</v>
      </c>
      <c r="I56" s="158">
        <f>I55-$E$34</f>
        <v>79384500</v>
      </c>
      <c r="J56" s="58">
        <f>J55-$D$34</f>
        <v>-13</v>
      </c>
      <c r="K56" s="158">
        <f>K55-$E$34</f>
        <v>-14995500</v>
      </c>
    </row>
    <row r="57" spans="1:11" hidden="1"/>
    <row r="58" spans="1:11" hidden="1"/>
    <row r="59" spans="1:11" hidden="1">
      <c r="A59" s="144" t="s">
        <v>1156</v>
      </c>
      <c r="B59" s="414" t="s">
        <v>1157</v>
      </c>
      <c r="C59" s="420"/>
      <c r="D59" s="420"/>
      <c r="E59" s="415"/>
      <c r="F59" s="421" t="s">
        <v>1158</v>
      </c>
      <c r="G59" s="421"/>
      <c r="H59" s="421"/>
      <c r="I59" s="421"/>
      <c r="J59" s="421"/>
      <c r="K59" s="421"/>
    </row>
    <row r="60" spans="1:11" hidden="1">
      <c r="A60" s="144" t="s">
        <v>1143</v>
      </c>
      <c r="B60" s="416" t="s">
        <v>1159</v>
      </c>
      <c r="C60" s="417"/>
      <c r="D60" s="417"/>
      <c r="E60" s="418"/>
      <c r="F60" s="419" t="s">
        <v>1160</v>
      </c>
      <c r="G60" s="419"/>
      <c r="H60" s="419"/>
      <c r="I60" s="419"/>
      <c r="J60" s="419"/>
      <c r="K60" s="419"/>
    </row>
    <row r="61" spans="1:11" hidden="1">
      <c r="A61" s="144" t="s">
        <v>1144</v>
      </c>
      <c r="B61" s="416" t="s">
        <v>1161</v>
      </c>
      <c r="C61" s="417"/>
      <c r="D61" s="417"/>
      <c r="E61" s="418"/>
      <c r="F61" s="419" t="s">
        <v>1162</v>
      </c>
      <c r="G61" s="419"/>
      <c r="H61" s="419"/>
      <c r="I61" s="419"/>
      <c r="J61" s="419"/>
      <c r="K61" s="419"/>
    </row>
    <row r="62" spans="1:11" hidden="1">
      <c r="A62" s="144" t="s">
        <v>1145</v>
      </c>
      <c r="B62" s="416" t="s">
        <v>1163</v>
      </c>
      <c r="C62" s="417"/>
      <c r="D62" s="417"/>
      <c r="E62" s="418"/>
      <c r="F62" s="419" t="s">
        <v>1164</v>
      </c>
      <c r="G62" s="419"/>
      <c r="H62" s="419"/>
      <c r="I62" s="419"/>
      <c r="J62" s="419"/>
      <c r="K62" s="419"/>
    </row>
    <row r="63" spans="1:11" hidden="1"/>
    <row r="64" spans="1:11" hidden="1"/>
  </sheetData>
  <mergeCells count="17">
    <mergeCell ref="A2:E2"/>
    <mergeCell ref="D56:E56"/>
    <mergeCell ref="B59:E59"/>
    <mergeCell ref="F59:K59"/>
    <mergeCell ref="B60:E60"/>
    <mergeCell ref="F60:K60"/>
    <mergeCell ref="A4:C4"/>
    <mergeCell ref="B20:C20"/>
    <mergeCell ref="A24:K24"/>
    <mergeCell ref="D26:E26"/>
    <mergeCell ref="F26:G26"/>
    <mergeCell ref="H26:I26"/>
    <mergeCell ref="J26:K26"/>
    <mergeCell ref="B62:E62"/>
    <mergeCell ref="F62:K62"/>
    <mergeCell ref="B61:E61"/>
    <mergeCell ref="F61:K6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5"/>
  <sheetViews>
    <sheetView showGridLines="0" topLeftCell="A445" workbookViewId="0">
      <selection activeCell="E469" sqref="E469"/>
    </sheetView>
  </sheetViews>
  <sheetFormatPr baseColWidth="10" defaultRowHeight="13.8"/>
  <cols>
    <col min="1" max="1" width="4.3984375" customWidth="1"/>
    <col min="2" max="2" width="45.59765625" bestFit="1" customWidth="1"/>
    <col min="4" max="4" width="3.59765625" customWidth="1"/>
    <col min="5" max="5" width="6.5" customWidth="1"/>
    <col min="6" max="6" width="9" customWidth="1"/>
    <col min="7" max="7" width="6.59765625" customWidth="1"/>
    <col min="8" max="8" width="7.09765625" customWidth="1"/>
    <col min="9" max="9" width="10.19921875" bestFit="1" customWidth="1"/>
  </cols>
  <sheetData>
    <row r="1" spans="1:9" ht="15.6">
      <c r="A1" s="424" t="s">
        <v>337</v>
      </c>
      <c r="B1" s="424"/>
      <c r="C1" s="424"/>
      <c r="D1" s="424"/>
      <c r="E1" s="424"/>
      <c r="F1" s="424"/>
      <c r="G1" s="424"/>
      <c r="H1" s="424"/>
      <c r="I1" s="424"/>
    </row>
    <row r="4" spans="1:9" s="18" customFormat="1" ht="26.4">
      <c r="A4" s="111" t="s">
        <v>256</v>
      </c>
      <c r="B4" s="112" t="s">
        <v>342</v>
      </c>
      <c r="C4" s="112" t="s">
        <v>338</v>
      </c>
      <c r="D4" s="112" t="s">
        <v>339</v>
      </c>
      <c r="E4" s="113" t="s">
        <v>340</v>
      </c>
      <c r="F4" s="112" t="s">
        <v>341</v>
      </c>
      <c r="G4" s="113" t="s">
        <v>343</v>
      </c>
      <c r="H4" s="113" t="s">
        <v>259</v>
      </c>
      <c r="I4" s="113" t="s">
        <v>344</v>
      </c>
    </row>
    <row r="5" spans="1:9" s="100" customFormat="1" ht="15.75" customHeight="1">
      <c r="A5" s="114">
        <v>1</v>
      </c>
      <c r="B5" s="109" t="s">
        <v>345</v>
      </c>
      <c r="C5" s="115">
        <v>21353707</v>
      </c>
      <c r="D5" s="115">
        <v>5</v>
      </c>
      <c r="E5" s="110">
        <v>126</v>
      </c>
      <c r="F5" s="115"/>
      <c r="G5" s="116" t="s">
        <v>346</v>
      </c>
      <c r="H5" s="117" t="s">
        <v>265</v>
      </c>
      <c r="I5" s="116"/>
    </row>
    <row r="6" spans="1:9" s="100" customFormat="1" ht="15.75" customHeight="1">
      <c r="A6" s="114">
        <v>2</v>
      </c>
      <c r="B6" s="109" t="s">
        <v>348</v>
      </c>
      <c r="C6" s="115">
        <v>21123062</v>
      </c>
      <c r="D6" s="115">
        <v>2</v>
      </c>
      <c r="E6" s="110">
        <v>333</v>
      </c>
      <c r="F6" s="115" t="s">
        <v>347</v>
      </c>
      <c r="G6" s="116" t="s">
        <v>346</v>
      </c>
      <c r="H6" s="110" t="s">
        <v>265</v>
      </c>
      <c r="I6" s="116" t="s">
        <v>349</v>
      </c>
    </row>
    <row r="7" spans="1:9" s="100" customFormat="1" ht="15.75" customHeight="1">
      <c r="A7" s="114">
        <v>3</v>
      </c>
      <c r="B7" s="118" t="s">
        <v>351</v>
      </c>
      <c r="C7" s="110">
        <v>21009995</v>
      </c>
      <c r="D7" s="110">
        <v>6</v>
      </c>
      <c r="E7" s="110">
        <v>272</v>
      </c>
      <c r="F7" s="110" t="s">
        <v>350</v>
      </c>
      <c r="G7" s="116" t="s">
        <v>346</v>
      </c>
      <c r="H7" s="110" t="s">
        <v>263</v>
      </c>
      <c r="I7" s="110" t="s">
        <v>352</v>
      </c>
    </row>
    <row r="8" spans="1:9" s="100" customFormat="1" ht="15.75" customHeight="1">
      <c r="A8" s="114">
        <v>4</v>
      </c>
      <c r="B8" s="109" t="s">
        <v>353</v>
      </c>
      <c r="C8" s="115">
        <v>22308152</v>
      </c>
      <c r="D8" s="115">
        <v>5</v>
      </c>
      <c r="E8" s="110">
        <v>454</v>
      </c>
      <c r="F8" s="115"/>
      <c r="G8" s="116" t="s">
        <v>346</v>
      </c>
      <c r="H8" s="110" t="s">
        <v>263</v>
      </c>
      <c r="I8" s="116"/>
    </row>
    <row r="9" spans="1:9" s="100" customFormat="1" ht="15.75" customHeight="1">
      <c r="A9" s="114">
        <v>5</v>
      </c>
      <c r="B9" s="109" t="s">
        <v>354</v>
      </c>
      <c r="C9" s="115">
        <v>22313797</v>
      </c>
      <c r="D9" s="115">
        <v>0</v>
      </c>
      <c r="E9" s="110">
        <v>255</v>
      </c>
      <c r="F9" s="115"/>
      <c r="G9" s="116" t="s">
        <v>346</v>
      </c>
      <c r="H9" s="117" t="s">
        <v>265</v>
      </c>
      <c r="I9" s="116"/>
    </row>
    <row r="10" spans="1:9" s="100" customFormat="1" ht="15.75" customHeight="1">
      <c r="A10" s="114">
        <v>6</v>
      </c>
      <c r="B10" s="109" t="s">
        <v>355</v>
      </c>
      <c r="C10" s="115">
        <v>21633771</v>
      </c>
      <c r="D10" s="115">
        <v>9</v>
      </c>
      <c r="E10" s="110">
        <v>310</v>
      </c>
      <c r="F10" s="115"/>
      <c r="G10" s="116" t="s">
        <v>346</v>
      </c>
      <c r="H10" s="110" t="s">
        <v>263</v>
      </c>
      <c r="I10" s="116"/>
    </row>
    <row r="11" spans="1:9" s="100" customFormat="1" ht="15.75" customHeight="1">
      <c r="A11" s="114">
        <v>7</v>
      </c>
      <c r="B11" s="120" t="s">
        <v>356</v>
      </c>
      <c r="C11" s="110">
        <v>22221854</v>
      </c>
      <c r="D11" s="115">
        <v>3</v>
      </c>
      <c r="E11" s="110">
        <v>496</v>
      </c>
      <c r="F11" s="119"/>
      <c r="G11" s="116" t="s">
        <v>346</v>
      </c>
      <c r="H11" s="110" t="s">
        <v>263</v>
      </c>
      <c r="I11" s="121"/>
    </row>
    <row r="12" spans="1:9" s="100" customFormat="1" ht="15.75" customHeight="1">
      <c r="A12" s="114">
        <v>8</v>
      </c>
      <c r="B12" s="109" t="s">
        <v>357</v>
      </c>
      <c r="C12" s="115">
        <v>21951718</v>
      </c>
      <c r="D12" s="115">
        <v>1</v>
      </c>
      <c r="E12" s="110">
        <v>400</v>
      </c>
      <c r="F12" s="115"/>
      <c r="G12" s="116" t="s">
        <v>346</v>
      </c>
      <c r="H12" s="110" t="s">
        <v>263</v>
      </c>
      <c r="I12" s="116"/>
    </row>
    <row r="13" spans="1:9" s="100" customFormat="1" ht="15.75" customHeight="1">
      <c r="A13" s="114">
        <v>9</v>
      </c>
      <c r="B13" s="109" t="s">
        <v>358</v>
      </c>
      <c r="C13" s="115">
        <v>22181793</v>
      </c>
      <c r="D13" s="115">
        <v>1</v>
      </c>
      <c r="E13" s="110">
        <v>455</v>
      </c>
      <c r="F13" s="115"/>
      <c r="G13" s="116" t="s">
        <v>346</v>
      </c>
      <c r="H13" s="110" t="s">
        <v>263</v>
      </c>
      <c r="I13" s="116"/>
    </row>
    <row r="14" spans="1:9" s="100" customFormat="1" ht="15.75" customHeight="1">
      <c r="A14" s="114">
        <v>10</v>
      </c>
      <c r="B14" s="109" t="s">
        <v>359</v>
      </c>
      <c r="C14" s="115">
        <v>22118426</v>
      </c>
      <c r="D14" s="115">
        <v>2</v>
      </c>
      <c r="E14" s="110">
        <v>480</v>
      </c>
      <c r="F14" s="115"/>
      <c r="G14" s="116" t="s">
        <v>346</v>
      </c>
      <c r="H14" s="110" t="s">
        <v>263</v>
      </c>
      <c r="I14" s="116"/>
    </row>
    <row r="15" spans="1:9" s="100" customFormat="1" ht="15.75" customHeight="1">
      <c r="A15" s="114">
        <v>11</v>
      </c>
      <c r="B15" s="109" t="s">
        <v>360</v>
      </c>
      <c r="C15" s="115">
        <v>22099090</v>
      </c>
      <c r="D15" s="115">
        <v>7</v>
      </c>
      <c r="E15" s="110">
        <v>120</v>
      </c>
      <c r="F15" s="115"/>
      <c r="G15" s="116" t="s">
        <v>346</v>
      </c>
      <c r="H15" s="110" t="s">
        <v>263</v>
      </c>
      <c r="I15" s="116"/>
    </row>
    <row r="16" spans="1:9" s="100" customFormat="1" ht="15.75" customHeight="1">
      <c r="A16" s="114">
        <v>12</v>
      </c>
      <c r="B16" s="109" t="s">
        <v>361</v>
      </c>
      <c r="C16" s="115">
        <v>22018083</v>
      </c>
      <c r="D16" s="115">
        <v>2</v>
      </c>
      <c r="E16" s="110">
        <v>55</v>
      </c>
      <c r="F16" s="115"/>
      <c r="G16" s="116" t="s">
        <v>346</v>
      </c>
      <c r="H16" s="110" t="s">
        <v>263</v>
      </c>
      <c r="I16" s="116"/>
    </row>
    <row r="17" spans="1:9" s="100" customFormat="1" ht="15.75" customHeight="1">
      <c r="A17" s="114">
        <v>13</v>
      </c>
      <c r="B17" s="123" t="s">
        <v>362</v>
      </c>
      <c r="C17" s="115">
        <v>22397299</v>
      </c>
      <c r="D17" s="122">
        <v>3</v>
      </c>
      <c r="E17" s="110">
        <v>479</v>
      </c>
      <c r="F17" s="122"/>
      <c r="G17" s="116" t="s">
        <v>346</v>
      </c>
      <c r="H17" s="110" t="s">
        <v>265</v>
      </c>
      <c r="I17" s="116"/>
    </row>
    <row r="18" spans="1:9" s="100" customFormat="1" ht="15.75" customHeight="1">
      <c r="A18" s="114">
        <v>14</v>
      </c>
      <c r="B18" s="109" t="s">
        <v>363</v>
      </c>
      <c r="C18" s="115">
        <v>22149243</v>
      </c>
      <c r="D18" s="115">
        <v>9</v>
      </c>
      <c r="E18" s="110">
        <v>247</v>
      </c>
      <c r="F18" s="115"/>
      <c r="G18" s="116" t="s">
        <v>346</v>
      </c>
      <c r="H18" s="110" t="s">
        <v>263</v>
      </c>
      <c r="I18" s="116"/>
    </row>
    <row r="19" spans="1:9" s="100" customFormat="1" ht="15.75" customHeight="1">
      <c r="A19" s="114">
        <v>15</v>
      </c>
      <c r="B19" s="109" t="s">
        <v>364</v>
      </c>
      <c r="C19" s="115">
        <v>21867634</v>
      </c>
      <c r="D19" s="115">
        <v>0</v>
      </c>
      <c r="E19" s="110">
        <v>359</v>
      </c>
      <c r="F19" s="115"/>
      <c r="G19" s="116" t="s">
        <v>346</v>
      </c>
      <c r="H19" s="117" t="s">
        <v>265</v>
      </c>
      <c r="I19" s="116"/>
    </row>
    <row r="20" spans="1:9" s="100" customFormat="1" ht="15.75" customHeight="1">
      <c r="A20" s="114">
        <v>16</v>
      </c>
      <c r="B20" s="109" t="s">
        <v>365</v>
      </c>
      <c r="C20" s="115">
        <v>22315465</v>
      </c>
      <c r="D20" s="115">
        <v>4</v>
      </c>
      <c r="E20" s="110">
        <v>401</v>
      </c>
      <c r="F20" s="115"/>
      <c r="G20" s="116" t="s">
        <v>346</v>
      </c>
      <c r="H20" s="110" t="s">
        <v>263</v>
      </c>
      <c r="I20" s="116"/>
    </row>
    <row r="21" spans="1:9" s="100" customFormat="1" ht="15.75" customHeight="1">
      <c r="A21" s="114">
        <v>17</v>
      </c>
      <c r="B21" s="109" t="s">
        <v>366</v>
      </c>
      <c r="C21" s="115">
        <v>22202163</v>
      </c>
      <c r="D21" s="115">
        <v>4</v>
      </c>
      <c r="E21" s="110">
        <v>70</v>
      </c>
      <c r="F21" s="115"/>
      <c r="G21" s="116" t="s">
        <v>346</v>
      </c>
      <c r="H21" s="110" t="s">
        <v>263</v>
      </c>
      <c r="I21" s="116"/>
    </row>
    <row r="22" spans="1:9" s="100" customFormat="1" ht="15.75" customHeight="1">
      <c r="A22" s="114">
        <v>18</v>
      </c>
      <c r="B22" s="109" t="s">
        <v>367</v>
      </c>
      <c r="C22" s="115">
        <v>22264071</v>
      </c>
      <c r="D22" s="115">
        <v>7</v>
      </c>
      <c r="E22" s="110">
        <v>307</v>
      </c>
      <c r="F22" s="115"/>
      <c r="G22" s="116" t="s">
        <v>346</v>
      </c>
      <c r="H22" s="110" t="s">
        <v>263</v>
      </c>
      <c r="I22" s="116"/>
    </row>
    <row r="23" spans="1:9" s="100" customFormat="1" ht="15.75" customHeight="1">
      <c r="A23" s="114">
        <v>19</v>
      </c>
      <c r="B23" s="123" t="s">
        <v>369</v>
      </c>
      <c r="C23" s="115">
        <v>21729259</v>
      </c>
      <c r="D23" s="122" t="s">
        <v>368</v>
      </c>
      <c r="E23" s="110">
        <v>100</v>
      </c>
      <c r="F23" s="122"/>
      <c r="G23" s="116" t="s">
        <v>346</v>
      </c>
      <c r="H23" s="110" t="s">
        <v>263</v>
      </c>
      <c r="I23" s="116"/>
    </row>
    <row r="24" spans="1:9" s="100" customFormat="1" ht="15.75" customHeight="1">
      <c r="A24" s="114">
        <v>20</v>
      </c>
      <c r="B24" s="109" t="s">
        <v>370</v>
      </c>
      <c r="C24" s="115">
        <v>21912166</v>
      </c>
      <c r="D24" s="115">
        <v>0</v>
      </c>
      <c r="E24" s="110">
        <v>194</v>
      </c>
      <c r="F24" s="115"/>
      <c r="G24" s="116" t="s">
        <v>346</v>
      </c>
      <c r="H24" s="110" t="s">
        <v>263</v>
      </c>
      <c r="I24" s="116"/>
    </row>
    <row r="25" spans="1:9" s="100" customFormat="1" ht="15.75" customHeight="1">
      <c r="A25" s="114">
        <v>21</v>
      </c>
      <c r="B25" s="109" t="s">
        <v>371</v>
      </c>
      <c r="C25" s="115">
        <v>22148755</v>
      </c>
      <c r="D25" s="115">
        <v>9</v>
      </c>
      <c r="E25" s="110">
        <v>177</v>
      </c>
      <c r="F25" s="115"/>
      <c r="G25" s="116" t="s">
        <v>346</v>
      </c>
      <c r="H25" s="110" t="s">
        <v>263</v>
      </c>
      <c r="I25" s="116"/>
    </row>
    <row r="26" spans="1:9" s="100" customFormat="1" ht="15.75" customHeight="1">
      <c r="A26" s="114">
        <v>22</v>
      </c>
      <c r="B26" s="109" t="s">
        <v>372</v>
      </c>
      <c r="C26" s="115">
        <v>22185033</v>
      </c>
      <c r="D26" s="115">
        <v>5</v>
      </c>
      <c r="E26" s="110">
        <v>360</v>
      </c>
      <c r="F26" s="115"/>
      <c r="G26" s="116" t="s">
        <v>346</v>
      </c>
      <c r="H26" s="117" t="s">
        <v>265</v>
      </c>
      <c r="I26" s="116"/>
    </row>
    <row r="27" spans="1:9" s="100" customFormat="1" ht="15.75" customHeight="1">
      <c r="A27" s="114">
        <v>23</v>
      </c>
      <c r="B27" s="123" t="s">
        <v>373</v>
      </c>
      <c r="C27" s="115">
        <v>21678260</v>
      </c>
      <c r="D27" s="122">
        <v>7</v>
      </c>
      <c r="E27" s="110">
        <v>4</v>
      </c>
      <c r="F27" s="122"/>
      <c r="G27" s="116" t="s">
        <v>346</v>
      </c>
      <c r="H27" s="110" t="s">
        <v>263</v>
      </c>
      <c r="I27" s="116"/>
    </row>
    <row r="28" spans="1:9" s="100" customFormat="1" ht="15.75" customHeight="1">
      <c r="A28" s="114">
        <v>24</v>
      </c>
      <c r="B28" s="123" t="s">
        <v>374</v>
      </c>
      <c r="C28" s="115">
        <v>22373264</v>
      </c>
      <c r="D28" s="122" t="s">
        <v>368</v>
      </c>
      <c r="E28" s="110">
        <v>68</v>
      </c>
      <c r="F28" s="122"/>
      <c r="G28" s="116" t="s">
        <v>346</v>
      </c>
      <c r="H28" s="110" t="s">
        <v>263</v>
      </c>
      <c r="I28" s="116"/>
    </row>
    <row r="29" spans="1:9" s="100" customFormat="1" ht="15.75" customHeight="1">
      <c r="A29" s="114">
        <v>25</v>
      </c>
      <c r="B29" s="120" t="s">
        <v>375</v>
      </c>
      <c r="C29" s="110">
        <v>22034376</v>
      </c>
      <c r="D29" s="115">
        <v>6</v>
      </c>
      <c r="E29" s="110">
        <v>495</v>
      </c>
      <c r="F29" s="119"/>
      <c r="G29" s="116" t="s">
        <v>376</v>
      </c>
      <c r="H29" s="110" t="s">
        <v>263</v>
      </c>
      <c r="I29" s="121"/>
    </row>
    <row r="30" spans="1:9" s="100" customFormat="1" ht="15.75" customHeight="1">
      <c r="A30" s="114">
        <v>26</v>
      </c>
      <c r="B30" s="109" t="s">
        <v>377</v>
      </c>
      <c r="C30" s="115">
        <v>22192156</v>
      </c>
      <c r="D30" s="115">
        <v>9</v>
      </c>
      <c r="E30" s="110">
        <v>309</v>
      </c>
      <c r="F30" s="115"/>
      <c r="G30" s="116" t="s">
        <v>376</v>
      </c>
      <c r="H30" s="110" t="s">
        <v>263</v>
      </c>
      <c r="I30" s="116"/>
    </row>
    <row r="31" spans="1:9" s="100" customFormat="1" ht="15.75" customHeight="1">
      <c r="A31" s="114">
        <v>27</v>
      </c>
      <c r="B31" s="109" t="s">
        <v>379</v>
      </c>
      <c r="C31" s="115">
        <v>21679929</v>
      </c>
      <c r="D31" s="115">
        <v>1</v>
      </c>
      <c r="E31" s="110">
        <v>338</v>
      </c>
      <c r="F31" s="115" t="s">
        <v>378</v>
      </c>
      <c r="G31" s="116" t="s">
        <v>376</v>
      </c>
      <c r="H31" s="110" t="s">
        <v>263</v>
      </c>
      <c r="I31" s="116" t="s">
        <v>349</v>
      </c>
    </row>
    <row r="32" spans="1:9" s="100" customFormat="1" ht="15.75" customHeight="1">
      <c r="A32" s="114">
        <v>28</v>
      </c>
      <c r="B32" s="109" t="s">
        <v>380</v>
      </c>
      <c r="C32" s="115">
        <v>22274873</v>
      </c>
      <c r="D32" s="115">
        <v>9</v>
      </c>
      <c r="E32" s="110">
        <v>8</v>
      </c>
      <c r="F32" s="115"/>
      <c r="G32" s="116" t="s">
        <v>376</v>
      </c>
      <c r="H32" s="110" t="s">
        <v>263</v>
      </c>
      <c r="I32" s="116"/>
    </row>
    <row r="33" spans="1:9" s="100" customFormat="1" ht="15.75" customHeight="1">
      <c r="A33" s="114">
        <v>29</v>
      </c>
      <c r="B33" s="109" t="s">
        <v>335</v>
      </c>
      <c r="C33" s="115">
        <v>21879557</v>
      </c>
      <c r="D33" s="115">
        <v>9</v>
      </c>
      <c r="E33" s="110">
        <v>61</v>
      </c>
      <c r="F33" s="115"/>
      <c r="G33" s="116" t="s">
        <v>376</v>
      </c>
      <c r="H33" s="117" t="s">
        <v>265</v>
      </c>
      <c r="I33" s="116"/>
    </row>
    <row r="34" spans="1:9" s="100" customFormat="1" ht="15.75" customHeight="1">
      <c r="A34" s="114">
        <v>30</v>
      </c>
      <c r="B34" s="123" t="s">
        <v>381</v>
      </c>
      <c r="C34" s="115">
        <v>22299652</v>
      </c>
      <c r="D34" s="122" t="s">
        <v>368</v>
      </c>
      <c r="E34" s="110">
        <v>320</v>
      </c>
      <c r="F34" s="122"/>
      <c r="G34" s="116" t="s">
        <v>376</v>
      </c>
      <c r="H34" s="110" t="s">
        <v>263</v>
      </c>
      <c r="I34" s="116"/>
    </row>
    <row r="35" spans="1:9" s="100" customFormat="1" ht="15.75" customHeight="1">
      <c r="A35" s="114">
        <v>31</v>
      </c>
      <c r="B35" s="109" t="s">
        <v>382</v>
      </c>
      <c r="C35" s="115">
        <v>22220188</v>
      </c>
      <c r="D35" s="115">
        <v>8</v>
      </c>
      <c r="E35" s="110">
        <v>246</v>
      </c>
      <c r="F35" s="115"/>
      <c r="G35" s="116" t="s">
        <v>376</v>
      </c>
      <c r="H35" s="110" t="s">
        <v>263</v>
      </c>
      <c r="I35" s="116"/>
    </row>
    <row r="36" spans="1:9" s="100" customFormat="1" ht="15.75" customHeight="1">
      <c r="A36" s="114">
        <v>32</v>
      </c>
      <c r="B36" s="109" t="s">
        <v>384</v>
      </c>
      <c r="C36" s="115">
        <v>20680970</v>
      </c>
      <c r="D36" s="115">
        <v>1</v>
      </c>
      <c r="E36" s="110">
        <v>208</v>
      </c>
      <c r="F36" s="115" t="s">
        <v>383</v>
      </c>
      <c r="G36" s="116" t="s">
        <v>376</v>
      </c>
      <c r="H36" s="110" t="s">
        <v>263</v>
      </c>
      <c r="I36" s="110" t="s">
        <v>349</v>
      </c>
    </row>
    <row r="37" spans="1:9" s="100" customFormat="1" ht="15.75" customHeight="1">
      <c r="A37" s="114">
        <v>33</v>
      </c>
      <c r="B37" s="109" t="s">
        <v>385</v>
      </c>
      <c r="C37" s="115">
        <v>22298204</v>
      </c>
      <c r="D37" s="115">
        <v>9</v>
      </c>
      <c r="E37" s="110">
        <v>196</v>
      </c>
      <c r="F37" s="115"/>
      <c r="G37" s="116" t="s">
        <v>376</v>
      </c>
      <c r="H37" s="117" t="s">
        <v>265</v>
      </c>
      <c r="I37" s="116"/>
    </row>
    <row r="38" spans="1:9" s="100" customFormat="1" ht="15.75" customHeight="1">
      <c r="A38" s="114">
        <v>34</v>
      </c>
      <c r="B38" s="109" t="s">
        <v>386</v>
      </c>
      <c r="C38" s="115">
        <v>21377530</v>
      </c>
      <c r="D38" s="115">
        <v>8</v>
      </c>
      <c r="E38" s="110">
        <v>441</v>
      </c>
      <c r="F38" s="115"/>
      <c r="G38" s="116" t="s">
        <v>376</v>
      </c>
      <c r="H38" s="110" t="s">
        <v>263</v>
      </c>
      <c r="I38" s="116"/>
    </row>
    <row r="39" spans="1:9" s="100" customFormat="1" ht="15.75" customHeight="1">
      <c r="A39" s="114">
        <v>35</v>
      </c>
      <c r="B39" s="109" t="s">
        <v>388</v>
      </c>
      <c r="C39" s="115">
        <v>22098138</v>
      </c>
      <c r="D39" s="115" t="s">
        <v>387</v>
      </c>
      <c r="E39" s="110">
        <v>111</v>
      </c>
      <c r="F39" s="115"/>
      <c r="G39" s="116" t="s">
        <v>376</v>
      </c>
      <c r="H39" s="110" t="s">
        <v>263</v>
      </c>
      <c r="I39" s="116"/>
    </row>
    <row r="40" spans="1:9" s="100" customFormat="1" ht="15.75" customHeight="1">
      <c r="A40" s="114">
        <v>36</v>
      </c>
      <c r="B40" s="109" t="s">
        <v>389</v>
      </c>
      <c r="C40" s="115">
        <v>22168316</v>
      </c>
      <c r="D40" s="115">
        <v>1</v>
      </c>
      <c r="E40" s="110">
        <v>478</v>
      </c>
      <c r="F40" s="115"/>
      <c r="G40" s="116" t="s">
        <v>376</v>
      </c>
      <c r="H40" s="110" t="s">
        <v>263</v>
      </c>
      <c r="I40" s="116"/>
    </row>
    <row r="41" spans="1:9" s="100" customFormat="1" ht="15.75" customHeight="1">
      <c r="A41" s="114">
        <v>37</v>
      </c>
      <c r="B41" s="109" t="s">
        <v>390</v>
      </c>
      <c r="C41" s="115">
        <v>21585497</v>
      </c>
      <c r="D41" s="115">
        <v>3</v>
      </c>
      <c r="E41" s="110">
        <v>362</v>
      </c>
      <c r="F41" s="115"/>
      <c r="G41" s="116" t="s">
        <v>376</v>
      </c>
      <c r="H41" s="110" t="s">
        <v>263</v>
      </c>
      <c r="I41" s="116"/>
    </row>
    <row r="42" spans="1:9" s="100" customFormat="1" ht="15.75" customHeight="1">
      <c r="A42" s="114">
        <v>38</v>
      </c>
      <c r="B42" s="109" t="s">
        <v>391</v>
      </c>
      <c r="C42" s="115">
        <v>22280191</v>
      </c>
      <c r="D42" s="115">
        <v>5</v>
      </c>
      <c r="E42" s="110">
        <v>353</v>
      </c>
      <c r="F42" s="115"/>
      <c r="G42" s="116" t="s">
        <v>376</v>
      </c>
      <c r="H42" s="110" t="s">
        <v>263</v>
      </c>
      <c r="I42" s="116"/>
    </row>
    <row r="43" spans="1:9" s="100" customFormat="1" ht="15.75" customHeight="1">
      <c r="A43" s="114">
        <v>39</v>
      </c>
      <c r="B43" s="109" t="s">
        <v>392</v>
      </c>
      <c r="C43" s="115">
        <v>21982763</v>
      </c>
      <c r="D43" s="115">
        <v>6</v>
      </c>
      <c r="E43" s="110">
        <v>439</v>
      </c>
      <c r="F43" s="115"/>
      <c r="G43" s="116" t="s">
        <v>376</v>
      </c>
      <c r="H43" s="110" t="s">
        <v>263</v>
      </c>
      <c r="I43" s="116"/>
    </row>
    <row r="44" spans="1:9" s="100" customFormat="1" ht="15.75" customHeight="1">
      <c r="A44" s="114">
        <v>40</v>
      </c>
      <c r="B44" s="109" t="s">
        <v>393</v>
      </c>
      <c r="C44" s="115">
        <v>25337881</v>
      </c>
      <c r="D44" s="115">
        <v>6</v>
      </c>
      <c r="E44" s="110">
        <v>60</v>
      </c>
      <c r="F44" s="115"/>
      <c r="G44" s="116" t="s">
        <v>376</v>
      </c>
      <c r="H44" s="117" t="s">
        <v>265</v>
      </c>
      <c r="I44" s="116"/>
    </row>
    <row r="45" spans="1:9" s="100" customFormat="1" ht="15.75" customHeight="1">
      <c r="A45" s="114">
        <v>41</v>
      </c>
      <c r="B45" s="123" t="s">
        <v>394</v>
      </c>
      <c r="C45" s="115">
        <v>22192665</v>
      </c>
      <c r="D45" s="122" t="s">
        <v>368</v>
      </c>
      <c r="E45" s="110">
        <v>402</v>
      </c>
      <c r="F45" s="122"/>
      <c r="G45" s="116" t="s">
        <v>376</v>
      </c>
      <c r="H45" s="110" t="s">
        <v>263</v>
      </c>
      <c r="I45" s="116"/>
    </row>
    <row r="46" spans="1:9" s="100" customFormat="1" ht="15.75" customHeight="1">
      <c r="A46" s="114">
        <v>42</v>
      </c>
      <c r="B46" s="109" t="s">
        <v>395</v>
      </c>
      <c r="C46" s="115">
        <v>21977758</v>
      </c>
      <c r="D46" s="115">
        <v>2</v>
      </c>
      <c r="E46" s="110">
        <v>490</v>
      </c>
      <c r="F46" s="115"/>
      <c r="G46" s="116" t="s">
        <v>376</v>
      </c>
      <c r="H46" s="110" t="s">
        <v>263</v>
      </c>
      <c r="I46" s="116"/>
    </row>
    <row r="47" spans="1:9" s="100" customFormat="1" ht="15.75" customHeight="1">
      <c r="A47" s="114">
        <v>43</v>
      </c>
      <c r="B47" s="109" t="s">
        <v>396</v>
      </c>
      <c r="C47" s="115">
        <v>21622568</v>
      </c>
      <c r="D47" s="115">
        <v>6</v>
      </c>
      <c r="E47" s="110">
        <v>261</v>
      </c>
      <c r="F47" s="115"/>
      <c r="G47" s="116" t="s">
        <v>376</v>
      </c>
      <c r="H47" s="110" t="s">
        <v>263</v>
      </c>
      <c r="I47" s="116"/>
    </row>
    <row r="48" spans="1:9" s="100" customFormat="1" ht="15.75" customHeight="1">
      <c r="A48" s="114">
        <v>44</v>
      </c>
      <c r="B48" s="109" t="s">
        <v>397</v>
      </c>
      <c r="C48" s="115">
        <v>21854751</v>
      </c>
      <c r="D48" s="115">
        <v>6</v>
      </c>
      <c r="E48" s="110">
        <v>481</v>
      </c>
      <c r="F48" s="115"/>
      <c r="G48" s="116" t="s">
        <v>376</v>
      </c>
      <c r="H48" s="110" t="s">
        <v>263</v>
      </c>
      <c r="I48" s="116"/>
    </row>
    <row r="49" spans="1:9" s="100" customFormat="1" ht="15.75" customHeight="1">
      <c r="A49" s="114">
        <v>45</v>
      </c>
      <c r="B49" s="109" t="s">
        <v>398</v>
      </c>
      <c r="C49" s="115">
        <v>22303340</v>
      </c>
      <c r="D49" s="115">
        <v>7</v>
      </c>
      <c r="E49" s="110">
        <v>174</v>
      </c>
      <c r="F49" s="115"/>
      <c r="G49" s="116" t="s">
        <v>376</v>
      </c>
      <c r="H49" s="117" t="s">
        <v>265</v>
      </c>
      <c r="I49" s="116"/>
    </row>
    <row r="50" spans="1:9" s="100" customFormat="1" ht="15.75" customHeight="1">
      <c r="A50" s="114">
        <v>46</v>
      </c>
      <c r="B50" s="109" t="s">
        <v>399</v>
      </c>
      <c r="C50" s="115">
        <v>22212854</v>
      </c>
      <c r="D50" s="115">
        <v>4</v>
      </c>
      <c r="E50" s="110">
        <v>453</v>
      </c>
      <c r="F50" s="115"/>
      <c r="G50" s="116" t="s">
        <v>376</v>
      </c>
      <c r="H50" s="117" t="s">
        <v>265</v>
      </c>
      <c r="I50" s="116"/>
    </row>
    <row r="51" spans="1:9" s="100" customFormat="1" ht="15.75" customHeight="1">
      <c r="A51" s="114">
        <v>47</v>
      </c>
      <c r="B51" s="123" t="s">
        <v>400</v>
      </c>
      <c r="C51" s="115">
        <v>22264899</v>
      </c>
      <c r="D51" s="122">
        <v>8</v>
      </c>
      <c r="E51" s="110">
        <v>442</v>
      </c>
      <c r="F51" s="122"/>
      <c r="G51" s="116" t="s">
        <v>376</v>
      </c>
      <c r="H51" s="117" t="s">
        <v>265</v>
      </c>
      <c r="I51" s="116"/>
    </row>
    <row r="52" spans="1:9" s="100" customFormat="1" ht="15.75" customHeight="1">
      <c r="A52" s="114">
        <v>48</v>
      </c>
      <c r="B52" s="109" t="s">
        <v>401</v>
      </c>
      <c r="C52" s="115">
        <v>22197320</v>
      </c>
      <c r="D52" s="115">
        <v>8</v>
      </c>
      <c r="E52" s="110">
        <v>456</v>
      </c>
      <c r="F52" s="115"/>
      <c r="G52" s="116" t="s">
        <v>376</v>
      </c>
      <c r="H52" s="110" t="s">
        <v>263</v>
      </c>
      <c r="I52" s="116"/>
    </row>
    <row r="53" spans="1:9" s="100" customFormat="1" ht="15.75" customHeight="1">
      <c r="A53" s="114">
        <v>49</v>
      </c>
      <c r="B53" s="109" t="s">
        <v>402</v>
      </c>
      <c r="C53" s="115">
        <v>22253886</v>
      </c>
      <c r="D53" s="115">
        <v>6</v>
      </c>
      <c r="E53" s="110">
        <v>474</v>
      </c>
      <c r="F53" s="115"/>
      <c r="G53" s="116" t="s">
        <v>268</v>
      </c>
      <c r="H53" s="110" t="s">
        <v>265</v>
      </c>
      <c r="I53" s="124"/>
    </row>
    <row r="54" spans="1:9" s="100" customFormat="1" ht="15.75" customHeight="1">
      <c r="A54" s="114">
        <v>50</v>
      </c>
      <c r="B54" s="109" t="s">
        <v>403</v>
      </c>
      <c r="C54" s="115">
        <v>21958633</v>
      </c>
      <c r="D54" s="115">
        <v>7</v>
      </c>
      <c r="E54" s="110">
        <v>435</v>
      </c>
      <c r="F54" s="115"/>
      <c r="G54" s="116" t="s">
        <v>268</v>
      </c>
      <c r="H54" s="110" t="s">
        <v>263</v>
      </c>
      <c r="I54" s="116"/>
    </row>
    <row r="55" spans="1:9" s="100" customFormat="1" ht="15.75" customHeight="1">
      <c r="A55" s="114">
        <v>51</v>
      </c>
      <c r="B55" s="109" t="s">
        <v>404</v>
      </c>
      <c r="C55" s="115">
        <v>22339278</v>
      </c>
      <c r="D55" s="115">
        <v>4</v>
      </c>
      <c r="E55" s="110">
        <v>482</v>
      </c>
      <c r="F55" s="115"/>
      <c r="G55" s="116" t="s">
        <v>268</v>
      </c>
      <c r="H55" s="110" t="s">
        <v>263</v>
      </c>
      <c r="I55" s="116"/>
    </row>
    <row r="56" spans="1:9" s="100" customFormat="1" ht="15.75" customHeight="1">
      <c r="A56" s="114">
        <v>52</v>
      </c>
      <c r="B56" s="109" t="s">
        <v>300</v>
      </c>
      <c r="C56" s="115">
        <v>22251571</v>
      </c>
      <c r="D56" s="115">
        <v>8</v>
      </c>
      <c r="E56" s="110">
        <v>321</v>
      </c>
      <c r="F56" s="115"/>
      <c r="G56" s="116" t="s">
        <v>268</v>
      </c>
      <c r="H56" s="110" t="s">
        <v>263</v>
      </c>
      <c r="I56" s="116"/>
    </row>
    <row r="57" spans="1:9" s="100" customFormat="1" ht="15.75" customHeight="1">
      <c r="A57" s="114">
        <v>53</v>
      </c>
      <c r="B57" s="109" t="s">
        <v>405</v>
      </c>
      <c r="C57" s="115">
        <v>21913058</v>
      </c>
      <c r="D57" s="115">
        <v>9</v>
      </c>
      <c r="E57" s="110">
        <v>457</v>
      </c>
      <c r="F57" s="115"/>
      <c r="G57" s="116" t="s">
        <v>268</v>
      </c>
      <c r="H57" s="117" t="s">
        <v>265</v>
      </c>
      <c r="I57" s="116"/>
    </row>
    <row r="58" spans="1:9" s="100" customFormat="1" ht="15.75" customHeight="1">
      <c r="A58" s="114">
        <v>54</v>
      </c>
      <c r="B58" s="109" t="s">
        <v>406</v>
      </c>
      <c r="C58" s="115">
        <v>22267921</v>
      </c>
      <c r="D58" s="115">
        <v>4</v>
      </c>
      <c r="E58" s="110">
        <v>266</v>
      </c>
      <c r="F58" s="115"/>
      <c r="G58" s="116" t="s">
        <v>268</v>
      </c>
      <c r="H58" s="117" t="s">
        <v>265</v>
      </c>
      <c r="I58" s="116"/>
    </row>
    <row r="59" spans="1:9">
      <c r="A59" s="114">
        <v>55</v>
      </c>
      <c r="B59" s="109" t="s">
        <v>407</v>
      </c>
      <c r="C59" s="115">
        <v>22111448</v>
      </c>
      <c r="D59" s="115">
        <v>5</v>
      </c>
      <c r="E59" s="110">
        <v>127</v>
      </c>
      <c r="F59" s="115"/>
      <c r="G59" s="116" t="s">
        <v>268</v>
      </c>
      <c r="H59" s="117" t="s">
        <v>265</v>
      </c>
      <c r="I59" s="116"/>
    </row>
    <row r="60" spans="1:9" s="100" customFormat="1" ht="15.75" customHeight="1">
      <c r="A60" s="114">
        <v>56</v>
      </c>
      <c r="B60" s="120" t="s">
        <v>408</v>
      </c>
      <c r="C60" s="110">
        <v>22113295</v>
      </c>
      <c r="D60" s="115">
        <v>5</v>
      </c>
      <c r="E60" s="110">
        <v>494</v>
      </c>
      <c r="F60" s="119"/>
      <c r="G60" s="116" t="s">
        <v>268</v>
      </c>
      <c r="H60" s="110" t="s">
        <v>263</v>
      </c>
      <c r="I60" s="121"/>
    </row>
    <row r="61" spans="1:9" s="100" customFormat="1" ht="15.75" customHeight="1">
      <c r="A61" s="114">
        <v>57</v>
      </c>
      <c r="B61" s="109" t="s">
        <v>409</v>
      </c>
      <c r="C61" s="115">
        <v>21807387</v>
      </c>
      <c r="D61" s="115">
        <v>5</v>
      </c>
      <c r="E61" s="110">
        <v>58</v>
      </c>
      <c r="F61" s="115"/>
      <c r="G61" s="116" t="s">
        <v>268</v>
      </c>
      <c r="H61" s="110" t="s">
        <v>263</v>
      </c>
      <c r="I61" s="116"/>
    </row>
    <row r="62" spans="1:9" s="100" customFormat="1" ht="15.75" customHeight="1">
      <c r="A62" s="114">
        <v>58</v>
      </c>
      <c r="B62" s="109" t="s">
        <v>410</v>
      </c>
      <c r="C62" s="115">
        <v>22247006</v>
      </c>
      <c r="D62" s="115">
        <v>4</v>
      </c>
      <c r="E62" s="110">
        <v>73</v>
      </c>
      <c r="F62" s="115"/>
      <c r="G62" s="116" t="s">
        <v>268</v>
      </c>
      <c r="H62" s="110" t="s">
        <v>263</v>
      </c>
      <c r="I62" s="116"/>
    </row>
    <row r="63" spans="1:9" s="100" customFormat="1" ht="15.75" customHeight="1">
      <c r="A63" s="114">
        <v>59</v>
      </c>
      <c r="B63" s="109" t="s">
        <v>412</v>
      </c>
      <c r="C63" s="115">
        <v>21612467</v>
      </c>
      <c r="D63" s="115">
        <v>7</v>
      </c>
      <c r="E63" s="110">
        <v>240</v>
      </c>
      <c r="F63" s="115" t="s">
        <v>411</v>
      </c>
      <c r="G63" s="116" t="s">
        <v>268</v>
      </c>
      <c r="H63" s="110" t="s">
        <v>263</v>
      </c>
      <c r="I63" s="110" t="s">
        <v>349</v>
      </c>
    </row>
    <row r="64" spans="1:9" s="100" customFormat="1" ht="15.75" customHeight="1">
      <c r="A64" s="114">
        <v>60</v>
      </c>
      <c r="B64" s="109" t="s">
        <v>413</v>
      </c>
      <c r="C64" s="115">
        <v>22222992</v>
      </c>
      <c r="D64" s="115">
        <v>8</v>
      </c>
      <c r="E64" s="110">
        <v>443</v>
      </c>
      <c r="F64" s="115"/>
      <c r="G64" s="116" t="s">
        <v>268</v>
      </c>
      <c r="H64" s="110" t="s">
        <v>263</v>
      </c>
      <c r="I64" s="116"/>
    </row>
    <row r="65" spans="1:9" s="100" customFormat="1" ht="15.75" customHeight="1">
      <c r="A65" s="114">
        <v>61</v>
      </c>
      <c r="B65" s="109" t="s">
        <v>336</v>
      </c>
      <c r="C65" s="115">
        <v>22234238</v>
      </c>
      <c r="D65" s="115">
        <v>4</v>
      </c>
      <c r="E65" s="110">
        <v>173</v>
      </c>
      <c r="F65" s="115"/>
      <c r="G65" s="116" t="s">
        <v>268</v>
      </c>
      <c r="H65" s="110" t="s">
        <v>263</v>
      </c>
      <c r="I65" s="116"/>
    </row>
    <row r="66" spans="1:9" s="100" customFormat="1" ht="15.75" customHeight="1">
      <c r="A66" s="114">
        <v>62</v>
      </c>
      <c r="B66" s="109" t="s">
        <v>414</v>
      </c>
      <c r="C66" s="115">
        <v>21814262</v>
      </c>
      <c r="D66" s="115">
        <v>1</v>
      </c>
      <c r="E66" s="110">
        <v>440</v>
      </c>
      <c r="F66" s="115"/>
      <c r="G66" s="116" t="s">
        <v>268</v>
      </c>
      <c r="H66" s="117" t="s">
        <v>265</v>
      </c>
      <c r="I66" s="116"/>
    </row>
    <row r="67" spans="1:9" s="100" customFormat="1" ht="15.75" customHeight="1">
      <c r="A67" s="114">
        <v>63</v>
      </c>
      <c r="B67" s="109" t="s">
        <v>415</v>
      </c>
      <c r="C67" s="115">
        <v>22070989</v>
      </c>
      <c r="D67" s="115">
        <v>2</v>
      </c>
      <c r="E67" s="110">
        <v>198</v>
      </c>
      <c r="F67" s="115"/>
      <c r="G67" s="116" t="s">
        <v>268</v>
      </c>
      <c r="H67" s="110" t="s">
        <v>263</v>
      </c>
      <c r="I67" s="116"/>
    </row>
    <row r="68" spans="1:9" s="100" customFormat="1" ht="15.75" customHeight="1">
      <c r="A68" s="114">
        <v>64</v>
      </c>
      <c r="B68" s="109" t="s">
        <v>416</v>
      </c>
      <c r="C68" s="115">
        <v>21627743</v>
      </c>
      <c r="D68" s="115">
        <v>0</v>
      </c>
      <c r="E68" s="110">
        <v>477</v>
      </c>
      <c r="F68" s="115"/>
      <c r="G68" s="116" t="s">
        <v>268</v>
      </c>
      <c r="H68" s="110" t="s">
        <v>263</v>
      </c>
      <c r="I68" s="116"/>
    </row>
    <row r="69" spans="1:9" s="100" customFormat="1" ht="15.75" customHeight="1">
      <c r="A69" s="114">
        <v>65</v>
      </c>
      <c r="B69" s="109" t="s">
        <v>417</v>
      </c>
      <c r="C69" s="115">
        <v>21262379</v>
      </c>
      <c r="D69" s="115">
        <v>2</v>
      </c>
      <c r="E69" s="110">
        <v>343</v>
      </c>
      <c r="F69" s="115"/>
      <c r="G69" s="116" t="s">
        <v>268</v>
      </c>
      <c r="H69" s="110" t="s">
        <v>263</v>
      </c>
      <c r="I69" s="116"/>
    </row>
    <row r="70" spans="1:9" s="100" customFormat="1" ht="15.75" customHeight="1">
      <c r="A70" s="114">
        <v>66</v>
      </c>
      <c r="B70" s="109" t="s">
        <v>418</v>
      </c>
      <c r="C70" s="115">
        <v>22020612</v>
      </c>
      <c r="D70" s="115">
        <v>2</v>
      </c>
      <c r="E70" s="110">
        <v>109</v>
      </c>
      <c r="F70" s="115"/>
      <c r="G70" s="116" t="s">
        <v>268</v>
      </c>
      <c r="H70" s="110" t="s">
        <v>263</v>
      </c>
      <c r="I70" s="116"/>
    </row>
    <row r="71" spans="1:9" s="100" customFormat="1" ht="15.75" customHeight="1">
      <c r="A71" s="114">
        <v>67</v>
      </c>
      <c r="B71" s="109" t="s">
        <v>419</v>
      </c>
      <c r="C71" s="115">
        <v>22087853</v>
      </c>
      <c r="D71" s="115">
        <v>8</v>
      </c>
      <c r="E71" s="110">
        <v>392</v>
      </c>
      <c r="F71" s="115"/>
      <c r="G71" s="116" t="s">
        <v>268</v>
      </c>
      <c r="H71" s="110" t="s">
        <v>263</v>
      </c>
      <c r="I71" s="116"/>
    </row>
    <row r="72" spans="1:9" s="100" customFormat="1" ht="15.75" customHeight="1">
      <c r="A72" s="114">
        <v>68</v>
      </c>
      <c r="B72" s="109" t="s">
        <v>420</v>
      </c>
      <c r="C72" s="115">
        <v>22045027</v>
      </c>
      <c r="D72" s="115">
        <v>9</v>
      </c>
      <c r="E72" s="110">
        <v>352</v>
      </c>
      <c r="F72" s="115"/>
      <c r="G72" s="116" t="s">
        <v>268</v>
      </c>
      <c r="H72" s="110" t="s">
        <v>263</v>
      </c>
      <c r="I72" s="116"/>
    </row>
    <row r="73" spans="1:9" s="100" customFormat="1" ht="15.75" customHeight="1">
      <c r="A73" s="114">
        <v>69</v>
      </c>
      <c r="B73" s="109" t="s">
        <v>421</v>
      </c>
      <c r="C73" s="115">
        <v>21926704</v>
      </c>
      <c r="D73" s="115">
        <v>5</v>
      </c>
      <c r="E73" s="110">
        <v>244</v>
      </c>
      <c r="F73" s="115"/>
      <c r="G73" s="116" t="s">
        <v>268</v>
      </c>
      <c r="H73" s="110" t="s">
        <v>263</v>
      </c>
      <c r="I73" s="116"/>
    </row>
    <row r="74" spans="1:9" s="100" customFormat="1" ht="15.75" customHeight="1">
      <c r="A74" s="114">
        <v>70</v>
      </c>
      <c r="B74" s="109" t="s">
        <v>422</v>
      </c>
      <c r="C74" s="115">
        <v>22344665</v>
      </c>
      <c r="D74" s="115">
        <v>5</v>
      </c>
      <c r="E74" s="110">
        <v>364</v>
      </c>
      <c r="F74" s="115"/>
      <c r="G74" s="116" t="s">
        <v>268</v>
      </c>
      <c r="H74" s="117" t="s">
        <v>265</v>
      </c>
      <c r="I74" s="116"/>
    </row>
    <row r="75" spans="1:9" s="100" customFormat="1" ht="15.75" customHeight="1">
      <c r="A75" s="114">
        <v>71</v>
      </c>
      <c r="B75" s="109" t="s">
        <v>423</v>
      </c>
      <c r="C75" s="115">
        <v>21744807</v>
      </c>
      <c r="D75" s="115">
        <v>7</v>
      </c>
      <c r="E75" s="110">
        <v>15</v>
      </c>
      <c r="F75" s="115"/>
      <c r="G75" s="116" t="s">
        <v>268</v>
      </c>
      <c r="H75" s="110" t="s">
        <v>263</v>
      </c>
      <c r="I75" s="116"/>
    </row>
    <row r="76" spans="1:9" s="100" customFormat="1" ht="15.75" customHeight="1">
      <c r="A76" s="114">
        <v>72</v>
      </c>
      <c r="B76" s="109" t="s">
        <v>425</v>
      </c>
      <c r="C76" s="115">
        <v>22097382</v>
      </c>
      <c r="D76" s="115">
        <v>4</v>
      </c>
      <c r="E76" s="110">
        <v>357</v>
      </c>
      <c r="F76" s="115" t="s">
        <v>424</v>
      </c>
      <c r="G76" s="116" t="s">
        <v>268</v>
      </c>
      <c r="H76" s="110" t="s">
        <v>263</v>
      </c>
      <c r="I76" s="110" t="s">
        <v>352</v>
      </c>
    </row>
    <row r="77" spans="1:9">
      <c r="A77" s="114">
        <v>73</v>
      </c>
      <c r="B77" s="123" t="s">
        <v>426</v>
      </c>
      <c r="C77" s="115">
        <v>22091707</v>
      </c>
      <c r="D77" s="122" t="s">
        <v>368</v>
      </c>
      <c r="E77" s="110">
        <v>130</v>
      </c>
      <c r="F77" s="122"/>
      <c r="G77" s="116" t="s">
        <v>268</v>
      </c>
      <c r="H77" s="110" t="s">
        <v>263</v>
      </c>
      <c r="I77" s="116"/>
    </row>
    <row r="78" spans="1:9" s="100" customFormat="1" ht="15.75" customHeight="1">
      <c r="A78" s="114">
        <v>74</v>
      </c>
      <c r="B78" s="109" t="s">
        <v>427</v>
      </c>
      <c r="C78" s="115">
        <v>22061083</v>
      </c>
      <c r="D78" s="115">
        <v>7</v>
      </c>
      <c r="E78" s="110">
        <v>24</v>
      </c>
      <c r="F78" s="115"/>
      <c r="G78" s="116" t="s">
        <v>428</v>
      </c>
      <c r="H78" s="110" t="s">
        <v>263</v>
      </c>
      <c r="I78" s="116"/>
    </row>
    <row r="79" spans="1:9" s="100" customFormat="1" ht="15.75" customHeight="1">
      <c r="A79" s="114">
        <v>75</v>
      </c>
      <c r="B79" s="109" t="s">
        <v>430</v>
      </c>
      <c r="C79" s="115">
        <v>21276315</v>
      </c>
      <c r="D79" s="115">
        <v>2</v>
      </c>
      <c r="E79" s="110">
        <v>276</v>
      </c>
      <c r="F79" s="115" t="s">
        <v>429</v>
      </c>
      <c r="G79" s="116" t="s">
        <v>428</v>
      </c>
      <c r="H79" s="110" t="s">
        <v>265</v>
      </c>
      <c r="I79" s="116" t="s">
        <v>349</v>
      </c>
    </row>
    <row r="80" spans="1:9" s="100" customFormat="1" ht="15.75" customHeight="1">
      <c r="A80" s="114">
        <v>76</v>
      </c>
      <c r="B80" s="109" t="s">
        <v>431</v>
      </c>
      <c r="C80" s="115">
        <v>21078998</v>
      </c>
      <c r="D80" s="115">
        <v>7</v>
      </c>
      <c r="E80" s="110">
        <v>132</v>
      </c>
      <c r="F80" s="115"/>
      <c r="G80" s="116" t="s">
        <v>428</v>
      </c>
      <c r="H80" s="110" t="s">
        <v>263</v>
      </c>
      <c r="I80" s="116"/>
    </row>
    <row r="81" spans="1:9" s="100" customFormat="1" ht="15.75" customHeight="1">
      <c r="A81" s="114">
        <v>77</v>
      </c>
      <c r="B81" s="109" t="s">
        <v>432</v>
      </c>
      <c r="C81" s="115">
        <v>22165289</v>
      </c>
      <c r="D81" s="115">
        <v>4</v>
      </c>
      <c r="E81" s="110">
        <v>366</v>
      </c>
      <c r="F81" s="115"/>
      <c r="G81" s="116" t="s">
        <v>428</v>
      </c>
      <c r="H81" s="110" t="s">
        <v>263</v>
      </c>
      <c r="I81" s="116"/>
    </row>
    <row r="82" spans="1:9" s="100" customFormat="1" ht="15.75" customHeight="1">
      <c r="A82" s="114">
        <v>78</v>
      </c>
      <c r="B82" s="109" t="s">
        <v>433</v>
      </c>
      <c r="C82" s="115">
        <v>21841257</v>
      </c>
      <c r="D82" s="115">
        <v>2</v>
      </c>
      <c r="E82" s="110">
        <v>483</v>
      </c>
      <c r="F82" s="115"/>
      <c r="G82" s="116" t="s">
        <v>428</v>
      </c>
      <c r="H82" s="117" t="s">
        <v>265</v>
      </c>
      <c r="I82" s="116"/>
    </row>
    <row r="83" spans="1:9" s="100" customFormat="1" ht="15.75" customHeight="1">
      <c r="A83" s="114">
        <v>79</v>
      </c>
      <c r="B83" s="109" t="s">
        <v>434</v>
      </c>
      <c r="C83" s="115">
        <v>22415533</v>
      </c>
      <c r="D83" s="115">
        <v>6</v>
      </c>
      <c r="E83" s="110">
        <v>305</v>
      </c>
      <c r="F83" s="115"/>
      <c r="G83" s="116" t="s">
        <v>428</v>
      </c>
      <c r="H83" s="110" t="s">
        <v>263</v>
      </c>
      <c r="I83" s="116"/>
    </row>
    <row r="84" spans="1:9" s="100" customFormat="1" ht="15.75" customHeight="1">
      <c r="A84" s="114">
        <v>80</v>
      </c>
      <c r="B84" s="109" t="s">
        <v>435</v>
      </c>
      <c r="C84" s="115">
        <v>22065502</v>
      </c>
      <c r="D84" s="115">
        <v>4</v>
      </c>
      <c r="E84" s="110">
        <v>451</v>
      </c>
      <c r="F84" s="115"/>
      <c r="G84" s="116" t="s">
        <v>428</v>
      </c>
      <c r="H84" s="117" t="s">
        <v>265</v>
      </c>
      <c r="I84" s="116"/>
    </row>
    <row r="85" spans="1:9" s="100" customFormat="1" ht="15.75" customHeight="1">
      <c r="A85" s="114">
        <v>81</v>
      </c>
      <c r="B85" s="109" t="s">
        <v>436</v>
      </c>
      <c r="C85" s="115">
        <v>22255004</v>
      </c>
      <c r="D85" s="115">
        <v>1</v>
      </c>
      <c r="E85" s="110">
        <v>314</v>
      </c>
      <c r="F85" s="115"/>
      <c r="G85" s="116" t="s">
        <v>428</v>
      </c>
      <c r="H85" s="110" t="s">
        <v>263</v>
      </c>
      <c r="I85" s="116"/>
    </row>
    <row r="86" spans="1:9" s="100" customFormat="1" ht="15.75" customHeight="1">
      <c r="A86" s="114">
        <v>82</v>
      </c>
      <c r="B86" s="109" t="s">
        <v>438</v>
      </c>
      <c r="C86" s="115">
        <v>21691908</v>
      </c>
      <c r="D86" s="115">
        <v>4</v>
      </c>
      <c r="E86" s="110">
        <v>370</v>
      </c>
      <c r="F86" s="115" t="s">
        <v>437</v>
      </c>
      <c r="G86" s="116" t="s">
        <v>428</v>
      </c>
      <c r="H86" s="110" t="s">
        <v>263</v>
      </c>
      <c r="I86" s="116" t="s">
        <v>349</v>
      </c>
    </row>
    <row r="87" spans="1:9" s="100" customFormat="1" ht="15.75" customHeight="1">
      <c r="A87" s="114">
        <v>83</v>
      </c>
      <c r="B87" s="109" t="s">
        <v>439</v>
      </c>
      <c r="C87" s="115">
        <v>22198413</v>
      </c>
      <c r="D87" s="115">
        <v>7</v>
      </c>
      <c r="E87" s="110">
        <v>108</v>
      </c>
      <c r="F87" s="115"/>
      <c r="G87" s="116" t="s">
        <v>428</v>
      </c>
      <c r="H87" s="110" t="s">
        <v>263</v>
      </c>
      <c r="I87" s="116"/>
    </row>
    <row r="88" spans="1:9" s="100" customFormat="1" ht="15.75" customHeight="1">
      <c r="A88" s="114">
        <v>84</v>
      </c>
      <c r="B88" s="123" t="s">
        <v>440</v>
      </c>
      <c r="C88" s="115">
        <v>21412775</v>
      </c>
      <c r="D88" s="122" t="s">
        <v>368</v>
      </c>
      <c r="E88" s="110">
        <v>444</v>
      </c>
      <c r="F88" s="122"/>
      <c r="G88" s="116" t="s">
        <v>428</v>
      </c>
      <c r="H88" s="110" t="s">
        <v>263</v>
      </c>
      <c r="I88" s="116"/>
    </row>
    <row r="89" spans="1:9" s="100" customFormat="1" ht="15.75" customHeight="1">
      <c r="A89" s="114">
        <v>85</v>
      </c>
      <c r="B89" s="109" t="s">
        <v>441</v>
      </c>
      <c r="C89" s="115">
        <v>22020103</v>
      </c>
      <c r="D89" s="115">
        <v>1</v>
      </c>
      <c r="E89" s="110">
        <v>421</v>
      </c>
      <c r="F89" s="115"/>
      <c r="G89" s="116" t="s">
        <v>428</v>
      </c>
      <c r="H89" s="117" t="s">
        <v>265</v>
      </c>
      <c r="I89" s="116"/>
    </row>
    <row r="90" spans="1:9" s="100" customFormat="1" ht="15.75" customHeight="1">
      <c r="A90" s="114">
        <v>86</v>
      </c>
      <c r="B90" s="109" t="s">
        <v>442</v>
      </c>
      <c r="C90" s="115">
        <v>22269184</v>
      </c>
      <c r="D90" s="115">
        <v>2</v>
      </c>
      <c r="E90" s="110">
        <v>351</v>
      </c>
      <c r="F90" s="115"/>
      <c r="G90" s="116" t="s">
        <v>428</v>
      </c>
      <c r="H90" s="110" t="s">
        <v>263</v>
      </c>
      <c r="I90" s="116"/>
    </row>
    <row r="91" spans="1:9" s="100" customFormat="1" ht="15.75" customHeight="1">
      <c r="A91" s="114">
        <v>87</v>
      </c>
      <c r="B91" s="109" t="s">
        <v>443</v>
      </c>
      <c r="C91" s="115">
        <v>22343981</v>
      </c>
      <c r="D91" s="115">
        <v>0</v>
      </c>
      <c r="E91" s="110">
        <v>476</v>
      </c>
      <c r="F91" s="115"/>
      <c r="G91" s="116" t="s">
        <v>428</v>
      </c>
      <c r="H91" s="110" t="s">
        <v>263</v>
      </c>
      <c r="I91" s="116"/>
    </row>
    <row r="92" spans="1:9" s="100" customFormat="1" ht="15.75" customHeight="1">
      <c r="A92" s="114">
        <v>88</v>
      </c>
      <c r="B92" s="109" t="s">
        <v>444</v>
      </c>
      <c r="C92" s="115">
        <v>21030074</v>
      </c>
      <c r="D92" s="115">
        <v>0</v>
      </c>
      <c r="E92" s="110">
        <v>76</v>
      </c>
      <c r="F92" s="115"/>
      <c r="G92" s="116" t="s">
        <v>428</v>
      </c>
      <c r="H92" s="110" t="s">
        <v>263</v>
      </c>
      <c r="I92" s="116"/>
    </row>
    <row r="93" spans="1:9" s="100" customFormat="1" ht="15.75" customHeight="1">
      <c r="A93" s="114">
        <v>89</v>
      </c>
      <c r="B93" s="120" t="s">
        <v>445</v>
      </c>
      <c r="C93" s="110">
        <v>21723171</v>
      </c>
      <c r="D93" s="115" t="s">
        <v>387</v>
      </c>
      <c r="E93" s="110">
        <v>493</v>
      </c>
      <c r="F93" s="119"/>
      <c r="G93" s="116" t="s">
        <v>428</v>
      </c>
      <c r="H93" s="110" t="s">
        <v>263</v>
      </c>
      <c r="I93" s="121"/>
    </row>
    <row r="94" spans="1:9" s="100" customFormat="1" ht="15.75" customHeight="1">
      <c r="A94" s="114">
        <v>90</v>
      </c>
      <c r="B94" s="109" t="s">
        <v>446</v>
      </c>
      <c r="C94" s="115">
        <v>21814292</v>
      </c>
      <c r="D94" s="115">
        <v>3</v>
      </c>
      <c r="E94" s="110">
        <v>434</v>
      </c>
      <c r="F94" s="115"/>
      <c r="G94" s="116" t="s">
        <v>428</v>
      </c>
      <c r="H94" s="117" t="s">
        <v>265</v>
      </c>
      <c r="I94" s="116"/>
    </row>
    <row r="95" spans="1:9" s="100" customFormat="1" ht="15.75" customHeight="1">
      <c r="A95" s="114">
        <v>91</v>
      </c>
      <c r="B95" s="109" t="s">
        <v>447</v>
      </c>
      <c r="C95" s="115">
        <v>22197733</v>
      </c>
      <c r="D95" s="115">
        <v>5</v>
      </c>
      <c r="E95" s="110">
        <v>458</v>
      </c>
      <c r="F95" s="115"/>
      <c r="G95" s="116" t="s">
        <v>428</v>
      </c>
      <c r="H95" s="110" t="s">
        <v>263</v>
      </c>
      <c r="I95" s="116"/>
    </row>
    <row r="96" spans="1:9" s="100" customFormat="1" ht="15.75" customHeight="1">
      <c r="A96" s="114">
        <v>92</v>
      </c>
      <c r="B96" s="109" t="s">
        <v>448</v>
      </c>
      <c r="C96" s="115">
        <v>20993388</v>
      </c>
      <c r="D96" s="115">
        <v>8</v>
      </c>
      <c r="E96" s="110">
        <v>328</v>
      </c>
      <c r="F96" s="115"/>
      <c r="G96" s="116" t="s">
        <v>428</v>
      </c>
      <c r="H96" s="117" t="s">
        <v>265</v>
      </c>
      <c r="I96" s="116"/>
    </row>
    <row r="97" spans="1:9" s="100" customFormat="1" ht="15.75" customHeight="1">
      <c r="A97" s="114">
        <v>93</v>
      </c>
      <c r="B97" s="123" t="s">
        <v>449</v>
      </c>
      <c r="C97" s="115">
        <v>22101703</v>
      </c>
      <c r="D97" s="122" t="s">
        <v>368</v>
      </c>
      <c r="E97" s="110">
        <v>199</v>
      </c>
      <c r="F97" s="122"/>
      <c r="G97" s="116" t="s">
        <v>428</v>
      </c>
      <c r="H97" s="110" t="s">
        <v>263</v>
      </c>
      <c r="I97" s="116"/>
    </row>
    <row r="98" spans="1:9" s="100" customFormat="1" ht="15.75" customHeight="1">
      <c r="A98" s="114">
        <v>94</v>
      </c>
      <c r="B98" s="109" t="s">
        <v>450</v>
      </c>
      <c r="C98" s="115">
        <v>22333119</v>
      </c>
      <c r="D98" s="115" t="s">
        <v>387</v>
      </c>
      <c r="E98" s="110">
        <v>241</v>
      </c>
      <c r="F98" s="115"/>
      <c r="G98" s="116" t="s">
        <v>428</v>
      </c>
      <c r="H98" s="110" t="s">
        <v>263</v>
      </c>
      <c r="I98" s="116"/>
    </row>
    <row r="99" spans="1:9">
      <c r="A99" s="114">
        <v>95</v>
      </c>
      <c r="B99" s="109" t="s">
        <v>451</v>
      </c>
      <c r="C99" s="115">
        <v>22238789</v>
      </c>
      <c r="D99" s="115">
        <v>2</v>
      </c>
      <c r="E99" s="110">
        <v>168</v>
      </c>
      <c r="F99" s="115"/>
      <c r="G99" s="116" t="s">
        <v>428</v>
      </c>
      <c r="H99" s="110" t="s">
        <v>263</v>
      </c>
      <c r="I99" s="116"/>
    </row>
    <row r="100" spans="1:9" s="100" customFormat="1" ht="15.75" customHeight="1">
      <c r="A100" s="114">
        <v>96</v>
      </c>
      <c r="B100" s="109" t="s">
        <v>452</v>
      </c>
      <c r="C100" s="115">
        <v>21990339</v>
      </c>
      <c r="D100" s="115">
        <v>1</v>
      </c>
      <c r="E100" s="110">
        <v>268</v>
      </c>
      <c r="F100" s="115"/>
      <c r="G100" s="116" t="s">
        <v>428</v>
      </c>
      <c r="H100" s="110" t="s">
        <v>263</v>
      </c>
      <c r="I100" s="116"/>
    </row>
    <row r="101" spans="1:9" s="100" customFormat="1" ht="15.75" customHeight="1">
      <c r="A101" s="114">
        <v>97</v>
      </c>
      <c r="B101" s="123" t="s">
        <v>453</v>
      </c>
      <c r="C101" s="115">
        <v>21612524</v>
      </c>
      <c r="D101" s="122" t="s">
        <v>368</v>
      </c>
      <c r="E101" s="110">
        <v>492</v>
      </c>
      <c r="F101" s="122"/>
      <c r="G101" s="116" t="s">
        <v>428</v>
      </c>
      <c r="H101" s="110" t="s">
        <v>263</v>
      </c>
      <c r="I101" s="116"/>
    </row>
    <row r="102" spans="1:9" s="100" customFormat="1" ht="15.75" customHeight="1">
      <c r="A102" s="114">
        <v>98</v>
      </c>
      <c r="B102" s="120" t="s">
        <v>454</v>
      </c>
      <c r="C102" s="110">
        <v>21875187</v>
      </c>
      <c r="D102" s="119">
        <v>3</v>
      </c>
      <c r="E102" s="110">
        <v>491</v>
      </c>
      <c r="F102" s="119"/>
      <c r="G102" s="116" t="s">
        <v>262</v>
      </c>
      <c r="H102" s="110" t="s">
        <v>263</v>
      </c>
      <c r="I102" s="121"/>
    </row>
    <row r="103" spans="1:9" s="100" customFormat="1" ht="15.75" customHeight="1">
      <c r="A103" s="114">
        <v>99</v>
      </c>
      <c r="B103" s="109" t="s">
        <v>455</v>
      </c>
      <c r="C103" s="115">
        <v>21385491</v>
      </c>
      <c r="D103" s="115">
        <v>7</v>
      </c>
      <c r="E103" s="110">
        <v>450</v>
      </c>
      <c r="F103" s="115"/>
      <c r="G103" s="116" t="s">
        <v>262</v>
      </c>
      <c r="H103" s="110" t="s">
        <v>263</v>
      </c>
      <c r="I103" s="116"/>
    </row>
    <row r="104" spans="1:9" s="100" customFormat="1" ht="15.75" customHeight="1">
      <c r="A104" s="114">
        <v>100</v>
      </c>
      <c r="B104" s="109" t="s">
        <v>456</v>
      </c>
      <c r="C104" s="115">
        <v>22315089</v>
      </c>
      <c r="D104" s="115">
        <v>6</v>
      </c>
      <c r="E104" s="110">
        <v>347</v>
      </c>
      <c r="F104" s="115"/>
      <c r="G104" s="116" t="s">
        <v>262</v>
      </c>
      <c r="H104" s="110" t="s">
        <v>263</v>
      </c>
      <c r="I104" s="116"/>
    </row>
    <row r="105" spans="1:9" s="100" customFormat="1" ht="15.75" customHeight="1">
      <c r="A105" s="114">
        <v>101</v>
      </c>
      <c r="B105" s="109" t="s">
        <v>457</v>
      </c>
      <c r="C105" s="115">
        <v>22006590</v>
      </c>
      <c r="D105" s="115">
        <v>1</v>
      </c>
      <c r="E105" s="110">
        <v>484</v>
      </c>
      <c r="F105" s="115"/>
      <c r="G105" s="116" t="s">
        <v>262</v>
      </c>
      <c r="H105" s="110" t="s">
        <v>263</v>
      </c>
      <c r="I105" s="116"/>
    </row>
    <row r="106" spans="1:9" s="100" customFormat="1" ht="15.75" customHeight="1">
      <c r="A106" s="114">
        <v>102</v>
      </c>
      <c r="B106" s="109" t="s">
        <v>458</v>
      </c>
      <c r="C106" s="115">
        <v>21950813</v>
      </c>
      <c r="D106" s="115">
        <v>1</v>
      </c>
      <c r="E106" s="110">
        <v>139</v>
      </c>
      <c r="F106" s="115"/>
      <c r="G106" s="116" t="s">
        <v>262</v>
      </c>
      <c r="H106" s="117" t="s">
        <v>265</v>
      </c>
      <c r="I106" s="116"/>
    </row>
    <row r="107" spans="1:9" s="100" customFormat="1" ht="15.75" customHeight="1">
      <c r="A107" s="114">
        <v>103</v>
      </c>
      <c r="B107" s="109" t="s">
        <v>459</v>
      </c>
      <c r="C107" s="115">
        <v>22283639</v>
      </c>
      <c r="D107" s="115">
        <v>5</v>
      </c>
      <c r="E107" s="110">
        <v>387</v>
      </c>
      <c r="F107" s="115"/>
      <c r="G107" s="116" t="s">
        <v>262</v>
      </c>
      <c r="H107" s="110" t="s">
        <v>263</v>
      </c>
      <c r="I107" s="116"/>
    </row>
    <row r="108" spans="1:9" s="100" customFormat="1" ht="15.75" customHeight="1">
      <c r="A108" s="114">
        <v>104</v>
      </c>
      <c r="B108" s="109" t="s">
        <v>460</v>
      </c>
      <c r="C108" s="115">
        <v>22339558</v>
      </c>
      <c r="D108" s="115">
        <v>9</v>
      </c>
      <c r="E108" s="110">
        <v>201</v>
      </c>
      <c r="F108" s="115"/>
      <c r="G108" s="116" t="s">
        <v>262</v>
      </c>
      <c r="H108" s="117" t="s">
        <v>265</v>
      </c>
      <c r="I108" s="116"/>
    </row>
    <row r="109" spans="1:9" s="100" customFormat="1" ht="15.75" customHeight="1">
      <c r="A109" s="114">
        <v>105</v>
      </c>
      <c r="B109" s="109" t="s">
        <v>461</v>
      </c>
      <c r="C109" s="115">
        <v>21610916</v>
      </c>
      <c r="D109" s="115">
        <v>3</v>
      </c>
      <c r="E109" s="110">
        <v>277</v>
      </c>
      <c r="F109" s="115"/>
      <c r="G109" s="116" t="s">
        <v>262</v>
      </c>
      <c r="H109" s="110" t="s">
        <v>263</v>
      </c>
      <c r="I109" s="116"/>
    </row>
    <row r="110" spans="1:9" s="100" customFormat="1" ht="15.75" customHeight="1">
      <c r="A110" s="114">
        <v>106</v>
      </c>
      <c r="B110" s="109" t="s">
        <v>462</v>
      </c>
      <c r="C110" s="115">
        <v>22279221</v>
      </c>
      <c r="D110" s="115">
        <v>5</v>
      </c>
      <c r="E110" s="110">
        <v>445</v>
      </c>
      <c r="F110" s="115"/>
      <c r="G110" s="116" t="s">
        <v>262</v>
      </c>
      <c r="H110" s="110" t="s">
        <v>263</v>
      </c>
      <c r="I110" s="116"/>
    </row>
    <row r="111" spans="1:9" s="100" customFormat="1" ht="15.75" customHeight="1">
      <c r="A111" s="114">
        <v>107</v>
      </c>
      <c r="B111" s="109" t="s">
        <v>463</v>
      </c>
      <c r="C111" s="115">
        <v>22358914</v>
      </c>
      <c r="D111" s="115">
        <v>6</v>
      </c>
      <c r="E111" s="110">
        <v>167</v>
      </c>
      <c r="F111" s="115"/>
      <c r="G111" s="116" t="s">
        <v>262</v>
      </c>
      <c r="H111" s="110" t="s">
        <v>263</v>
      </c>
      <c r="I111" s="116"/>
    </row>
    <row r="112" spans="1:9" s="100" customFormat="1" ht="15.75" customHeight="1">
      <c r="A112" s="114">
        <v>108</v>
      </c>
      <c r="B112" s="127" t="s">
        <v>465</v>
      </c>
      <c r="C112" s="125">
        <v>21308582</v>
      </c>
      <c r="D112" s="115">
        <v>4</v>
      </c>
      <c r="E112" s="110">
        <v>415</v>
      </c>
      <c r="F112" s="126" t="s">
        <v>464</v>
      </c>
      <c r="G112" s="116" t="s">
        <v>262</v>
      </c>
      <c r="H112" s="110" t="s">
        <v>263</v>
      </c>
      <c r="I112" s="116" t="s">
        <v>349</v>
      </c>
    </row>
    <row r="113" spans="1:9" s="100" customFormat="1" ht="15.75" customHeight="1">
      <c r="A113" s="114">
        <v>109</v>
      </c>
      <c r="B113" s="109" t="s">
        <v>466</v>
      </c>
      <c r="C113" s="115">
        <v>21432225</v>
      </c>
      <c r="D113" s="115">
        <v>0</v>
      </c>
      <c r="E113" s="110">
        <v>48</v>
      </c>
      <c r="F113" s="115"/>
      <c r="G113" s="116" t="s">
        <v>262</v>
      </c>
      <c r="H113" s="110" t="s">
        <v>263</v>
      </c>
      <c r="I113" s="116"/>
    </row>
    <row r="114" spans="1:9" s="100" customFormat="1" ht="15.75" customHeight="1">
      <c r="A114" s="114">
        <v>110</v>
      </c>
      <c r="B114" s="128" t="s">
        <v>467</v>
      </c>
      <c r="C114" s="121"/>
      <c r="D114" s="121"/>
      <c r="E114" s="110">
        <v>497</v>
      </c>
      <c r="F114" s="121"/>
      <c r="G114" s="116" t="s">
        <v>262</v>
      </c>
      <c r="H114" s="110" t="s">
        <v>263</v>
      </c>
      <c r="I114" s="121" t="s">
        <v>468</v>
      </c>
    </row>
    <row r="115" spans="1:9" s="100" customFormat="1" ht="15.75" customHeight="1">
      <c r="A115" s="114">
        <v>111</v>
      </c>
      <c r="B115" s="109" t="s">
        <v>469</v>
      </c>
      <c r="C115" s="115">
        <v>24759531</v>
      </c>
      <c r="D115" s="115">
        <v>7</v>
      </c>
      <c r="E115" s="110">
        <v>475</v>
      </c>
      <c r="F115" s="115"/>
      <c r="G115" s="116" t="s">
        <v>262</v>
      </c>
      <c r="H115" s="110" t="s">
        <v>263</v>
      </c>
      <c r="I115" s="116"/>
    </row>
    <row r="116" spans="1:9" s="100" customFormat="1" ht="15.75" customHeight="1">
      <c r="A116" s="114">
        <v>112</v>
      </c>
      <c r="B116" s="109" t="s">
        <v>470</v>
      </c>
      <c r="C116" s="115">
        <v>22348955</v>
      </c>
      <c r="D116" s="115">
        <v>9</v>
      </c>
      <c r="E116" s="110">
        <v>459</v>
      </c>
      <c r="F116" s="115"/>
      <c r="G116" s="116" t="s">
        <v>262</v>
      </c>
      <c r="H116" s="117" t="s">
        <v>265</v>
      </c>
      <c r="I116" s="116"/>
    </row>
    <row r="117" spans="1:9" s="100" customFormat="1" ht="15.75" customHeight="1">
      <c r="A117" s="114">
        <v>113</v>
      </c>
      <c r="B117" s="123" t="s">
        <v>471</v>
      </c>
      <c r="C117" s="115">
        <v>22137360</v>
      </c>
      <c r="D117" s="122" t="s">
        <v>368</v>
      </c>
      <c r="E117" s="110">
        <v>297</v>
      </c>
      <c r="F117" s="122"/>
      <c r="G117" s="116" t="s">
        <v>262</v>
      </c>
      <c r="H117" s="110" t="s">
        <v>263</v>
      </c>
      <c r="I117" s="116"/>
    </row>
    <row r="118" spans="1:9" s="100" customFormat="1" ht="15.75" customHeight="1">
      <c r="A118" s="114">
        <v>114</v>
      </c>
      <c r="B118" s="109" t="s">
        <v>472</v>
      </c>
      <c r="C118" s="115">
        <v>22145966</v>
      </c>
      <c r="D118" s="115">
        <v>0</v>
      </c>
      <c r="E118" s="110">
        <v>29</v>
      </c>
      <c r="F118" s="115"/>
      <c r="G118" s="116" t="s">
        <v>262</v>
      </c>
      <c r="H118" s="117" t="s">
        <v>265</v>
      </c>
      <c r="I118" s="116"/>
    </row>
    <row r="119" spans="1:9" s="100" customFormat="1" ht="15.75" customHeight="1">
      <c r="A119" s="114">
        <v>115</v>
      </c>
      <c r="B119" s="109" t="s">
        <v>473</v>
      </c>
      <c r="C119" s="115">
        <v>22333546</v>
      </c>
      <c r="D119" s="115">
        <v>2</v>
      </c>
      <c r="E119" s="110">
        <v>368</v>
      </c>
      <c r="F119" s="115"/>
      <c r="G119" s="116" t="s">
        <v>262</v>
      </c>
      <c r="H119" s="110" t="s">
        <v>263</v>
      </c>
      <c r="I119" s="116"/>
    </row>
    <row r="120" spans="1:9" s="100" customFormat="1" ht="15.75" customHeight="1">
      <c r="A120" s="114">
        <v>116</v>
      </c>
      <c r="B120" s="109" t="s">
        <v>474</v>
      </c>
      <c r="C120" s="115">
        <v>22095426</v>
      </c>
      <c r="D120" s="115">
        <v>9</v>
      </c>
      <c r="E120" s="110">
        <v>80</v>
      </c>
      <c r="F120" s="115"/>
      <c r="G120" s="116" t="s">
        <v>262</v>
      </c>
      <c r="H120" s="110" t="s">
        <v>263</v>
      </c>
      <c r="I120" s="116"/>
    </row>
    <row r="121" spans="1:9" s="100" customFormat="1" ht="15.75" customHeight="1">
      <c r="A121" s="114">
        <v>117</v>
      </c>
      <c r="B121" s="109" t="s">
        <v>475</v>
      </c>
      <c r="C121" s="115">
        <v>22363078</v>
      </c>
      <c r="D121" s="115">
        <v>2</v>
      </c>
      <c r="E121" s="110">
        <v>330</v>
      </c>
      <c r="F121" s="115"/>
      <c r="G121" s="116" t="s">
        <v>262</v>
      </c>
      <c r="H121" s="110" t="s">
        <v>263</v>
      </c>
      <c r="I121" s="116"/>
    </row>
    <row r="122" spans="1:9" s="100" customFormat="1" ht="15.75" customHeight="1">
      <c r="A122" s="114">
        <v>118</v>
      </c>
      <c r="B122" s="123" t="s">
        <v>476</v>
      </c>
      <c r="C122" s="115">
        <v>21838854</v>
      </c>
      <c r="D122" s="122" t="s">
        <v>368</v>
      </c>
      <c r="E122" s="110">
        <v>620</v>
      </c>
      <c r="F122" s="122"/>
      <c r="G122" s="116" t="s">
        <v>262</v>
      </c>
      <c r="H122" s="110" t="s">
        <v>263</v>
      </c>
      <c r="I122" s="116"/>
    </row>
    <row r="123" spans="1:9" s="100" customFormat="1" ht="15.75" customHeight="1">
      <c r="A123" s="114">
        <v>119</v>
      </c>
      <c r="B123" s="109" t="s">
        <v>477</v>
      </c>
      <c r="C123" s="115">
        <v>22096100</v>
      </c>
      <c r="D123" s="115">
        <v>1</v>
      </c>
      <c r="E123" s="110">
        <v>233</v>
      </c>
      <c r="F123" s="115"/>
      <c r="G123" s="116" t="s">
        <v>262</v>
      </c>
      <c r="H123" s="110" t="s">
        <v>263</v>
      </c>
      <c r="I123" s="116"/>
    </row>
    <row r="124" spans="1:9" s="100" customFormat="1" ht="15.75" customHeight="1">
      <c r="A124" s="114">
        <v>120</v>
      </c>
      <c r="B124" s="109" t="s">
        <v>478</v>
      </c>
      <c r="C124" s="115">
        <v>21546046</v>
      </c>
      <c r="D124" s="115">
        <v>0</v>
      </c>
      <c r="E124" s="110">
        <v>433</v>
      </c>
      <c r="F124" s="115"/>
      <c r="G124" s="116" t="s">
        <v>262</v>
      </c>
      <c r="H124" s="110" t="s">
        <v>263</v>
      </c>
      <c r="I124" s="116"/>
    </row>
    <row r="125" spans="1:9" s="100" customFormat="1" ht="15.75" customHeight="1">
      <c r="A125" s="114">
        <v>121</v>
      </c>
      <c r="B125" s="109" t="s">
        <v>479</v>
      </c>
      <c r="C125" s="115">
        <v>22201682</v>
      </c>
      <c r="D125" s="115">
        <v>7</v>
      </c>
      <c r="E125" s="110">
        <v>428</v>
      </c>
      <c r="F125" s="115"/>
      <c r="G125" s="116" t="s">
        <v>262</v>
      </c>
      <c r="H125" s="110" t="s">
        <v>263</v>
      </c>
      <c r="I125" s="116"/>
    </row>
    <row r="126" spans="1:9" s="100" customFormat="1" ht="15.75" customHeight="1">
      <c r="A126" s="114">
        <v>122</v>
      </c>
      <c r="B126" s="109" t="s">
        <v>480</v>
      </c>
      <c r="C126" s="115">
        <v>22290891</v>
      </c>
      <c r="D126" s="115">
        <v>4</v>
      </c>
      <c r="E126" s="110">
        <v>346</v>
      </c>
      <c r="F126" s="115"/>
      <c r="G126" s="116" t="s">
        <v>262</v>
      </c>
      <c r="H126" s="117" t="s">
        <v>265</v>
      </c>
      <c r="I126" s="116"/>
    </row>
    <row r="127" spans="1:9" s="100" customFormat="1" ht="15.75" customHeight="1">
      <c r="A127" s="114">
        <v>123</v>
      </c>
      <c r="B127" s="109" t="s">
        <v>481</v>
      </c>
      <c r="C127" s="115">
        <v>22153664</v>
      </c>
      <c r="D127" s="115">
        <v>9</v>
      </c>
      <c r="E127" s="110">
        <v>97</v>
      </c>
      <c r="F127" s="115"/>
      <c r="G127" s="116" t="s">
        <v>267</v>
      </c>
      <c r="H127" s="110" t="s">
        <v>263</v>
      </c>
      <c r="I127" s="116"/>
    </row>
    <row r="128" spans="1:9">
      <c r="A128" s="114">
        <v>124</v>
      </c>
      <c r="B128" s="109" t="s">
        <v>482</v>
      </c>
      <c r="C128" s="115">
        <v>22406455</v>
      </c>
      <c r="D128" s="115">
        <v>1</v>
      </c>
      <c r="E128" s="110">
        <v>295</v>
      </c>
      <c r="F128" s="115"/>
      <c r="G128" s="116" t="s">
        <v>267</v>
      </c>
      <c r="H128" s="117" t="s">
        <v>265</v>
      </c>
      <c r="I128" s="116"/>
    </row>
    <row r="129" spans="1:9" s="100" customFormat="1" ht="15.75" customHeight="1">
      <c r="A129" s="114">
        <v>125</v>
      </c>
      <c r="B129" s="109" t="s">
        <v>483</v>
      </c>
      <c r="C129" s="115">
        <v>22177173</v>
      </c>
      <c r="D129" s="115">
        <v>7</v>
      </c>
      <c r="E129" s="110">
        <v>36</v>
      </c>
      <c r="F129" s="115"/>
      <c r="G129" s="116" t="s">
        <v>267</v>
      </c>
      <c r="H129" s="110" t="s">
        <v>263</v>
      </c>
      <c r="I129" s="116"/>
    </row>
    <row r="130" spans="1:9" s="100" customFormat="1" ht="15.75" customHeight="1">
      <c r="A130" s="114">
        <v>126</v>
      </c>
      <c r="B130" s="109" t="s">
        <v>484</v>
      </c>
      <c r="C130" s="115">
        <v>22122754</v>
      </c>
      <c r="D130" s="115">
        <v>9</v>
      </c>
      <c r="E130" s="110">
        <v>449</v>
      </c>
      <c r="F130" s="115"/>
      <c r="G130" s="116" t="s">
        <v>267</v>
      </c>
      <c r="H130" s="110" t="s">
        <v>263</v>
      </c>
      <c r="I130" s="116"/>
    </row>
    <row r="131" spans="1:9" s="100" customFormat="1" ht="15.75" customHeight="1">
      <c r="A131" s="114">
        <v>127</v>
      </c>
      <c r="B131" s="109" t="s">
        <v>485</v>
      </c>
      <c r="C131" s="115">
        <v>22314076</v>
      </c>
      <c r="D131" s="115">
        <v>9</v>
      </c>
      <c r="E131" s="110">
        <v>82</v>
      </c>
      <c r="F131" s="115"/>
      <c r="G131" s="116" t="s">
        <v>267</v>
      </c>
      <c r="H131" s="117" t="s">
        <v>265</v>
      </c>
      <c r="I131" s="116"/>
    </row>
    <row r="132" spans="1:9" s="100" customFormat="1" ht="15.75" customHeight="1">
      <c r="A132" s="114">
        <v>128</v>
      </c>
      <c r="B132" s="109" t="s">
        <v>486</v>
      </c>
      <c r="C132" s="115">
        <v>22113793</v>
      </c>
      <c r="D132" s="115">
        <v>0</v>
      </c>
      <c r="E132" s="110">
        <v>384</v>
      </c>
      <c r="F132" s="115"/>
      <c r="G132" s="116" t="s">
        <v>267</v>
      </c>
      <c r="H132" s="117" t="s">
        <v>265</v>
      </c>
      <c r="I132" s="116"/>
    </row>
    <row r="133" spans="1:9" s="100" customFormat="1" ht="15.75" customHeight="1">
      <c r="A133" s="114">
        <v>129</v>
      </c>
      <c r="B133" s="109" t="s">
        <v>487</v>
      </c>
      <c r="C133" s="115">
        <v>22393652</v>
      </c>
      <c r="D133" s="115">
        <v>0</v>
      </c>
      <c r="E133" s="110">
        <v>372</v>
      </c>
      <c r="F133" s="115"/>
      <c r="G133" s="116" t="s">
        <v>267</v>
      </c>
      <c r="H133" s="110" t="s">
        <v>263</v>
      </c>
      <c r="I133" s="116"/>
    </row>
    <row r="134" spans="1:9">
      <c r="A134" s="114">
        <v>130</v>
      </c>
      <c r="B134" s="109" t="s">
        <v>488</v>
      </c>
      <c r="C134" s="115">
        <v>22164874</v>
      </c>
      <c r="D134" s="115">
        <v>9</v>
      </c>
      <c r="E134" s="110">
        <v>40</v>
      </c>
      <c r="F134" s="115"/>
      <c r="G134" s="116" t="s">
        <v>267</v>
      </c>
      <c r="H134" s="110" t="s">
        <v>263</v>
      </c>
      <c r="I134" s="116"/>
    </row>
    <row r="135" spans="1:9" s="100" customFormat="1" ht="15.75" customHeight="1">
      <c r="A135" s="114">
        <v>131</v>
      </c>
      <c r="B135" s="109" t="s">
        <v>490</v>
      </c>
      <c r="C135" s="115">
        <v>21652422</v>
      </c>
      <c r="D135" s="115">
        <v>5</v>
      </c>
      <c r="E135" s="110">
        <v>306</v>
      </c>
      <c r="F135" s="115" t="s">
        <v>489</v>
      </c>
      <c r="G135" s="116" t="s">
        <v>267</v>
      </c>
      <c r="H135" s="110" t="s">
        <v>263</v>
      </c>
      <c r="I135" s="116" t="s">
        <v>349</v>
      </c>
    </row>
    <row r="136" spans="1:9" s="100" customFormat="1" ht="15.75" customHeight="1">
      <c r="A136" s="114">
        <v>132</v>
      </c>
      <c r="B136" s="120" t="s">
        <v>491</v>
      </c>
      <c r="C136" s="110">
        <v>22232662</v>
      </c>
      <c r="D136" s="115">
        <v>1</v>
      </c>
      <c r="E136" s="110">
        <v>165</v>
      </c>
      <c r="F136" s="119"/>
      <c r="G136" s="116" t="s">
        <v>267</v>
      </c>
      <c r="H136" s="110" t="s">
        <v>263</v>
      </c>
      <c r="I136" s="121"/>
    </row>
    <row r="137" spans="1:9" s="100" customFormat="1" ht="15.75" customHeight="1">
      <c r="A137" s="114">
        <v>133</v>
      </c>
      <c r="B137" s="109" t="s">
        <v>493</v>
      </c>
      <c r="C137" s="115">
        <v>21939904</v>
      </c>
      <c r="D137" s="57">
        <v>9</v>
      </c>
      <c r="E137" s="110">
        <v>385</v>
      </c>
      <c r="F137" s="115" t="s">
        <v>492</v>
      </c>
      <c r="G137" s="116" t="s">
        <v>267</v>
      </c>
      <c r="H137" s="110" t="s">
        <v>263</v>
      </c>
      <c r="I137" s="110" t="s">
        <v>352</v>
      </c>
    </row>
    <row r="138" spans="1:9">
      <c r="A138" s="114">
        <v>134</v>
      </c>
      <c r="B138" s="123" t="s">
        <v>494</v>
      </c>
      <c r="C138" s="115">
        <v>21531152</v>
      </c>
      <c r="D138" s="122" t="s">
        <v>368</v>
      </c>
      <c r="E138" s="110">
        <v>345</v>
      </c>
      <c r="F138" s="122"/>
      <c r="G138" s="116" t="s">
        <v>267</v>
      </c>
      <c r="H138" s="110" t="s">
        <v>263</v>
      </c>
      <c r="I138" s="116"/>
    </row>
    <row r="139" spans="1:9" s="100" customFormat="1" ht="15.75" customHeight="1">
      <c r="A139" s="114">
        <v>135</v>
      </c>
      <c r="B139" s="109" t="s">
        <v>495</v>
      </c>
      <c r="C139" s="115">
        <v>21690464</v>
      </c>
      <c r="D139" s="115">
        <v>8</v>
      </c>
      <c r="E139" s="110">
        <v>226</v>
      </c>
      <c r="F139" s="115"/>
      <c r="G139" s="116" t="s">
        <v>267</v>
      </c>
      <c r="H139" s="117" t="s">
        <v>265</v>
      </c>
      <c r="I139" s="116"/>
    </row>
    <row r="140" spans="1:9">
      <c r="A140" s="114">
        <v>136</v>
      </c>
      <c r="B140" s="109" t="s">
        <v>496</v>
      </c>
      <c r="C140" s="115">
        <v>22197670</v>
      </c>
      <c r="D140" s="115">
        <v>3</v>
      </c>
      <c r="E140" s="110">
        <v>281</v>
      </c>
      <c r="F140" s="115"/>
      <c r="G140" s="116" t="s">
        <v>267</v>
      </c>
      <c r="H140" s="110" t="s">
        <v>263</v>
      </c>
      <c r="I140" s="116"/>
    </row>
    <row r="141" spans="1:9" s="100" customFormat="1" ht="15.75" customHeight="1">
      <c r="A141" s="114">
        <v>137</v>
      </c>
      <c r="B141" s="120" t="s">
        <v>497</v>
      </c>
      <c r="C141" s="110">
        <v>21781121</v>
      </c>
      <c r="D141" s="119" t="s">
        <v>387</v>
      </c>
      <c r="E141" s="110">
        <v>489</v>
      </c>
      <c r="F141" s="119"/>
      <c r="G141" s="116" t="s">
        <v>267</v>
      </c>
      <c r="H141" s="110" t="s">
        <v>263</v>
      </c>
      <c r="I141" s="121"/>
    </row>
    <row r="142" spans="1:9" s="100" customFormat="1" ht="15.75" customHeight="1">
      <c r="A142" s="114">
        <v>138</v>
      </c>
      <c r="B142" s="109" t="s">
        <v>498</v>
      </c>
      <c r="C142" s="115">
        <v>22310328</v>
      </c>
      <c r="D142" s="115">
        <v>6</v>
      </c>
      <c r="E142" s="110">
        <v>462</v>
      </c>
      <c r="F142" s="115"/>
      <c r="G142" s="116" t="s">
        <v>267</v>
      </c>
      <c r="H142" s="117" t="s">
        <v>265</v>
      </c>
      <c r="I142" s="116"/>
    </row>
    <row r="143" spans="1:9" s="100" customFormat="1" ht="15.75" customHeight="1">
      <c r="A143" s="114">
        <v>139</v>
      </c>
      <c r="B143" s="109" t="s">
        <v>499</v>
      </c>
      <c r="C143" s="115">
        <v>22042047</v>
      </c>
      <c r="D143" s="115">
        <v>7</v>
      </c>
      <c r="E143" s="110">
        <v>446</v>
      </c>
      <c r="F143" s="115"/>
      <c r="G143" s="116" t="s">
        <v>267</v>
      </c>
      <c r="H143" s="110" t="s">
        <v>263</v>
      </c>
      <c r="I143" s="116"/>
    </row>
    <row r="144" spans="1:9" s="100" customFormat="1" ht="15.75" customHeight="1">
      <c r="A144" s="114">
        <v>140</v>
      </c>
      <c r="B144" s="109" t="s">
        <v>500</v>
      </c>
      <c r="C144" s="115">
        <v>22237916</v>
      </c>
      <c r="D144" s="115">
        <v>4</v>
      </c>
      <c r="E144" s="110">
        <v>432</v>
      </c>
      <c r="F144" s="115"/>
      <c r="G144" s="116" t="s">
        <v>267</v>
      </c>
      <c r="H144" s="110" t="s">
        <v>263</v>
      </c>
      <c r="I144" s="116"/>
    </row>
    <row r="145" spans="1:9">
      <c r="A145" s="114">
        <v>141</v>
      </c>
      <c r="B145" s="109" t="s">
        <v>501</v>
      </c>
      <c r="C145" s="115">
        <v>22230825</v>
      </c>
      <c r="D145" s="115">
        <v>9</v>
      </c>
      <c r="E145" s="110">
        <v>331</v>
      </c>
      <c r="F145" s="115"/>
      <c r="G145" s="116" t="s">
        <v>267</v>
      </c>
      <c r="H145" s="110" t="s">
        <v>263</v>
      </c>
      <c r="I145" s="116"/>
    </row>
    <row r="146" spans="1:9">
      <c r="A146" s="114">
        <v>142</v>
      </c>
      <c r="B146" s="109" t="s">
        <v>502</v>
      </c>
      <c r="C146" s="115">
        <v>22005409</v>
      </c>
      <c r="D146" s="115">
        <v>8</v>
      </c>
      <c r="E146" s="110">
        <v>232</v>
      </c>
      <c r="F146" s="115"/>
      <c r="G146" s="116" t="s">
        <v>267</v>
      </c>
      <c r="H146" s="110" t="s">
        <v>263</v>
      </c>
      <c r="I146" s="116"/>
    </row>
    <row r="147" spans="1:9" s="100" customFormat="1" ht="15.75" customHeight="1">
      <c r="A147" s="114">
        <v>143</v>
      </c>
      <c r="B147" s="109" t="s">
        <v>503</v>
      </c>
      <c r="C147" s="115">
        <v>22016619</v>
      </c>
      <c r="D147" s="115">
        <v>8</v>
      </c>
      <c r="E147" s="110">
        <v>417</v>
      </c>
      <c r="F147" s="115"/>
      <c r="G147" s="116" t="s">
        <v>267</v>
      </c>
      <c r="H147" s="110" t="s">
        <v>263</v>
      </c>
      <c r="I147" s="116"/>
    </row>
    <row r="148" spans="1:9" s="100" customFormat="1" ht="15.75" customHeight="1">
      <c r="A148" s="114">
        <v>144</v>
      </c>
      <c r="B148" s="109" t="s">
        <v>504</v>
      </c>
      <c r="C148" s="115">
        <v>22148273</v>
      </c>
      <c r="D148" s="115">
        <v>5</v>
      </c>
      <c r="E148" s="110">
        <v>488</v>
      </c>
      <c r="F148" s="115"/>
      <c r="G148" s="116" t="s">
        <v>267</v>
      </c>
      <c r="H148" s="110" t="s">
        <v>263</v>
      </c>
      <c r="I148" s="116"/>
    </row>
    <row r="149" spans="1:9">
      <c r="A149" s="114">
        <v>145</v>
      </c>
      <c r="B149" s="109" t="s">
        <v>505</v>
      </c>
      <c r="C149" s="115">
        <v>21656940</v>
      </c>
      <c r="D149" s="115">
        <v>7</v>
      </c>
      <c r="E149" s="110">
        <v>142</v>
      </c>
      <c r="F149" s="115"/>
      <c r="G149" s="116" t="s">
        <v>267</v>
      </c>
      <c r="H149" s="110" t="s">
        <v>263</v>
      </c>
      <c r="I149" s="116"/>
    </row>
    <row r="150" spans="1:9" s="100" customFormat="1" ht="15.75" customHeight="1">
      <c r="A150" s="114">
        <v>146</v>
      </c>
      <c r="B150" s="109" t="s">
        <v>506</v>
      </c>
      <c r="C150" s="115">
        <v>22129446</v>
      </c>
      <c r="D150" s="115">
        <v>7</v>
      </c>
      <c r="E150" s="110">
        <v>430</v>
      </c>
      <c r="F150" s="115"/>
      <c r="G150" s="116" t="s">
        <v>267</v>
      </c>
      <c r="H150" s="110" t="s">
        <v>263</v>
      </c>
      <c r="I150" s="116"/>
    </row>
    <row r="151" spans="1:9" s="100" customFormat="1" ht="15.75" customHeight="1">
      <c r="A151" s="114">
        <v>147</v>
      </c>
      <c r="B151" s="109" t="s">
        <v>507</v>
      </c>
      <c r="C151" s="115">
        <v>21336475</v>
      </c>
      <c r="D151" s="115">
        <v>8</v>
      </c>
      <c r="E151" s="110">
        <v>485</v>
      </c>
      <c r="F151" s="115"/>
      <c r="G151" s="116" t="s">
        <v>267</v>
      </c>
      <c r="H151" s="110" t="s">
        <v>263</v>
      </c>
      <c r="I151" s="116"/>
    </row>
    <row r="152" spans="1:9" s="100" customFormat="1" ht="15.75" customHeight="1">
      <c r="A152" s="114">
        <v>148</v>
      </c>
      <c r="B152" s="109" t="s">
        <v>508</v>
      </c>
      <c r="C152" s="115">
        <v>21882852</v>
      </c>
      <c r="D152" s="115">
        <v>3</v>
      </c>
      <c r="E152" s="110">
        <v>377</v>
      </c>
      <c r="F152" s="115"/>
      <c r="G152" s="116" t="s">
        <v>264</v>
      </c>
      <c r="H152" s="110" t="s">
        <v>263</v>
      </c>
      <c r="I152" s="116"/>
    </row>
    <row r="153" spans="1:9" s="100" customFormat="1" ht="15.75" customHeight="1">
      <c r="A153" s="114">
        <v>149</v>
      </c>
      <c r="B153" s="109" t="s">
        <v>509</v>
      </c>
      <c r="C153" s="115">
        <v>22063350</v>
      </c>
      <c r="D153" s="115">
        <v>0</v>
      </c>
      <c r="E153" s="110">
        <v>486</v>
      </c>
      <c r="F153" s="115"/>
      <c r="G153" s="116" t="s">
        <v>264</v>
      </c>
      <c r="H153" s="110" t="s">
        <v>263</v>
      </c>
      <c r="I153" s="116"/>
    </row>
    <row r="154" spans="1:9" s="100" customFormat="1" ht="15.75" customHeight="1">
      <c r="A154" s="114">
        <v>150</v>
      </c>
      <c r="B154" s="109" t="s">
        <v>511</v>
      </c>
      <c r="C154" s="115">
        <v>21935655</v>
      </c>
      <c r="D154" s="115">
        <v>2</v>
      </c>
      <c r="E154" s="110">
        <v>408</v>
      </c>
      <c r="F154" s="115" t="s">
        <v>510</v>
      </c>
      <c r="G154" s="116" t="s">
        <v>264</v>
      </c>
      <c r="H154" s="110" t="s">
        <v>265</v>
      </c>
      <c r="I154" s="116" t="s">
        <v>349</v>
      </c>
    </row>
    <row r="155" spans="1:9" s="100" customFormat="1" ht="15.75" customHeight="1">
      <c r="A155" s="114">
        <v>151</v>
      </c>
      <c r="B155" s="109" t="s">
        <v>512</v>
      </c>
      <c r="C155" s="115">
        <v>22239866</v>
      </c>
      <c r="D155" s="115">
        <v>5</v>
      </c>
      <c r="E155" s="110">
        <v>471</v>
      </c>
      <c r="F155" s="115"/>
      <c r="G155" s="116" t="s">
        <v>264</v>
      </c>
      <c r="H155" s="110" t="s">
        <v>263</v>
      </c>
      <c r="I155" s="116"/>
    </row>
    <row r="156" spans="1:9" s="100" customFormat="1" ht="15.75" customHeight="1">
      <c r="A156" s="114">
        <v>152</v>
      </c>
      <c r="B156" s="109" t="s">
        <v>513</v>
      </c>
      <c r="C156" s="115">
        <v>22039348</v>
      </c>
      <c r="D156" s="115">
        <v>8</v>
      </c>
      <c r="E156" s="110">
        <v>448</v>
      </c>
      <c r="F156" s="115"/>
      <c r="G156" s="116" t="s">
        <v>264</v>
      </c>
      <c r="H156" s="110" t="s">
        <v>263</v>
      </c>
      <c r="I156" s="116"/>
    </row>
    <row r="157" spans="1:9" s="100" customFormat="1" ht="15.75" customHeight="1">
      <c r="A157" s="114">
        <v>153</v>
      </c>
      <c r="B157" s="109" t="s">
        <v>514</v>
      </c>
      <c r="C157" s="115">
        <v>21704604</v>
      </c>
      <c r="D157" s="115">
        <v>1</v>
      </c>
      <c r="E157" s="110">
        <v>164</v>
      </c>
      <c r="F157" s="115"/>
      <c r="G157" s="116" t="s">
        <v>264</v>
      </c>
      <c r="H157" s="110" t="s">
        <v>263</v>
      </c>
      <c r="I157" s="116"/>
    </row>
    <row r="158" spans="1:9" s="100" customFormat="1" ht="15.75" customHeight="1">
      <c r="A158" s="114">
        <v>154</v>
      </c>
      <c r="B158" s="109" t="s">
        <v>515</v>
      </c>
      <c r="C158" s="115">
        <v>22185236</v>
      </c>
      <c r="D158" s="115">
        <v>2</v>
      </c>
      <c r="E158" s="110">
        <v>464</v>
      </c>
      <c r="F158" s="115"/>
      <c r="G158" s="116" t="s">
        <v>264</v>
      </c>
      <c r="H158" s="117" t="s">
        <v>265</v>
      </c>
      <c r="I158" s="116"/>
    </row>
    <row r="159" spans="1:9" s="100" customFormat="1" ht="15.75" customHeight="1">
      <c r="A159" s="114">
        <v>155</v>
      </c>
      <c r="B159" s="109" t="s">
        <v>516</v>
      </c>
      <c r="C159" s="115">
        <v>20808585</v>
      </c>
      <c r="D159" s="115">
        <v>9</v>
      </c>
      <c r="E159" s="110">
        <v>37</v>
      </c>
      <c r="F159" s="115"/>
      <c r="G159" s="116" t="s">
        <v>264</v>
      </c>
      <c r="H159" s="110" t="s">
        <v>263</v>
      </c>
      <c r="I159" s="116"/>
    </row>
    <row r="160" spans="1:9">
      <c r="A160" s="114">
        <v>156</v>
      </c>
      <c r="B160" s="109" t="s">
        <v>517</v>
      </c>
      <c r="C160" s="115">
        <v>22067258</v>
      </c>
      <c r="D160" s="115">
        <v>1</v>
      </c>
      <c r="E160" s="110">
        <v>229</v>
      </c>
      <c r="F160" s="115"/>
      <c r="G160" s="116" t="s">
        <v>264</v>
      </c>
      <c r="H160" s="110" t="s">
        <v>263</v>
      </c>
      <c r="I160" s="116"/>
    </row>
    <row r="161" spans="1:9" s="100" customFormat="1" ht="15.75" customHeight="1">
      <c r="A161" s="114">
        <v>157</v>
      </c>
      <c r="B161" s="109" t="s">
        <v>266</v>
      </c>
      <c r="C161" s="115">
        <v>15547061</v>
      </c>
      <c r="D161" s="115">
        <v>5</v>
      </c>
      <c r="E161" s="110">
        <v>376</v>
      </c>
      <c r="F161" s="115"/>
      <c r="G161" s="116" t="s">
        <v>264</v>
      </c>
      <c r="H161" s="117" t="s">
        <v>265</v>
      </c>
      <c r="I161" s="116"/>
    </row>
    <row r="162" spans="1:9">
      <c r="A162" s="114">
        <v>158</v>
      </c>
      <c r="B162" s="109" t="s">
        <v>518</v>
      </c>
      <c r="C162" s="115">
        <v>22269347</v>
      </c>
      <c r="D162" s="115">
        <v>0</v>
      </c>
      <c r="E162" s="110">
        <v>230</v>
      </c>
      <c r="F162" s="115"/>
      <c r="G162" s="116" t="s">
        <v>264</v>
      </c>
      <c r="H162" s="110" t="s">
        <v>263</v>
      </c>
      <c r="I162" s="116"/>
    </row>
    <row r="163" spans="1:9">
      <c r="A163" s="114">
        <v>159</v>
      </c>
      <c r="B163" s="109" t="s">
        <v>519</v>
      </c>
      <c r="C163" s="115">
        <v>22244725</v>
      </c>
      <c r="D163" s="115">
        <v>9</v>
      </c>
      <c r="E163" s="110">
        <v>286</v>
      </c>
      <c r="F163" s="115"/>
      <c r="G163" s="116" t="s">
        <v>264</v>
      </c>
      <c r="H163" s="110" t="s">
        <v>263</v>
      </c>
      <c r="I163" s="116"/>
    </row>
    <row r="164" spans="1:9">
      <c r="A164" s="114">
        <v>160</v>
      </c>
      <c r="B164" s="109" t="s">
        <v>520</v>
      </c>
      <c r="C164" s="115">
        <v>22126728</v>
      </c>
      <c r="D164" s="115">
        <v>1</v>
      </c>
      <c r="E164" s="110">
        <v>90</v>
      </c>
      <c r="F164" s="115"/>
      <c r="G164" s="116" t="s">
        <v>264</v>
      </c>
      <c r="H164" s="117" t="s">
        <v>265</v>
      </c>
      <c r="I164" s="116"/>
    </row>
    <row r="165" spans="1:9" s="100" customFormat="1" ht="15.75" customHeight="1">
      <c r="A165" s="114">
        <v>161</v>
      </c>
      <c r="B165" s="123" t="s">
        <v>521</v>
      </c>
      <c r="C165" s="115">
        <v>22156829</v>
      </c>
      <c r="D165" s="122" t="s">
        <v>368</v>
      </c>
      <c r="E165" s="110">
        <v>429</v>
      </c>
      <c r="F165" s="122"/>
      <c r="G165" s="116" t="s">
        <v>264</v>
      </c>
      <c r="H165" s="117" t="s">
        <v>265</v>
      </c>
      <c r="I165" s="116"/>
    </row>
    <row r="166" spans="1:9">
      <c r="A166" s="114">
        <v>162</v>
      </c>
      <c r="B166" s="109" t="s">
        <v>522</v>
      </c>
      <c r="C166" s="115">
        <v>21971055</v>
      </c>
      <c r="D166" s="115">
        <v>0</v>
      </c>
      <c r="E166" s="110">
        <v>144</v>
      </c>
      <c r="F166" s="115"/>
      <c r="G166" s="116" t="s">
        <v>264</v>
      </c>
      <c r="H166" s="110" t="s">
        <v>263</v>
      </c>
      <c r="I166" s="116"/>
    </row>
    <row r="167" spans="1:9">
      <c r="A167" s="114">
        <v>163</v>
      </c>
      <c r="B167" s="109" t="s">
        <v>524</v>
      </c>
      <c r="C167" s="115">
        <v>21954538</v>
      </c>
      <c r="D167" s="115" t="s">
        <v>387</v>
      </c>
      <c r="E167" s="110">
        <v>311</v>
      </c>
      <c r="F167" s="115" t="s">
        <v>523</v>
      </c>
      <c r="G167" s="116" t="s">
        <v>264</v>
      </c>
      <c r="H167" s="110" t="s">
        <v>263</v>
      </c>
      <c r="I167" s="116" t="s">
        <v>349</v>
      </c>
    </row>
    <row r="168" spans="1:9" s="100" customFormat="1" ht="15.75" customHeight="1">
      <c r="A168" s="114">
        <v>164</v>
      </c>
      <c r="B168" s="109" t="s">
        <v>525</v>
      </c>
      <c r="C168" s="115">
        <v>21706447</v>
      </c>
      <c r="D168" s="115">
        <v>3</v>
      </c>
      <c r="E168" s="110">
        <v>447</v>
      </c>
      <c r="F168" s="115"/>
      <c r="G168" s="116" t="s">
        <v>264</v>
      </c>
      <c r="H168" s="110" t="s">
        <v>263</v>
      </c>
      <c r="I168" s="116"/>
    </row>
    <row r="169" spans="1:9">
      <c r="A169" s="114">
        <v>165</v>
      </c>
      <c r="B169" s="123" t="s">
        <v>526</v>
      </c>
      <c r="C169" s="115">
        <v>21785296</v>
      </c>
      <c r="D169" s="122" t="s">
        <v>368</v>
      </c>
      <c r="E169" s="110">
        <v>92</v>
      </c>
      <c r="F169" s="122"/>
      <c r="G169" s="116" t="s">
        <v>264</v>
      </c>
      <c r="H169" s="110" t="s">
        <v>263</v>
      </c>
      <c r="I169" s="116"/>
    </row>
    <row r="170" spans="1:9">
      <c r="A170" s="114">
        <v>166</v>
      </c>
      <c r="B170" s="109" t="s">
        <v>527</v>
      </c>
      <c r="C170" s="115">
        <v>22022347</v>
      </c>
      <c r="D170" s="115">
        <v>7</v>
      </c>
      <c r="E170" s="110">
        <v>291</v>
      </c>
      <c r="F170" s="115"/>
      <c r="G170" s="116" t="s">
        <v>264</v>
      </c>
      <c r="H170" s="110" t="s">
        <v>263</v>
      </c>
      <c r="I170" s="116"/>
    </row>
    <row r="171" spans="1:9">
      <c r="A171" s="114">
        <v>167</v>
      </c>
      <c r="B171" s="109" t="s">
        <v>528</v>
      </c>
      <c r="C171" s="115">
        <v>21605738</v>
      </c>
      <c r="D171" s="115">
        <v>4</v>
      </c>
      <c r="E171" s="110">
        <v>38</v>
      </c>
      <c r="F171" s="115"/>
      <c r="G171" s="116" t="s">
        <v>264</v>
      </c>
      <c r="H171" s="110" t="s">
        <v>263</v>
      </c>
      <c r="I171" s="116"/>
    </row>
    <row r="172" spans="1:9" s="100" customFormat="1" ht="15.75" customHeight="1">
      <c r="A172" s="114">
        <v>168</v>
      </c>
      <c r="B172" s="109" t="s">
        <v>529</v>
      </c>
      <c r="C172" s="115">
        <v>22342835</v>
      </c>
      <c r="D172" s="115">
        <v>5</v>
      </c>
      <c r="E172" s="110">
        <v>487</v>
      </c>
      <c r="F172" s="115"/>
      <c r="G172" s="116" t="s">
        <v>264</v>
      </c>
      <c r="H172" s="110" t="s">
        <v>263</v>
      </c>
      <c r="I172" s="116"/>
    </row>
    <row r="173" spans="1:9" s="100" customFormat="1" ht="15.75" customHeight="1">
      <c r="A173" s="114">
        <v>169</v>
      </c>
      <c r="B173" s="109" t="s">
        <v>530</v>
      </c>
      <c r="C173" s="115">
        <v>21828735</v>
      </c>
      <c r="D173" s="115">
        <v>2</v>
      </c>
      <c r="E173" s="110">
        <v>431</v>
      </c>
      <c r="F173" s="115"/>
      <c r="G173" s="116" t="s">
        <v>264</v>
      </c>
      <c r="H173" s="117" t="s">
        <v>265</v>
      </c>
      <c r="I173" s="116"/>
    </row>
    <row r="174" spans="1:9">
      <c r="A174" s="114">
        <v>170</v>
      </c>
      <c r="B174" s="121" t="s">
        <v>532</v>
      </c>
      <c r="C174" s="57">
        <v>20884652</v>
      </c>
      <c r="D174" s="129">
        <v>3</v>
      </c>
      <c r="E174" s="130">
        <v>227</v>
      </c>
      <c r="F174" s="57" t="s">
        <v>531</v>
      </c>
      <c r="G174" s="110" t="s">
        <v>533</v>
      </c>
      <c r="H174" s="110" t="s">
        <v>265</v>
      </c>
      <c r="I174" s="131"/>
    </row>
    <row r="175" spans="1:9">
      <c r="A175" s="114">
        <v>171</v>
      </c>
      <c r="B175" s="121" t="s">
        <v>535</v>
      </c>
      <c r="C175" s="114">
        <v>21826287</v>
      </c>
      <c r="D175" s="129">
        <v>2</v>
      </c>
      <c r="E175" s="114">
        <v>214</v>
      </c>
      <c r="F175" s="57" t="s">
        <v>534</v>
      </c>
      <c r="G175" s="110" t="s">
        <v>533</v>
      </c>
      <c r="H175" s="114" t="s">
        <v>263</v>
      </c>
      <c r="I175" s="132"/>
    </row>
    <row r="176" spans="1:9">
      <c r="A176" s="114">
        <v>172</v>
      </c>
      <c r="B176" s="121" t="s">
        <v>537</v>
      </c>
      <c r="C176" s="129">
        <v>21916208</v>
      </c>
      <c r="D176" s="129">
        <v>1</v>
      </c>
      <c r="E176" s="130">
        <v>69</v>
      </c>
      <c r="F176" s="57" t="s">
        <v>536</v>
      </c>
      <c r="G176" s="110" t="s">
        <v>533</v>
      </c>
      <c r="H176" s="110" t="s">
        <v>265</v>
      </c>
      <c r="I176" s="131"/>
    </row>
    <row r="177" spans="1:9">
      <c r="A177" s="114">
        <v>173</v>
      </c>
      <c r="B177" s="121" t="s">
        <v>539</v>
      </c>
      <c r="C177" s="114">
        <v>21812317</v>
      </c>
      <c r="D177" s="129">
        <v>1</v>
      </c>
      <c r="E177" s="114">
        <v>380</v>
      </c>
      <c r="F177" s="57" t="s">
        <v>538</v>
      </c>
      <c r="G177" s="110" t="s">
        <v>533</v>
      </c>
      <c r="H177" s="114" t="s">
        <v>263</v>
      </c>
      <c r="I177" s="132"/>
    </row>
    <row r="178" spans="1:9">
      <c r="A178" s="114">
        <v>174</v>
      </c>
      <c r="B178" s="121" t="s">
        <v>541</v>
      </c>
      <c r="C178" s="114">
        <v>21768241</v>
      </c>
      <c r="D178" s="129" t="s">
        <v>387</v>
      </c>
      <c r="E178" s="114">
        <v>250</v>
      </c>
      <c r="F178" s="57" t="s">
        <v>540</v>
      </c>
      <c r="G178" s="110" t="s">
        <v>533</v>
      </c>
      <c r="H178" s="114" t="s">
        <v>263</v>
      </c>
      <c r="I178" s="132"/>
    </row>
    <row r="179" spans="1:9">
      <c r="A179" s="114">
        <v>175</v>
      </c>
      <c r="B179" s="121" t="s">
        <v>543</v>
      </c>
      <c r="C179" s="114">
        <v>22036514</v>
      </c>
      <c r="D179" s="129" t="s">
        <v>387</v>
      </c>
      <c r="E179" s="114">
        <v>399</v>
      </c>
      <c r="F179" s="57" t="s">
        <v>542</v>
      </c>
      <c r="G179" s="110" t="s">
        <v>533</v>
      </c>
      <c r="H179" s="114" t="s">
        <v>263</v>
      </c>
      <c r="I179" s="132"/>
    </row>
    <row r="180" spans="1:9">
      <c r="A180" s="114">
        <v>176</v>
      </c>
      <c r="B180" s="121" t="s">
        <v>545</v>
      </c>
      <c r="C180" s="114">
        <v>21980595</v>
      </c>
      <c r="D180" s="129">
        <v>0</v>
      </c>
      <c r="E180" s="114">
        <v>31</v>
      </c>
      <c r="F180" s="57" t="s">
        <v>544</v>
      </c>
      <c r="G180" s="110" t="s">
        <v>533</v>
      </c>
      <c r="H180" s="114" t="s">
        <v>263</v>
      </c>
      <c r="I180" s="132"/>
    </row>
    <row r="181" spans="1:9">
      <c r="A181" s="114">
        <v>177</v>
      </c>
      <c r="B181" s="121" t="s">
        <v>547</v>
      </c>
      <c r="C181" s="114">
        <v>21420315</v>
      </c>
      <c r="D181" s="129">
        <v>4</v>
      </c>
      <c r="E181" s="114">
        <v>243</v>
      </c>
      <c r="F181" s="57" t="s">
        <v>546</v>
      </c>
      <c r="G181" s="110" t="s">
        <v>533</v>
      </c>
      <c r="H181" s="114" t="s">
        <v>263</v>
      </c>
      <c r="I181" s="132"/>
    </row>
    <row r="182" spans="1:9">
      <c r="A182" s="114">
        <v>178</v>
      </c>
      <c r="B182" s="121" t="s">
        <v>549</v>
      </c>
      <c r="C182" s="114">
        <v>21908015</v>
      </c>
      <c r="D182" s="129">
        <v>8</v>
      </c>
      <c r="E182" s="114">
        <v>32</v>
      </c>
      <c r="F182" s="57" t="s">
        <v>548</v>
      </c>
      <c r="G182" s="110" t="s">
        <v>533</v>
      </c>
      <c r="H182" s="114" t="s">
        <v>263</v>
      </c>
      <c r="I182" s="132"/>
    </row>
    <row r="183" spans="1:9">
      <c r="A183" s="114">
        <v>179</v>
      </c>
      <c r="B183" s="121" t="s">
        <v>551</v>
      </c>
      <c r="C183" s="129">
        <v>21638597</v>
      </c>
      <c r="D183" s="129">
        <v>7</v>
      </c>
      <c r="E183" s="130">
        <v>234</v>
      </c>
      <c r="F183" s="57" t="s">
        <v>550</v>
      </c>
      <c r="G183" s="110" t="s">
        <v>533</v>
      </c>
      <c r="H183" s="110" t="s">
        <v>265</v>
      </c>
      <c r="I183" s="131" t="s">
        <v>349</v>
      </c>
    </row>
    <row r="184" spans="1:9">
      <c r="A184" s="114">
        <v>180</v>
      </c>
      <c r="B184" s="121" t="s">
        <v>553</v>
      </c>
      <c r="C184" s="114">
        <v>21931431</v>
      </c>
      <c r="D184" s="129">
        <v>0</v>
      </c>
      <c r="E184" s="114">
        <v>245</v>
      </c>
      <c r="F184" s="57" t="s">
        <v>552</v>
      </c>
      <c r="G184" s="110" t="s">
        <v>533</v>
      </c>
      <c r="H184" s="114" t="s">
        <v>263</v>
      </c>
      <c r="I184" s="132"/>
    </row>
    <row r="185" spans="1:9">
      <c r="A185" s="114">
        <v>181</v>
      </c>
      <c r="B185" s="121" t="s">
        <v>555</v>
      </c>
      <c r="C185" s="114">
        <v>21873376</v>
      </c>
      <c r="D185" s="129" t="s">
        <v>387</v>
      </c>
      <c r="E185" s="114">
        <v>110</v>
      </c>
      <c r="F185" s="57" t="s">
        <v>554</v>
      </c>
      <c r="G185" s="110" t="s">
        <v>533</v>
      </c>
      <c r="H185" s="114" t="s">
        <v>263</v>
      </c>
      <c r="I185" s="132"/>
    </row>
    <row r="186" spans="1:9">
      <c r="A186" s="114">
        <v>182</v>
      </c>
      <c r="B186" s="121" t="s">
        <v>557</v>
      </c>
      <c r="C186" s="110">
        <v>21566335</v>
      </c>
      <c r="D186" s="129">
        <v>3</v>
      </c>
      <c r="E186" s="110">
        <v>216</v>
      </c>
      <c r="F186" s="57" t="s">
        <v>556</v>
      </c>
      <c r="G186" s="110" t="s">
        <v>533</v>
      </c>
      <c r="H186" s="110" t="s">
        <v>263</v>
      </c>
      <c r="I186" s="131" t="s">
        <v>349</v>
      </c>
    </row>
    <row r="187" spans="1:9">
      <c r="A187" s="114">
        <v>183</v>
      </c>
      <c r="B187" s="121" t="s">
        <v>559</v>
      </c>
      <c r="C187" s="114">
        <v>21826918</v>
      </c>
      <c r="D187" s="129">
        <v>4</v>
      </c>
      <c r="E187" s="114">
        <v>175</v>
      </c>
      <c r="F187" s="57" t="s">
        <v>558</v>
      </c>
      <c r="G187" s="110" t="s">
        <v>533</v>
      </c>
      <c r="H187" s="114" t="s">
        <v>263</v>
      </c>
      <c r="I187" s="132"/>
    </row>
    <row r="188" spans="1:9">
      <c r="A188" s="114">
        <v>184</v>
      </c>
      <c r="B188" s="121" t="s">
        <v>561</v>
      </c>
      <c r="C188" s="114">
        <v>21766373</v>
      </c>
      <c r="D188" s="129">
        <v>3</v>
      </c>
      <c r="E188" s="114">
        <v>213</v>
      </c>
      <c r="F188" s="57" t="s">
        <v>560</v>
      </c>
      <c r="G188" s="110" t="s">
        <v>533</v>
      </c>
      <c r="H188" s="114" t="s">
        <v>263</v>
      </c>
      <c r="I188" s="132"/>
    </row>
    <row r="189" spans="1:9">
      <c r="A189" s="114">
        <v>185</v>
      </c>
      <c r="B189" s="121" t="s">
        <v>563</v>
      </c>
      <c r="C189" s="114">
        <v>21696125</v>
      </c>
      <c r="D189" s="129">
        <v>0</v>
      </c>
      <c r="E189" s="114">
        <v>256</v>
      </c>
      <c r="F189" s="57" t="s">
        <v>562</v>
      </c>
      <c r="G189" s="110" t="s">
        <v>533</v>
      </c>
      <c r="H189" s="114" t="s">
        <v>263</v>
      </c>
      <c r="I189" s="132"/>
    </row>
    <row r="190" spans="1:9">
      <c r="A190" s="114">
        <v>186</v>
      </c>
      <c r="B190" s="121" t="s">
        <v>565</v>
      </c>
      <c r="C190" s="114">
        <v>21737655</v>
      </c>
      <c r="D190" s="129">
        <v>6</v>
      </c>
      <c r="E190" s="114">
        <v>381</v>
      </c>
      <c r="F190" s="57" t="s">
        <v>564</v>
      </c>
      <c r="G190" s="110" t="s">
        <v>533</v>
      </c>
      <c r="H190" s="114" t="s">
        <v>263</v>
      </c>
      <c r="I190" s="132"/>
    </row>
    <row r="191" spans="1:9">
      <c r="A191" s="114">
        <v>187</v>
      </c>
      <c r="B191" s="121" t="s">
        <v>567</v>
      </c>
      <c r="C191" s="114">
        <v>21929511</v>
      </c>
      <c r="D191" s="129">
        <v>1</v>
      </c>
      <c r="E191" s="114">
        <v>317</v>
      </c>
      <c r="F191" s="57" t="s">
        <v>566</v>
      </c>
      <c r="G191" s="110" t="s">
        <v>533</v>
      </c>
      <c r="H191" s="114" t="s">
        <v>263</v>
      </c>
      <c r="I191" s="132"/>
    </row>
    <row r="192" spans="1:9">
      <c r="A192" s="114">
        <v>188</v>
      </c>
      <c r="B192" s="121" t="s">
        <v>569</v>
      </c>
      <c r="C192" s="129">
        <v>21909873</v>
      </c>
      <c r="D192" s="129">
        <v>1</v>
      </c>
      <c r="E192" s="130">
        <v>260</v>
      </c>
      <c r="F192" s="57" t="s">
        <v>568</v>
      </c>
      <c r="G192" s="110" t="s">
        <v>533</v>
      </c>
      <c r="H192" s="110" t="s">
        <v>265</v>
      </c>
      <c r="I192" s="131"/>
    </row>
    <row r="193" spans="1:9">
      <c r="A193" s="114">
        <v>189</v>
      </c>
      <c r="B193" s="121" t="s">
        <v>571</v>
      </c>
      <c r="C193" s="114">
        <v>21342065</v>
      </c>
      <c r="D193" s="129">
        <v>8</v>
      </c>
      <c r="E193" s="114">
        <v>72</v>
      </c>
      <c r="F193" s="57" t="s">
        <v>570</v>
      </c>
      <c r="G193" s="110" t="s">
        <v>269</v>
      </c>
      <c r="H193" s="114" t="s">
        <v>263</v>
      </c>
      <c r="I193" s="132"/>
    </row>
    <row r="194" spans="1:9">
      <c r="A194" s="114">
        <v>190</v>
      </c>
      <c r="B194" s="121" t="s">
        <v>573</v>
      </c>
      <c r="C194" s="114">
        <v>19214619</v>
      </c>
      <c r="D194" s="129">
        <v>4</v>
      </c>
      <c r="E194" s="114">
        <v>170</v>
      </c>
      <c r="F194" s="57" t="s">
        <v>572</v>
      </c>
      <c r="G194" s="110" t="s">
        <v>269</v>
      </c>
      <c r="H194" s="114" t="s">
        <v>263</v>
      </c>
      <c r="I194" s="132"/>
    </row>
    <row r="195" spans="1:9">
      <c r="A195" s="114">
        <v>191</v>
      </c>
      <c r="B195" s="121" t="s">
        <v>575</v>
      </c>
      <c r="C195" s="129">
        <v>21864359</v>
      </c>
      <c r="D195" s="129">
        <v>0</v>
      </c>
      <c r="E195" s="130">
        <v>94</v>
      </c>
      <c r="F195" s="57" t="s">
        <v>574</v>
      </c>
      <c r="G195" s="110" t="s">
        <v>269</v>
      </c>
      <c r="H195" s="110" t="s">
        <v>265</v>
      </c>
      <c r="I195" s="131" t="s">
        <v>349</v>
      </c>
    </row>
    <row r="196" spans="1:9">
      <c r="A196" s="114">
        <v>192</v>
      </c>
      <c r="B196" s="121" t="s">
        <v>577</v>
      </c>
      <c r="C196" s="114">
        <v>21837692</v>
      </c>
      <c r="D196" s="129">
        <v>4</v>
      </c>
      <c r="E196" s="114">
        <v>123</v>
      </c>
      <c r="F196" s="57" t="s">
        <v>576</v>
      </c>
      <c r="G196" s="110" t="s">
        <v>269</v>
      </c>
      <c r="H196" s="114" t="s">
        <v>263</v>
      </c>
      <c r="I196" s="132"/>
    </row>
    <row r="197" spans="1:9">
      <c r="A197" s="114">
        <v>193</v>
      </c>
      <c r="B197" s="121" t="s">
        <v>579</v>
      </c>
      <c r="C197" s="114">
        <v>21469701</v>
      </c>
      <c r="D197" s="129">
        <v>7</v>
      </c>
      <c r="E197" s="114">
        <v>215</v>
      </c>
      <c r="F197" s="57" t="s">
        <v>578</v>
      </c>
      <c r="G197" s="110" t="s">
        <v>269</v>
      </c>
      <c r="H197" s="114" t="s">
        <v>263</v>
      </c>
      <c r="I197" s="132"/>
    </row>
    <row r="198" spans="1:9">
      <c r="A198" s="114">
        <v>194</v>
      </c>
      <c r="B198" s="121" t="s">
        <v>581</v>
      </c>
      <c r="C198" s="129">
        <v>22034439</v>
      </c>
      <c r="D198" s="129">
        <v>8</v>
      </c>
      <c r="E198" s="130">
        <v>75</v>
      </c>
      <c r="F198" s="57" t="s">
        <v>580</v>
      </c>
      <c r="G198" s="110" t="s">
        <v>269</v>
      </c>
      <c r="H198" s="110" t="s">
        <v>265</v>
      </c>
      <c r="I198" s="131"/>
    </row>
    <row r="199" spans="1:9">
      <c r="A199" s="114">
        <v>195</v>
      </c>
      <c r="B199" s="121" t="s">
        <v>583</v>
      </c>
      <c r="C199" s="114">
        <v>21566415</v>
      </c>
      <c r="D199" s="129">
        <v>5</v>
      </c>
      <c r="E199" s="114">
        <v>16</v>
      </c>
      <c r="F199" s="57" t="s">
        <v>582</v>
      </c>
      <c r="G199" s="110" t="s">
        <v>269</v>
      </c>
      <c r="H199" s="114" t="s">
        <v>263</v>
      </c>
      <c r="I199" s="132"/>
    </row>
    <row r="200" spans="1:9">
      <c r="A200" s="114">
        <v>196</v>
      </c>
      <c r="B200" s="121" t="s">
        <v>271</v>
      </c>
      <c r="C200" s="114">
        <v>21961186</v>
      </c>
      <c r="D200" s="129">
        <v>2</v>
      </c>
      <c r="E200" s="114">
        <v>9</v>
      </c>
      <c r="F200" s="57" t="s">
        <v>584</v>
      </c>
      <c r="G200" s="110" t="s">
        <v>269</v>
      </c>
      <c r="H200" s="114" t="s">
        <v>263</v>
      </c>
      <c r="I200" s="132"/>
    </row>
    <row r="201" spans="1:9">
      <c r="A201" s="114">
        <v>197</v>
      </c>
      <c r="B201" s="121" t="s">
        <v>586</v>
      </c>
      <c r="C201" s="114">
        <v>21302897</v>
      </c>
      <c r="D201" s="129">
        <v>9</v>
      </c>
      <c r="E201" s="114">
        <v>397</v>
      </c>
      <c r="F201" s="57" t="s">
        <v>585</v>
      </c>
      <c r="G201" s="110" t="s">
        <v>269</v>
      </c>
      <c r="H201" s="114" t="s">
        <v>263</v>
      </c>
      <c r="I201" s="132"/>
    </row>
    <row r="202" spans="1:9">
      <c r="A202" s="114">
        <v>198</v>
      </c>
      <c r="B202" s="121" t="s">
        <v>588</v>
      </c>
      <c r="C202" s="114">
        <v>21672136</v>
      </c>
      <c r="D202" s="129">
        <v>5</v>
      </c>
      <c r="E202" s="114">
        <v>118</v>
      </c>
      <c r="F202" s="57" t="s">
        <v>587</v>
      </c>
      <c r="G202" s="110" t="s">
        <v>269</v>
      </c>
      <c r="H202" s="114" t="s">
        <v>263</v>
      </c>
      <c r="I202" s="132"/>
    </row>
    <row r="203" spans="1:9">
      <c r="A203" s="114">
        <v>199</v>
      </c>
      <c r="B203" s="121" t="s">
        <v>590</v>
      </c>
      <c r="C203" s="114">
        <v>20938828</v>
      </c>
      <c r="D203" s="129">
        <v>6</v>
      </c>
      <c r="E203" s="114">
        <v>373</v>
      </c>
      <c r="F203" s="57" t="s">
        <v>589</v>
      </c>
      <c r="G203" s="110" t="s">
        <v>269</v>
      </c>
      <c r="H203" s="114" t="s">
        <v>263</v>
      </c>
      <c r="I203" s="132"/>
    </row>
    <row r="204" spans="1:9">
      <c r="A204" s="114">
        <v>200</v>
      </c>
      <c r="B204" s="121" t="s">
        <v>592</v>
      </c>
      <c r="C204" s="110">
        <v>21610499</v>
      </c>
      <c r="D204" s="129">
        <v>4</v>
      </c>
      <c r="E204" s="110">
        <v>388</v>
      </c>
      <c r="F204" s="57" t="s">
        <v>591</v>
      </c>
      <c r="G204" s="110" t="s">
        <v>269</v>
      </c>
      <c r="H204" s="110" t="s">
        <v>263</v>
      </c>
      <c r="I204" s="131" t="s">
        <v>349</v>
      </c>
    </row>
    <row r="205" spans="1:9">
      <c r="A205" s="114">
        <v>201</v>
      </c>
      <c r="B205" s="121" t="s">
        <v>594</v>
      </c>
      <c r="C205" s="114">
        <v>21842582</v>
      </c>
      <c r="D205" s="129">
        <v>8</v>
      </c>
      <c r="E205" s="114">
        <v>344</v>
      </c>
      <c r="F205" s="57" t="s">
        <v>593</v>
      </c>
      <c r="G205" s="110" t="s">
        <v>269</v>
      </c>
      <c r="H205" s="114" t="s">
        <v>263</v>
      </c>
      <c r="I205" s="132"/>
    </row>
    <row r="206" spans="1:9">
      <c r="A206" s="114">
        <v>202</v>
      </c>
      <c r="B206" s="121" t="s">
        <v>596</v>
      </c>
      <c r="C206" s="114">
        <v>20940986</v>
      </c>
      <c r="D206" s="129">
        <v>0</v>
      </c>
      <c r="E206" s="114">
        <v>251</v>
      </c>
      <c r="F206" s="57" t="s">
        <v>595</v>
      </c>
      <c r="G206" s="110" t="s">
        <v>269</v>
      </c>
      <c r="H206" s="114" t="s">
        <v>263</v>
      </c>
      <c r="I206" s="132"/>
    </row>
    <row r="207" spans="1:9">
      <c r="A207" s="114">
        <v>203</v>
      </c>
      <c r="B207" s="121" t="s">
        <v>598</v>
      </c>
      <c r="C207" s="114">
        <v>21502005</v>
      </c>
      <c r="D207" s="129">
        <v>3</v>
      </c>
      <c r="E207" s="114">
        <v>42</v>
      </c>
      <c r="F207" s="57" t="s">
        <v>597</v>
      </c>
      <c r="G207" s="110" t="s">
        <v>269</v>
      </c>
      <c r="H207" s="114" t="s">
        <v>263</v>
      </c>
      <c r="I207" s="132"/>
    </row>
    <row r="208" spans="1:9">
      <c r="A208" s="114">
        <v>204</v>
      </c>
      <c r="B208" s="121" t="s">
        <v>600</v>
      </c>
      <c r="C208" s="114">
        <v>22011712</v>
      </c>
      <c r="D208" s="129" t="s">
        <v>387</v>
      </c>
      <c r="E208" s="114">
        <v>184</v>
      </c>
      <c r="F208" s="57" t="s">
        <v>599</v>
      </c>
      <c r="G208" s="110" t="s">
        <v>269</v>
      </c>
      <c r="H208" s="114" t="s">
        <v>263</v>
      </c>
      <c r="I208" s="132"/>
    </row>
    <row r="209" spans="1:9">
      <c r="A209" s="114">
        <v>205</v>
      </c>
      <c r="B209" s="121" t="s">
        <v>602</v>
      </c>
      <c r="C209" s="129">
        <v>21762316</v>
      </c>
      <c r="D209" s="129">
        <v>2</v>
      </c>
      <c r="E209" s="130">
        <v>2</v>
      </c>
      <c r="F209" s="57" t="s">
        <v>601</v>
      </c>
      <c r="G209" s="110" t="s">
        <v>269</v>
      </c>
      <c r="H209" s="110" t="s">
        <v>265</v>
      </c>
      <c r="I209" s="131"/>
    </row>
    <row r="210" spans="1:9">
      <c r="A210" s="114">
        <v>206</v>
      </c>
      <c r="B210" s="121" t="s">
        <v>604</v>
      </c>
      <c r="C210" s="114">
        <v>20471903</v>
      </c>
      <c r="D210" s="129">
        <v>9</v>
      </c>
      <c r="E210" s="114">
        <v>413</v>
      </c>
      <c r="F210" s="57" t="s">
        <v>603</v>
      </c>
      <c r="G210" s="110" t="s">
        <v>269</v>
      </c>
      <c r="H210" s="114" t="s">
        <v>263</v>
      </c>
      <c r="I210" s="132"/>
    </row>
    <row r="211" spans="1:9">
      <c r="A211" s="114">
        <v>207</v>
      </c>
      <c r="B211" s="121" t="s">
        <v>606</v>
      </c>
      <c r="C211" s="129">
        <v>21381356</v>
      </c>
      <c r="D211" s="129">
        <v>0</v>
      </c>
      <c r="E211" s="130">
        <v>337</v>
      </c>
      <c r="F211" s="57" t="s">
        <v>605</v>
      </c>
      <c r="G211" s="110" t="s">
        <v>269</v>
      </c>
      <c r="H211" s="110" t="s">
        <v>265</v>
      </c>
      <c r="I211" s="131"/>
    </row>
    <row r="212" spans="1:9">
      <c r="A212" s="114">
        <v>208</v>
      </c>
      <c r="B212" s="121" t="s">
        <v>608</v>
      </c>
      <c r="C212" s="114">
        <v>21381279</v>
      </c>
      <c r="D212" s="129">
        <v>3</v>
      </c>
      <c r="E212" s="114">
        <v>327</v>
      </c>
      <c r="F212" s="57" t="s">
        <v>607</v>
      </c>
      <c r="G212" s="110" t="s">
        <v>609</v>
      </c>
      <c r="H212" s="114" t="s">
        <v>263</v>
      </c>
      <c r="I212" s="132"/>
    </row>
    <row r="213" spans="1:9">
      <c r="A213" s="114">
        <v>209</v>
      </c>
      <c r="B213" s="121" t="s">
        <v>611</v>
      </c>
      <c r="C213" s="129">
        <v>21743102</v>
      </c>
      <c r="D213" s="129">
        <v>6</v>
      </c>
      <c r="E213" s="130">
        <v>342</v>
      </c>
      <c r="F213" s="57" t="s">
        <v>610</v>
      </c>
      <c r="G213" s="110" t="s">
        <v>609</v>
      </c>
      <c r="H213" s="110" t="s">
        <v>265</v>
      </c>
      <c r="I213" s="131" t="s">
        <v>349</v>
      </c>
    </row>
    <row r="214" spans="1:9">
      <c r="A214" s="114">
        <v>210</v>
      </c>
      <c r="B214" s="121" t="s">
        <v>613</v>
      </c>
      <c r="C214" s="114">
        <v>20958569</v>
      </c>
      <c r="D214" s="129">
        <v>3</v>
      </c>
      <c r="E214" s="114">
        <v>112</v>
      </c>
      <c r="F214" s="57" t="s">
        <v>612</v>
      </c>
      <c r="G214" s="110" t="s">
        <v>609</v>
      </c>
      <c r="H214" s="114" t="s">
        <v>263</v>
      </c>
      <c r="I214" s="132"/>
    </row>
    <row r="215" spans="1:9">
      <c r="A215" s="114">
        <v>211</v>
      </c>
      <c r="B215" s="121" t="s">
        <v>615</v>
      </c>
      <c r="C215" s="114">
        <v>21124541</v>
      </c>
      <c r="D215" s="129">
        <v>7</v>
      </c>
      <c r="E215" s="114">
        <v>193</v>
      </c>
      <c r="F215" s="57" t="s">
        <v>614</v>
      </c>
      <c r="G215" s="110" t="s">
        <v>609</v>
      </c>
      <c r="H215" s="114" t="s">
        <v>263</v>
      </c>
      <c r="I215" s="132"/>
    </row>
    <row r="216" spans="1:9">
      <c r="A216" s="114">
        <v>212</v>
      </c>
      <c r="B216" s="121" t="s">
        <v>617</v>
      </c>
      <c r="C216" s="129">
        <v>21438331</v>
      </c>
      <c r="D216" s="129">
        <v>4</v>
      </c>
      <c r="E216" s="130">
        <v>293</v>
      </c>
      <c r="F216" s="57" t="s">
        <v>616</v>
      </c>
      <c r="G216" s="110" t="s">
        <v>609</v>
      </c>
      <c r="H216" s="110" t="s">
        <v>265</v>
      </c>
      <c r="I216" s="131"/>
    </row>
    <row r="217" spans="1:9">
      <c r="A217" s="114">
        <v>213</v>
      </c>
      <c r="B217" s="121" t="s">
        <v>619</v>
      </c>
      <c r="C217" s="114">
        <v>21644529</v>
      </c>
      <c r="D217" s="129">
        <v>5</v>
      </c>
      <c r="E217" s="114">
        <v>219</v>
      </c>
      <c r="F217" s="57" t="s">
        <v>618</v>
      </c>
      <c r="G217" s="110" t="s">
        <v>609</v>
      </c>
      <c r="H217" s="114" t="s">
        <v>263</v>
      </c>
      <c r="I217" s="132"/>
    </row>
    <row r="218" spans="1:9">
      <c r="A218" s="114">
        <v>214</v>
      </c>
      <c r="B218" s="121" t="s">
        <v>621</v>
      </c>
      <c r="C218" s="110">
        <v>21453220</v>
      </c>
      <c r="D218" s="129">
        <v>4</v>
      </c>
      <c r="E218" s="110">
        <v>156</v>
      </c>
      <c r="F218" s="57" t="s">
        <v>620</v>
      </c>
      <c r="G218" s="110" t="s">
        <v>609</v>
      </c>
      <c r="H218" s="110" t="s">
        <v>263</v>
      </c>
      <c r="I218" s="131" t="s">
        <v>349</v>
      </c>
    </row>
    <row r="219" spans="1:9">
      <c r="A219" s="114">
        <v>215</v>
      </c>
      <c r="B219" s="121" t="s">
        <v>623</v>
      </c>
      <c r="C219" s="114">
        <v>21576947</v>
      </c>
      <c r="D219" s="129" t="s">
        <v>387</v>
      </c>
      <c r="E219" s="114">
        <v>363</v>
      </c>
      <c r="F219" s="57" t="s">
        <v>622</v>
      </c>
      <c r="G219" s="110" t="s">
        <v>609</v>
      </c>
      <c r="H219" s="114" t="s">
        <v>263</v>
      </c>
      <c r="I219" s="132"/>
    </row>
    <row r="220" spans="1:9">
      <c r="A220" s="114">
        <v>216</v>
      </c>
      <c r="B220" s="121" t="s">
        <v>625</v>
      </c>
      <c r="C220" s="114">
        <v>22024560</v>
      </c>
      <c r="D220" s="129">
        <v>8</v>
      </c>
      <c r="E220" s="114">
        <v>336</v>
      </c>
      <c r="F220" s="57" t="s">
        <v>624</v>
      </c>
      <c r="G220" s="110" t="s">
        <v>609</v>
      </c>
      <c r="H220" s="114" t="s">
        <v>263</v>
      </c>
      <c r="I220" s="132"/>
    </row>
    <row r="221" spans="1:9">
      <c r="A221" s="114">
        <v>217</v>
      </c>
      <c r="B221" s="121" t="s">
        <v>627</v>
      </c>
      <c r="C221" s="114">
        <v>21993143</v>
      </c>
      <c r="D221" s="129">
        <v>3</v>
      </c>
      <c r="E221" s="114">
        <v>67</v>
      </c>
      <c r="F221" s="57" t="s">
        <v>626</v>
      </c>
      <c r="G221" s="110" t="s">
        <v>609</v>
      </c>
      <c r="H221" s="114" t="s">
        <v>263</v>
      </c>
      <c r="I221" s="132"/>
    </row>
    <row r="222" spans="1:9">
      <c r="A222" s="114">
        <v>218</v>
      </c>
      <c r="B222" s="121" t="s">
        <v>629</v>
      </c>
      <c r="C222" s="129">
        <v>21718914</v>
      </c>
      <c r="D222" s="129">
        <v>4</v>
      </c>
      <c r="E222" s="130">
        <v>212</v>
      </c>
      <c r="F222" s="57" t="s">
        <v>628</v>
      </c>
      <c r="G222" s="110" t="s">
        <v>609</v>
      </c>
      <c r="H222" s="110" t="s">
        <v>265</v>
      </c>
      <c r="I222" s="131"/>
    </row>
    <row r="223" spans="1:9">
      <c r="A223" s="114">
        <v>219</v>
      </c>
      <c r="B223" s="121" t="s">
        <v>631</v>
      </c>
      <c r="C223" s="114">
        <v>21195472</v>
      </c>
      <c r="D223" s="129">
        <v>8</v>
      </c>
      <c r="E223" s="114">
        <v>6</v>
      </c>
      <c r="F223" s="57" t="s">
        <v>630</v>
      </c>
      <c r="G223" s="110" t="s">
        <v>609</v>
      </c>
      <c r="H223" s="114" t="s">
        <v>263</v>
      </c>
      <c r="I223" s="132"/>
    </row>
    <row r="224" spans="1:9">
      <c r="A224" s="114">
        <v>220</v>
      </c>
      <c r="B224" s="121" t="s">
        <v>633</v>
      </c>
      <c r="C224" s="114">
        <v>22075205</v>
      </c>
      <c r="D224" s="129">
        <v>4</v>
      </c>
      <c r="E224" s="114">
        <v>390</v>
      </c>
      <c r="F224" s="57" t="s">
        <v>632</v>
      </c>
      <c r="G224" s="110" t="s">
        <v>609</v>
      </c>
      <c r="H224" s="114" t="s">
        <v>263</v>
      </c>
      <c r="I224" s="132"/>
    </row>
    <row r="225" spans="1:9">
      <c r="A225" s="114">
        <v>221</v>
      </c>
      <c r="B225" s="121" t="s">
        <v>635</v>
      </c>
      <c r="C225" s="114">
        <v>21714647</v>
      </c>
      <c r="D225" s="129" t="s">
        <v>387</v>
      </c>
      <c r="E225" s="114">
        <v>87</v>
      </c>
      <c r="F225" s="57" t="s">
        <v>634</v>
      </c>
      <c r="G225" s="110" t="s">
        <v>609</v>
      </c>
      <c r="H225" s="114" t="s">
        <v>263</v>
      </c>
      <c r="I225" s="132"/>
    </row>
    <row r="226" spans="1:9">
      <c r="A226" s="114">
        <v>222</v>
      </c>
      <c r="B226" s="121" t="s">
        <v>637</v>
      </c>
      <c r="C226" s="114">
        <v>21734516</v>
      </c>
      <c r="D226" s="129">
        <v>2</v>
      </c>
      <c r="E226" s="114">
        <v>122</v>
      </c>
      <c r="F226" s="57" t="s">
        <v>636</v>
      </c>
      <c r="G226" s="110" t="s">
        <v>609</v>
      </c>
      <c r="H226" s="114" t="s">
        <v>263</v>
      </c>
      <c r="I226" s="132"/>
    </row>
    <row r="227" spans="1:9">
      <c r="A227" s="114">
        <v>223</v>
      </c>
      <c r="B227" s="121" t="s">
        <v>639</v>
      </c>
      <c r="C227" s="114">
        <v>21977737</v>
      </c>
      <c r="D227" s="129" t="s">
        <v>387</v>
      </c>
      <c r="E227" s="114">
        <v>10</v>
      </c>
      <c r="F227" s="57" t="s">
        <v>638</v>
      </c>
      <c r="G227" s="110" t="s">
        <v>609</v>
      </c>
      <c r="H227" s="114" t="s">
        <v>263</v>
      </c>
      <c r="I227" s="132"/>
    </row>
    <row r="228" spans="1:9">
      <c r="A228" s="114">
        <v>224</v>
      </c>
      <c r="B228" s="121" t="s">
        <v>641</v>
      </c>
      <c r="C228" s="129">
        <v>21385364</v>
      </c>
      <c r="D228" s="129">
        <v>3</v>
      </c>
      <c r="E228" s="130">
        <v>315</v>
      </c>
      <c r="F228" s="57" t="s">
        <v>640</v>
      </c>
      <c r="G228" s="110" t="s">
        <v>609</v>
      </c>
      <c r="H228" s="110" t="s">
        <v>265</v>
      </c>
      <c r="I228" s="131"/>
    </row>
    <row r="229" spans="1:9">
      <c r="A229" s="114">
        <v>225</v>
      </c>
      <c r="B229" s="121" t="s">
        <v>643</v>
      </c>
      <c r="C229" s="114">
        <v>21382500</v>
      </c>
      <c r="D229" s="129">
        <v>3</v>
      </c>
      <c r="E229" s="114">
        <v>185</v>
      </c>
      <c r="F229" s="57" t="s">
        <v>642</v>
      </c>
      <c r="G229" s="110" t="s">
        <v>609</v>
      </c>
      <c r="H229" s="114" t="s">
        <v>263</v>
      </c>
      <c r="I229" s="132"/>
    </row>
    <row r="230" spans="1:9">
      <c r="A230" s="114">
        <v>226</v>
      </c>
      <c r="B230" s="121" t="s">
        <v>645</v>
      </c>
      <c r="C230" s="114">
        <v>22009765</v>
      </c>
      <c r="D230" s="129" t="s">
        <v>387</v>
      </c>
      <c r="E230" s="114">
        <v>86</v>
      </c>
      <c r="F230" s="57" t="s">
        <v>644</v>
      </c>
      <c r="G230" s="110" t="s">
        <v>609</v>
      </c>
      <c r="H230" s="114" t="s">
        <v>263</v>
      </c>
      <c r="I230" s="132"/>
    </row>
    <row r="231" spans="1:9">
      <c r="A231" s="114">
        <v>227</v>
      </c>
      <c r="B231" s="121" t="s">
        <v>647</v>
      </c>
      <c r="C231" s="114">
        <v>20538556</v>
      </c>
      <c r="D231" s="129">
        <v>8</v>
      </c>
      <c r="E231" s="114">
        <v>407</v>
      </c>
      <c r="F231" s="57" t="s">
        <v>646</v>
      </c>
      <c r="G231" s="110" t="s">
        <v>609</v>
      </c>
      <c r="H231" s="114" t="s">
        <v>263</v>
      </c>
      <c r="I231" s="132"/>
    </row>
    <row r="232" spans="1:9">
      <c r="A232" s="114">
        <v>228</v>
      </c>
      <c r="B232" s="121" t="s">
        <v>649</v>
      </c>
      <c r="C232" s="114">
        <v>21578123</v>
      </c>
      <c r="D232" s="129">
        <v>2</v>
      </c>
      <c r="E232" s="114">
        <v>83</v>
      </c>
      <c r="F232" s="57" t="s">
        <v>648</v>
      </c>
      <c r="G232" s="110" t="s">
        <v>650</v>
      </c>
      <c r="H232" s="114" t="s">
        <v>263</v>
      </c>
      <c r="I232" s="132"/>
    </row>
    <row r="233" spans="1:9">
      <c r="A233" s="114">
        <v>229</v>
      </c>
      <c r="B233" s="121" t="s">
        <v>652</v>
      </c>
      <c r="C233" s="114">
        <v>20568901</v>
      </c>
      <c r="D233" s="129" t="s">
        <v>387</v>
      </c>
      <c r="E233" s="114">
        <v>350</v>
      </c>
      <c r="F233" s="57" t="s">
        <v>651</v>
      </c>
      <c r="G233" s="110" t="s">
        <v>650</v>
      </c>
      <c r="H233" s="114" t="s">
        <v>263</v>
      </c>
      <c r="I233" s="132"/>
    </row>
    <row r="234" spans="1:9">
      <c r="A234" s="114">
        <v>230</v>
      </c>
      <c r="B234" s="121" t="s">
        <v>654</v>
      </c>
      <c r="C234" s="114">
        <v>22125224</v>
      </c>
      <c r="D234" s="129">
        <v>1</v>
      </c>
      <c r="E234" s="114">
        <v>149</v>
      </c>
      <c r="F234" s="57" t="s">
        <v>653</v>
      </c>
      <c r="G234" s="110" t="s">
        <v>650</v>
      </c>
      <c r="H234" s="114" t="s">
        <v>263</v>
      </c>
      <c r="I234" s="132"/>
    </row>
    <row r="235" spans="1:9">
      <c r="A235" s="114">
        <v>231</v>
      </c>
      <c r="B235" s="121" t="s">
        <v>656</v>
      </c>
      <c r="C235" s="114">
        <v>21950775</v>
      </c>
      <c r="D235" s="129">
        <v>5</v>
      </c>
      <c r="E235" s="114">
        <v>171</v>
      </c>
      <c r="F235" s="57" t="s">
        <v>655</v>
      </c>
      <c r="G235" s="110" t="s">
        <v>650</v>
      </c>
      <c r="H235" s="114" t="s">
        <v>263</v>
      </c>
      <c r="I235" s="132"/>
    </row>
    <row r="236" spans="1:9">
      <c r="A236" s="114">
        <v>232</v>
      </c>
      <c r="B236" s="121" t="s">
        <v>658</v>
      </c>
      <c r="C236" s="114">
        <v>21887698</v>
      </c>
      <c r="D236" s="129">
        <v>6</v>
      </c>
      <c r="E236" s="114">
        <v>254</v>
      </c>
      <c r="F236" s="57" t="s">
        <v>657</v>
      </c>
      <c r="G236" s="110" t="s">
        <v>650</v>
      </c>
      <c r="H236" s="114" t="s">
        <v>263</v>
      </c>
      <c r="I236" s="132"/>
    </row>
    <row r="237" spans="1:9">
      <c r="A237" s="114">
        <v>233</v>
      </c>
      <c r="B237" s="121" t="s">
        <v>660</v>
      </c>
      <c r="C237" s="114">
        <v>21556943</v>
      </c>
      <c r="D237" s="129">
        <v>8</v>
      </c>
      <c r="E237" s="114">
        <v>189</v>
      </c>
      <c r="F237" s="57" t="s">
        <v>659</v>
      </c>
      <c r="G237" s="110" t="s">
        <v>650</v>
      </c>
      <c r="H237" s="114" t="s">
        <v>263</v>
      </c>
      <c r="I237" s="132"/>
    </row>
    <row r="238" spans="1:9">
      <c r="A238" s="114">
        <v>234</v>
      </c>
      <c r="B238" s="121" t="s">
        <v>662</v>
      </c>
      <c r="C238" s="110">
        <v>20623354</v>
      </c>
      <c r="D238" s="129">
        <v>0</v>
      </c>
      <c r="E238" s="110">
        <v>225</v>
      </c>
      <c r="F238" s="57" t="s">
        <v>661</v>
      </c>
      <c r="G238" s="110" t="s">
        <v>650</v>
      </c>
      <c r="H238" s="110" t="s">
        <v>263</v>
      </c>
      <c r="I238" s="131" t="s">
        <v>349</v>
      </c>
    </row>
    <row r="239" spans="1:9">
      <c r="A239" s="114">
        <v>235</v>
      </c>
      <c r="B239" s="121" t="s">
        <v>664</v>
      </c>
      <c r="C239" s="114">
        <v>21049088</v>
      </c>
      <c r="D239" s="129">
        <v>4</v>
      </c>
      <c r="E239" s="114">
        <v>159</v>
      </c>
      <c r="F239" s="57" t="s">
        <v>663</v>
      </c>
      <c r="G239" s="110" t="s">
        <v>650</v>
      </c>
      <c r="H239" s="114" t="s">
        <v>263</v>
      </c>
      <c r="I239" s="132"/>
    </row>
    <row r="240" spans="1:9">
      <c r="A240" s="114">
        <v>236</v>
      </c>
      <c r="B240" s="121" t="s">
        <v>666</v>
      </c>
      <c r="C240" s="114">
        <v>22034999</v>
      </c>
      <c r="D240" s="129">
        <v>3</v>
      </c>
      <c r="E240" s="114">
        <v>23</v>
      </c>
      <c r="F240" s="57" t="s">
        <v>665</v>
      </c>
      <c r="G240" s="110" t="s">
        <v>650</v>
      </c>
      <c r="H240" s="114" t="s">
        <v>263</v>
      </c>
      <c r="I240" s="132"/>
    </row>
    <row r="241" spans="1:9">
      <c r="A241" s="114">
        <v>237</v>
      </c>
      <c r="B241" s="121" t="s">
        <v>668</v>
      </c>
      <c r="C241" s="114">
        <v>21248443</v>
      </c>
      <c r="D241" s="129">
        <v>1</v>
      </c>
      <c r="E241" s="114">
        <v>56</v>
      </c>
      <c r="F241" s="57" t="s">
        <v>667</v>
      </c>
      <c r="G241" s="110" t="s">
        <v>650</v>
      </c>
      <c r="H241" s="114" t="s">
        <v>263</v>
      </c>
      <c r="I241" s="132"/>
    </row>
    <row r="242" spans="1:9">
      <c r="A242" s="114">
        <v>238</v>
      </c>
      <c r="B242" s="121" t="s">
        <v>670</v>
      </c>
      <c r="C242" s="110">
        <v>21863119</v>
      </c>
      <c r="D242" s="129">
        <v>3</v>
      </c>
      <c r="E242" s="110">
        <v>200</v>
      </c>
      <c r="F242" s="57" t="s">
        <v>669</v>
      </c>
      <c r="G242" s="110" t="s">
        <v>650</v>
      </c>
      <c r="H242" s="133" t="s">
        <v>265</v>
      </c>
      <c r="I242" s="131"/>
    </row>
    <row r="243" spans="1:9">
      <c r="A243" s="114">
        <v>239</v>
      </c>
      <c r="B243" s="121" t="s">
        <v>672</v>
      </c>
      <c r="C243" s="114">
        <v>21985330</v>
      </c>
      <c r="D243" s="129">
        <v>0</v>
      </c>
      <c r="E243" s="114">
        <v>405</v>
      </c>
      <c r="F243" s="57" t="s">
        <v>671</v>
      </c>
      <c r="G243" s="110" t="s">
        <v>650</v>
      </c>
      <c r="H243" s="114" t="s">
        <v>263</v>
      </c>
      <c r="I243" s="132"/>
    </row>
    <row r="244" spans="1:9">
      <c r="A244" s="114">
        <v>240</v>
      </c>
      <c r="B244" s="121" t="s">
        <v>674</v>
      </c>
      <c r="C244" s="114">
        <v>21007757</v>
      </c>
      <c r="D244" s="129" t="s">
        <v>387</v>
      </c>
      <c r="E244" s="114">
        <v>186</v>
      </c>
      <c r="F244" s="57" t="s">
        <v>673</v>
      </c>
      <c r="G244" s="110" t="s">
        <v>650</v>
      </c>
      <c r="H244" s="114" t="s">
        <v>263</v>
      </c>
      <c r="I244" s="132"/>
    </row>
    <row r="245" spans="1:9">
      <c r="A245" s="114">
        <v>241</v>
      </c>
      <c r="B245" s="121" t="s">
        <v>676</v>
      </c>
      <c r="C245" s="114">
        <v>21686541</v>
      </c>
      <c r="D245" s="129">
        <v>3</v>
      </c>
      <c r="E245" s="114">
        <v>121</v>
      </c>
      <c r="F245" s="57" t="s">
        <v>675</v>
      </c>
      <c r="G245" s="110" t="s">
        <v>650</v>
      </c>
      <c r="H245" s="114" t="s">
        <v>263</v>
      </c>
      <c r="I245" s="132"/>
    </row>
    <row r="246" spans="1:9">
      <c r="A246" s="114">
        <v>242</v>
      </c>
      <c r="B246" s="121" t="s">
        <v>678</v>
      </c>
      <c r="C246" s="114">
        <v>21954348</v>
      </c>
      <c r="D246" s="129">
        <v>4</v>
      </c>
      <c r="E246" s="114">
        <v>147</v>
      </c>
      <c r="F246" s="57" t="s">
        <v>677</v>
      </c>
      <c r="G246" s="110" t="s">
        <v>650</v>
      </c>
      <c r="H246" s="114" t="s">
        <v>263</v>
      </c>
      <c r="I246" s="132"/>
    </row>
    <row r="247" spans="1:9">
      <c r="A247" s="114">
        <v>243</v>
      </c>
      <c r="B247" s="121" t="s">
        <v>680</v>
      </c>
      <c r="C247" s="114">
        <v>21847324</v>
      </c>
      <c r="D247" s="129">
        <v>5</v>
      </c>
      <c r="E247" s="114">
        <v>358</v>
      </c>
      <c r="F247" s="57" t="s">
        <v>679</v>
      </c>
      <c r="G247" s="110" t="s">
        <v>650</v>
      </c>
      <c r="H247" s="114" t="s">
        <v>263</v>
      </c>
      <c r="I247" s="132"/>
    </row>
    <row r="248" spans="1:9">
      <c r="A248" s="114">
        <v>244</v>
      </c>
      <c r="B248" s="121" t="s">
        <v>682</v>
      </c>
      <c r="C248" s="114">
        <v>21938423</v>
      </c>
      <c r="D248" s="129">
        <v>8</v>
      </c>
      <c r="E248" s="114">
        <v>66</v>
      </c>
      <c r="F248" s="57" t="s">
        <v>681</v>
      </c>
      <c r="G248" s="110" t="s">
        <v>650</v>
      </c>
      <c r="H248" s="114" t="s">
        <v>263</v>
      </c>
      <c r="I248" s="132"/>
    </row>
    <row r="249" spans="1:9">
      <c r="A249" s="114">
        <v>245</v>
      </c>
      <c r="B249" s="121" t="s">
        <v>684</v>
      </c>
      <c r="C249" s="129">
        <v>21988799</v>
      </c>
      <c r="D249" s="129" t="s">
        <v>387</v>
      </c>
      <c r="E249" s="130">
        <v>138</v>
      </c>
      <c r="F249" s="57" t="s">
        <v>683</v>
      </c>
      <c r="G249" s="110" t="s">
        <v>650</v>
      </c>
      <c r="H249" s="110" t="s">
        <v>265</v>
      </c>
      <c r="I249" s="131"/>
    </row>
    <row r="250" spans="1:9">
      <c r="A250" s="114">
        <v>246</v>
      </c>
      <c r="B250" s="121" t="s">
        <v>686</v>
      </c>
      <c r="C250" s="129">
        <v>22022319</v>
      </c>
      <c r="D250" s="129">
        <v>1</v>
      </c>
      <c r="E250" s="130">
        <v>298</v>
      </c>
      <c r="F250" s="57" t="s">
        <v>685</v>
      </c>
      <c r="G250" s="110" t="s">
        <v>650</v>
      </c>
      <c r="H250" s="110" t="s">
        <v>265</v>
      </c>
      <c r="I250" s="131"/>
    </row>
    <row r="251" spans="1:9">
      <c r="A251" s="114">
        <v>247</v>
      </c>
      <c r="B251" s="121" t="s">
        <v>688</v>
      </c>
      <c r="C251" s="114">
        <v>22037203</v>
      </c>
      <c r="D251" s="129">
        <v>0</v>
      </c>
      <c r="E251" s="114">
        <v>238</v>
      </c>
      <c r="F251" s="114" t="s">
        <v>687</v>
      </c>
      <c r="G251" s="57" t="s">
        <v>689</v>
      </c>
      <c r="H251" s="114" t="s">
        <v>263</v>
      </c>
      <c r="I251" s="121"/>
    </row>
    <row r="252" spans="1:9">
      <c r="A252" s="114">
        <v>248</v>
      </c>
      <c r="B252" s="121" t="s">
        <v>691</v>
      </c>
      <c r="C252" s="114">
        <v>21656383</v>
      </c>
      <c r="D252" s="129">
        <v>2</v>
      </c>
      <c r="E252" s="114">
        <v>231</v>
      </c>
      <c r="F252" s="114" t="s">
        <v>690</v>
      </c>
      <c r="G252" s="57" t="s">
        <v>689</v>
      </c>
      <c r="H252" s="114" t="s">
        <v>263</v>
      </c>
      <c r="I252" s="121"/>
    </row>
    <row r="253" spans="1:9">
      <c r="A253" s="114">
        <v>249</v>
      </c>
      <c r="B253" s="121" t="s">
        <v>693</v>
      </c>
      <c r="C253" s="114">
        <v>21808834</v>
      </c>
      <c r="D253" s="129">
        <v>1</v>
      </c>
      <c r="E253" s="114">
        <v>283</v>
      </c>
      <c r="F253" s="114" t="s">
        <v>692</v>
      </c>
      <c r="G253" s="57" t="s">
        <v>689</v>
      </c>
      <c r="H253" s="114" t="s">
        <v>263</v>
      </c>
      <c r="I253" s="121"/>
    </row>
    <row r="254" spans="1:9">
      <c r="A254" s="114">
        <v>250</v>
      </c>
      <c r="B254" s="121" t="s">
        <v>695</v>
      </c>
      <c r="C254" s="114">
        <v>21567833</v>
      </c>
      <c r="D254" s="129">
        <v>4</v>
      </c>
      <c r="E254" s="114">
        <v>253</v>
      </c>
      <c r="F254" s="114" t="s">
        <v>694</v>
      </c>
      <c r="G254" s="57" t="s">
        <v>689</v>
      </c>
      <c r="H254" s="114" t="s">
        <v>263</v>
      </c>
      <c r="I254" s="121"/>
    </row>
    <row r="255" spans="1:9">
      <c r="A255" s="114">
        <v>251</v>
      </c>
      <c r="B255" s="121" t="s">
        <v>697</v>
      </c>
      <c r="C255" s="114">
        <v>21941830</v>
      </c>
      <c r="D255" s="129">
        <v>2</v>
      </c>
      <c r="E255" s="114">
        <v>95</v>
      </c>
      <c r="F255" s="114" t="s">
        <v>696</v>
      </c>
      <c r="G255" s="57" t="s">
        <v>689</v>
      </c>
      <c r="H255" s="114" t="s">
        <v>263</v>
      </c>
      <c r="I255" s="121"/>
    </row>
    <row r="256" spans="1:9">
      <c r="A256" s="114">
        <v>252</v>
      </c>
      <c r="B256" s="121" t="s">
        <v>699</v>
      </c>
      <c r="C256" s="114">
        <v>20619107</v>
      </c>
      <c r="D256" s="129">
        <v>4</v>
      </c>
      <c r="E256" s="114">
        <v>89</v>
      </c>
      <c r="F256" s="114" t="s">
        <v>698</v>
      </c>
      <c r="G256" s="57" t="s">
        <v>689</v>
      </c>
      <c r="H256" s="114" t="s">
        <v>263</v>
      </c>
      <c r="I256" s="121"/>
    </row>
    <row r="257" spans="1:9">
      <c r="A257" s="114">
        <v>253</v>
      </c>
      <c r="B257" s="121" t="s">
        <v>701</v>
      </c>
      <c r="C257" s="114">
        <v>21374814</v>
      </c>
      <c r="D257" s="129">
        <v>9</v>
      </c>
      <c r="E257" s="114">
        <v>325</v>
      </c>
      <c r="F257" s="114" t="s">
        <v>700</v>
      </c>
      <c r="G257" s="57" t="s">
        <v>689</v>
      </c>
      <c r="H257" s="114" t="s">
        <v>263</v>
      </c>
      <c r="I257" s="121"/>
    </row>
    <row r="258" spans="1:9">
      <c r="A258" s="114">
        <v>254</v>
      </c>
      <c r="B258" s="121" t="s">
        <v>270</v>
      </c>
      <c r="C258" s="114">
        <v>21660740</v>
      </c>
      <c r="D258" s="129">
        <v>6</v>
      </c>
      <c r="E258" s="114">
        <v>33</v>
      </c>
      <c r="F258" s="114" t="s">
        <v>702</v>
      </c>
      <c r="G258" s="57" t="s">
        <v>689</v>
      </c>
      <c r="H258" s="114" t="s">
        <v>263</v>
      </c>
      <c r="I258" s="121"/>
    </row>
    <row r="259" spans="1:9">
      <c r="A259" s="114">
        <v>255</v>
      </c>
      <c r="B259" s="121" t="s">
        <v>704</v>
      </c>
      <c r="C259" s="114">
        <v>20937096</v>
      </c>
      <c r="D259" s="129">
        <v>4</v>
      </c>
      <c r="E259" s="114">
        <v>28</v>
      </c>
      <c r="F259" s="114" t="s">
        <v>703</v>
      </c>
      <c r="G259" s="57" t="s">
        <v>705</v>
      </c>
      <c r="H259" s="114" t="s">
        <v>263</v>
      </c>
      <c r="I259" s="121"/>
    </row>
    <row r="260" spans="1:9">
      <c r="A260" s="114">
        <v>256</v>
      </c>
      <c r="B260" s="121" t="s">
        <v>707</v>
      </c>
      <c r="C260" s="114">
        <v>21833007</v>
      </c>
      <c r="D260" s="129" t="s">
        <v>387</v>
      </c>
      <c r="E260" s="114">
        <v>249</v>
      </c>
      <c r="F260" s="114" t="s">
        <v>706</v>
      </c>
      <c r="G260" s="57" t="s">
        <v>705</v>
      </c>
      <c r="H260" s="114" t="s">
        <v>263</v>
      </c>
      <c r="I260" s="121"/>
    </row>
    <row r="261" spans="1:9">
      <c r="A261" s="114">
        <v>257</v>
      </c>
      <c r="B261" s="121" t="s">
        <v>709</v>
      </c>
      <c r="C261" s="114">
        <v>21843762</v>
      </c>
      <c r="D261" s="129">
        <v>1</v>
      </c>
      <c r="E261" s="114">
        <v>375</v>
      </c>
      <c r="F261" s="114" t="s">
        <v>708</v>
      </c>
      <c r="G261" s="57" t="s">
        <v>705</v>
      </c>
      <c r="H261" s="114" t="s">
        <v>263</v>
      </c>
      <c r="I261" s="121"/>
    </row>
    <row r="262" spans="1:9">
      <c r="A262" s="114">
        <v>258</v>
      </c>
      <c r="B262" s="121" t="s">
        <v>711</v>
      </c>
      <c r="C262" s="114">
        <v>21849585</v>
      </c>
      <c r="D262" s="129">
        <v>0</v>
      </c>
      <c r="E262" s="114">
        <v>179</v>
      </c>
      <c r="F262" s="114" t="s">
        <v>710</v>
      </c>
      <c r="G262" s="57" t="s">
        <v>705</v>
      </c>
      <c r="H262" s="114" t="s">
        <v>265</v>
      </c>
      <c r="I262" s="121"/>
    </row>
    <row r="263" spans="1:9">
      <c r="A263" s="114">
        <v>259</v>
      </c>
      <c r="B263" s="121" t="s">
        <v>713</v>
      </c>
      <c r="C263" s="114">
        <v>21451392</v>
      </c>
      <c r="D263" s="129">
        <v>7</v>
      </c>
      <c r="E263" s="114">
        <v>396</v>
      </c>
      <c r="F263" s="114" t="s">
        <v>712</v>
      </c>
      <c r="G263" s="57" t="s">
        <v>705</v>
      </c>
      <c r="H263" s="114" t="s">
        <v>263</v>
      </c>
      <c r="I263" s="121"/>
    </row>
    <row r="264" spans="1:9">
      <c r="A264" s="114">
        <v>260</v>
      </c>
      <c r="B264" s="121" t="s">
        <v>715</v>
      </c>
      <c r="C264" s="114">
        <v>20779916</v>
      </c>
      <c r="D264" s="129">
        <v>5</v>
      </c>
      <c r="E264" s="114">
        <v>288</v>
      </c>
      <c r="F264" s="114" t="s">
        <v>714</v>
      </c>
      <c r="G264" s="57" t="s">
        <v>705</v>
      </c>
      <c r="H264" s="114" t="s">
        <v>263</v>
      </c>
      <c r="I264" s="121"/>
    </row>
    <row r="265" spans="1:9">
      <c r="A265" s="114">
        <v>261</v>
      </c>
      <c r="B265" s="121" t="s">
        <v>717</v>
      </c>
      <c r="C265" s="114">
        <v>21395499</v>
      </c>
      <c r="D265" s="129">
        <v>7</v>
      </c>
      <c r="E265" s="114">
        <v>125</v>
      </c>
      <c r="F265" s="114" t="s">
        <v>716</v>
      </c>
      <c r="G265" s="57" t="s">
        <v>705</v>
      </c>
      <c r="H265" s="114" t="s">
        <v>263</v>
      </c>
      <c r="I265" s="121"/>
    </row>
    <row r="266" spans="1:9">
      <c r="A266" s="114">
        <v>262</v>
      </c>
      <c r="B266" s="121" t="s">
        <v>719</v>
      </c>
      <c r="C266" s="114">
        <v>21613753</v>
      </c>
      <c r="D266" s="129">
        <v>1</v>
      </c>
      <c r="E266" s="114">
        <v>157</v>
      </c>
      <c r="F266" s="114" t="s">
        <v>718</v>
      </c>
      <c r="G266" s="57" t="s">
        <v>705</v>
      </c>
      <c r="H266" s="114" t="s">
        <v>265</v>
      </c>
      <c r="I266" s="121"/>
    </row>
    <row r="267" spans="1:9">
      <c r="A267" s="114">
        <v>263</v>
      </c>
      <c r="B267" s="121" t="s">
        <v>721</v>
      </c>
      <c r="C267" s="114">
        <v>21297168</v>
      </c>
      <c r="D267" s="129">
        <v>5</v>
      </c>
      <c r="E267" s="114">
        <v>395</v>
      </c>
      <c r="F267" s="114" t="s">
        <v>720</v>
      </c>
      <c r="G267" s="57" t="s">
        <v>705</v>
      </c>
      <c r="H267" s="114" t="s">
        <v>263</v>
      </c>
      <c r="I267" s="121"/>
    </row>
    <row r="268" spans="1:9">
      <c r="A268" s="114">
        <v>264</v>
      </c>
      <c r="B268" s="121" t="s">
        <v>723</v>
      </c>
      <c r="C268" s="114">
        <v>21967437</v>
      </c>
      <c r="D268" s="129">
        <v>6</v>
      </c>
      <c r="E268" s="114">
        <v>192</v>
      </c>
      <c r="F268" s="114" t="s">
        <v>722</v>
      </c>
      <c r="G268" s="57" t="s">
        <v>724</v>
      </c>
      <c r="H268" s="114" t="s">
        <v>265</v>
      </c>
      <c r="I268" s="121"/>
    </row>
    <row r="269" spans="1:9">
      <c r="A269" s="114">
        <v>265</v>
      </c>
      <c r="B269" s="121" t="s">
        <v>726</v>
      </c>
      <c r="C269" s="114">
        <v>21894936</v>
      </c>
      <c r="D269" s="129">
        <v>3</v>
      </c>
      <c r="E269" s="114">
        <v>59</v>
      </c>
      <c r="F269" s="114" t="s">
        <v>725</v>
      </c>
      <c r="G269" s="57" t="s">
        <v>724</v>
      </c>
      <c r="H269" s="114" t="s">
        <v>263</v>
      </c>
      <c r="I269" s="121"/>
    </row>
    <row r="270" spans="1:9">
      <c r="A270" s="114">
        <v>266</v>
      </c>
      <c r="B270" s="121" t="s">
        <v>728</v>
      </c>
      <c r="C270" s="114">
        <v>21645277</v>
      </c>
      <c r="D270" s="129">
        <v>1</v>
      </c>
      <c r="E270" s="114">
        <v>85</v>
      </c>
      <c r="F270" s="114" t="s">
        <v>727</v>
      </c>
      <c r="G270" s="57" t="s">
        <v>724</v>
      </c>
      <c r="H270" s="114" t="s">
        <v>263</v>
      </c>
      <c r="I270" s="121"/>
    </row>
    <row r="271" spans="1:9">
      <c r="A271" s="114">
        <v>267</v>
      </c>
      <c r="B271" s="121" t="s">
        <v>730</v>
      </c>
      <c r="C271" s="114">
        <v>21187397</v>
      </c>
      <c r="D271" s="129">
        <v>3</v>
      </c>
      <c r="E271" s="114">
        <v>300</v>
      </c>
      <c r="F271" s="114" t="s">
        <v>729</v>
      </c>
      <c r="G271" s="57" t="s">
        <v>724</v>
      </c>
      <c r="H271" s="114" t="s">
        <v>263</v>
      </c>
      <c r="I271" s="121"/>
    </row>
    <row r="272" spans="1:9">
      <c r="A272" s="114">
        <v>268</v>
      </c>
      <c r="B272" s="121" t="s">
        <v>732</v>
      </c>
      <c r="C272" s="114">
        <v>22093106</v>
      </c>
      <c r="D272" s="129">
        <v>4</v>
      </c>
      <c r="E272" s="114">
        <v>52</v>
      </c>
      <c r="F272" s="114" t="s">
        <v>731</v>
      </c>
      <c r="G272" s="57" t="s">
        <v>724</v>
      </c>
      <c r="H272" s="114" t="s">
        <v>263</v>
      </c>
      <c r="I272" s="121"/>
    </row>
    <row r="273" spans="1:9">
      <c r="A273" s="114">
        <v>269</v>
      </c>
      <c r="B273" s="121" t="s">
        <v>734</v>
      </c>
      <c r="C273" s="114">
        <v>22023509</v>
      </c>
      <c r="D273" s="129">
        <v>2</v>
      </c>
      <c r="E273" s="114">
        <v>51</v>
      </c>
      <c r="F273" s="114" t="s">
        <v>733</v>
      </c>
      <c r="G273" s="57" t="s">
        <v>724</v>
      </c>
      <c r="H273" s="114" t="s">
        <v>263</v>
      </c>
      <c r="I273" s="121"/>
    </row>
    <row r="274" spans="1:9">
      <c r="A274" s="114">
        <v>270</v>
      </c>
      <c r="B274" s="121" t="s">
        <v>736</v>
      </c>
      <c r="C274" s="114">
        <v>21705288</v>
      </c>
      <c r="D274" s="129">
        <v>2</v>
      </c>
      <c r="E274" s="114">
        <v>371</v>
      </c>
      <c r="F274" s="114" t="s">
        <v>735</v>
      </c>
      <c r="G274" s="57" t="s">
        <v>724</v>
      </c>
      <c r="H274" s="114" t="s">
        <v>263</v>
      </c>
      <c r="I274" s="121"/>
    </row>
    <row r="275" spans="1:9">
      <c r="A275" s="114">
        <v>271</v>
      </c>
      <c r="B275" s="121" t="s">
        <v>738</v>
      </c>
      <c r="C275" s="114">
        <v>21208934</v>
      </c>
      <c r="D275" s="129">
        <v>6</v>
      </c>
      <c r="E275" s="114">
        <v>318</v>
      </c>
      <c r="F275" s="114" t="s">
        <v>737</v>
      </c>
      <c r="G275" s="57" t="s">
        <v>724</v>
      </c>
      <c r="H275" s="114" t="s">
        <v>265</v>
      </c>
      <c r="I275" s="121"/>
    </row>
    <row r="276" spans="1:9">
      <c r="A276" s="114">
        <v>272</v>
      </c>
      <c r="B276" s="121" t="s">
        <v>740</v>
      </c>
      <c r="C276" s="114">
        <v>21633067</v>
      </c>
      <c r="D276" s="129">
        <v>6</v>
      </c>
      <c r="E276" s="114">
        <v>209</v>
      </c>
      <c r="F276" s="114" t="s">
        <v>739</v>
      </c>
      <c r="G276" s="57" t="s">
        <v>724</v>
      </c>
      <c r="H276" s="114" t="s">
        <v>263</v>
      </c>
      <c r="I276" s="121"/>
    </row>
    <row r="277" spans="1:9">
      <c r="A277" s="114">
        <v>273</v>
      </c>
      <c r="B277" s="121" t="s">
        <v>742</v>
      </c>
      <c r="C277" s="114">
        <v>21774506</v>
      </c>
      <c r="D277" s="129">
        <v>9</v>
      </c>
      <c r="E277" s="114">
        <v>267</v>
      </c>
      <c r="F277" s="114" t="s">
        <v>741</v>
      </c>
      <c r="G277" s="57" t="s">
        <v>724</v>
      </c>
      <c r="H277" s="114" t="s">
        <v>263</v>
      </c>
      <c r="I277" s="121"/>
    </row>
    <row r="278" spans="1:9">
      <c r="A278" s="114">
        <v>274</v>
      </c>
      <c r="B278" s="121" t="s">
        <v>744</v>
      </c>
      <c r="C278" s="114">
        <v>22003366</v>
      </c>
      <c r="D278" s="129" t="s">
        <v>387</v>
      </c>
      <c r="E278" s="114">
        <v>279</v>
      </c>
      <c r="F278" s="114" t="s">
        <v>743</v>
      </c>
      <c r="G278" s="57" t="s">
        <v>724</v>
      </c>
      <c r="H278" s="114" t="s">
        <v>265</v>
      </c>
      <c r="I278" s="121"/>
    </row>
    <row r="279" spans="1:9">
      <c r="A279" s="114">
        <v>275</v>
      </c>
      <c r="B279" s="121" t="s">
        <v>746</v>
      </c>
      <c r="C279" s="114">
        <v>21792611</v>
      </c>
      <c r="D279" s="129">
        <v>4</v>
      </c>
      <c r="E279" s="114">
        <v>117</v>
      </c>
      <c r="F279" s="114" t="s">
        <v>745</v>
      </c>
      <c r="G279" s="57" t="s">
        <v>724</v>
      </c>
      <c r="H279" s="114" t="s">
        <v>265</v>
      </c>
      <c r="I279" s="121"/>
    </row>
    <row r="280" spans="1:9">
      <c r="A280" s="114">
        <v>276</v>
      </c>
      <c r="B280" s="121" t="s">
        <v>748</v>
      </c>
      <c r="C280" s="114">
        <v>21646121</v>
      </c>
      <c r="D280" s="129">
        <v>5</v>
      </c>
      <c r="E280" s="114">
        <v>394</v>
      </c>
      <c r="F280" s="114" t="s">
        <v>747</v>
      </c>
      <c r="G280" s="57" t="s">
        <v>724</v>
      </c>
      <c r="H280" s="114" t="s">
        <v>263</v>
      </c>
      <c r="I280" s="121"/>
    </row>
    <row r="281" spans="1:9">
      <c r="A281" s="114">
        <v>277</v>
      </c>
      <c r="B281" s="121" t="s">
        <v>750</v>
      </c>
      <c r="C281" s="114">
        <v>21636999</v>
      </c>
      <c r="D281" s="129">
        <v>8</v>
      </c>
      <c r="E281" s="114">
        <v>195</v>
      </c>
      <c r="F281" s="114" t="s">
        <v>749</v>
      </c>
      <c r="G281" s="57" t="s">
        <v>724</v>
      </c>
      <c r="H281" s="114" t="s">
        <v>263</v>
      </c>
      <c r="I281" s="121"/>
    </row>
    <row r="282" spans="1:9">
      <c r="A282" s="114">
        <v>278</v>
      </c>
      <c r="B282" s="121" t="s">
        <v>752</v>
      </c>
      <c r="C282" s="114">
        <v>21456495</v>
      </c>
      <c r="D282" s="129">
        <v>5</v>
      </c>
      <c r="E282" s="114">
        <v>289</v>
      </c>
      <c r="F282" s="114" t="s">
        <v>751</v>
      </c>
      <c r="G282" s="57" t="s">
        <v>724</v>
      </c>
      <c r="H282" s="114" t="s">
        <v>263</v>
      </c>
      <c r="I282" s="121"/>
    </row>
    <row r="283" spans="1:9">
      <c r="A283" s="114">
        <v>279</v>
      </c>
      <c r="B283" s="121" t="s">
        <v>754</v>
      </c>
      <c r="C283" s="114">
        <v>21981662</v>
      </c>
      <c r="D283" s="129">
        <v>6</v>
      </c>
      <c r="E283" s="114">
        <v>141</v>
      </c>
      <c r="F283" s="114" t="s">
        <v>753</v>
      </c>
      <c r="G283" s="57" t="s">
        <v>724</v>
      </c>
      <c r="H283" s="114" t="s">
        <v>263</v>
      </c>
      <c r="I283" s="121"/>
    </row>
    <row r="284" spans="1:9">
      <c r="A284" s="114">
        <v>280</v>
      </c>
      <c r="B284" s="121" t="s">
        <v>756</v>
      </c>
      <c r="C284" s="114">
        <v>21983634</v>
      </c>
      <c r="D284" s="129">
        <v>1</v>
      </c>
      <c r="E284" s="114">
        <v>389</v>
      </c>
      <c r="F284" s="114" t="s">
        <v>755</v>
      </c>
      <c r="G284" s="57" t="s">
        <v>724</v>
      </c>
      <c r="H284" s="114" t="s">
        <v>265</v>
      </c>
      <c r="I284" s="121"/>
    </row>
    <row r="285" spans="1:9">
      <c r="A285" s="114">
        <v>281</v>
      </c>
      <c r="B285" s="121" t="s">
        <v>758</v>
      </c>
      <c r="C285" s="114">
        <v>20589045</v>
      </c>
      <c r="D285" s="129">
        <v>9</v>
      </c>
      <c r="E285" s="114">
        <v>299</v>
      </c>
      <c r="F285" s="114" t="s">
        <v>757</v>
      </c>
      <c r="G285" s="57" t="s">
        <v>724</v>
      </c>
      <c r="H285" s="114" t="s">
        <v>265</v>
      </c>
      <c r="I285" s="121"/>
    </row>
    <row r="286" spans="1:9">
      <c r="A286" s="114">
        <v>282</v>
      </c>
      <c r="B286" s="121" t="s">
        <v>760</v>
      </c>
      <c r="C286" s="114">
        <v>21681556</v>
      </c>
      <c r="D286" s="129">
        <v>4</v>
      </c>
      <c r="E286" s="134">
        <v>180</v>
      </c>
      <c r="F286" s="57" t="s">
        <v>759</v>
      </c>
      <c r="G286" s="134" t="s">
        <v>761</v>
      </c>
      <c r="H286" s="134" t="s">
        <v>265</v>
      </c>
      <c r="I286" s="121"/>
    </row>
    <row r="287" spans="1:9">
      <c r="A287" s="114">
        <v>283</v>
      </c>
      <c r="B287" s="121" t="s">
        <v>763</v>
      </c>
      <c r="C287" s="114">
        <v>21587476</v>
      </c>
      <c r="D287" s="129">
        <v>1</v>
      </c>
      <c r="E287" s="114">
        <v>166</v>
      </c>
      <c r="F287" s="57" t="s">
        <v>762</v>
      </c>
      <c r="G287" s="114" t="s">
        <v>761</v>
      </c>
      <c r="H287" s="114" t="s">
        <v>263</v>
      </c>
      <c r="I287" s="121"/>
    </row>
    <row r="288" spans="1:9">
      <c r="A288" s="114">
        <v>284</v>
      </c>
      <c r="B288" s="121" t="s">
        <v>765</v>
      </c>
      <c r="C288" s="114">
        <v>21075462</v>
      </c>
      <c r="D288" s="129">
        <v>8</v>
      </c>
      <c r="E288" s="114">
        <v>183</v>
      </c>
      <c r="F288" s="57" t="s">
        <v>764</v>
      </c>
      <c r="G288" s="114" t="s">
        <v>761</v>
      </c>
      <c r="H288" s="114" t="s">
        <v>263</v>
      </c>
      <c r="I288" s="121"/>
    </row>
    <row r="289" spans="1:9">
      <c r="A289" s="114">
        <v>285</v>
      </c>
      <c r="B289" s="121" t="s">
        <v>767</v>
      </c>
      <c r="C289" s="114">
        <v>21661120</v>
      </c>
      <c r="D289" s="129">
        <v>9</v>
      </c>
      <c r="E289" s="114">
        <v>143</v>
      </c>
      <c r="F289" s="57" t="s">
        <v>766</v>
      </c>
      <c r="G289" s="135" t="s">
        <v>761</v>
      </c>
      <c r="H289" s="135" t="s">
        <v>265</v>
      </c>
      <c r="I289" s="121"/>
    </row>
    <row r="290" spans="1:9">
      <c r="A290" s="114">
        <v>286</v>
      </c>
      <c r="B290" s="121" t="s">
        <v>769</v>
      </c>
      <c r="C290" s="114">
        <v>21893136</v>
      </c>
      <c r="D290" s="129">
        <v>7</v>
      </c>
      <c r="E290" s="114">
        <v>290</v>
      </c>
      <c r="F290" s="57" t="s">
        <v>768</v>
      </c>
      <c r="G290" s="114" t="s">
        <v>761</v>
      </c>
      <c r="H290" s="114" t="s">
        <v>263</v>
      </c>
      <c r="I290" s="121"/>
    </row>
    <row r="291" spans="1:9">
      <c r="A291" s="114">
        <v>287</v>
      </c>
      <c r="B291" s="121" t="s">
        <v>771</v>
      </c>
      <c r="C291" s="114">
        <v>21838600</v>
      </c>
      <c r="D291" s="129">
        <v>8</v>
      </c>
      <c r="E291" s="114">
        <v>45</v>
      </c>
      <c r="F291" s="57" t="s">
        <v>770</v>
      </c>
      <c r="G291" s="114" t="s">
        <v>761</v>
      </c>
      <c r="H291" s="114" t="s">
        <v>263</v>
      </c>
      <c r="I291" s="121"/>
    </row>
    <row r="292" spans="1:9">
      <c r="A292" s="114">
        <v>288</v>
      </c>
      <c r="B292" s="121" t="s">
        <v>773</v>
      </c>
      <c r="C292" s="114">
        <v>21691515</v>
      </c>
      <c r="D292" s="129">
        <v>1</v>
      </c>
      <c r="E292" s="114">
        <v>269</v>
      </c>
      <c r="F292" s="57" t="s">
        <v>772</v>
      </c>
      <c r="G292" s="114" t="s">
        <v>761</v>
      </c>
      <c r="H292" s="114" t="s">
        <v>263</v>
      </c>
      <c r="I292" s="121"/>
    </row>
    <row r="293" spans="1:9">
      <c r="A293" s="114">
        <v>289</v>
      </c>
      <c r="B293" s="121" t="s">
        <v>775</v>
      </c>
      <c r="C293" s="114">
        <v>21062037</v>
      </c>
      <c r="D293" s="129">
        <v>0</v>
      </c>
      <c r="E293" s="114">
        <v>217</v>
      </c>
      <c r="F293" s="57" t="s">
        <v>774</v>
      </c>
      <c r="G293" s="114" t="s">
        <v>761</v>
      </c>
      <c r="H293" s="114" t="s">
        <v>263</v>
      </c>
      <c r="I293" s="121"/>
    </row>
    <row r="294" spans="1:9">
      <c r="A294" s="114">
        <v>290</v>
      </c>
      <c r="B294" s="121" t="s">
        <v>777</v>
      </c>
      <c r="C294" s="114">
        <v>21954876</v>
      </c>
      <c r="D294" s="129">
        <v>1</v>
      </c>
      <c r="E294" s="114">
        <v>188</v>
      </c>
      <c r="F294" s="57" t="s">
        <v>776</v>
      </c>
      <c r="G294" s="114" t="s">
        <v>761</v>
      </c>
      <c r="H294" s="114" t="s">
        <v>263</v>
      </c>
      <c r="I294" s="121"/>
    </row>
    <row r="295" spans="1:9">
      <c r="A295" s="114">
        <v>291</v>
      </c>
      <c r="B295" s="121" t="s">
        <v>779</v>
      </c>
      <c r="C295" s="114">
        <v>22050419</v>
      </c>
      <c r="D295" s="129">
        <v>0</v>
      </c>
      <c r="E295" s="114">
        <v>77</v>
      </c>
      <c r="F295" s="57" t="s">
        <v>778</v>
      </c>
      <c r="G295" s="114" t="s">
        <v>761</v>
      </c>
      <c r="H295" s="114" t="s">
        <v>263</v>
      </c>
      <c r="I295" s="121"/>
    </row>
    <row r="296" spans="1:9">
      <c r="A296" s="114">
        <v>292</v>
      </c>
      <c r="B296" s="121" t="s">
        <v>781</v>
      </c>
      <c r="C296" s="114">
        <v>21584461</v>
      </c>
      <c r="D296" s="129">
        <v>7</v>
      </c>
      <c r="E296" s="134">
        <v>263</v>
      </c>
      <c r="F296" s="57" t="s">
        <v>780</v>
      </c>
      <c r="G296" s="134" t="s">
        <v>761</v>
      </c>
      <c r="H296" s="134" t="s">
        <v>265</v>
      </c>
      <c r="I296" s="121"/>
    </row>
    <row r="297" spans="1:9">
      <c r="A297" s="114">
        <v>293</v>
      </c>
      <c r="B297" s="121" t="s">
        <v>783</v>
      </c>
      <c r="C297" s="114">
        <v>21696996</v>
      </c>
      <c r="D297" s="129">
        <v>0</v>
      </c>
      <c r="E297" s="114">
        <v>282</v>
      </c>
      <c r="F297" s="57" t="s">
        <v>782</v>
      </c>
      <c r="G297" s="114" t="s">
        <v>761</v>
      </c>
      <c r="H297" s="114" t="s">
        <v>263</v>
      </c>
      <c r="I297" s="121"/>
    </row>
    <row r="298" spans="1:9">
      <c r="A298" s="114">
        <v>294</v>
      </c>
      <c r="B298" s="121" t="s">
        <v>785</v>
      </c>
      <c r="C298" s="114">
        <v>21812510</v>
      </c>
      <c r="D298" s="129">
        <v>7</v>
      </c>
      <c r="E298" s="114">
        <v>135</v>
      </c>
      <c r="F298" s="57" t="s">
        <v>784</v>
      </c>
      <c r="G298" s="114" t="s">
        <v>761</v>
      </c>
      <c r="H298" s="114" t="s">
        <v>263</v>
      </c>
      <c r="I298" s="121"/>
    </row>
    <row r="299" spans="1:9">
      <c r="A299" s="114">
        <v>295</v>
      </c>
      <c r="B299" s="121" t="s">
        <v>787</v>
      </c>
      <c r="C299" s="114">
        <v>20611517</v>
      </c>
      <c r="D299" s="129">
        <v>3</v>
      </c>
      <c r="E299" s="114">
        <v>409</v>
      </c>
      <c r="F299" s="57" t="s">
        <v>786</v>
      </c>
      <c r="G299" s="114" t="s">
        <v>761</v>
      </c>
      <c r="H299" s="114" t="s">
        <v>263</v>
      </c>
      <c r="I299" s="121"/>
    </row>
    <row r="300" spans="1:9">
      <c r="A300" s="114">
        <v>296</v>
      </c>
      <c r="B300" s="121" t="s">
        <v>789</v>
      </c>
      <c r="C300" s="114">
        <v>21632225</v>
      </c>
      <c r="D300" s="129">
        <v>8</v>
      </c>
      <c r="E300" s="114">
        <v>54</v>
      </c>
      <c r="F300" s="57" t="s">
        <v>788</v>
      </c>
      <c r="G300" s="114" t="s">
        <v>761</v>
      </c>
      <c r="H300" s="114" t="s">
        <v>263</v>
      </c>
      <c r="I300" s="121"/>
    </row>
    <row r="301" spans="1:9">
      <c r="A301" s="114">
        <v>297</v>
      </c>
      <c r="B301" s="121" t="s">
        <v>791</v>
      </c>
      <c r="C301" s="114">
        <v>21490092</v>
      </c>
      <c r="D301" s="129">
        <v>0</v>
      </c>
      <c r="E301" s="114">
        <v>43</v>
      </c>
      <c r="F301" s="57" t="s">
        <v>790</v>
      </c>
      <c r="G301" s="114" t="s">
        <v>761</v>
      </c>
      <c r="H301" s="114" t="s">
        <v>263</v>
      </c>
      <c r="I301" s="121"/>
    </row>
    <row r="302" spans="1:9">
      <c r="A302" s="114">
        <v>298</v>
      </c>
      <c r="B302" s="121" t="s">
        <v>793</v>
      </c>
      <c r="C302" s="114">
        <v>21247552</v>
      </c>
      <c r="D302" s="129">
        <v>1</v>
      </c>
      <c r="E302" s="114">
        <v>12</v>
      </c>
      <c r="F302" s="57" t="s">
        <v>792</v>
      </c>
      <c r="G302" s="114" t="s">
        <v>794</v>
      </c>
      <c r="H302" s="114" t="s">
        <v>263</v>
      </c>
      <c r="I302" s="121"/>
    </row>
    <row r="303" spans="1:9">
      <c r="A303" s="114">
        <v>299</v>
      </c>
      <c r="B303" s="121" t="s">
        <v>796</v>
      </c>
      <c r="C303" s="114">
        <v>21483935</v>
      </c>
      <c r="D303" s="129">
        <v>0</v>
      </c>
      <c r="E303" s="114">
        <v>93</v>
      </c>
      <c r="F303" s="57" t="s">
        <v>795</v>
      </c>
      <c r="G303" s="114" t="s">
        <v>794</v>
      </c>
      <c r="H303" s="114" t="s">
        <v>263</v>
      </c>
      <c r="I303" s="121"/>
    </row>
    <row r="304" spans="1:9">
      <c r="A304" s="114">
        <v>300</v>
      </c>
      <c r="B304" s="121" t="s">
        <v>798</v>
      </c>
      <c r="C304" s="114">
        <v>21664456</v>
      </c>
      <c r="D304" s="129">
        <v>5</v>
      </c>
      <c r="E304" s="114">
        <v>44</v>
      </c>
      <c r="F304" s="57" t="s">
        <v>797</v>
      </c>
      <c r="G304" s="114" t="s">
        <v>794</v>
      </c>
      <c r="H304" s="114" t="s">
        <v>263</v>
      </c>
      <c r="I304" s="121"/>
    </row>
    <row r="305" spans="1:9">
      <c r="A305" s="114">
        <v>301</v>
      </c>
      <c r="B305" s="121" t="s">
        <v>800</v>
      </c>
      <c r="C305" s="114">
        <v>21686417</v>
      </c>
      <c r="D305" s="129">
        <v>4</v>
      </c>
      <c r="E305" s="134">
        <v>296</v>
      </c>
      <c r="F305" s="57" t="s">
        <v>799</v>
      </c>
      <c r="G305" s="134" t="s">
        <v>794</v>
      </c>
      <c r="H305" s="134" t="s">
        <v>265</v>
      </c>
      <c r="I305" s="121"/>
    </row>
    <row r="306" spans="1:9">
      <c r="A306" s="114">
        <v>302</v>
      </c>
      <c r="B306" s="121" t="s">
        <v>802</v>
      </c>
      <c r="C306" s="114">
        <v>20910414</v>
      </c>
      <c r="D306" s="129">
        <v>8</v>
      </c>
      <c r="E306" s="114">
        <v>57</v>
      </c>
      <c r="F306" s="57" t="s">
        <v>801</v>
      </c>
      <c r="G306" s="114" t="s">
        <v>794</v>
      </c>
      <c r="H306" s="114" t="s">
        <v>263</v>
      </c>
      <c r="I306" s="121"/>
    </row>
    <row r="307" spans="1:9">
      <c r="A307" s="114">
        <v>303</v>
      </c>
      <c r="B307" s="121" t="s">
        <v>804</v>
      </c>
      <c r="C307" s="114">
        <v>21649739</v>
      </c>
      <c r="D307" s="129">
        <v>2</v>
      </c>
      <c r="E307" s="114">
        <v>257</v>
      </c>
      <c r="F307" s="57" t="s">
        <v>803</v>
      </c>
      <c r="G307" s="135" t="s">
        <v>794</v>
      </c>
      <c r="H307" s="114" t="s">
        <v>263</v>
      </c>
      <c r="I307" s="121"/>
    </row>
    <row r="308" spans="1:9">
      <c r="A308" s="114">
        <v>304</v>
      </c>
      <c r="B308" s="121" t="s">
        <v>806</v>
      </c>
      <c r="C308" s="114">
        <v>21855468</v>
      </c>
      <c r="D308" s="129">
        <v>7</v>
      </c>
      <c r="E308" s="134">
        <v>19</v>
      </c>
      <c r="F308" s="57" t="s">
        <v>805</v>
      </c>
      <c r="G308" s="134" t="s">
        <v>794</v>
      </c>
      <c r="H308" s="134" t="s">
        <v>265</v>
      </c>
      <c r="I308" s="121"/>
    </row>
    <row r="309" spans="1:9">
      <c r="A309" s="114">
        <v>305</v>
      </c>
      <c r="B309" s="121" t="s">
        <v>808</v>
      </c>
      <c r="C309" s="114">
        <v>21569547</v>
      </c>
      <c r="D309" s="129">
        <v>6</v>
      </c>
      <c r="E309" s="114">
        <v>374</v>
      </c>
      <c r="F309" s="57" t="s">
        <v>807</v>
      </c>
      <c r="G309" s="114" t="s">
        <v>794</v>
      </c>
      <c r="H309" s="114" t="s">
        <v>263</v>
      </c>
      <c r="I309" s="121"/>
    </row>
    <row r="310" spans="1:9">
      <c r="A310" s="114">
        <v>306</v>
      </c>
      <c r="B310" s="121" t="s">
        <v>810</v>
      </c>
      <c r="C310" s="114">
        <v>21499793</v>
      </c>
      <c r="D310" s="129">
        <v>2</v>
      </c>
      <c r="E310" s="114">
        <v>222</v>
      </c>
      <c r="F310" s="57" t="s">
        <v>809</v>
      </c>
      <c r="G310" s="114" t="s">
        <v>794</v>
      </c>
      <c r="H310" s="114" t="s">
        <v>263</v>
      </c>
      <c r="I310" s="121"/>
    </row>
    <row r="311" spans="1:9">
      <c r="A311" s="114">
        <v>307</v>
      </c>
      <c r="B311" s="121" t="s">
        <v>812</v>
      </c>
      <c r="C311" s="114">
        <v>21546013</v>
      </c>
      <c r="D311" s="129">
        <v>4</v>
      </c>
      <c r="E311" s="114">
        <v>205</v>
      </c>
      <c r="F311" s="57" t="s">
        <v>811</v>
      </c>
      <c r="G311" s="114" t="s">
        <v>794</v>
      </c>
      <c r="H311" s="114" t="s">
        <v>263</v>
      </c>
      <c r="I311" s="121"/>
    </row>
    <row r="312" spans="1:9">
      <c r="A312" s="114">
        <v>308</v>
      </c>
      <c r="B312" s="121" t="s">
        <v>814</v>
      </c>
      <c r="C312" s="114">
        <v>21101864</v>
      </c>
      <c r="D312" s="129" t="s">
        <v>387</v>
      </c>
      <c r="E312" s="114">
        <v>103</v>
      </c>
      <c r="F312" s="57" t="s">
        <v>813</v>
      </c>
      <c r="G312" s="114" t="s">
        <v>794</v>
      </c>
      <c r="H312" s="114" t="s">
        <v>263</v>
      </c>
      <c r="I312" s="121"/>
    </row>
    <row r="313" spans="1:9">
      <c r="A313" s="114">
        <v>309</v>
      </c>
      <c r="B313" s="121" t="s">
        <v>816</v>
      </c>
      <c r="C313" s="114">
        <v>21552870</v>
      </c>
      <c r="D313" s="129">
        <v>7</v>
      </c>
      <c r="E313" s="114">
        <v>34</v>
      </c>
      <c r="F313" s="57" t="s">
        <v>815</v>
      </c>
      <c r="G313" s="114" t="s">
        <v>794</v>
      </c>
      <c r="H313" s="114" t="s">
        <v>263</v>
      </c>
      <c r="I313" s="121"/>
    </row>
    <row r="314" spans="1:9">
      <c r="A314" s="114">
        <v>310</v>
      </c>
      <c r="B314" s="121" t="s">
        <v>818</v>
      </c>
      <c r="C314" s="114">
        <v>21406765</v>
      </c>
      <c r="D314" s="129" t="s">
        <v>387</v>
      </c>
      <c r="E314" s="114">
        <v>84</v>
      </c>
      <c r="F314" s="57" t="s">
        <v>817</v>
      </c>
      <c r="G314" s="114" t="s">
        <v>794</v>
      </c>
      <c r="H314" s="114" t="s">
        <v>263</v>
      </c>
      <c r="I314" s="121"/>
    </row>
    <row r="315" spans="1:9">
      <c r="A315" s="114">
        <v>311</v>
      </c>
      <c r="B315" s="121" t="s">
        <v>820</v>
      </c>
      <c r="C315" s="114">
        <v>21901951</v>
      </c>
      <c r="D315" s="129">
        <v>3</v>
      </c>
      <c r="E315" s="114">
        <v>339</v>
      </c>
      <c r="F315" s="57" t="s">
        <v>819</v>
      </c>
      <c r="G315" s="114" t="s">
        <v>794</v>
      </c>
      <c r="H315" s="114" t="s">
        <v>263</v>
      </c>
      <c r="I315" s="121"/>
    </row>
    <row r="316" spans="1:9">
      <c r="A316" s="114">
        <v>312</v>
      </c>
      <c r="B316" s="121" t="s">
        <v>822</v>
      </c>
      <c r="C316" s="114">
        <v>21639233</v>
      </c>
      <c r="D316" s="129">
        <v>7</v>
      </c>
      <c r="E316" s="134">
        <v>119</v>
      </c>
      <c r="F316" s="57" t="s">
        <v>821</v>
      </c>
      <c r="G316" s="134" t="s">
        <v>794</v>
      </c>
      <c r="H316" s="134" t="s">
        <v>265</v>
      </c>
      <c r="I316" s="121"/>
    </row>
    <row r="317" spans="1:9">
      <c r="A317" s="114">
        <v>313</v>
      </c>
      <c r="B317" s="121" t="s">
        <v>824</v>
      </c>
      <c r="C317" s="114">
        <v>20954912</v>
      </c>
      <c r="D317" s="129">
        <v>3</v>
      </c>
      <c r="E317" s="114">
        <v>140</v>
      </c>
      <c r="F317" s="57" t="s">
        <v>823</v>
      </c>
      <c r="G317" s="114" t="s">
        <v>794</v>
      </c>
      <c r="H317" s="114" t="s">
        <v>263</v>
      </c>
      <c r="I317" s="121"/>
    </row>
    <row r="318" spans="1:9">
      <c r="A318" s="114">
        <v>314</v>
      </c>
      <c r="B318" s="121" t="s">
        <v>826</v>
      </c>
      <c r="C318" s="114">
        <v>21697640</v>
      </c>
      <c r="D318" s="129">
        <v>1</v>
      </c>
      <c r="E318" s="114">
        <v>386</v>
      </c>
      <c r="F318" s="57" t="s">
        <v>825</v>
      </c>
      <c r="G318" s="114" t="s">
        <v>827</v>
      </c>
      <c r="H318" s="114" t="s">
        <v>263</v>
      </c>
      <c r="I318" s="121"/>
    </row>
    <row r="319" spans="1:9">
      <c r="A319" s="114">
        <v>315</v>
      </c>
      <c r="B319" s="121" t="s">
        <v>829</v>
      </c>
      <c r="C319" s="114">
        <v>21432495</v>
      </c>
      <c r="D319" s="129">
        <v>4</v>
      </c>
      <c r="E319" s="114">
        <v>153</v>
      </c>
      <c r="F319" s="57" t="s">
        <v>828</v>
      </c>
      <c r="G319" s="114" t="s">
        <v>827</v>
      </c>
      <c r="H319" s="114" t="s">
        <v>263</v>
      </c>
      <c r="I319" s="121"/>
    </row>
    <row r="320" spans="1:9">
      <c r="A320" s="114">
        <v>316</v>
      </c>
      <c r="B320" s="121" t="s">
        <v>831</v>
      </c>
      <c r="C320" s="114">
        <v>20774571</v>
      </c>
      <c r="D320" s="129">
        <v>5</v>
      </c>
      <c r="E320" s="114">
        <v>17</v>
      </c>
      <c r="F320" s="57" t="s">
        <v>830</v>
      </c>
      <c r="G320" s="114" t="s">
        <v>827</v>
      </c>
      <c r="H320" s="114" t="s">
        <v>263</v>
      </c>
      <c r="I320" s="121"/>
    </row>
    <row r="321" spans="1:9">
      <c r="A321" s="114">
        <v>317</v>
      </c>
      <c r="B321" s="121" t="s">
        <v>833</v>
      </c>
      <c r="C321" s="114">
        <v>21500120</v>
      </c>
      <c r="D321" s="129">
        <v>2</v>
      </c>
      <c r="E321" s="114">
        <v>104</v>
      </c>
      <c r="F321" s="57" t="s">
        <v>832</v>
      </c>
      <c r="G321" s="114" t="s">
        <v>827</v>
      </c>
      <c r="H321" s="114" t="s">
        <v>263</v>
      </c>
      <c r="I321" s="121"/>
    </row>
    <row r="322" spans="1:9">
      <c r="A322" s="114">
        <v>318</v>
      </c>
      <c r="B322" s="121" t="s">
        <v>835</v>
      </c>
      <c r="C322" s="114">
        <v>21665498</v>
      </c>
      <c r="D322" s="129">
        <v>6</v>
      </c>
      <c r="E322" s="114">
        <v>5</v>
      </c>
      <c r="F322" s="57" t="s">
        <v>834</v>
      </c>
      <c r="G322" s="114" t="s">
        <v>827</v>
      </c>
      <c r="H322" s="114" t="s">
        <v>263</v>
      </c>
      <c r="I322" s="121"/>
    </row>
    <row r="323" spans="1:9">
      <c r="A323" s="114">
        <v>319</v>
      </c>
      <c r="B323" s="121" t="s">
        <v>837</v>
      </c>
      <c r="C323" s="114">
        <v>21061128</v>
      </c>
      <c r="D323" s="129">
        <v>2</v>
      </c>
      <c r="E323" s="134">
        <v>313</v>
      </c>
      <c r="F323" s="57" t="s">
        <v>836</v>
      </c>
      <c r="G323" s="134" t="s">
        <v>827</v>
      </c>
      <c r="H323" s="134" t="s">
        <v>265</v>
      </c>
      <c r="I323" s="121"/>
    </row>
    <row r="324" spans="1:9">
      <c r="A324" s="114">
        <v>320</v>
      </c>
      <c r="B324" s="121" t="s">
        <v>839</v>
      </c>
      <c r="C324" s="114">
        <v>22010134</v>
      </c>
      <c r="D324" s="129">
        <v>7</v>
      </c>
      <c r="E324" s="114">
        <v>355</v>
      </c>
      <c r="F324" s="57" t="s">
        <v>838</v>
      </c>
      <c r="G324" s="114" t="s">
        <v>827</v>
      </c>
      <c r="H324" s="114" t="s">
        <v>263</v>
      </c>
      <c r="I324" s="121"/>
    </row>
    <row r="325" spans="1:9">
      <c r="A325" s="114">
        <v>321</v>
      </c>
      <c r="B325" s="121" t="s">
        <v>841</v>
      </c>
      <c r="C325" s="114">
        <v>20663604</v>
      </c>
      <c r="D325" s="129">
        <v>1</v>
      </c>
      <c r="E325" s="114">
        <v>169</v>
      </c>
      <c r="F325" s="57" t="s">
        <v>840</v>
      </c>
      <c r="G325" s="114" t="s">
        <v>827</v>
      </c>
      <c r="H325" s="114" t="s">
        <v>263</v>
      </c>
      <c r="I325" s="121"/>
    </row>
    <row r="326" spans="1:9">
      <c r="A326" s="114">
        <v>322</v>
      </c>
      <c r="B326" s="121" t="s">
        <v>843</v>
      </c>
      <c r="C326" s="114">
        <v>21090250</v>
      </c>
      <c r="D326" s="129">
        <v>3</v>
      </c>
      <c r="E326" s="114">
        <v>436</v>
      </c>
      <c r="F326" s="57" t="s">
        <v>842</v>
      </c>
      <c r="G326" s="114" t="s">
        <v>827</v>
      </c>
      <c r="H326" s="114" t="s">
        <v>263</v>
      </c>
      <c r="I326" s="121"/>
    </row>
    <row r="327" spans="1:9">
      <c r="A327" s="114">
        <v>323</v>
      </c>
      <c r="B327" s="121" t="s">
        <v>845</v>
      </c>
      <c r="C327" s="114">
        <v>20367250</v>
      </c>
      <c r="D327" s="129">
        <v>0</v>
      </c>
      <c r="E327" s="134">
        <v>323</v>
      </c>
      <c r="F327" s="57" t="s">
        <v>844</v>
      </c>
      <c r="G327" s="134" t="s">
        <v>827</v>
      </c>
      <c r="H327" s="134" t="s">
        <v>265</v>
      </c>
      <c r="I327" s="121"/>
    </row>
    <row r="328" spans="1:9">
      <c r="A328" s="114">
        <v>324</v>
      </c>
      <c r="B328" s="121" t="s">
        <v>847</v>
      </c>
      <c r="C328" s="114">
        <v>21698526</v>
      </c>
      <c r="D328" s="129">
        <v>5</v>
      </c>
      <c r="E328" s="134">
        <v>242</v>
      </c>
      <c r="F328" s="57" t="s">
        <v>846</v>
      </c>
      <c r="G328" s="134" t="s">
        <v>827</v>
      </c>
      <c r="H328" s="134" t="s">
        <v>265</v>
      </c>
      <c r="I328" s="121"/>
    </row>
    <row r="329" spans="1:9">
      <c r="A329" s="114">
        <v>325</v>
      </c>
      <c r="B329" s="121" t="s">
        <v>849</v>
      </c>
      <c r="C329" s="114">
        <v>21427794</v>
      </c>
      <c r="D329" s="129">
        <v>8</v>
      </c>
      <c r="E329" s="114">
        <v>271</v>
      </c>
      <c r="F329" s="57" t="s">
        <v>848</v>
      </c>
      <c r="G329" s="114" t="s">
        <v>827</v>
      </c>
      <c r="H329" s="114" t="s">
        <v>263</v>
      </c>
      <c r="I329" s="121"/>
    </row>
    <row r="330" spans="1:9">
      <c r="A330" s="114">
        <v>326</v>
      </c>
      <c r="B330" s="121" t="s">
        <v>851</v>
      </c>
      <c r="C330" s="114">
        <v>21787598</v>
      </c>
      <c r="D330" s="129">
        <v>6</v>
      </c>
      <c r="E330" s="114">
        <v>134</v>
      </c>
      <c r="F330" s="57" t="s">
        <v>850</v>
      </c>
      <c r="G330" s="114" t="s">
        <v>827</v>
      </c>
      <c r="H330" s="114" t="s">
        <v>263</v>
      </c>
      <c r="I330" s="121"/>
    </row>
    <row r="331" spans="1:9">
      <c r="A331" s="114">
        <v>327</v>
      </c>
      <c r="B331" s="121" t="s">
        <v>853</v>
      </c>
      <c r="C331" s="114">
        <v>21593428</v>
      </c>
      <c r="D331" s="129">
        <v>4</v>
      </c>
      <c r="E331" s="114">
        <v>158</v>
      </c>
      <c r="F331" s="57" t="s">
        <v>852</v>
      </c>
      <c r="G331" s="114" t="s">
        <v>827</v>
      </c>
      <c r="H331" s="114" t="s">
        <v>263</v>
      </c>
      <c r="I331" s="121"/>
    </row>
    <row r="332" spans="1:9">
      <c r="A332" s="114">
        <v>328</v>
      </c>
      <c r="B332" s="121" t="s">
        <v>855</v>
      </c>
      <c r="C332" s="114">
        <v>21777624</v>
      </c>
      <c r="D332" s="129">
        <v>4</v>
      </c>
      <c r="E332" s="114">
        <v>146</v>
      </c>
      <c r="F332" s="57" t="s">
        <v>854</v>
      </c>
      <c r="G332" s="114" t="s">
        <v>827</v>
      </c>
      <c r="H332" s="114" t="s">
        <v>263</v>
      </c>
      <c r="I332" s="121"/>
    </row>
    <row r="333" spans="1:9">
      <c r="A333" s="114">
        <v>329</v>
      </c>
      <c r="B333" s="121" t="s">
        <v>857</v>
      </c>
      <c r="C333" s="114">
        <v>21059003</v>
      </c>
      <c r="D333" s="129" t="s">
        <v>387</v>
      </c>
      <c r="E333" s="114">
        <v>287</v>
      </c>
      <c r="F333" s="57" t="s">
        <v>856</v>
      </c>
      <c r="G333" s="114" t="s">
        <v>827</v>
      </c>
      <c r="H333" s="110" t="s">
        <v>263</v>
      </c>
      <c r="I333" s="134" t="s">
        <v>349</v>
      </c>
    </row>
    <row r="334" spans="1:9">
      <c r="A334" s="114">
        <v>330</v>
      </c>
      <c r="B334" s="121" t="s">
        <v>859</v>
      </c>
      <c r="C334" s="114">
        <v>21751540</v>
      </c>
      <c r="D334" s="129">
        <v>8</v>
      </c>
      <c r="E334" s="114">
        <v>145</v>
      </c>
      <c r="F334" s="57" t="s">
        <v>858</v>
      </c>
      <c r="G334" s="114" t="s">
        <v>860</v>
      </c>
      <c r="H334" s="114" t="s">
        <v>263</v>
      </c>
      <c r="I334" s="132"/>
    </row>
    <row r="335" spans="1:9">
      <c r="A335" s="114">
        <v>331</v>
      </c>
      <c r="B335" s="121" t="s">
        <v>862</v>
      </c>
      <c r="C335" s="114">
        <v>21542877</v>
      </c>
      <c r="D335" s="129" t="s">
        <v>387</v>
      </c>
      <c r="E335" s="114">
        <v>369</v>
      </c>
      <c r="F335" s="57" t="s">
        <v>861</v>
      </c>
      <c r="G335" s="114" t="s">
        <v>860</v>
      </c>
      <c r="H335" s="114" t="s">
        <v>263</v>
      </c>
      <c r="I335" s="132"/>
    </row>
    <row r="336" spans="1:9">
      <c r="A336" s="114">
        <v>332</v>
      </c>
      <c r="B336" s="121" t="s">
        <v>864</v>
      </c>
      <c r="C336" s="114">
        <v>21443911</v>
      </c>
      <c r="D336" s="129">
        <v>5</v>
      </c>
      <c r="E336" s="114">
        <v>202</v>
      </c>
      <c r="F336" s="57" t="s">
        <v>863</v>
      </c>
      <c r="G336" s="114" t="s">
        <v>860</v>
      </c>
      <c r="H336" s="114" t="s">
        <v>263</v>
      </c>
      <c r="I336" s="132"/>
    </row>
    <row r="337" spans="1:9">
      <c r="A337" s="114">
        <v>333</v>
      </c>
      <c r="B337" s="121" t="s">
        <v>866</v>
      </c>
      <c r="C337" s="114">
        <v>21604616</v>
      </c>
      <c r="D337" s="129">
        <v>1</v>
      </c>
      <c r="E337" s="134">
        <v>414</v>
      </c>
      <c r="F337" s="57" t="s">
        <v>865</v>
      </c>
      <c r="G337" s="134" t="s">
        <v>860</v>
      </c>
      <c r="H337" s="134" t="s">
        <v>265</v>
      </c>
      <c r="I337" s="132"/>
    </row>
    <row r="338" spans="1:9">
      <c r="A338" s="114">
        <v>334</v>
      </c>
      <c r="B338" s="121" t="s">
        <v>868</v>
      </c>
      <c r="C338" s="114">
        <v>22021288</v>
      </c>
      <c r="D338" s="129">
        <v>2</v>
      </c>
      <c r="E338" s="114">
        <v>259</v>
      </c>
      <c r="F338" s="57" t="s">
        <v>867</v>
      </c>
      <c r="G338" s="135" t="s">
        <v>860</v>
      </c>
      <c r="H338" s="114" t="s">
        <v>263</v>
      </c>
      <c r="I338" s="132"/>
    </row>
    <row r="339" spans="1:9">
      <c r="A339" s="114">
        <v>335</v>
      </c>
      <c r="B339" s="121" t="s">
        <v>870</v>
      </c>
      <c r="C339" s="114">
        <v>21600002</v>
      </c>
      <c r="D339" s="129">
        <v>1</v>
      </c>
      <c r="E339" s="114">
        <v>49</v>
      </c>
      <c r="F339" s="57" t="s">
        <v>869</v>
      </c>
      <c r="G339" s="114" t="s">
        <v>860</v>
      </c>
      <c r="H339" s="114" t="s">
        <v>263</v>
      </c>
      <c r="I339" s="132"/>
    </row>
    <row r="340" spans="1:9">
      <c r="A340" s="114">
        <v>336</v>
      </c>
      <c r="B340" s="121" t="s">
        <v>872</v>
      </c>
      <c r="C340" s="114">
        <v>21538645</v>
      </c>
      <c r="D340" s="129">
        <v>7</v>
      </c>
      <c r="E340" s="114">
        <v>102</v>
      </c>
      <c r="F340" s="57" t="s">
        <v>871</v>
      </c>
      <c r="G340" s="114" t="s">
        <v>860</v>
      </c>
      <c r="H340" s="114" t="s">
        <v>263</v>
      </c>
      <c r="I340" s="132"/>
    </row>
    <row r="341" spans="1:9">
      <c r="A341" s="114">
        <v>337</v>
      </c>
      <c r="B341" s="121" t="s">
        <v>874</v>
      </c>
      <c r="C341" s="114">
        <v>21527240</v>
      </c>
      <c r="D341" s="129">
        <v>0</v>
      </c>
      <c r="E341" s="134">
        <v>3</v>
      </c>
      <c r="F341" s="57" t="s">
        <v>873</v>
      </c>
      <c r="G341" s="134" t="s">
        <v>860</v>
      </c>
      <c r="H341" s="134" t="s">
        <v>265</v>
      </c>
      <c r="I341" s="132"/>
    </row>
    <row r="342" spans="1:9">
      <c r="A342" s="114">
        <v>338</v>
      </c>
      <c r="B342" s="121" t="s">
        <v>876</v>
      </c>
      <c r="C342" s="114">
        <v>21635905</v>
      </c>
      <c r="D342" s="129">
        <v>4</v>
      </c>
      <c r="E342" s="114">
        <v>301</v>
      </c>
      <c r="F342" s="57" t="s">
        <v>875</v>
      </c>
      <c r="G342" s="114" t="s">
        <v>860</v>
      </c>
      <c r="H342" s="114" t="s">
        <v>263</v>
      </c>
      <c r="I342" s="132"/>
    </row>
    <row r="343" spans="1:9">
      <c r="A343" s="114">
        <v>339</v>
      </c>
      <c r="B343" s="121" t="s">
        <v>878</v>
      </c>
      <c r="C343" s="114">
        <v>21299999</v>
      </c>
      <c r="D343" s="129">
        <v>7</v>
      </c>
      <c r="E343" s="114">
        <v>303</v>
      </c>
      <c r="F343" s="57" t="s">
        <v>877</v>
      </c>
      <c r="G343" s="114" t="s">
        <v>860</v>
      </c>
      <c r="H343" s="114" t="s">
        <v>263</v>
      </c>
      <c r="I343" s="132"/>
    </row>
    <row r="344" spans="1:9">
      <c r="A344" s="114">
        <v>340</v>
      </c>
      <c r="B344" s="121" t="s">
        <v>880</v>
      </c>
      <c r="C344" s="114">
        <v>21721630</v>
      </c>
      <c r="D344" s="129">
        <v>3</v>
      </c>
      <c r="E344" s="114">
        <v>191</v>
      </c>
      <c r="F344" s="57" t="s">
        <v>879</v>
      </c>
      <c r="G344" s="114" t="s">
        <v>860</v>
      </c>
      <c r="H344" s="114" t="s">
        <v>263</v>
      </c>
      <c r="I344" s="132"/>
    </row>
    <row r="345" spans="1:9">
      <c r="A345" s="114">
        <v>341</v>
      </c>
      <c r="B345" s="121" t="s">
        <v>882</v>
      </c>
      <c r="C345" s="114">
        <v>21571971</v>
      </c>
      <c r="D345" s="129">
        <v>5</v>
      </c>
      <c r="E345" s="114">
        <v>81</v>
      </c>
      <c r="F345" s="57" t="s">
        <v>881</v>
      </c>
      <c r="G345" s="114" t="s">
        <v>860</v>
      </c>
      <c r="H345" s="114" t="s">
        <v>263</v>
      </c>
      <c r="I345" s="132"/>
    </row>
    <row r="346" spans="1:9">
      <c r="A346" s="114">
        <v>342</v>
      </c>
      <c r="B346" s="121" t="s">
        <v>884</v>
      </c>
      <c r="C346" s="114">
        <v>21597677</v>
      </c>
      <c r="D346" s="129">
        <v>7</v>
      </c>
      <c r="E346" s="114">
        <v>404</v>
      </c>
      <c r="F346" s="57" t="s">
        <v>883</v>
      </c>
      <c r="G346" s="114" t="s">
        <v>860</v>
      </c>
      <c r="H346" s="114" t="s">
        <v>263</v>
      </c>
      <c r="I346" s="132"/>
    </row>
    <row r="347" spans="1:9">
      <c r="A347" s="114">
        <v>343</v>
      </c>
      <c r="B347" s="121" t="s">
        <v>886</v>
      </c>
      <c r="C347" s="114">
        <v>21571994</v>
      </c>
      <c r="D347" s="129">
        <v>4</v>
      </c>
      <c r="E347" s="114">
        <v>172</v>
      </c>
      <c r="F347" s="57" t="s">
        <v>885</v>
      </c>
      <c r="G347" s="114" t="s">
        <v>860</v>
      </c>
      <c r="H347" s="114" t="s">
        <v>263</v>
      </c>
      <c r="I347" s="132"/>
    </row>
    <row r="348" spans="1:9">
      <c r="A348" s="114">
        <v>344</v>
      </c>
      <c r="B348" s="121" t="s">
        <v>888</v>
      </c>
      <c r="C348" s="114">
        <v>21917809</v>
      </c>
      <c r="D348" s="129">
        <v>3</v>
      </c>
      <c r="E348" s="114">
        <v>274</v>
      </c>
      <c r="F348" s="57" t="s">
        <v>887</v>
      </c>
      <c r="G348" s="114" t="s">
        <v>860</v>
      </c>
      <c r="H348" s="114" t="s">
        <v>263</v>
      </c>
      <c r="I348" s="132"/>
    </row>
    <row r="349" spans="1:9">
      <c r="A349" s="114">
        <v>345</v>
      </c>
      <c r="B349" s="121" t="s">
        <v>889</v>
      </c>
      <c r="C349" s="114">
        <v>21274761</v>
      </c>
      <c r="D349" s="129">
        <v>0</v>
      </c>
      <c r="E349" s="114">
        <v>265</v>
      </c>
      <c r="F349" s="57" t="s">
        <v>858</v>
      </c>
      <c r="G349" s="114" t="s">
        <v>860</v>
      </c>
      <c r="H349" s="114" t="s">
        <v>263</v>
      </c>
      <c r="I349" s="132"/>
    </row>
    <row r="350" spans="1:9">
      <c r="A350" s="114">
        <v>346</v>
      </c>
      <c r="B350" s="121" t="s">
        <v>891</v>
      </c>
      <c r="C350" s="114">
        <v>20291347</v>
      </c>
      <c r="D350" s="129">
        <v>4</v>
      </c>
      <c r="E350" s="134">
        <v>264</v>
      </c>
      <c r="F350" s="57" t="s">
        <v>890</v>
      </c>
      <c r="G350" s="134" t="s">
        <v>860</v>
      </c>
      <c r="H350" s="134" t="s">
        <v>265</v>
      </c>
      <c r="I350" s="134" t="s">
        <v>349</v>
      </c>
    </row>
    <row r="351" spans="1:9">
      <c r="A351" s="114">
        <v>347</v>
      </c>
      <c r="B351" s="121" t="s">
        <v>893</v>
      </c>
      <c r="C351" s="114">
        <v>21261071</v>
      </c>
      <c r="D351" s="129">
        <v>2</v>
      </c>
      <c r="E351" s="130">
        <v>206</v>
      </c>
      <c r="F351" s="57" t="s">
        <v>892</v>
      </c>
      <c r="G351" s="130" t="s">
        <v>894</v>
      </c>
      <c r="H351" s="136" t="s">
        <v>263</v>
      </c>
      <c r="I351" s="121"/>
    </row>
    <row r="352" spans="1:9">
      <c r="A352" s="114">
        <v>348</v>
      </c>
      <c r="B352" s="121" t="s">
        <v>896</v>
      </c>
      <c r="C352" s="114">
        <v>20441923</v>
      </c>
      <c r="D352" s="129" t="s">
        <v>387</v>
      </c>
      <c r="E352" s="130">
        <v>237</v>
      </c>
      <c r="F352" s="57" t="s">
        <v>895</v>
      </c>
      <c r="G352" s="130" t="s">
        <v>894</v>
      </c>
      <c r="H352" s="136" t="s">
        <v>263</v>
      </c>
      <c r="I352" s="121"/>
    </row>
    <row r="353" spans="1:9">
      <c r="A353" s="114">
        <v>349</v>
      </c>
      <c r="B353" s="121" t="s">
        <v>898</v>
      </c>
      <c r="C353" s="114">
        <v>21340087</v>
      </c>
      <c r="D353" s="129">
        <v>8</v>
      </c>
      <c r="E353" s="130">
        <v>207</v>
      </c>
      <c r="F353" s="57" t="s">
        <v>897</v>
      </c>
      <c r="G353" s="130" t="s">
        <v>894</v>
      </c>
      <c r="H353" s="136" t="s">
        <v>263</v>
      </c>
      <c r="I353" s="121"/>
    </row>
    <row r="354" spans="1:9">
      <c r="A354" s="114">
        <v>350</v>
      </c>
      <c r="B354" s="121" t="s">
        <v>900</v>
      </c>
      <c r="C354" s="114">
        <v>20913650</v>
      </c>
      <c r="D354" s="129">
        <v>3</v>
      </c>
      <c r="E354" s="130">
        <v>63</v>
      </c>
      <c r="F354" s="57" t="s">
        <v>899</v>
      </c>
      <c r="G354" s="130" t="s">
        <v>894</v>
      </c>
      <c r="H354" s="136" t="s">
        <v>263</v>
      </c>
      <c r="I354" s="121"/>
    </row>
    <row r="355" spans="1:9">
      <c r="A355" s="114">
        <v>351</v>
      </c>
      <c r="B355" s="121" t="s">
        <v>902</v>
      </c>
      <c r="C355" s="114">
        <v>21427638</v>
      </c>
      <c r="D355" s="129">
        <v>0</v>
      </c>
      <c r="E355" s="130">
        <v>53</v>
      </c>
      <c r="F355" s="57" t="s">
        <v>901</v>
      </c>
      <c r="G355" s="130" t="s">
        <v>894</v>
      </c>
      <c r="H355" s="136" t="s">
        <v>263</v>
      </c>
      <c r="I355" s="121"/>
    </row>
    <row r="356" spans="1:9">
      <c r="A356" s="114">
        <v>352</v>
      </c>
      <c r="B356" s="121" t="s">
        <v>904</v>
      </c>
      <c r="C356" s="114">
        <v>21685936</v>
      </c>
      <c r="D356" s="129">
        <v>7</v>
      </c>
      <c r="E356" s="130">
        <v>411</v>
      </c>
      <c r="F356" s="57" t="s">
        <v>903</v>
      </c>
      <c r="G356" s="130" t="s">
        <v>894</v>
      </c>
      <c r="H356" s="136" t="s">
        <v>263</v>
      </c>
      <c r="I356" s="121"/>
    </row>
    <row r="357" spans="1:9">
      <c r="A357" s="114">
        <v>353</v>
      </c>
      <c r="B357" s="121" t="s">
        <v>906</v>
      </c>
      <c r="C357" s="114">
        <v>21576111</v>
      </c>
      <c r="D357" s="129">
        <v>8</v>
      </c>
      <c r="E357" s="130">
        <v>178</v>
      </c>
      <c r="F357" s="57" t="s">
        <v>905</v>
      </c>
      <c r="G357" s="130" t="s">
        <v>894</v>
      </c>
      <c r="H357" s="136" t="s">
        <v>263</v>
      </c>
      <c r="I357" s="121"/>
    </row>
    <row r="358" spans="1:9">
      <c r="A358" s="114">
        <v>354</v>
      </c>
      <c r="B358" s="121" t="s">
        <v>908</v>
      </c>
      <c r="C358" s="114">
        <v>21804253</v>
      </c>
      <c r="D358" s="129">
        <v>8</v>
      </c>
      <c r="E358" s="130">
        <v>114</v>
      </c>
      <c r="F358" s="57" t="s">
        <v>907</v>
      </c>
      <c r="G358" s="130" t="s">
        <v>894</v>
      </c>
      <c r="H358" s="136" t="s">
        <v>263</v>
      </c>
      <c r="I358" s="121"/>
    </row>
    <row r="359" spans="1:9">
      <c r="A359" s="114">
        <v>355</v>
      </c>
      <c r="B359" s="121" t="s">
        <v>910</v>
      </c>
      <c r="C359" s="114">
        <v>21499645</v>
      </c>
      <c r="D359" s="129">
        <v>6</v>
      </c>
      <c r="E359" s="114">
        <v>105</v>
      </c>
      <c r="F359" s="57" t="s">
        <v>909</v>
      </c>
      <c r="G359" s="114" t="s">
        <v>894</v>
      </c>
      <c r="H359" s="114" t="s">
        <v>263</v>
      </c>
      <c r="I359" s="121"/>
    </row>
    <row r="360" spans="1:9">
      <c r="A360" s="114">
        <v>356</v>
      </c>
      <c r="B360" s="121" t="s">
        <v>912</v>
      </c>
      <c r="C360" s="114">
        <v>21690071</v>
      </c>
      <c r="D360" s="129">
        <v>5</v>
      </c>
      <c r="E360" s="130">
        <v>292</v>
      </c>
      <c r="F360" s="57" t="s">
        <v>911</v>
      </c>
      <c r="G360" s="130" t="s">
        <v>913</v>
      </c>
      <c r="H360" s="136" t="s">
        <v>265</v>
      </c>
      <c r="I360" s="121"/>
    </row>
    <row r="361" spans="1:9">
      <c r="A361" s="114">
        <v>357</v>
      </c>
      <c r="B361" s="121" t="s">
        <v>915</v>
      </c>
      <c r="C361" s="114">
        <v>20833256</v>
      </c>
      <c r="D361" s="129">
        <v>2</v>
      </c>
      <c r="E361" s="130">
        <v>304</v>
      </c>
      <c r="F361" s="57" t="s">
        <v>914</v>
      </c>
      <c r="G361" s="130" t="s">
        <v>913</v>
      </c>
      <c r="H361" s="136" t="s">
        <v>263</v>
      </c>
      <c r="I361" s="121"/>
    </row>
    <row r="362" spans="1:9">
      <c r="A362" s="114">
        <v>358</v>
      </c>
      <c r="B362" s="121" t="s">
        <v>917</v>
      </c>
      <c r="C362" s="114">
        <v>21117088</v>
      </c>
      <c r="D362" s="129">
        <v>3</v>
      </c>
      <c r="E362" s="130">
        <v>403</v>
      </c>
      <c r="F362" s="57" t="s">
        <v>916</v>
      </c>
      <c r="G362" s="130" t="s">
        <v>913</v>
      </c>
      <c r="H362" s="136" t="s">
        <v>263</v>
      </c>
      <c r="I362" s="121"/>
    </row>
    <row r="363" spans="1:9">
      <c r="A363" s="114">
        <v>359</v>
      </c>
      <c r="B363" s="121" t="s">
        <v>919</v>
      </c>
      <c r="C363" s="114">
        <v>21043208</v>
      </c>
      <c r="D363" s="129">
        <v>6</v>
      </c>
      <c r="E363" s="130">
        <v>152</v>
      </c>
      <c r="F363" s="57" t="s">
        <v>918</v>
      </c>
      <c r="G363" s="130" t="s">
        <v>913</v>
      </c>
      <c r="H363" s="136" t="s">
        <v>263</v>
      </c>
      <c r="I363" s="121"/>
    </row>
    <row r="364" spans="1:9">
      <c r="A364" s="114">
        <v>360</v>
      </c>
      <c r="B364" s="121" t="s">
        <v>921</v>
      </c>
      <c r="C364" s="114">
        <v>21212992</v>
      </c>
      <c r="D364" s="129">
        <v>5</v>
      </c>
      <c r="E364" s="130">
        <v>228</v>
      </c>
      <c r="F364" s="57" t="s">
        <v>920</v>
      </c>
      <c r="G364" s="130" t="s">
        <v>913</v>
      </c>
      <c r="H364" s="136" t="s">
        <v>265</v>
      </c>
      <c r="I364" s="121"/>
    </row>
    <row r="365" spans="1:9">
      <c r="A365" s="114">
        <v>361</v>
      </c>
      <c r="B365" s="121" t="s">
        <v>923</v>
      </c>
      <c r="C365" s="114">
        <v>21261590</v>
      </c>
      <c r="D365" s="129">
        <v>0</v>
      </c>
      <c r="E365" s="130">
        <v>136</v>
      </c>
      <c r="F365" s="57" t="s">
        <v>922</v>
      </c>
      <c r="G365" s="130" t="s">
        <v>913</v>
      </c>
      <c r="H365" s="136" t="s">
        <v>265</v>
      </c>
      <c r="I365" s="121"/>
    </row>
    <row r="366" spans="1:9">
      <c r="A366" s="114">
        <v>362</v>
      </c>
      <c r="B366" s="121" t="s">
        <v>925</v>
      </c>
      <c r="C366" s="114">
        <v>21584175</v>
      </c>
      <c r="D366" s="129">
        <v>8</v>
      </c>
      <c r="E366" s="130">
        <v>133</v>
      </c>
      <c r="F366" s="57" t="s">
        <v>924</v>
      </c>
      <c r="G366" s="130" t="s">
        <v>913</v>
      </c>
      <c r="H366" s="136" t="s">
        <v>263</v>
      </c>
      <c r="I366" s="121"/>
    </row>
    <row r="367" spans="1:9">
      <c r="A367" s="114">
        <v>363</v>
      </c>
      <c r="B367" s="121" t="s">
        <v>927</v>
      </c>
      <c r="C367" s="114">
        <v>21551186</v>
      </c>
      <c r="D367" s="129">
        <v>3</v>
      </c>
      <c r="E367" s="130">
        <v>39</v>
      </c>
      <c r="F367" s="57" t="s">
        <v>926</v>
      </c>
      <c r="G367" s="130" t="s">
        <v>913</v>
      </c>
      <c r="H367" s="136" t="s">
        <v>265</v>
      </c>
      <c r="I367" s="121"/>
    </row>
    <row r="368" spans="1:9">
      <c r="A368" s="114">
        <v>364</v>
      </c>
      <c r="B368" s="121" t="s">
        <v>929</v>
      </c>
      <c r="C368" s="114">
        <v>21095657</v>
      </c>
      <c r="D368" s="129">
        <v>3</v>
      </c>
      <c r="E368" s="130">
        <v>340</v>
      </c>
      <c r="F368" s="57" t="s">
        <v>928</v>
      </c>
      <c r="G368" s="130" t="s">
        <v>930</v>
      </c>
      <c r="H368" s="136" t="s">
        <v>265</v>
      </c>
      <c r="I368" s="121"/>
    </row>
    <row r="369" spans="1:9">
      <c r="A369" s="114">
        <v>365</v>
      </c>
      <c r="B369" s="121" t="s">
        <v>932</v>
      </c>
      <c r="C369" s="114">
        <v>21499884</v>
      </c>
      <c r="D369" s="129" t="s">
        <v>387</v>
      </c>
      <c r="E369" s="130">
        <v>96</v>
      </c>
      <c r="F369" s="57" t="s">
        <v>931</v>
      </c>
      <c r="G369" s="130" t="s">
        <v>930</v>
      </c>
      <c r="H369" s="136" t="s">
        <v>263</v>
      </c>
      <c r="I369" s="121"/>
    </row>
    <row r="370" spans="1:9">
      <c r="A370" s="114">
        <v>366</v>
      </c>
      <c r="B370" s="121" t="s">
        <v>934</v>
      </c>
      <c r="C370" s="114">
        <v>21194080</v>
      </c>
      <c r="D370" s="129">
        <v>8</v>
      </c>
      <c r="E370" s="130">
        <v>101</v>
      </c>
      <c r="F370" s="57" t="s">
        <v>933</v>
      </c>
      <c r="G370" s="130" t="s">
        <v>930</v>
      </c>
      <c r="H370" s="136" t="s">
        <v>263</v>
      </c>
      <c r="I370" s="121"/>
    </row>
    <row r="371" spans="1:9">
      <c r="A371" s="114">
        <v>367</v>
      </c>
      <c r="B371" s="121" t="s">
        <v>936</v>
      </c>
      <c r="C371" s="114">
        <v>21433023</v>
      </c>
      <c r="D371" s="129">
        <v>7</v>
      </c>
      <c r="E371" s="130">
        <v>235</v>
      </c>
      <c r="F371" s="57" t="s">
        <v>935</v>
      </c>
      <c r="G371" s="130" t="s">
        <v>930</v>
      </c>
      <c r="H371" s="136" t="s">
        <v>263</v>
      </c>
      <c r="I371" s="121"/>
    </row>
    <row r="372" spans="1:9">
      <c r="A372" s="114">
        <v>368</v>
      </c>
      <c r="B372" s="121" t="s">
        <v>938</v>
      </c>
      <c r="C372" s="114">
        <v>20940052</v>
      </c>
      <c r="D372" s="129">
        <v>9</v>
      </c>
      <c r="E372" s="130">
        <v>176</v>
      </c>
      <c r="F372" s="57" t="s">
        <v>937</v>
      </c>
      <c r="G372" s="130" t="s">
        <v>930</v>
      </c>
      <c r="H372" s="136" t="s">
        <v>263</v>
      </c>
      <c r="I372" s="121"/>
    </row>
    <row r="373" spans="1:9">
      <c r="A373" s="114">
        <v>369</v>
      </c>
      <c r="B373" s="121" t="s">
        <v>940</v>
      </c>
      <c r="C373" s="114">
        <v>21666041</v>
      </c>
      <c r="D373" s="129">
        <v>2</v>
      </c>
      <c r="E373" s="130">
        <v>106</v>
      </c>
      <c r="F373" s="57" t="s">
        <v>939</v>
      </c>
      <c r="G373" s="130" t="s">
        <v>930</v>
      </c>
      <c r="H373" s="136" t="s">
        <v>263</v>
      </c>
      <c r="I373" s="121"/>
    </row>
    <row r="374" spans="1:9">
      <c r="A374" s="114">
        <v>370</v>
      </c>
      <c r="B374" s="121" t="s">
        <v>942</v>
      </c>
      <c r="C374" s="114">
        <v>21573816</v>
      </c>
      <c r="D374" s="129">
        <v>7</v>
      </c>
      <c r="E374" s="130">
        <v>294</v>
      </c>
      <c r="F374" s="57" t="s">
        <v>941</v>
      </c>
      <c r="G374" s="130" t="s">
        <v>930</v>
      </c>
      <c r="H374" s="136" t="s">
        <v>263</v>
      </c>
      <c r="I374" s="121"/>
    </row>
    <row r="375" spans="1:9">
      <c r="A375" s="114">
        <v>371</v>
      </c>
      <c r="B375" s="121" t="s">
        <v>944</v>
      </c>
      <c r="C375" s="114">
        <v>21550909</v>
      </c>
      <c r="D375" s="129">
        <v>5</v>
      </c>
      <c r="E375" s="130">
        <v>155</v>
      </c>
      <c r="F375" s="57" t="s">
        <v>943</v>
      </c>
      <c r="G375" s="130" t="s">
        <v>930</v>
      </c>
      <c r="H375" s="136" t="s">
        <v>263</v>
      </c>
      <c r="I375" s="121"/>
    </row>
    <row r="376" spans="1:9">
      <c r="A376" s="114">
        <v>372</v>
      </c>
      <c r="B376" s="121" t="s">
        <v>946</v>
      </c>
      <c r="C376" s="114">
        <v>21335894</v>
      </c>
      <c r="D376" s="129">
        <v>4</v>
      </c>
      <c r="E376" s="130">
        <v>74</v>
      </c>
      <c r="F376" s="57" t="s">
        <v>945</v>
      </c>
      <c r="G376" s="130" t="s">
        <v>930</v>
      </c>
      <c r="H376" s="136" t="s">
        <v>263</v>
      </c>
      <c r="I376" s="121"/>
    </row>
    <row r="377" spans="1:9">
      <c r="A377" s="114">
        <v>373</v>
      </c>
      <c r="B377" s="121" t="s">
        <v>948</v>
      </c>
      <c r="C377" s="114">
        <v>21745111</v>
      </c>
      <c r="D377" s="129">
        <v>6</v>
      </c>
      <c r="E377" s="130">
        <v>220</v>
      </c>
      <c r="F377" s="57" t="s">
        <v>947</v>
      </c>
      <c r="G377" s="130" t="s">
        <v>930</v>
      </c>
      <c r="H377" s="136" t="s">
        <v>263</v>
      </c>
      <c r="I377" s="121"/>
    </row>
    <row r="378" spans="1:9">
      <c r="A378" s="114">
        <v>374</v>
      </c>
      <c r="B378" s="121" t="s">
        <v>950</v>
      </c>
      <c r="C378" s="114">
        <v>21489203</v>
      </c>
      <c r="D378" s="129">
        <v>0</v>
      </c>
      <c r="E378" s="130">
        <v>258</v>
      </c>
      <c r="F378" s="57" t="s">
        <v>949</v>
      </c>
      <c r="G378" s="130" t="s">
        <v>930</v>
      </c>
      <c r="H378" s="136" t="s">
        <v>265</v>
      </c>
      <c r="I378" s="121"/>
    </row>
    <row r="379" spans="1:9">
      <c r="A379" s="114">
        <v>375</v>
      </c>
      <c r="B379" s="121" t="s">
        <v>952</v>
      </c>
      <c r="C379" s="114">
        <v>21474627</v>
      </c>
      <c r="D379" s="129">
        <v>1</v>
      </c>
      <c r="E379" s="114">
        <v>324</v>
      </c>
      <c r="F379" s="57" t="s">
        <v>951</v>
      </c>
      <c r="G379" s="110" t="s">
        <v>953</v>
      </c>
      <c r="H379" s="57" t="s">
        <v>265</v>
      </c>
      <c r="I379" s="121"/>
    </row>
    <row r="380" spans="1:9">
      <c r="A380" s="114">
        <v>376</v>
      </c>
      <c r="B380" s="121" t="s">
        <v>955</v>
      </c>
      <c r="C380" s="114">
        <v>21641139</v>
      </c>
      <c r="D380" s="129">
        <v>0</v>
      </c>
      <c r="E380" s="114">
        <v>128</v>
      </c>
      <c r="F380" s="57" t="s">
        <v>954</v>
      </c>
      <c r="G380" s="110" t="s">
        <v>953</v>
      </c>
      <c r="H380" s="57" t="s">
        <v>263</v>
      </c>
      <c r="I380" s="121"/>
    </row>
    <row r="381" spans="1:9">
      <c r="A381" s="114">
        <v>377</v>
      </c>
      <c r="B381" s="121" t="s">
        <v>957</v>
      </c>
      <c r="C381" s="114">
        <v>21599810</v>
      </c>
      <c r="D381" s="129" t="s">
        <v>387</v>
      </c>
      <c r="E381" s="114">
        <v>335</v>
      </c>
      <c r="F381" s="57" t="s">
        <v>956</v>
      </c>
      <c r="G381" s="110" t="s">
        <v>953</v>
      </c>
      <c r="H381" s="57" t="s">
        <v>263</v>
      </c>
      <c r="I381" s="121"/>
    </row>
    <row r="382" spans="1:9">
      <c r="A382" s="114">
        <v>378</v>
      </c>
      <c r="B382" s="121" t="s">
        <v>959</v>
      </c>
      <c r="C382" s="114">
        <v>20880817</v>
      </c>
      <c r="D382" s="129">
        <v>6</v>
      </c>
      <c r="E382" s="114">
        <v>116</v>
      </c>
      <c r="F382" s="57" t="s">
        <v>958</v>
      </c>
      <c r="G382" s="110" t="s">
        <v>953</v>
      </c>
      <c r="H382" s="57" t="s">
        <v>263</v>
      </c>
      <c r="I382" s="121"/>
    </row>
    <row r="383" spans="1:9">
      <c r="A383" s="114">
        <v>379</v>
      </c>
      <c r="B383" s="121" t="s">
        <v>961</v>
      </c>
      <c r="C383" s="114">
        <v>21373687</v>
      </c>
      <c r="D383" s="129">
        <v>6</v>
      </c>
      <c r="E383" s="114">
        <v>150</v>
      </c>
      <c r="F383" s="57" t="s">
        <v>960</v>
      </c>
      <c r="G383" s="110" t="s">
        <v>953</v>
      </c>
      <c r="H383" s="57" t="s">
        <v>265</v>
      </c>
      <c r="I383" s="121"/>
    </row>
    <row r="384" spans="1:9">
      <c r="A384" s="114">
        <v>380</v>
      </c>
      <c r="B384" s="121" t="s">
        <v>963</v>
      </c>
      <c r="C384" s="114">
        <v>20657073</v>
      </c>
      <c r="D384" s="129">
        <v>3</v>
      </c>
      <c r="E384" s="114">
        <v>13</v>
      </c>
      <c r="F384" s="57" t="s">
        <v>962</v>
      </c>
      <c r="G384" s="110" t="s">
        <v>953</v>
      </c>
      <c r="H384" s="57" t="s">
        <v>265</v>
      </c>
      <c r="I384" s="121"/>
    </row>
    <row r="385" spans="1:9">
      <c r="A385" s="114">
        <v>381</v>
      </c>
      <c r="B385" s="121" t="s">
        <v>965</v>
      </c>
      <c r="C385" s="114">
        <v>21711962</v>
      </c>
      <c r="D385" s="129">
        <v>6</v>
      </c>
      <c r="E385" s="114">
        <v>278</v>
      </c>
      <c r="F385" s="57" t="s">
        <v>964</v>
      </c>
      <c r="G385" s="110" t="s">
        <v>953</v>
      </c>
      <c r="H385" s="57" t="s">
        <v>265</v>
      </c>
      <c r="I385" s="121"/>
    </row>
    <row r="386" spans="1:9">
      <c r="A386" s="114">
        <v>382</v>
      </c>
      <c r="B386" s="121" t="s">
        <v>967</v>
      </c>
      <c r="C386" s="114">
        <v>20739661</v>
      </c>
      <c r="D386" s="129">
        <v>3</v>
      </c>
      <c r="E386" s="114">
        <v>190</v>
      </c>
      <c r="F386" s="57" t="s">
        <v>966</v>
      </c>
      <c r="G386" s="110" t="s">
        <v>953</v>
      </c>
      <c r="H386" s="57" t="s">
        <v>263</v>
      </c>
      <c r="I386" s="121"/>
    </row>
    <row r="387" spans="1:9">
      <c r="A387" s="114">
        <v>383</v>
      </c>
      <c r="B387" s="121" t="s">
        <v>969</v>
      </c>
      <c r="C387" s="114">
        <v>20641357</v>
      </c>
      <c r="D387" s="129">
        <v>3</v>
      </c>
      <c r="E387" s="114">
        <v>452</v>
      </c>
      <c r="F387" s="57" t="s">
        <v>968</v>
      </c>
      <c r="G387" s="110" t="s">
        <v>953</v>
      </c>
      <c r="H387" s="57" t="s">
        <v>263</v>
      </c>
      <c r="I387" s="121" t="s">
        <v>349</v>
      </c>
    </row>
    <row r="388" spans="1:9">
      <c r="A388" s="114">
        <v>384</v>
      </c>
      <c r="B388" s="121" t="s">
        <v>971</v>
      </c>
      <c r="C388" s="114">
        <v>20039053</v>
      </c>
      <c r="D388" s="129">
        <v>9</v>
      </c>
      <c r="E388" s="114">
        <v>151</v>
      </c>
      <c r="F388" s="57" t="s">
        <v>970</v>
      </c>
      <c r="G388" s="110" t="s">
        <v>953</v>
      </c>
      <c r="H388" s="57" t="s">
        <v>263</v>
      </c>
      <c r="I388" s="121"/>
    </row>
    <row r="389" spans="1:9">
      <c r="A389" s="114">
        <v>385</v>
      </c>
      <c r="B389" s="121" t="s">
        <v>973</v>
      </c>
      <c r="C389" s="114">
        <v>21257165</v>
      </c>
      <c r="D389" s="129">
        <v>2</v>
      </c>
      <c r="E389" s="114">
        <v>391</v>
      </c>
      <c r="F389" s="57" t="s">
        <v>972</v>
      </c>
      <c r="G389" s="110" t="s">
        <v>953</v>
      </c>
      <c r="H389" s="57" t="s">
        <v>263</v>
      </c>
      <c r="I389" s="121"/>
    </row>
    <row r="390" spans="1:9">
      <c r="A390" s="114">
        <v>386</v>
      </c>
      <c r="B390" s="121" t="s">
        <v>975</v>
      </c>
      <c r="C390" s="114">
        <v>99600500</v>
      </c>
      <c r="D390" s="129">
        <v>3</v>
      </c>
      <c r="E390" s="114">
        <v>412</v>
      </c>
      <c r="F390" s="57" t="s">
        <v>974</v>
      </c>
      <c r="G390" s="110" t="s">
        <v>953</v>
      </c>
      <c r="H390" s="57" t="s">
        <v>263</v>
      </c>
      <c r="I390" s="121"/>
    </row>
    <row r="391" spans="1:9">
      <c r="A391" s="114">
        <v>387</v>
      </c>
      <c r="B391" s="121" t="s">
        <v>977</v>
      </c>
      <c r="C391" s="114">
        <v>21291728</v>
      </c>
      <c r="D391" s="129">
        <v>1</v>
      </c>
      <c r="E391" s="114">
        <v>236</v>
      </c>
      <c r="F391" s="57" t="s">
        <v>976</v>
      </c>
      <c r="G391" s="110" t="s">
        <v>953</v>
      </c>
      <c r="H391" s="57" t="s">
        <v>263</v>
      </c>
      <c r="I391" s="121"/>
    </row>
    <row r="392" spans="1:9">
      <c r="A392" s="114">
        <v>388</v>
      </c>
      <c r="B392" s="121" t="s">
        <v>979</v>
      </c>
      <c r="C392" s="114">
        <v>21228204</v>
      </c>
      <c r="D392" s="129">
        <v>9</v>
      </c>
      <c r="E392" s="114">
        <v>46</v>
      </c>
      <c r="F392" s="57" t="s">
        <v>978</v>
      </c>
      <c r="G392" s="110" t="s">
        <v>953</v>
      </c>
      <c r="H392" s="57" t="s">
        <v>263</v>
      </c>
      <c r="I392" s="121"/>
    </row>
    <row r="393" spans="1:9">
      <c r="A393" s="114">
        <v>389</v>
      </c>
      <c r="B393" s="121" t="s">
        <v>981</v>
      </c>
      <c r="C393" s="114">
        <v>20482973</v>
      </c>
      <c r="D393" s="129" t="s">
        <v>387</v>
      </c>
      <c r="E393" s="114">
        <v>248</v>
      </c>
      <c r="F393" s="57" t="s">
        <v>980</v>
      </c>
      <c r="G393" s="110" t="s">
        <v>953</v>
      </c>
      <c r="H393" s="57" t="s">
        <v>263</v>
      </c>
      <c r="I393" s="121"/>
    </row>
    <row r="394" spans="1:9">
      <c r="A394" s="114">
        <v>390</v>
      </c>
      <c r="B394" s="121" t="s">
        <v>983</v>
      </c>
      <c r="C394" s="114">
        <v>21348359</v>
      </c>
      <c r="D394" s="129">
        <v>5</v>
      </c>
      <c r="E394" s="114">
        <v>131</v>
      </c>
      <c r="F394" s="57" t="s">
        <v>982</v>
      </c>
      <c r="G394" s="110" t="s">
        <v>953</v>
      </c>
      <c r="H394" s="57" t="s">
        <v>263</v>
      </c>
      <c r="I394" s="121"/>
    </row>
    <row r="395" spans="1:9">
      <c r="A395" s="114">
        <v>391</v>
      </c>
      <c r="B395" s="121" t="s">
        <v>985</v>
      </c>
      <c r="C395" s="114">
        <v>21482177</v>
      </c>
      <c r="D395" s="129" t="s">
        <v>387</v>
      </c>
      <c r="E395" s="114">
        <v>88</v>
      </c>
      <c r="F395" s="57" t="s">
        <v>984</v>
      </c>
      <c r="G395" s="110" t="s">
        <v>953</v>
      </c>
      <c r="H395" s="57" t="s">
        <v>263</v>
      </c>
      <c r="I395" s="121"/>
    </row>
    <row r="396" spans="1:9">
      <c r="A396" s="114">
        <v>392</v>
      </c>
      <c r="B396" s="121" t="s">
        <v>987</v>
      </c>
      <c r="C396" s="114">
        <v>21403624</v>
      </c>
      <c r="D396" s="129" t="s">
        <v>387</v>
      </c>
      <c r="E396" s="114">
        <v>181</v>
      </c>
      <c r="F396" s="57" t="s">
        <v>986</v>
      </c>
      <c r="G396" s="110" t="s">
        <v>953</v>
      </c>
      <c r="H396" s="57" t="s">
        <v>263</v>
      </c>
      <c r="I396" s="121"/>
    </row>
    <row r="397" spans="1:9">
      <c r="A397" s="114">
        <v>393</v>
      </c>
      <c r="B397" s="121" t="s">
        <v>989</v>
      </c>
      <c r="C397" s="114">
        <v>21432222</v>
      </c>
      <c r="D397" s="129">
        <v>6</v>
      </c>
      <c r="E397" s="114">
        <v>316</v>
      </c>
      <c r="F397" s="57" t="s">
        <v>988</v>
      </c>
      <c r="G397" s="110" t="s">
        <v>953</v>
      </c>
      <c r="H397" s="57" t="s">
        <v>263</v>
      </c>
      <c r="I397" s="121"/>
    </row>
    <row r="398" spans="1:9">
      <c r="A398" s="114">
        <v>394</v>
      </c>
      <c r="B398" s="121" t="s">
        <v>991</v>
      </c>
      <c r="C398" s="114">
        <v>21526520</v>
      </c>
      <c r="D398" s="129" t="s">
        <v>387</v>
      </c>
      <c r="E398" s="114">
        <v>65</v>
      </c>
      <c r="F398" s="57" t="s">
        <v>990</v>
      </c>
      <c r="G398" s="110" t="s">
        <v>953</v>
      </c>
      <c r="H398" s="57" t="s">
        <v>263</v>
      </c>
      <c r="I398" s="121"/>
    </row>
    <row r="399" spans="1:9">
      <c r="A399" s="114">
        <v>395</v>
      </c>
      <c r="B399" s="121" t="s">
        <v>993</v>
      </c>
      <c r="C399" s="114">
        <v>19960409</v>
      </c>
      <c r="D399" s="129">
        <v>0</v>
      </c>
      <c r="E399" s="114">
        <v>322</v>
      </c>
      <c r="F399" s="57" t="s">
        <v>992</v>
      </c>
      <c r="G399" s="110" t="s">
        <v>994</v>
      </c>
      <c r="H399" s="57" t="s">
        <v>263</v>
      </c>
      <c r="I399" s="121"/>
    </row>
    <row r="400" spans="1:9">
      <c r="A400" s="114">
        <v>396</v>
      </c>
      <c r="B400" s="121" t="s">
        <v>996</v>
      </c>
      <c r="C400" s="114">
        <v>21073953</v>
      </c>
      <c r="D400" s="129" t="s">
        <v>387</v>
      </c>
      <c r="E400" s="114">
        <v>20</v>
      </c>
      <c r="F400" s="57" t="s">
        <v>995</v>
      </c>
      <c r="G400" s="110" t="s">
        <v>994</v>
      </c>
      <c r="H400" s="57" t="s">
        <v>263</v>
      </c>
      <c r="I400" s="121"/>
    </row>
    <row r="401" spans="1:9">
      <c r="A401" s="114">
        <v>397</v>
      </c>
      <c r="B401" s="121" t="s">
        <v>998</v>
      </c>
      <c r="C401" s="114">
        <v>21093973</v>
      </c>
      <c r="D401" s="129">
        <v>3</v>
      </c>
      <c r="E401" s="114">
        <v>528</v>
      </c>
      <c r="F401" s="57" t="s">
        <v>997</v>
      </c>
      <c r="G401" s="110" t="s">
        <v>994</v>
      </c>
      <c r="H401" s="57" t="s">
        <v>263</v>
      </c>
      <c r="I401" s="121"/>
    </row>
    <row r="402" spans="1:9">
      <c r="A402" s="114">
        <v>398</v>
      </c>
      <c r="B402" s="121" t="s">
        <v>1000</v>
      </c>
      <c r="C402" s="114">
        <v>21655597</v>
      </c>
      <c r="D402" s="129" t="s">
        <v>387</v>
      </c>
      <c r="E402" s="114">
        <v>348</v>
      </c>
      <c r="F402" s="57" t="s">
        <v>999</v>
      </c>
      <c r="G402" s="110" t="s">
        <v>994</v>
      </c>
      <c r="H402" s="57" t="s">
        <v>265</v>
      </c>
      <c r="I402" s="121"/>
    </row>
    <row r="403" spans="1:9">
      <c r="A403" s="114">
        <v>399</v>
      </c>
      <c r="B403" s="121" t="s">
        <v>1002</v>
      </c>
      <c r="C403" s="114">
        <v>20501334</v>
      </c>
      <c r="D403" s="129">
        <v>2</v>
      </c>
      <c r="E403" s="114">
        <v>7</v>
      </c>
      <c r="F403" s="57" t="s">
        <v>1001</v>
      </c>
      <c r="G403" s="110" t="s">
        <v>994</v>
      </c>
      <c r="H403" s="57" t="s">
        <v>263</v>
      </c>
      <c r="I403" s="121"/>
    </row>
    <row r="404" spans="1:9">
      <c r="A404" s="114">
        <v>400</v>
      </c>
      <c r="B404" s="121" t="s">
        <v>1004</v>
      </c>
      <c r="C404" s="114">
        <v>20385592</v>
      </c>
      <c r="D404" s="129">
        <v>3</v>
      </c>
      <c r="E404" s="114">
        <v>91</v>
      </c>
      <c r="F404" s="57" t="s">
        <v>1003</v>
      </c>
      <c r="G404" s="110" t="s">
        <v>994</v>
      </c>
      <c r="H404" s="57" t="s">
        <v>263</v>
      </c>
      <c r="I404" s="121"/>
    </row>
    <row r="405" spans="1:9">
      <c r="A405" s="114">
        <v>401</v>
      </c>
      <c r="B405" s="121" t="s">
        <v>1006</v>
      </c>
      <c r="C405" s="114">
        <v>99600501</v>
      </c>
      <c r="D405" s="129">
        <v>1</v>
      </c>
      <c r="E405" s="114">
        <v>410</v>
      </c>
      <c r="F405" s="57" t="s">
        <v>1005</v>
      </c>
      <c r="G405" s="110" t="s">
        <v>994</v>
      </c>
      <c r="H405" s="57" t="s">
        <v>265</v>
      </c>
      <c r="I405" s="121"/>
    </row>
    <row r="406" spans="1:9">
      <c r="A406" s="114">
        <v>402</v>
      </c>
      <c r="B406" s="121" t="s">
        <v>1008</v>
      </c>
      <c r="C406" s="114">
        <v>21090339</v>
      </c>
      <c r="D406" s="129">
        <v>9</v>
      </c>
      <c r="E406" s="114">
        <v>124</v>
      </c>
      <c r="F406" s="57" t="s">
        <v>1007</v>
      </c>
      <c r="G406" s="110" t="s">
        <v>994</v>
      </c>
      <c r="H406" s="57" t="s">
        <v>265</v>
      </c>
      <c r="I406" s="121"/>
    </row>
    <row r="407" spans="1:9">
      <c r="A407" s="114">
        <v>403</v>
      </c>
      <c r="B407" s="121" t="s">
        <v>1010</v>
      </c>
      <c r="C407" s="114">
        <v>21350904</v>
      </c>
      <c r="D407" s="129">
        <v>7</v>
      </c>
      <c r="E407" s="114">
        <v>25</v>
      </c>
      <c r="F407" s="57" t="s">
        <v>1009</v>
      </c>
      <c r="G407" s="110" t="s">
        <v>994</v>
      </c>
      <c r="H407" s="57" t="s">
        <v>263</v>
      </c>
      <c r="I407" s="121"/>
    </row>
    <row r="408" spans="1:9">
      <c r="A408" s="114">
        <v>404</v>
      </c>
      <c r="B408" s="121" t="s">
        <v>1012</v>
      </c>
      <c r="C408" s="114">
        <v>21528327</v>
      </c>
      <c r="D408" s="129">
        <v>5</v>
      </c>
      <c r="E408" s="114">
        <v>161</v>
      </c>
      <c r="F408" s="57" t="s">
        <v>1011</v>
      </c>
      <c r="G408" s="110" t="s">
        <v>994</v>
      </c>
      <c r="H408" s="57" t="s">
        <v>263</v>
      </c>
      <c r="I408" s="121"/>
    </row>
    <row r="409" spans="1:9">
      <c r="A409" s="114">
        <v>405</v>
      </c>
      <c r="B409" s="121" t="s">
        <v>1014</v>
      </c>
      <c r="C409" s="114">
        <v>21776350</v>
      </c>
      <c r="D409" s="129">
        <v>9</v>
      </c>
      <c r="E409" s="114">
        <v>285</v>
      </c>
      <c r="F409" s="57" t="s">
        <v>1013</v>
      </c>
      <c r="G409" s="110" t="s">
        <v>994</v>
      </c>
      <c r="H409" s="57" t="s">
        <v>263</v>
      </c>
      <c r="I409" s="121"/>
    </row>
    <row r="410" spans="1:9">
      <c r="A410" s="114">
        <v>406</v>
      </c>
      <c r="B410" s="121" t="s">
        <v>1016</v>
      </c>
      <c r="C410" s="114">
        <v>21122606</v>
      </c>
      <c r="D410" s="129">
        <v>4</v>
      </c>
      <c r="E410" s="114">
        <v>26</v>
      </c>
      <c r="F410" s="57" t="s">
        <v>1015</v>
      </c>
      <c r="G410" s="110" t="s">
        <v>994</v>
      </c>
      <c r="H410" s="57" t="s">
        <v>263</v>
      </c>
      <c r="I410" s="121"/>
    </row>
    <row r="411" spans="1:9">
      <c r="A411" s="114">
        <v>407</v>
      </c>
      <c r="B411" s="121" t="s">
        <v>1018</v>
      </c>
      <c r="C411" s="114">
        <v>21116204</v>
      </c>
      <c r="D411" s="129" t="s">
        <v>387</v>
      </c>
      <c r="E411" s="114">
        <v>223</v>
      </c>
      <c r="F411" s="57" t="s">
        <v>1017</v>
      </c>
      <c r="G411" s="110" t="s">
        <v>994</v>
      </c>
      <c r="H411" s="57" t="s">
        <v>263</v>
      </c>
      <c r="I411" s="121"/>
    </row>
    <row r="412" spans="1:9">
      <c r="A412" s="114">
        <v>408</v>
      </c>
      <c r="B412" s="121" t="s">
        <v>1020</v>
      </c>
      <c r="C412" s="114">
        <v>21834417</v>
      </c>
      <c r="D412" s="129">
        <v>8</v>
      </c>
      <c r="E412" s="114">
        <v>332</v>
      </c>
      <c r="F412" s="57" t="s">
        <v>1019</v>
      </c>
      <c r="G412" s="110" t="s">
        <v>994</v>
      </c>
      <c r="H412" s="57" t="s">
        <v>263</v>
      </c>
      <c r="I412" s="121"/>
    </row>
    <row r="413" spans="1:9">
      <c r="A413" s="114">
        <v>409</v>
      </c>
      <c r="B413" s="121" t="s">
        <v>1022</v>
      </c>
      <c r="C413" s="114">
        <v>21517889</v>
      </c>
      <c r="D413" s="129">
        <v>7</v>
      </c>
      <c r="E413" s="114">
        <v>406</v>
      </c>
      <c r="F413" s="57" t="s">
        <v>1021</v>
      </c>
      <c r="G413" s="110" t="s">
        <v>994</v>
      </c>
      <c r="H413" s="57" t="s">
        <v>263</v>
      </c>
      <c r="I413" s="121"/>
    </row>
    <row r="414" spans="1:9">
      <c r="A414" s="114">
        <v>410</v>
      </c>
      <c r="B414" s="121" t="s">
        <v>1024</v>
      </c>
      <c r="C414" s="114">
        <v>20859221</v>
      </c>
      <c r="D414" s="129">
        <v>1</v>
      </c>
      <c r="E414" s="114">
        <v>18</v>
      </c>
      <c r="F414" s="57" t="s">
        <v>1023</v>
      </c>
      <c r="G414" s="110" t="s">
        <v>994</v>
      </c>
      <c r="H414" s="57" t="s">
        <v>263</v>
      </c>
      <c r="I414" s="121"/>
    </row>
    <row r="415" spans="1:9">
      <c r="A415" s="114">
        <v>411</v>
      </c>
      <c r="B415" s="121" t="s">
        <v>1026</v>
      </c>
      <c r="C415" s="114">
        <v>20213299</v>
      </c>
      <c r="D415" s="129">
        <v>5</v>
      </c>
      <c r="E415" s="114">
        <v>365</v>
      </c>
      <c r="F415" s="57" t="s">
        <v>1025</v>
      </c>
      <c r="G415" s="110" t="s">
        <v>994</v>
      </c>
      <c r="H415" s="57" t="s">
        <v>263</v>
      </c>
      <c r="I415" s="121"/>
    </row>
    <row r="416" spans="1:9">
      <c r="A416" s="114">
        <v>412</v>
      </c>
      <c r="B416" s="121" t="s">
        <v>1028</v>
      </c>
      <c r="C416" s="114">
        <v>20655601</v>
      </c>
      <c r="D416" s="129">
        <v>3</v>
      </c>
      <c r="E416" s="114">
        <v>218</v>
      </c>
      <c r="F416" s="57" t="s">
        <v>1027</v>
      </c>
      <c r="G416" s="110" t="s">
        <v>994</v>
      </c>
      <c r="H416" s="57" t="s">
        <v>263</v>
      </c>
      <c r="I416" s="121"/>
    </row>
    <row r="417" spans="1:9">
      <c r="A417" s="114">
        <v>413</v>
      </c>
      <c r="B417" s="121" t="s">
        <v>1030</v>
      </c>
      <c r="C417" s="114">
        <v>21443808</v>
      </c>
      <c r="D417" s="129">
        <v>9</v>
      </c>
      <c r="E417" s="114">
        <v>319</v>
      </c>
      <c r="F417" s="57" t="s">
        <v>1029</v>
      </c>
      <c r="G417" s="110" t="s">
        <v>994</v>
      </c>
      <c r="H417" s="57" t="s">
        <v>263</v>
      </c>
      <c r="I417" s="121"/>
    </row>
    <row r="418" spans="1:9">
      <c r="A418" s="114">
        <v>414</v>
      </c>
      <c r="B418" s="121" t="s">
        <v>1032</v>
      </c>
      <c r="C418" s="114">
        <v>20253486</v>
      </c>
      <c r="D418" s="129">
        <v>4</v>
      </c>
      <c r="E418" s="114">
        <v>211</v>
      </c>
      <c r="F418" s="57" t="s">
        <v>1031</v>
      </c>
      <c r="G418" s="110" t="s">
        <v>1033</v>
      </c>
      <c r="H418" s="57" t="s">
        <v>263</v>
      </c>
      <c r="I418" s="121"/>
    </row>
    <row r="419" spans="1:9">
      <c r="A419" s="114">
        <v>415</v>
      </c>
      <c r="B419" s="121" t="s">
        <v>1035</v>
      </c>
      <c r="C419" s="114">
        <v>21257306</v>
      </c>
      <c r="D419" s="129" t="s">
        <v>387</v>
      </c>
      <c r="E419" s="114">
        <v>162</v>
      </c>
      <c r="F419" s="57" t="s">
        <v>1034</v>
      </c>
      <c r="G419" s="110" t="s">
        <v>1033</v>
      </c>
      <c r="H419" s="57" t="s">
        <v>265</v>
      </c>
      <c r="I419" s="121"/>
    </row>
    <row r="420" spans="1:9">
      <c r="A420" s="114">
        <v>416</v>
      </c>
      <c r="B420" s="121" t="s">
        <v>1037</v>
      </c>
      <c r="C420" s="114">
        <v>21354925</v>
      </c>
      <c r="D420" s="129">
        <v>1</v>
      </c>
      <c r="E420" s="114">
        <v>280</v>
      </c>
      <c r="F420" s="57" t="s">
        <v>1036</v>
      </c>
      <c r="G420" s="110" t="s">
        <v>1033</v>
      </c>
      <c r="H420" s="57" t="s">
        <v>263</v>
      </c>
      <c r="I420" s="121"/>
    </row>
    <row r="421" spans="1:9">
      <c r="A421" s="114">
        <v>417</v>
      </c>
      <c r="B421" s="121" t="s">
        <v>1039</v>
      </c>
      <c r="C421" s="114">
        <v>21151800</v>
      </c>
      <c r="D421" s="129">
        <v>6</v>
      </c>
      <c r="E421" s="114">
        <v>78</v>
      </c>
      <c r="F421" s="57" t="s">
        <v>1038</v>
      </c>
      <c r="G421" s="110" t="s">
        <v>1033</v>
      </c>
      <c r="H421" s="57" t="s">
        <v>263</v>
      </c>
      <c r="I421" s="121"/>
    </row>
    <row r="422" spans="1:9">
      <c r="A422" s="114">
        <v>418</v>
      </c>
      <c r="B422" s="121" t="s">
        <v>1041</v>
      </c>
      <c r="C422" s="114">
        <v>21197293</v>
      </c>
      <c r="D422" s="129">
        <v>9</v>
      </c>
      <c r="E422" s="114">
        <v>21</v>
      </c>
      <c r="F422" s="57" t="s">
        <v>1040</v>
      </c>
      <c r="G422" s="110" t="s">
        <v>1033</v>
      </c>
      <c r="H422" s="57" t="s">
        <v>263</v>
      </c>
      <c r="I422" s="121"/>
    </row>
    <row r="423" spans="1:9">
      <c r="A423" s="114">
        <v>419</v>
      </c>
      <c r="B423" s="121" t="s">
        <v>1043</v>
      </c>
      <c r="C423" s="114">
        <v>21213506</v>
      </c>
      <c r="D423" s="129">
        <v>2</v>
      </c>
      <c r="E423" s="114">
        <v>154</v>
      </c>
      <c r="F423" s="57" t="s">
        <v>1042</v>
      </c>
      <c r="G423" s="110" t="s">
        <v>1033</v>
      </c>
      <c r="H423" s="57" t="s">
        <v>263</v>
      </c>
      <c r="I423" s="121"/>
    </row>
    <row r="424" spans="1:9">
      <c r="A424" s="114">
        <v>420</v>
      </c>
      <c r="B424" s="121" t="s">
        <v>1045</v>
      </c>
      <c r="C424" s="114">
        <v>21642026</v>
      </c>
      <c r="D424" s="129">
        <v>8</v>
      </c>
      <c r="E424" s="114">
        <v>35</v>
      </c>
      <c r="F424" s="57" t="s">
        <v>1044</v>
      </c>
      <c r="G424" s="110" t="s">
        <v>1033</v>
      </c>
      <c r="H424" s="57" t="s">
        <v>263</v>
      </c>
      <c r="I424" s="121"/>
    </row>
    <row r="425" spans="1:9">
      <c r="A425" s="114">
        <v>421</v>
      </c>
      <c r="B425" s="121" t="s">
        <v>1047</v>
      </c>
      <c r="C425" s="114">
        <v>21349641</v>
      </c>
      <c r="D425" s="129">
        <v>7</v>
      </c>
      <c r="E425" s="114">
        <v>425</v>
      </c>
      <c r="F425" s="57" t="s">
        <v>1046</v>
      </c>
      <c r="G425" s="110" t="s">
        <v>1033</v>
      </c>
      <c r="H425" s="57" t="s">
        <v>263</v>
      </c>
      <c r="I425" s="121"/>
    </row>
    <row r="426" spans="1:9">
      <c r="A426" s="114">
        <v>422</v>
      </c>
      <c r="B426" s="121" t="s">
        <v>1049</v>
      </c>
      <c r="C426" s="114">
        <v>21428105</v>
      </c>
      <c r="D426" s="129">
        <v>8</v>
      </c>
      <c r="E426" s="114">
        <v>64</v>
      </c>
      <c r="F426" s="57" t="s">
        <v>1048</v>
      </c>
      <c r="G426" s="110" t="s">
        <v>1033</v>
      </c>
      <c r="H426" s="57" t="s">
        <v>265</v>
      </c>
      <c r="I426" s="121"/>
    </row>
    <row r="427" spans="1:9">
      <c r="A427" s="114">
        <v>423</v>
      </c>
      <c r="B427" s="121" t="s">
        <v>1051</v>
      </c>
      <c r="C427" s="114">
        <v>20964463</v>
      </c>
      <c r="D427" s="129">
        <v>0</v>
      </c>
      <c r="E427" s="114">
        <v>210</v>
      </c>
      <c r="F427" s="57" t="s">
        <v>1050</v>
      </c>
      <c r="G427" s="110" t="s">
        <v>1033</v>
      </c>
      <c r="H427" s="57" t="s">
        <v>263</v>
      </c>
      <c r="I427" s="121"/>
    </row>
    <row r="428" spans="1:9">
      <c r="A428" s="114">
        <v>424</v>
      </c>
      <c r="B428" s="121" t="s">
        <v>1053</v>
      </c>
      <c r="C428" s="114">
        <v>20945053</v>
      </c>
      <c r="D428" s="129">
        <v>4</v>
      </c>
      <c r="E428" s="114">
        <v>398</v>
      </c>
      <c r="F428" s="57" t="s">
        <v>1052</v>
      </c>
      <c r="G428" s="110" t="s">
        <v>1033</v>
      </c>
      <c r="H428" s="57" t="s">
        <v>263</v>
      </c>
      <c r="I428" s="121"/>
    </row>
    <row r="429" spans="1:9">
      <c r="A429" s="114">
        <v>425</v>
      </c>
      <c r="B429" s="121" t="s">
        <v>1055</v>
      </c>
      <c r="C429" s="114">
        <v>21061708</v>
      </c>
      <c r="D429" s="129">
        <v>6</v>
      </c>
      <c r="E429" s="114">
        <v>361</v>
      </c>
      <c r="F429" s="57" t="s">
        <v>1054</v>
      </c>
      <c r="G429" s="110" t="s">
        <v>1033</v>
      </c>
      <c r="H429" s="57" t="s">
        <v>263</v>
      </c>
      <c r="I429" s="121"/>
    </row>
    <row r="430" spans="1:9">
      <c r="A430" s="114">
        <v>426</v>
      </c>
      <c r="B430" s="121" t="s">
        <v>1057</v>
      </c>
      <c r="C430" s="114">
        <v>20745182</v>
      </c>
      <c r="D430" s="129">
        <v>7</v>
      </c>
      <c r="E430" s="114">
        <v>163</v>
      </c>
      <c r="F430" s="57" t="s">
        <v>1056</v>
      </c>
      <c r="G430" s="110" t="s">
        <v>1033</v>
      </c>
      <c r="H430" s="57" t="s">
        <v>263</v>
      </c>
      <c r="I430" s="121"/>
    </row>
    <row r="431" spans="1:9">
      <c r="A431" s="114">
        <v>427</v>
      </c>
      <c r="B431" s="121" t="s">
        <v>1059</v>
      </c>
      <c r="C431" s="114">
        <v>21003254</v>
      </c>
      <c r="D431" s="129">
        <v>1</v>
      </c>
      <c r="E431" s="114">
        <v>349</v>
      </c>
      <c r="F431" s="57" t="s">
        <v>1058</v>
      </c>
      <c r="G431" s="110" t="s">
        <v>1033</v>
      </c>
      <c r="H431" s="57" t="s">
        <v>263</v>
      </c>
      <c r="I431" s="121"/>
    </row>
    <row r="432" spans="1:9">
      <c r="A432" s="114">
        <v>428</v>
      </c>
      <c r="B432" s="121" t="s">
        <v>1061</v>
      </c>
      <c r="C432" s="114">
        <v>21440336</v>
      </c>
      <c r="D432" s="129">
        <v>6</v>
      </c>
      <c r="E432" s="114">
        <v>71</v>
      </c>
      <c r="F432" s="57" t="s">
        <v>1060</v>
      </c>
      <c r="G432" s="110" t="s">
        <v>1033</v>
      </c>
      <c r="H432" s="57" t="s">
        <v>263</v>
      </c>
      <c r="I432" s="121"/>
    </row>
    <row r="433" spans="1:9">
      <c r="A433" s="114">
        <v>429</v>
      </c>
      <c r="B433" s="121" t="s">
        <v>1063</v>
      </c>
      <c r="C433" s="114">
        <v>21469942</v>
      </c>
      <c r="D433" s="129">
        <v>7</v>
      </c>
      <c r="E433" s="114">
        <v>284</v>
      </c>
      <c r="F433" s="57" t="s">
        <v>1062</v>
      </c>
      <c r="G433" s="110" t="s">
        <v>1033</v>
      </c>
      <c r="H433" s="57" t="s">
        <v>265</v>
      </c>
      <c r="I433" s="121"/>
    </row>
    <row r="434" spans="1:9">
      <c r="A434" s="114">
        <v>430</v>
      </c>
      <c r="B434" s="121" t="s">
        <v>1065</v>
      </c>
      <c r="C434" s="114">
        <v>21361572</v>
      </c>
      <c r="D434" s="129">
        <v>6</v>
      </c>
      <c r="E434" s="114">
        <v>354</v>
      </c>
      <c r="F434" s="57" t="s">
        <v>1064</v>
      </c>
      <c r="G434" s="110" t="s">
        <v>1033</v>
      </c>
      <c r="H434" s="57" t="s">
        <v>263</v>
      </c>
      <c r="I434" s="121"/>
    </row>
    <row r="435" spans="1:9">
      <c r="A435" s="114">
        <v>431</v>
      </c>
      <c r="B435" s="121" t="s">
        <v>1067</v>
      </c>
      <c r="C435" s="114">
        <v>20800274</v>
      </c>
      <c r="D435" s="129">
        <v>0</v>
      </c>
      <c r="E435" s="114">
        <v>262</v>
      </c>
      <c r="F435" s="57" t="s">
        <v>1066</v>
      </c>
      <c r="G435" s="110" t="s">
        <v>1033</v>
      </c>
      <c r="H435" s="57" t="s">
        <v>263</v>
      </c>
      <c r="I435" s="121"/>
    </row>
    <row r="436" spans="1:9">
      <c r="A436" s="114">
        <v>432</v>
      </c>
      <c r="B436" s="121" t="s">
        <v>1069</v>
      </c>
      <c r="C436" s="114">
        <v>20253334</v>
      </c>
      <c r="D436" s="129">
        <v>5</v>
      </c>
      <c r="E436" s="114">
        <v>137</v>
      </c>
      <c r="F436" s="57" t="s">
        <v>1068</v>
      </c>
      <c r="G436" s="110" t="s">
        <v>1033</v>
      </c>
      <c r="H436" s="57" t="s">
        <v>263</v>
      </c>
      <c r="I436" s="121"/>
    </row>
    <row r="437" spans="1:9">
      <c r="A437" s="114">
        <v>433</v>
      </c>
      <c r="B437" s="121" t="s">
        <v>1071</v>
      </c>
      <c r="C437" s="114">
        <v>21091291</v>
      </c>
      <c r="D437" s="129">
        <v>6</v>
      </c>
      <c r="E437" s="130">
        <v>148</v>
      </c>
      <c r="F437" s="57" t="s">
        <v>1070</v>
      </c>
      <c r="G437" s="130" t="s">
        <v>1072</v>
      </c>
      <c r="H437" s="57" t="s">
        <v>263</v>
      </c>
      <c r="I437" s="121"/>
    </row>
    <row r="438" spans="1:9">
      <c r="A438" s="114">
        <v>434</v>
      </c>
      <c r="B438" s="121" t="s">
        <v>1074</v>
      </c>
      <c r="C438" s="114">
        <v>20937924</v>
      </c>
      <c r="D438" s="129">
        <v>4</v>
      </c>
      <c r="E438" s="130">
        <v>30</v>
      </c>
      <c r="F438" s="57" t="s">
        <v>1073</v>
      </c>
      <c r="G438" s="130" t="s">
        <v>1072</v>
      </c>
      <c r="H438" s="57" t="s">
        <v>263</v>
      </c>
      <c r="I438" s="121"/>
    </row>
    <row r="439" spans="1:9">
      <c r="A439" s="114">
        <v>435</v>
      </c>
      <c r="B439" s="121" t="s">
        <v>1076</v>
      </c>
      <c r="C439" s="114">
        <v>21430583</v>
      </c>
      <c r="D439" s="129">
        <v>6</v>
      </c>
      <c r="E439" s="130">
        <v>224</v>
      </c>
      <c r="F439" s="57" t="s">
        <v>1075</v>
      </c>
      <c r="G439" s="130" t="s">
        <v>1072</v>
      </c>
      <c r="H439" s="57" t="s">
        <v>263</v>
      </c>
      <c r="I439" s="121"/>
    </row>
    <row r="440" spans="1:9">
      <c r="A440" s="114">
        <v>436</v>
      </c>
      <c r="B440" s="121" t="s">
        <v>1078</v>
      </c>
      <c r="C440" s="114">
        <v>20539151</v>
      </c>
      <c r="D440" s="129">
        <v>7</v>
      </c>
      <c r="E440" s="130">
        <v>427</v>
      </c>
      <c r="F440" s="57" t="s">
        <v>1077</v>
      </c>
      <c r="G440" s="130" t="s">
        <v>1072</v>
      </c>
      <c r="H440" s="57" t="s">
        <v>263</v>
      </c>
      <c r="I440" s="121"/>
    </row>
    <row r="441" spans="1:9">
      <c r="A441" s="114">
        <v>437</v>
      </c>
      <c r="B441" s="121" t="s">
        <v>1080</v>
      </c>
      <c r="C441" s="114">
        <v>20955074</v>
      </c>
      <c r="D441" s="129">
        <v>1</v>
      </c>
      <c r="E441" s="130">
        <v>326</v>
      </c>
      <c r="F441" s="57" t="s">
        <v>1079</v>
      </c>
      <c r="G441" s="130" t="s">
        <v>1072</v>
      </c>
      <c r="H441" s="57" t="s">
        <v>263</v>
      </c>
      <c r="I441" s="121"/>
    </row>
    <row r="442" spans="1:9">
      <c r="A442" s="114">
        <v>438</v>
      </c>
      <c r="B442" s="121" t="s">
        <v>1082</v>
      </c>
      <c r="C442" s="114">
        <v>21181605</v>
      </c>
      <c r="D442" s="129">
        <v>8</v>
      </c>
      <c r="E442" s="130">
        <v>239</v>
      </c>
      <c r="F442" s="57" t="s">
        <v>1081</v>
      </c>
      <c r="G442" s="130" t="s">
        <v>1072</v>
      </c>
      <c r="H442" s="57" t="s">
        <v>263</v>
      </c>
      <c r="I442" s="121"/>
    </row>
    <row r="443" spans="1:9">
      <c r="A443" s="114">
        <v>439</v>
      </c>
      <c r="B443" s="121" t="s">
        <v>1084</v>
      </c>
      <c r="C443" s="114">
        <v>21360497</v>
      </c>
      <c r="D443" s="129" t="s">
        <v>387</v>
      </c>
      <c r="E443" s="130">
        <v>438</v>
      </c>
      <c r="F443" s="57" t="s">
        <v>1083</v>
      </c>
      <c r="G443" s="130" t="s">
        <v>1072</v>
      </c>
      <c r="H443" s="57" t="s">
        <v>263</v>
      </c>
      <c r="I443" s="121"/>
    </row>
    <row r="444" spans="1:9">
      <c r="A444" s="114">
        <v>440</v>
      </c>
      <c r="B444" s="121" t="s">
        <v>1086</v>
      </c>
      <c r="C444" s="114">
        <v>21166029</v>
      </c>
      <c r="D444" s="129">
        <v>5</v>
      </c>
      <c r="E444" s="130">
        <v>79</v>
      </c>
      <c r="F444" s="57" t="s">
        <v>1085</v>
      </c>
      <c r="G444" s="130" t="s">
        <v>1072</v>
      </c>
      <c r="H444" s="57" t="s">
        <v>263</v>
      </c>
      <c r="I444" s="121"/>
    </row>
    <row r="445" spans="1:9">
      <c r="A445" s="114">
        <v>441</v>
      </c>
      <c r="B445" s="121" t="s">
        <v>1088</v>
      </c>
      <c r="C445" s="114">
        <v>20285784</v>
      </c>
      <c r="D445" s="129">
        <v>1</v>
      </c>
      <c r="E445" s="130">
        <v>27</v>
      </c>
      <c r="F445" s="57" t="s">
        <v>1087</v>
      </c>
      <c r="G445" s="130" t="s">
        <v>1089</v>
      </c>
      <c r="H445" s="57" t="s">
        <v>263</v>
      </c>
      <c r="I445" s="121"/>
    </row>
    <row r="446" spans="1:9">
      <c r="A446" s="114">
        <v>442</v>
      </c>
      <c r="B446" s="121" t="s">
        <v>1091</v>
      </c>
      <c r="C446" s="114">
        <v>21254472</v>
      </c>
      <c r="D446" s="129">
        <v>8</v>
      </c>
      <c r="E446" s="130">
        <v>461</v>
      </c>
      <c r="F446" s="57" t="s">
        <v>1090</v>
      </c>
      <c r="G446" s="130" t="s">
        <v>1089</v>
      </c>
      <c r="H446" s="57" t="s">
        <v>265</v>
      </c>
      <c r="I446" s="121"/>
    </row>
    <row r="447" spans="1:9">
      <c r="A447" s="114">
        <v>443</v>
      </c>
      <c r="B447" s="121" t="s">
        <v>1093</v>
      </c>
      <c r="C447" s="114">
        <v>20974735</v>
      </c>
      <c r="D447" s="129">
        <v>9</v>
      </c>
      <c r="E447" s="130">
        <v>203</v>
      </c>
      <c r="F447" s="57" t="s">
        <v>1092</v>
      </c>
      <c r="G447" s="130" t="s">
        <v>1089</v>
      </c>
      <c r="H447" s="57" t="s">
        <v>263</v>
      </c>
      <c r="I447" s="121"/>
    </row>
    <row r="448" spans="1:9">
      <c r="A448" s="114">
        <v>444</v>
      </c>
      <c r="B448" s="121" t="s">
        <v>1095</v>
      </c>
      <c r="C448" s="114">
        <v>21299440</v>
      </c>
      <c r="D448" s="129">
        <v>5</v>
      </c>
      <c r="E448" s="130">
        <v>62</v>
      </c>
      <c r="F448" s="57" t="s">
        <v>1094</v>
      </c>
      <c r="G448" s="130" t="s">
        <v>1089</v>
      </c>
      <c r="H448" s="57" t="s">
        <v>263</v>
      </c>
      <c r="I448" s="121"/>
    </row>
    <row r="449" spans="1:9">
      <c r="A449" s="114">
        <v>445</v>
      </c>
      <c r="B449" s="121" t="s">
        <v>1097</v>
      </c>
      <c r="C449" s="114">
        <v>21137399</v>
      </c>
      <c r="D449" s="129">
        <v>7</v>
      </c>
      <c r="E449" s="130">
        <v>341</v>
      </c>
      <c r="F449" s="57" t="s">
        <v>1096</v>
      </c>
      <c r="G449" s="130" t="s">
        <v>1089</v>
      </c>
      <c r="H449" s="57" t="s">
        <v>263</v>
      </c>
      <c r="I449" s="121"/>
    </row>
    <row r="450" spans="1:9">
      <c r="A450" s="114">
        <v>446</v>
      </c>
      <c r="B450" s="121" t="s">
        <v>1099</v>
      </c>
      <c r="C450" s="114">
        <v>21298957</v>
      </c>
      <c r="D450" s="129">
        <v>6</v>
      </c>
      <c r="E450" s="130">
        <v>308</v>
      </c>
      <c r="F450" s="57" t="s">
        <v>1098</v>
      </c>
      <c r="G450" s="130" t="s">
        <v>1089</v>
      </c>
      <c r="H450" s="57" t="s">
        <v>265</v>
      </c>
      <c r="I450" s="121"/>
    </row>
    <row r="451" spans="1:9">
      <c r="A451" s="114">
        <v>447</v>
      </c>
      <c r="B451" s="121" t="s">
        <v>1101</v>
      </c>
      <c r="C451" s="114">
        <v>21249481</v>
      </c>
      <c r="D451" s="129" t="s">
        <v>387</v>
      </c>
      <c r="E451" s="130">
        <v>329</v>
      </c>
      <c r="F451" s="57" t="s">
        <v>1100</v>
      </c>
      <c r="G451" s="130" t="s">
        <v>1089</v>
      </c>
      <c r="H451" s="57" t="s">
        <v>263</v>
      </c>
      <c r="I451" s="121"/>
    </row>
    <row r="452" spans="1:9">
      <c r="A452" s="114">
        <v>448</v>
      </c>
      <c r="B452" s="121" t="s">
        <v>1103</v>
      </c>
      <c r="C452" s="114">
        <v>21408329</v>
      </c>
      <c r="D452" s="129">
        <v>9</v>
      </c>
      <c r="E452" s="130">
        <v>197</v>
      </c>
      <c r="F452" s="57" t="s">
        <v>1102</v>
      </c>
      <c r="G452" s="130" t="s">
        <v>1089</v>
      </c>
      <c r="H452" s="57" t="s">
        <v>263</v>
      </c>
      <c r="I452" s="121"/>
    </row>
    <row r="453" spans="1:9">
      <c r="A453" s="114">
        <v>449</v>
      </c>
      <c r="B453" s="121" t="s">
        <v>1105</v>
      </c>
      <c r="C453" s="114">
        <v>20959985</v>
      </c>
      <c r="D453" s="129">
        <v>6</v>
      </c>
      <c r="E453" s="130">
        <v>115</v>
      </c>
      <c r="F453" s="57" t="s">
        <v>1104</v>
      </c>
      <c r="G453" s="130" t="s">
        <v>1089</v>
      </c>
      <c r="H453" s="57" t="s">
        <v>263</v>
      </c>
      <c r="I453" s="121"/>
    </row>
    <row r="454" spans="1:9">
      <c r="A454" s="114">
        <v>450</v>
      </c>
      <c r="B454" s="121" t="s">
        <v>1107</v>
      </c>
      <c r="C454" s="114">
        <v>21328333</v>
      </c>
      <c r="D454" s="129">
        <v>2</v>
      </c>
      <c r="E454" s="130">
        <v>129</v>
      </c>
      <c r="F454" s="57" t="s">
        <v>1106</v>
      </c>
      <c r="G454" s="130" t="s">
        <v>1089</v>
      </c>
      <c r="H454" s="57" t="s">
        <v>263</v>
      </c>
      <c r="I454" s="121"/>
    </row>
    <row r="455" spans="1:9">
      <c r="A455" s="114">
        <v>451</v>
      </c>
      <c r="B455" s="121" t="s">
        <v>1109</v>
      </c>
      <c r="C455" s="114">
        <v>21159072</v>
      </c>
      <c r="D455" s="129">
        <v>6</v>
      </c>
      <c r="E455" s="130">
        <v>187</v>
      </c>
      <c r="F455" s="57" t="s">
        <v>1108</v>
      </c>
      <c r="G455" s="130" t="s">
        <v>1110</v>
      </c>
      <c r="H455" s="57" t="s">
        <v>263</v>
      </c>
      <c r="I455" s="121"/>
    </row>
    <row r="456" spans="1:9">
      <c r="A456" s="114">
        <v>452</v>
      </c>
      <c r="B456" s="121" t="s">
        <v>1112</v>
      </c>
      <c r="C456" s="114">
        <v>21211289</v>
      </c>
      <c r="D456" s="129">
        <v>5</v>
      </c>
      <c r="E456" s="130">
        <v>99</v>
      </c>
      <c r="F456" s="57" t="s">
        <v>1111</v>
      </c>
      <c r="G456" s="130" t="s">
        <v>1110</v>
      </c>
      <c r="H456" s="57" t="s">
        <v>263</v>
      </c>
      <c r="I456" s="121"/>
    </row>
    <row r="457" spans="1:9">
      <c r="A457" s="114">
        <v>453</v>
      </c>
      <c r="B457" s="121" t="s">
        <v>1114</v>
      </c>
      <c r="C457" s="114">
        <v>20282909</v>
      </c>
      <c r="D457" s="129">
        <v>0</v>
      </c>
      <c r="E457" s="130">
        <v>437</v>
      </c>
      <c r="F457" s="57" t="s">
        <v>1113</v>
      </c>
      <c r="G457" s="130" t="s">
        <v>1110</v>
      </c>
      <c r="H457" s="57" t="s">
        <v>263</v>
      </c>
      <c r="I457" s="121"/>
    </row>
    <row r="458" spans="1:9">
      <c r="A458" s="114">
        <v>454</v>
      </c>
      <c r="B458" s="121" t="s">
        <v>1116</v>
      </c>
      <c r="C458" s="114">
        <v>21226463</v>
      </c>
      <c r="D458" s="129">
        <v>6</v>
      </c>
      <c r="E458" s="130">
        <v>204</v>
      </c>
      <c r="F458" s="57" t="s">
        <v>1115</v>
      </c>
      <c r="G458" s="130" t="s">
        <v>1110</v>
      </c>
      <c r="H458" s="57" t="s">
        <v>265</v>
      </c>
      <c r="I458" s="121"/>
    </row>
    <row r="459" spans="1:9">
      <c r="A459" s="114">
        <v>455</v>
      </c>
      <c r="B459" s="121" t="s">
        <v>1118</v>
      </c>
      <c r="C459" s="114">
        <v>21024756</v>
      </c>
      <c r="D459" s="129">
        <v>4</v>
      </c>
      <c r="E459" s="130">
        <v>182</v>
      </c>
      <c r="F459" s="57" t="s">
        <v>1117</v>
      </c>
      <c r="G459" s="130" t="s">
        <v>1110</v>
      </c>
      <c r="H459" s="57" t="s">
        <v>263</v>
      </c>
      <c r="I459" s="121"/>
    </row>
    <row r="460" spans="1:9">
      <c r="A460" s="114">
        <v>456</v>
      </c>
      <c r="B460" s="121" t="s">
        <v>1120</v>
      </c>
      <c r="C460" s="114">
        <v>21008849</v>
      </c>
      <c r="D460" s="129">
        <v>0</v>
      </c>
      <c r="E460" s="130">
        <v>252</v>
      </c>
      <c r="F460" s="57" t="s">
        <v>1119</v>
      </c>
      <c r="G460" s="130" t="s">
        <v>1110</v>
      </c>
      <c r="H460" s="57" t="s">
        <v>263</v>
      </c>
      <c r="I460" s="121"/>
    </row>
    <row r="461" spans="1:9">
      <c r="A461" s="114">
        <v>457</v>
      </c>
      <c r="B461" s="121" t="s">
        <v>1122</v>
      </c>
      <c r="C461" s="114">
        <v>20734075</v>
      </c>
      <c r="D461" s="129">
        <v>8</v>
      </c>
      <c r="E461" s="130">
        <v>270</v>
      </c>
      <c r="F461" s="57" t="s">
        <v>1121</v>
      </c>
      <c r="G461" s="130" t="s">
        <v>1110</v>
      </c>
      <c r="H461" s="57" t="s">
        <v>263</v>
      </c>
      <c r="I461" s="121"/>
    </row>
    <row r="462" spans="1:9">
      <c r="A462" s="114">
        <v>458</v>
      </c>
      <c r="B462" s="121" t="s">
        <v>1124</v>
      </c>
      <c r="C462" s="114">
        <v>21359359</v>
      </c>
      <c r="D462" s="129">
        <v>5</v>
      </c>
      <c r="E462" s="130">
        <v>50</v>
      </c>
      <c r="F462" s="57" t="s">
        <v>1123</v>
      </c>
      <c r="G462" s="130" t="s">
        <v>1110</v>
      </c>
      <c r="H462" s="57" t="s">
        <v>265</v>
      </c>
      <c r="I462" s="121"/>
    </row>
    <row r="463" spans="1:9">
      <c r="A463" s="114">
        <v>459</v>
      </c>
      <c r="B463" s="121" t="s">
        <v>1126</v>
      </c>
      <c r="C463" s="114">
        <v>21563483</v>
      </c>
      <c r="D463" s="129">
        <v>3</v>
      </c>
      <c r="E463" s="130">
        <v>113</v>
      </c>
      <c r="F463" s="57" t="s">
        <v>1125</v>
      </c>
      <c r="G463" s="130" t="s">
        <v>1110</v>
      </c>
      <c r="H463" s="136" t="s">
        <v>263</v>
      </c>
      <c r="I463" s="121"/>
    </row>
    <row r="464" spans="1:9">
      <c r="A464" s="114">
        <v>460</v>
      </c>
      <c r="B464" s="121" t="s">
        <v>1128</v>
      </c>
      <c r="C464" s="114">
        <v>20622756</v>
      </c>
      <c r="D464" s="129">
        <v>7</v>
      </c>
      <c r="E464" s="130">
        <v>14</v>
      </c>
      <c r="F464" s="57" t="s">
        <v>1127</v>
      </c>
      <c r="G464" s="130" t="s">
        <v>1110</v>
      </c>
      <c r="H464" s="136" t="s">
        <v>263</v>
      </c>
      <c r="I464" s="121"/>
    </row>
    <row r="465" spans="1:9">
      <c r="A465" s="114">
        <v>461</v>
      </c>
      <c r="B465" s="121" t="s">
        <v>1414</v>
      </c>
      <c r="C465" s="114">
        <v>99600266</v>
      </c>
      <c r="D465" s="129">
        <v>7</v>
      </c>
      <c r="E465" s="130"/>
      <c r="F465" s="354"/>
      <c r="G465" s="354"/>
      <c r="H465" s="57" t="s">
        <v>263</v>
      </c>
      <c r="I465" s="354"/>
    </row>
  </sheetData>
  <autoFilter ref="A4:I465"/>
  <mergeCells count="1">
    <mergeCell ref="A1:I1"/>
  </mergeCells>
  <conditionalFormatting sqref="C112">
    <cfRule type="duplicateValues" dxfId="1" priority="1"/>
    <cfRule type="duplicateValues" dxfId="0" priority="2"/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63"/>
  <sheetViews>
    <sheetView showGridLines="0" topLeftCell="A25" zoomScaleNormal="100" workbookViewId="0">
      <selection activeCell="H68" sqref="H68"/>
    </sheetView>
  </sheetViews>
  <sheetFormatPr baseColWidth="10" defaultColWidth="11" defaultRowHeight="13.2"/>
  <cols>
    <col min="1" max="1" width="11" style="18"/>
    <col min="2" max="2" width="9.69921875" style="18" customWidth="1"/>
    <col min="3" max="3" width="30.09765625" style="18" customWidth="1"/>
    <col min="4" max="5" width="13.5" style="18" bestFit="1" customWidth="1"/>
    <col min="6" max="7" width="13.3984375" style="18" bestFit="1" customWidth="1"/>
    <col min="8" max="16384" width="11" style="18"/>
  </cols>
  <sheetData>
    <row r="2" spans="2:13">
      <c r="B2" s="408" t="s">
        <v>208</v>
      </c>
      <c r="C2" s="408"/>
      <c r="D2" s="408"/>
      <c r="E2" s="408"/>
      <c r="F2" s="408"/>
    </row>
    <row r="3" spans="2:13">
      <c r="B3" s="408" t="s">
        <v>209</v>
      </c>
      <c r="C3" s="408"/>
      <c r="D3" s="408"/>
      <c r="E3" s="408"/>
      <c r="F3" s="408"/>
    </row>
    <row r="5" spans="2:13">
      <c r="D5" s="19">
        <v>2022</v>
      </c>
      <c r="E5" s="19">
        <v>2023</v>
      </c>
      <c r="F5" s="19">
        <v>2024</v>
      </c>
    </row>
    <row r="6" spans="2:13">
      <c r="B6" s="20" t="s">
        <v>199</v>
      </c>
      <c r="C6" s="20"/>
      <c r="D6" s="16">
        <f>D29+D49</f>
        <v>1863858556</v>
      </c>
      <c r="E6" s="16">
        <f>E29+E49</f>
        <v>1338429383</v>
      </c>
      <c r="F6" s="16">
        <f>F29+F49</f>
        <v>877135658</v>
      </c>
      <c r="G6" s="21"/>
      <c r="H6" s="21"/>
      <c r="I6" s="21"/>
      <c r="J6" s="21"/>
      <c r="K6" s="21"/>
      <c r="L6" s="21"/>
      <c r="M6" s="21"/>
    </row>
    <row r="7" spans="2:13">
      <c r="B7" s="22" t="s">
        <v>196</v>
      </c>
      <c r="C7" s="22"/>
      <c r="D7" s="23">
        <f>SUM(D8:D10)</f>
        <v>2852905378</v>
      </c>
      <c r="E7" s="23">
        <f t="shared" ref="E7:F7" si="0">SUM(E8:E10)</f>
        <v>2873301095</v>
      </c>
      <c r="F7" s="23">
        <f t="shared" si="0"/>
        <v>3073341997</v>
      </c>
      <c r="G7" s="21"/>
      <c r="H7" s="21"/>
      <c r="I7" s="21"/>
      <c r="J7" s="21"/>
      <c r="K7" s="21"/>
      <c r="L7" s="21"/>
      <c r="M7" s="21"/>
    </row>
    <row r="8" spans="2:13">
      <c r="C8" s="24" t="s">
        <v>210</v>
      </c>
      <c r="D8" s="17">
        <f t="shared" ref="D8:F10" si="1">D31+D51</f>
        <v>2722947251</v>
      </c>
      <c r="E8" s="17">
        <f t="shared" si="1"/>
        <v>2827373311</v>
      </c>
      <c r="F8" s="17">
        <f t="shared" si="1"/>
        <v>2939036697</v>
      </c>
      <c r="G8" s="21"/>
      <c r="H8" s="21"/>
      <c r="I8" s="21"/>
      <c r="J8" s="21"/>
      <c r="K8" s="21"/>
      <c r="L8" s="21"/>
      <c r="M8" s="21"/>
    </row>
    <row r="9" spans="2:13">
      <c r="C9" s="24" t="s">
        <v>211</v>
      </c>
      <c r="D9" s="17">
        <f t="shared" si="1"/>
        <v>52451692</v>
      </c>
      <c r="E9" s="17">
        <f t="shared" si="1"/>
        <v>45927784</v>
      </c>
      <c r="F9" s="17">
        <f t="shared" si="1"/>
        <v>134305300</v>
      </c>
      <c r="G9" s="21"/>
      <c r="H9" s="21"/>
      <c r="I9" s="21"/>
      <c r="J9" s="21"/>
      <c r="K9" s="21"/>
      <c r="L9" s="21"/>
      <c r="M9" s="21"/>
    </row>
    <row r="10" spans="2:13">
      <c r="C10" s="24" t="s">
        <v>212</v>
      </c>
      <c r="D10" s="17">
        <f t="shared" si="1"/>
        <v>77506435</v>
      </c>
      <c r="E10" s="17">
        <f t="shared" si="1"/>
        <v>0</v>
      </c>
      <c r="F10" s="17">
        <f t="shared" si="1"/>
        <v>0</v>
      </c>
      <c r="G10" s="21"/>
      <c r="H10" s="21"/>
      <c r="I10" s="21"/>
      <c r="J10" s="21"/>
      <c r="K10" s="21"/>
      <c r="L10" s="21"/>
      <c r="M10" s="21"/>
    </row>
    <row r="11" spans="2:13">
      <c r="B11" s="20" t="s">
        <v>197</v>
      </c>
      <c r="C11" s="20"/>
      <c r="D11" s="16">
        <f>SUM(D12:D14)</f>
        <v>3378334551</v>
      </c>
      <c r="E11" s="16">
        <f t="shared" ref="E11:F11" si="2">SUM(E12:E14)</f>
        <v>3334594820</v>
      </c>
      <c r="F11" s="16">
        <f t="shared" si="2"/>
        <v>3411482838</v>
      </c>
      <c r="G11" s="21"/>
      <c r="H11" s="21"/>
      <c r="I11" s="21"/>
      <c r="J11" s="21"/>
      <c r="K11" s="21"/>
      <c r="L11" s="21"/>
      <c r="M11" s="21"/>
    </row>
    <row r="12" spans="2:13">
      <c r="C12" s="24" t="s">
        <v>210</v>
      </c>
      <c r="D12" s="17">
        <f t="shared" ref="D12:F18" si="3">D35+D55</f>
        <v>3090964469</v>
      </c>
      <c r="E12" s="17">
        <f t="shared" si="3"/>
        <v>3061802666</v>
      </c>
      <c r="F12" s="17">
        <f t="shared" si="3"/>
        <v>3210901101</v>
      </c>
      <c r="G12" s="21"/>
      <c r="H12" s="21"/>
      <c r="I12" s="21"/>
      <c r="J12" s="21"/>
      <c r="K12" s="21"/>
      <c r="L12" s="21"/>
      <c r="M12" s="21"/>
    </row>
    <row r="13" spans="2:13">
      <c r="C13" s="24" t="s">
        <v>213</v>
      </c>
      <c r="D13" s="17">
        <f t="shared" si="3"/>
        <v>286664941</v>
      </c>
      <c r="E13" s="17">
        <f t="shared" si="3"/>
        <v>252575215</v>
      </c>
      <c r="F13" s="17">
        <f t="shared" si="3"/>
        <v>189966934</v>
      </c>
      <c r="G13" s="21"/>
      <c r="H13" s="21"/>
      <c r="I13" s="21"/>
      <c r="J13" s="21"/>
      <c r="K13" s="21"/>
      <c r="L13" s="21"/>
      <c r="M13" s="21"/>
    </row>
    <row r="14" spans="2:13">
      <c r="C14" s="24" t="s">
        <v>214</v>
      </c>
      <c r="D14" s="17">
        <f t="shared" si="3"/>
        <v>705141</v>
      </c>
      <c r="E14" s="17">
        <f t="shared" si="3"/>
        <v>20216939</v>
      </c>
      <c r="F14" s="17">
        <f t="shared" si="3"/>
        <v>10614803</v>
      </c>
      <c r="G14" s="21"/>
      <c r="H14" s="21"/>
      <c r="I14" s="21"/>
      <c r="J14" s="21"/>
      <c r="K14" s="21"/>
      <c r="L14" s="21"/>
      <c r="M14" s="21"/>
    </row>
    <row r="15" spans="2:13">
      <c r="B15" s="20" t="s">
        <v>215</v>
      </c>
      <c r="C15" s="20"/>
      <c r="D15" s="16">
        <f t="shared" si="3"/>
        <v>1338429383</v>
      </c>
      <c r="E15" s="16">
        <f t="shared" si="3"/>
        <v>877135658</v>
      </c>
      <c r="F15" s="16">
        <f t="shared" si="3"/>
        <v>538994817</v>
      </c>
      <c r="G15" s="21"/>
      <c r="H15" s="21"/>
      <c r="I15" s="21"/>
      <c r="J15" s="21"/>
      <c r="K15" s="21"/>
      <c r="L15" s="21"/>
      <c r="M15" s="21"/>
    </row>
    <row r="16" spans="2:13">
      <c r="B16" s="22" t="s">
        <v>216</v>
      </c>
      <c r="C16" s="22"/>
      <c r="D16" s="23">
        <f t="shared" si="3"/>
        <v>4715991512</v>
      </c>
      <c r="E16" s="23">
        <f t="shared" si="3"/>
        <v>4739315101</v>
      </c>
      <c r="F16" s="23">
        <f t="shared" si="3"/>
        <v>3932680683</v>
      </c>
      <c r="G16" s="21"/>
      <c r="H16" s="21"/>
      <c r="I16" s="21"/>
      <c r="J16" s="21"/>
      <c r="K16" s="21"/>
      <c r="L16" s="21"/>
      <c r="M16" s="21"/>
    </row>
    <row r="17" spans="2:13">
      <c r="B17" s="18" t="s">
        <v>217</v>
      </c>
      <c r="D17" s="21">
        <f t="shared" si="3"/>
        <v>287456881</v>
      </c>
      <c r="E17" s="21">
        <f t="shared" si="3"/>
        <v>197071855</v>
      </c>
      <c r="F17" s="21">
        <f t="shared" si="3"/>
        <v>561188</v>
      </c>
      <c r="G17" s="21"/>
      <c r="H17" s="21"/>
      <c r="I17" s="21"/>
      <c r="J17" s="21"/>
      <c r="K17" s="21"/>
      <c r="L17" s="21"/>
      <c r="M17" s="21"/>
    </row>
    <row r="18" spans="2:13">
      <c r="B18" s="18" t="s">
        <v>218</v>
      </c>
      <c r="D18" s="21">
        <f t="shared" si="3"/>
        <v>531666588</v>
      </c>
      <c r="E18" s="21">
        <f t="shared" si="3"/>
        <v>486154902</v>
      </c>
      <c r="F18" s="21">
        <f t="shared" si="3"/>
        <v>305482009</v>
      </c>
      <c r="G18" s="21"/>
      <c r="H18" s="21"/>
      <c r="I18" s="21"/>
      <c r="J18" s="21"/>
      <c r="K18" s="21"/>
      <c r="L18" s="21"/>
      <c r="M18" s="21"/>
    </row>
    <row r="19" spans="2:13">
      <c r="B19" s="25" t="s">
        <v>219</v>
      </c>
      <c r="C19" s="25"/>
      <c r="D19" s="26">
        <f>D62+D42</f>
        <v>519238633</v>
      </c>
      <c r="E19" s="26">
        <f t="shared" ref="E19:F19" si="4">E62+E42</f>
        <v>741710463</v>
      </c>
      <c r="F19" s="26">
        <f t="shared" si="4"/>
        <v>225769451</v>
      </c>
      <c r="G19" s="21"/>
      <c r="H19" s="21"/>
      <c r="I19" s="21"/>
      <c r="J19" s="21"/>
      <c r="K19" s="21"/>
      <c r="L19" s="21"/>
      <c r="M19" s="21"/>
    </row>
    <row r="20" spans="2:13">
      <c r="B20" s="20" t="s">
        <v>220</v>
      </c>
      <c r="C20" s="20"/>
      <c r="D20" s="16">
        <f>D15-D17-D18-D19</f>
        <v>67281</v>
      </c>
      <c r="E20" s="16">
        <f t="shared" ref="E20:F20" si="5">E15-E17-E18-E19</f>
        <v>-547801562</v>
      </c>
      <c r="F20" s="16">
        <f t="shared" si="5"/>
        <v>7182169</v>
      </c>
      <c r="G20" s="21"/>
      <c r="H20" s="21"/>
      <c r="I20" s="21"/>
      <c r="J20" s="21"/>
      <c r="K20" s="21"/>
      <c r="L20" s="21"/>
      <c r="M20" s="21"/>
    </row>
    <row r="21" spans="2:13">
      <c r="D21" s="21"/>
      <c r="E21" s="21"/>
      <c r="F21" s="21"/>
      <c r="G21" s="21"/>
      <c r="H21" s="21"/>
      <c r="I21" s="21"/>
      <c r="J21" s="21"/>
      <c r="K21" s="21"/>
      <c r="L21" s="21"/>
      <c r="M21" s="21"/>
    </row>
    <row r="22" spans="2:13">
      <c r="D22" s="21"/>
      <c r="E22" s="21"/>
      <c r="F22" s="21"/>
      <c r="G22" s="21"/>
      <c r="H22" s="21"/>
      <c r="I22" s="21"/>
      <c r="J22" s="21"/>
      <c r="K22" s="21"/>
      <c r="L22" s="21"/>
      <c r="M22" s="21"/>
    </row>
    <row r="23" spans="2:13">
      <c r="D23" s="21"/>
      <c r="E23" s="21"/>
      <c r="F23" s="21"/>
      <c r="G23" s="21"/>
      <c r="H23" s="21"/>
      <c r="I23" s="21"/>
      <c r="J23" s="21"/>
      <c r="K23" s="21"/>
      <c r="L23" s="21"/>
      <c r="M23" s="21"/>
    </row>
    <row r="24" spans="2:13">
      <c r="D24" s="21"/>
      <c r="E24" s="21"/>
      <c r="F24" s="21"/>
      <c r="G24" s="21"/>
      <c r="H24" s="21"/>
      <c r="I24" s="21"/>
      <c r="J24" s="21"/>
      <c r="K24" s="21"/>
      <c r="L24" s="21"/>
      <c r="M24" s="21"/>
    </row>
    <row r="25" spans="2:13">
      <c r="B25" s="425" t="s">
        <v>221</v>
      </c>
      <c r="C25" s="425"/>
      <c r="D25" s="425"/>
      <c r="E25" s="425"/>
      <c r="F25" s="425"/>
      <c r="G25" s="21"/>
      <c r="H25" s="21"/>
      <c r="I25" s="21"/>
      <c r="J25" s="21"/>
      <c r="K25" s="21"/>
      <c r="L25" s="21"/>
      <c r="M25" s="21"/>
    </row>
    <row r="26" spans="2:13">
      <c r="B26" s="425" t="s">
        <v>222</v>
      </c>
      <c r="C26" s="425"/>
      <c r="D26" s="425"/>
      <c r="E26" s="425"/>
      <c r="F26" s="425"/>
      <c r="G26" s="21"/>
      <c r="H26" s="21"/>
      <c r="I26" s="21"/>
      <c r="J26" s="21"/>
      <c r="K26" s="21"/>
      <c r="L26" s="21"/>
      <c r="M26" s="21"/>
    </row>
    <row r="27" spans="2:13">
      <c r="G27" s="21"/>
      <c r="H27" s="21"/>
      <c r="I27" s="21"/>
      <c r="J27" s="21"/>
      <c r="K27" s="21"/>
      <c r="L27" s="21"/>
      <c r="M27" s="21"/>
    </row>
    <row r="28" spans="2:13">
      <c r="D28" s="19">
        <v>2022</v>
      </c>
      <c r="E28" s="19">
        <v>2023</v>
      </c>
      <c r="F28" s="19">
        <v>2024</v>
      </c>
      <c r="G28" s="21"/>
      <c r="H28" s="21"/>
      <c r="I28" s="21"/>
      <c r="J28" s="21"/>
      <c r="K28" s="21"/>
      <c r="L28" s="21"/>
      <c r="M28" s="21"/>
    </row>
    <row r="29" spans="2:13">
      <c r="B29" s="20" t="s">
        <v>199</v>
      </c>
      <c r="C29" s="20"/>
      <c r="D29" s="16">
        <v>1816780783</v>
      </c>
      <c r="E29" s="16">
        <f>D38</f>
        <v>1237026562</v>
      </c>
      <c r="F29" s="16">
        <f t="shared" ref="F29" si="6">E38</f>
        <v>876246395</v>
      </c>
      <c r="G29" s="21"/>
      <c r="H29" s="21"/>
      <c r="I29" s="21"/>
      <c r="J29" s="21"/>
      <c r="K29" s="21"/>
      <c r="L29" s="21"/>
      <c r="M29" s="21"/>
    </row>
    <row r="30" spans="2:13">
      <c r="B30" s="22" t="s">
        <v>196</v>
      </c>
      <c r="C30" s="22"/>
      <c r="D30" s="23">
        <f t="shared" ref="D30:F30" si="7">SUM(D31:D33)</f>
        <v>2075754478</v>
      </c>
      <c r="E30" s="23">
        <f t="shared" si="7"/>
        <v>2029959890</v>
      </c>
      <c r="F30" s="23">
        <f t="shared" si="7"/>
        <v>2216732976</v>
      </c>
      <c r="G30" s="21"/>
      <c r="H30" s="21"/>
      <c r="I30" s="21"/>
      <c r="J30" s="21"/>
      <c r="K30" s="21"/>
      <c r="L30" s="21"/>
      <c r="M30" s="21"/>
    </row>
    <row r="31" spans="2:13">
      <c r="C31" s="24" t="s">
        <v>210</v>
      </c>
      <c r="D31" s="17">
        <v>1945796351</v>
      </c>
      <c r="E31" s="17">
        <v>1984032106</v>
      </c>
      <c r="F31" s="17">
        <v>2082427676</v>
      </c>
      <c r="G31" s="21"/>
      <c r="H31" s="21"/>
      <c r="I31" s="21"/>
      <c r="J31" s="21"/>
      <c r="K31" s="21"/>
      <c r="L31" s="21"/>
      <c r="M31" s="21"/>
    </row>
    <row r="32" spans="2:13">
      <c r="C32" s="24" t="s">
        <v>211</v>
      </c>
      <c r="D32" s="17">
        <v>52451692</v>
      </c>
      <c r="E32" s="17">
        <v>45927784</v>
      </c>
      <c r="F32" s="17">
        <v>134305300</v>
      </c>
      <c r="G32" s="21"/>
      <c r="H32" s="21"/>
      <c r="I32" s="21"/>
      <c r="J32" s="21"/>
      <c r="K32" s="21"/>
      <c r="L32" s="21"/>
      <c r="M32" s="21"/>
    </row>
    <row r="33" spans="2:13">
      <c r="C33" s="24" t="s">
        <v>212</v>
      </c>
      <c r="D33" s="17">
        <v>77506435</v>
      </c>
      <c r="E33" s="17">
        <v>0</v>
      </c>
      <c r="F33" s="17">
        <v>0</v>
      </c>
      <c r="G33" s="21"/>
      <c r="H33" s="21"/>
      <c r="I33" s="21"/>
      <c r="J33" s="21"/>
      <c r="K33" s="21"/>
      <c r="L33" s="21"/>
      <c r="M33" s="21"/>
    </row>
    <row r="34" spans="2:13">
      <c r="B34" s="20" t="s">
        <v>197</v>
      </c>
      <c r="C34" s="20"/>
      <c r="D34" s="16">
        <f t="shared" ref="D34:F34" si="8">SUM(D35:D37)</f>
        <v>2655508699</v>
      </c>
      <c r="E34" s="16">
        <f t="shared" si="8"/>
        <v>2390740057</v>
      </c>
      <c r="F34" s="16">
        <f t="shared" si="8"/>
        <v>2602334906</v>
      </c>
      <c r="G34" s="21"/>
      <c r="H34" s="21"/>
      <c r="I34" s="21"/>
      <c r="J34" s="21"/>
      <c r="K34" s="21"/>
      <c r="L34" s="21"/>
      <c r="M34" s="21"/>
    </row>
    <row r="35" spans="2:13">
      <c r="C35" s="24" t="s">
        <v>210</v>
      </c>
      <c r="D35" s="17">
        <v>2396486085</v>
      </c>
      <c r="E35" s="17">
        <f>2141512942</f>
        <v>2141512942</v>
      </c>
      <c r="F35" s="17">
        <v>2415219961</v>
      </c>
      <c r="G35" s="21"/>
      <c r="H35" s="21"/>
      <c r="I35" s="21"/>
      <c r="J35" s="21"/>
      <c r="K35" s="21"/>
      <c r="L35" s="21"/>
      <c r="M35" s="21"/>
    </row>
    <row r="36" spans="2:13">
      <c r="C36" s="24" t="s">
        <v>213</v>
      </c>
      <c r="D36" s="17">
        <v>259022614</v>
      </c>
      <c r="E36" s="17">
        <v>229454525</v>
      </c>
      <c r="F36" s="17">
        <v>177311045</v>
      </c>
      <c r="G36" s="21"/>
      <c r="H36" s="21"/>
      <c r="I36" s="21"/>
      <c r="J36" s="21"/>
      <c r="K36" s="21"/>
      <c r="L36" s="21"/>
      <c r="M36" s="21"/>
    </row>
    <row r="37" spans="2:13">
      <c r="C37" s="24" t="s">
        <v>214</v>
      </c>
      <c r="D37" s="17">
        <v>0</v>
      </c>
      <c r="E37" s="17">
        <v>19772590</v>
      </c>
      <c r="F37" s="17">
        <v>9803900</v>
      </c>
      <c r="G37" s="21"/>
      <c r="H37" s="21"/>
      <c r="I37" s="21"/>
      <c r="J37" s="21"/>
      <c r="K37" s="21"/>
      <c r="L37" s="21"/>
      <c r="M37" s="21"/>
    </row>
    <row r="38" spans="2:13">
      <c r="B38" s="22" t="s">
        <v>215</v>
      </c>
      <c r="C38" s="22"/>
      <c r="D38" s="23">
        <f t="shared" ref="D38:F38" si="9">D29+D30-D34</f>
        <v>1237026562</v>
      </c>
      <c r="E38" s="23">
        <f t="shared" si="9"/>
        <v>876246395</v>
      </c>
      <c r="F38" s="23">
        <f t="shared" si="9"/>
        <v>490644465</v>
      </c>
      <c r="G38" s="21"/>
      <c r="H38" s="21"/>
      <c r="I38" s="21"/>
      <c r="J38" s="21"/>
      <c r="K38" s="21"/>
      <c r="L38" s="21"/>
      <c r="M38" s="21"/>
    </row>
    <row r="39" spans="2:13">
      <c r="B39" s="20" t="s">
        <v>216</v>
      </c>
      <c r="C39" s="20"/>
      <c r="D39" s="16">
        <v>3892467980</v>
      </c>
      <c r="E39" s="16">
        <v>3573646564</v>
      </c>
      <c r="F39" s="16">
        <v>3095227734</v>
      </c>
      <c r="G39" s="21"/>
      <c r="H39" s="21"/>
      <c r="I39" s="21"/>
      <c r="J39" s="21"/>
      <c r="K39" s="21"/>
      <c r="L39" s="21"/>
      <c r="M39" s="21"/>
    </row>
    <row r="40" spans="2:13">
      <c r="B40" s="18" t="s">
        <v>217</v>
      </c>
      <c r="D40" s="21">
        <v>239575052</v>
      </c>
      <c r="E40" s="21">
        <v>187651157</v>
      </c>
      <c r="F40" s="21">
        <v>561188</v>
      </c>
    </row>
    <row r="41" spans="2:13">
      <c r="B41" s="18" t="s">
        <v>218</v>
      </c>
      <c r="D41" s="21">
        <v>507702020</v>
      </c>
      <c r="E41" s="21">
        <v>473388958</v>
      </c>
      <c r="F41" s="21">
        <v>301110682</v>
      </c>
    </row>
    <row r="42" spans="2:13">
      <c r="B42" s="18" t="s">
        <v>219</v>
      </c>
      <c r="C42" s="20"/>
      <c r="D42" s="21">
        <v>489682209</v>
      </c>
      <c r="E42" s="21">
        <v>541638982</v>
      </c>
      <c r="F42" s="21">
        <v>201024858</v>
      </c>
    </row>
    <row r="43" spans="2:13">
      <c r="B43" s="20" t="s">
        <v>220</v>
      </c>
      <c r="C43" s="20"/>
      <c r="D43" s="16">
        <f>D38-D40-D41-D42</f>
        <v>67281</v>
      </c>
      <c r="E43" s="16">
        <f t="shared" ref="E43:F43" si="10">E38-E40-E41-E42</f>
        <v>-326432702</v>
      </c>
      <c r="F43" s="16">
        <f t="shared" si="10"/>
        <v>-12052263</v>
      </c>
    </row>
    <row r="45" spans="2:13">
      <c r="B45" s="425" t="s">
        <v>223</v>
      </c>
      <c r="C45" s="425"/>
      <c r="D45" s="425"/>
      <c r="E45" s="425"/>
      <c r="F45" s="425"/>
    </row>
    <row r="46" spans="2:13">
      <c r="B46" s="425" t="s">
        <v>224</v>
      </c>
      <c r="C46" s="425"/>
      <c r="D46" s="425"/>
      <c r="E46" s="425"/>
      <c r="F46" s="425"/>
    </row>
    <row r="48" spans="2:13">
      <c r="D48" s="19">
        <v>2022</v>
      </c>
      <c r="E48" s="19">
        <v>2023</v>
      </c>
      <c r="F48" s="19">
        <v>2024</v>
      </c>
    </row>
    <row r="49" spans="2:8">
      <c r="B49" s="20" t="s">
        <v>199</v>
      </c>
      <c r="C49" s="20"/>
      <c r="D49" s="16">
        <v>47077773</v>
      </c>
      <c r="E49" s="16">
        <f>D58</f>
        <v>101402821</v>
      </c>
      <c r="F49" s="16">
        <f t="shared" ref="F49" si="11">E58</f>
        <v>889263</v>
      </c>
    </row>
    <row r="50" spans="2:8">
      <c r="B50" s="22" t="s">
        <v>196</v>
      </c>
      <c r="C50" s="22"/>
      <c r="D50" s="23">
        <f>SUM(D51:D53)</f>
        <v>777150900</v>
      </c>
      <c r="E50" s="23">
        <f t="shared" ref="E50:F50" si="12">SUM(E51:E53)</f>
        <v>843341205</v>
      </c>
      <c r="F50" s="23">
        <f t="shared" si="12"/>
        <v>856609021</v>
      </c>
    </row>
    <row r="51" spans="2:8">
      <c r="C51" s="24" t="s">
        <v>210</v>
      </c>
      <c r="D51" s="17">
        <v>777150900</v>
      </c>
      <c r="E51" s="17">
        <v>843341205</v>
      </c>
      <c r="F51" s="17">
        <v>856609021</v>
      </c>
    </row>
    <row r="52" spans="2:8">
      <c r="C52" s="24" t="s">
        <v>211</v>
      </c>
      <c r="D52" s="17">
        <v>0</v>
      </c>
      <c r="E52" s="17">
        <v>0</v>
      </c>
      <c r="F52" s="17"/>
    </row>
    <row r="53" spans="2:8">
      <c r="C53" s="24" t="s">
        <v>212</v>
      </c>
      <c r="D53" s="17">
        <v>0</v>
      </c>
      <c r="E53" s="17"/>
      <c r="F53" s="17"/>
      <c r="H53" s="16"/>
    </row>
    <row r="54" spans="2:8">
      <c r="B54" s="20" t="s">
        <v>197</v>
      </c>
      <c r="C54" s="20"/>
      <c r="D54" s="16">
        <f>SUM(D55:D57)</f>
        <v>722825852</v>
      </c>
      <c r="E54" s="16">
        <f t="shared" ref="E54:F54" si="13">SUM(E55:E57)</f>
        <v>943854763</v>
      </c>
      <c r="F54" s="16">
        <f t="shared" si="13"/>
        <v>809147932</v>
      </c>
    </row>
    <row r="55" spans="2:8">
      <c r="C55" s="24" t="s">
        <v>210</v>
      </c>
      <c r="D55" s="17">
        <v>694478384</v>
      </c>
      <c r="E55" s="17">
        <v>920289724</v>
      </c>
      <c r="F55" s="17">
        <v>795681140</v>
      </c>
    </row>
    <row r="56" spans="2:8">
      <c r="C56" s="24" t="s">
        <v>213</v>
      </c>
      <c r="D56" s="17">
        <v>27642327</v>
      </c>
      <c r="E56" s="17">
        <v>23120690</v>
      </c>
      <c r="F56" s="17">
        <v>12655889</v>
      </c>
    </row>
    <row r="57" spans="2:8">
      <c r="C57" s="24" t="s">
        <v>214</v>
      </c>
      <c r="D57" s="17">
        <v>705141</v>
      </c>
      <c r="E57" s="17">
        <v>444349</v>
      </c>
      <c r="F57" s="17">
        <v>810903</v>
      </c>
    </row>
    <row r="58" spans="2:8">
      <c r="B58" s="22" t="s">
        <v>215</v>
      </c>
      <c r="C58" s="22"/>
      <c r="D58" s="23">
        <f>D49+D50-D54</f>
        <v>101402821</v>
      </c>
      <c r="E58" s="23">
        <f>E49+E50-E54</f>
        <v>889263</v>
      </c>
      <c r="F58" s="23">
        <f>F49+F50-F54</f>
        <v>48350352</v>
      </c>
      <c r="G58" s="27"/>
    </row>
    <row r="59" spans="2:8">
      <c r="B59" s="20" t="s">
        <v>216</v>
      </c>
      <c r="C59" s="20"/>
      <c r="D59" s="16">
        <v>823523532</v>
      </c>
      <c r="E59" s="16">
        <v>1165668537</v>
      </c>
      <c r="F59" s="16">
        <v>837452949</v>
      </c>
    </row>
    <row r="60" spans="2:8">
      <c r="B60" s="18" t="s">
        <v>217</v>
      </c>
      <c r="D60" s="21">
        <v>47881829</v>
      </c>
      <c r="E60" s="21">
        <v>9420698</v>
      </c>
      <c r="F60" s="21">
        <v>0</v>
      </c>
    </row>
    <row r="61" spans="2:8">
      <c r="B61" s="18" t="s">
        <v>218</v>
      </c>
      <c r="D61" s="21">
        <v>23964568</v>
      </c>
      <c r="E61" s="21">
        <v>12765944</v>
      </c>
      <c r="F61" s="21">
        <v>4371327</v>
      </c>
    </row>
    <row r="62" spans="2:8">
      <c r="B62" s="18" t="s">
        <v>219</v>
      </c>
      <c r="C62" s="20"/>
      <c r="D62" s="21">
        <v>29556424</v>
      </c>
      <c r="E62" s="21">
        <v>200071481</v>
      </c>
      <c r="F62" s="21">
        <v>24744593</v>
      </c>
    </row>
    <row r="63" spans="2:8">
      <c r="B63" s="20" t="s">
        <v>220</v>
      </c>
      <c r="C63" s="20"/>
      <c r="D63" s="16">
        <f>D58-D60-D61-D62</f>
        <v>0</v>
      </c>
      <c r="E63" s="16">
        <f>E58-E60-E61-E62</f>
        <v>-221368860</v>
      </c>
      <c r="F63" s="16">
        <f t="shared" ref="F63" si="14">F58-F60-F61-F62</f>
        <v>19234432</v>
      </c>
    </row>
  </sheetData>
  <mergeCells count="6">
    <mergeCell ref="B46:F46"/>
    <mergeCell ref="B2:F2"/>
    <mergeCell ref="B3:F3"/>
    <mergeCell ref="B25:F25"/>
    <mergeCell ref="B26:F26"/>
    <mergeCell ref="B45:F4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B158"/>
  <sheetViews>
    <sheetView showGridLines="0" topLeftCell="C1" zoomScale="70" zoomScaleNormal="70" workbookViewId="0">
      <selection activeCell="G15" sqref="G15"/>
    </sheetView>
  </sheetViews>
  <sheetFormatPr baseColWidth="10" defaultRowHeight="20.100000000000001" customHeight="1" outlineLevelRow="1"/>
  <cols>
    <col min="1" max="1" width="61.8984375" style="2" hidden="1" customWidth="1"/>
    <col min="2" max="2" width="56.5" style="2" hidden="1" customWidth="1"/>
    <col min="3" max="3" width="20" style="2" customWidth="1"/>
    <col min="4" max="4" width="47.8984375" style="2" bestFit="1" customWidth="1"/>
    <col min="5" max="6" width="32.69921875" style="2" customWidth="1"/>
    <col min="7" max="7" width="31.69921875" style="38" bestFit="1" customWidth="1"/>
    <col min="8" max="8" width="27.69921875" style="38" bestFit="1" customWidth="1"/>
    <col min="9" max="9" width="11" style="2" customWidth="1"/>
    <col min="10" max="10" width="23.3984375" style="2" hidden="1" customWidth="1"/>
    <col min="11" max="15" width="13.8984375" style="2" hidden="1" customWidth="1"/>
    <col min="16" max="16" width="16.19921875" style="3" bestFit="1" customWidth="1"/>
    <col min="17" max="17" width="18.59765625" style="3" customWidth="1"/>
    <col min="18" max="18" width="19.3984375" customWidth="1"/>
    <col min="19" max="19" width="11" customWidth="1"/>
    <col min="21" max="21" width="20.09765625" customWidth="1"/>
  </cols>
  <sheetData>
    <row r="2" spans="1:28" ht="19.5" customHeight="1" outlineLevel="1">
      <c r="D2" s="4"/>
      <c r="E2" s="5"/>
      <c r="F2" s="4"/>
      <c r="G2" s="42"/>
      <c r="H2" s="42"/>
    </row>
    <row r="3" spans="1:28" ht="19.5" customHeight="1" outlineLevel="1">
      <c r="D3" s="4"/>
      <c r="E3" s="41" t="s">
        <v>195</v>
      </c>
      <c r="F3" s="243">
        <f>SUMIF($H$9:$H$140,E3,$G$9:$G$140)</f>
        <v>1645719033</v>
      </c>
      <c r="G3" s="42"/>
      <c r="H3" s="42"/>
    </row>
    <row r="4" spans="1:28" ht="19.5" customHeight="1" outlineLevel="1">
      <c r="D4" s="4"/>
      <c r="E4" s="41" t="s">
        <v>194</v>
      </c>
      <c r="F4" s="243">
        <f>SUMIF($H$9:$H$140,E4,$G$9:$G$140)</f>
        <v>2661315750</v>
      </c>
      <c r="G4" s="42"/>
      <c r="H4" s="42"/>
    </row>
    <row r="5" spans="1:28" ht="19.5" customHeight="1" outlineLevel="1">
      <c r="D5" s="4"/>
      <c r="E5" s="246" t="s">
        <v>248</v>
      </c>
      <c r="F5" s="247">
        <f>SUM(F3:F4)</f>
        <v>4307034783</v>
      </c>
      <c r="G5" s="42"/>
      <c r="H5" s="42"/>
    </row>
    <row r="6" spans="1:28" ht="20.100000000000001" customHeight="1" outlineLevel="1">
      <c r="D6" s="4"/>
      <c r="E6" s="5"/>
      <c r="F6" s="4"/>
      <c r="G6" s="42"/>
      <c r="H6" s="42"/>
    </row>
    <row r="7" spans="1:28" ht="20.100000000000001" customHeight="1" outlineLevel="1">
      <c r="A7" s="428" t="s">
        <v>206</v>
      </c>
      <c r="B7" s="428"/>
      <c r="C7" s="428"/>
      <c r="D7" s="43"/>
      <c r="E7" s="430" t="s">
        <v>200</v>
      </c>
      <c r="F7" s="430"/>
      <c r="G7" s="430"/>
      <c r="H7" s="430"/>
    </row>
    <row r="8" spans="1:28" ht="20.100000000000001" customHeight="1" outlineLevel="1">
      <c r="A8" s="44" t="s">
        <v>183</v>
      </c>
      <c r="B8" s="44" t="s">
        <v>184</v>
      </c>
      <c r="C8" s="45" t="s">
        <v>198</v>
      </c>
      <c r="D8" s="43"/>
      <c r="E8" s="431" t="s">
        <v>183</v>
      </c>
      <c r="F8" s="431"/>
      <c r="G8" s="39" t="s">
        <v>184</v>
      </c>
      <c r="H8" s="40" t="s">
        <v>198</v>
      </c>
    </row>
    <row r="9" spans="1:28" ht="20.100000000000001" customHeight="1" outlineLevel="1">
      <c r="A9" s="46" t="s">
        <v>18</v>
      </c>
      <c r="B9" s="47">
        <v>51248218</v>
      </c>
      <c r="C9" s="48" t="s">
        <v>195</v>
      </c>
      <c r="D9" s="43"/>
      <c r="E9" s="429" t="s">
        <v>53</v>
      </c>
      <c r="F9" s="429"/>
      <c r="G9" s="242">
        <v>886586</v>
      </c>
      <c r="H9" s="41" t="s">
        <v>195</v>
      </c>
      <c r="J9" s="8"/>
    </row>
    <row r="10" spans="1:28" ht="20.100000000000001" customHeight="1" outlineLevel="1">
      <c r="A10" s="46" t="s">
        <v>40</v>
      </c>
      <c r="B10" s="49">
        <f>232638646+242783030</f>
        <v>475421676</v>
      </c>
      <c r="C10" s="48" t="s">
        <v>195</v>
      </c>
      <c r="D10" s="43"/>
      <c r="E10" s="426" t="s">
        <v>27</v>
      </c>
      <c r="F10" s="426" t="s">
        <v>27</v>
      </c>
      <c r="G10" s="243">
        <v>740000</v>
      </c>
      <c r="H10" s="41" t="s">
        <v>195</v>
      </c>
      <c r="J10" s="8"/>
      <c r="U10" s="13"/>
      <c r="V10" s="14"/>
      <c r="W10" s="14"/>
      <c r="X10" s="14"/>
      <c r="Y10" s="14"/>
      <c r="Z10" s="14"/>
      <c r="AA10" s="14"/>
      <c r="AB10" s="14"/>
    </row>
    <row r="11" spans="1:28" ht="20.100000000000001" customHeight="1" outlineLevel="1">
      <c r="A11" s="46" t="s">
        <v>41</v>
      </c>
      <c r="B11" s="47">
        <v>8554497</v>
      </c>
      <c r="C11" s="48" t="s">
        <v>195</v>
      </c>
      <c r="D11" s="43"/>
      <c r="E11" s="426" t="s">
        <v>27</v>
      </c>
      <c r="F11" s="426" t="s">
        <v>27</v>
      </c>
      <c r="G11" s="243">
        <v>2042385</v>
      </c>
      <c r="H11" s="41" t="s">
        <v>195</v>
      </c>
      <c r="J11" s="8"/>
      <c r="U11" s="13"/>
      <c r="V11" s="14"/>
      <c r="W11" s="14"/>
      <c r="X11" s="14"/>
      <c r="Y11" s="14"/>
      <c r="Z11" s="14"/>
      <c r="AA11" s="14"/>
      <c r="AB11" s="14"/>
    </row>
    <row r="12" spans="1:28" ht="20.100000000000001" customHeight="1" outlineLevel="1">
      <c r="A12" s="46" t="s">
        <v>166</v>
      </c>
      <c r="B12" s="47">
        <v>103140305</v>
      </c>
      <c r="C12" s="48" t="s">
        <v>195</v>
      </c>
      <c r="D12" s="43"/>
      <c r="E12" s="426" t="s">
        <v>27</v>
      </c>
      <c r="F12" s="426" t="s">
        <v>27</v>
      </c>
      <c r="G12" s="243">
        <v>23925087</v>
      </c>
      <c r="H12" s="41" t="s">
        <v>195</v>
      </c>
      <c r="J12" s="8"/>
      <c r="U12" s="11"/>
      <c r="V12" s="14"/>
      <c r="W12" s="14"/>
      <c r="X12" s="14"/>
      <c r="Y12" s="14"/>
      <c r="Z12" s="14"/>
      <c r="AA12" s="14"/>
      <c r="AB12" s="14"/>
    </row>
    <row r="13" spans="1:28" ht="20.100000000000001" customHeight="1" outlineLevel="1">
      <c r="A13" s="46"/>
      <c r="B13" s="47"/>
      <c r="C13" s="48"/>
      <c r="D13" s="43"/>
      <c r="E13" s="426" t="s">
        <v>245</v>
      </c>
      <c r="F13" s="426"/>
      <c r="G13" s="243">
        <v>9000000</v>
      </c>
      <c r="H13" s="41" t="s">
        <v>195</v>
      </c>
      <c r="J13" s="8"/>
      <c r="U13" s="11"/>
      <c r="V13" s="14"/>
      <c r="W13" s="14"/>
      <c r="X13" s="14"/>
      <c r="Y13" s="14"/>
      <c r="Z13" s="14"/>
      <c r="AA13" s="14"/>
      <c r="AB13" s="14"/>
    </row>
    <row r="14" spans="1:28" ht="20.100000000000001" customHeight="1" outlineLevel="1">
      <c r="A14" s="46" t="s">
        <v>45</v>
      </c>
      <c r="B14" s="49">
        <f>77112513+19602508</f>
        <v>96715021</v>
      </c>
      <c r="C14" s="48" t="s">
        <v>195</v>
      </c>
      <c r="D14" s="43"/>
      <c r="E14" s="426" t="s">
        <v>75</v>
      </c>
      <c r="F14" s="426" t="s">
        <v>75</v>
      </c>
      <c r="G14" s="243">
        <v>189984</v>
      </c>
      <c r="H14" s="41" t="s">
        <v>195</v>
      </c>
      <c r="J14" s="8"/>
      <c r="U14" s="11"/>
      <c r="V14" s="14"/>
      <c r="W14" s="14"/>
      <c r="X14" s="14"/>
      <c r="Y14" s="14"/>
      <c r="Z14" s="14"/>
      <c r="AA14" s="14"/>
      <c r="AB14" s="14"/>
    </row>
    <row r="15" spans="1:28" ht="20.100000000000001" customHeight="1" outlineLevel="1">
      <c r="A15" s="46" t="s">
        <v>158</v>
      </c>
      <c r="B15" s="47">
        <v>1955500</v>
      </c>
      <c r="C15" s="48" t="s">
        <v>195</v>
      </c>
      <c r="D15" s="43"/>
      <c r="E15" s="426" t="s">
        <v>204</v>
      </c>
      <c r="F15" s="426" t="s">
        <v>75</v>
      </c>
      <c r="G15" s="243">
        <v>26729683</v>
      </c>
      <c r="H15" s="41" t="s">
        <v>195</v>
      </c>
      <c r="J15" s="8"/>
      <c r="U15" s="11"/>
      <c r="V15" s="14"/>
      <c r="W15" s="14"/>
      <c r="X15" s="14"/>
      <c r="Y15" s="14"/>
      <c r="Z15" s="14"/>
      <c r="AA15" s="14"/>
      <c r="AB15" s="14"/>
    </row>
    <row r="16" spans="1:28" ht="20.100000000000001" customHeight="1" outlineLevel="1">
      <c r="A16" s="46" t="s">
        <v>185</v>
      </c>
      <c r="B16" s="47">
        <v>18158060</v>
      </c>
      <c r="C16" s="48" t="s">
        <v>195</v>
      </c>
      <c r="D16" s="43"/>
      <c r="E16" s="426" t="s">
        <v>205</v>
      </c>
      <c r="F16" s="426" t="s">
        <v>75</v>
      </c>
      <c r="G16" s="243">
        <v>5132319</v>
      </c>
      <c r="H16" s="41" t="s">
        <v>195</v>
      </c>
      <c r="J16" s="8"/>
      <c r="U16" s="11"/>
      <c r="V16" s="14"/>
      <c r="W16" s="14"/>
      <c r="X16" s="14"/>
      <c r="Y16" s="14"/>
      <c r="Z16" s="14"/>
      <c r="AA16" s="14"/>
      <c r="AB16" s="14"/>
    </row>
    <row r="17" spans="1:28" ht="20.100000000000001" customHeight="1" outlineLevel="1">
      <c r="A17" s="46" t="s">
        <v>56</v>
      </c>
      <c r="B17" s="47">
        <f>17999131+497113+23491698</f>
        <v>41987942</v>
      </c>
      <c r="C17" s="48" t="s">
        <v>195</v>
      </c>
      <c r="D17" s="43"/>
      <c r="E17" s="426" t="s">
        <v>201</v>
      </c>
      <c r="F17" s="426" t="s">
        <v>75</v>
      </c>
      <c r="G17" s="243">
        <v>2844634</v>
      </c>
      <c r="H17" s="41" t="s">
        <v>195</v>
      </c>
      <c r="J17" s="8"/>
      <c r="U17" s="11"/>
      <c r="V17" s="14"/>
      <c r="W17" s="14"/>
      <c r="X17" s="14"/>
      <c r="Y17" s="14"/>
      <c r="Z17" s="14"/>
      <c r="AA17" s="14"/>
      <c r="AB17" s="14"/>
    </row>
    <row r="18" spans="1:28" ht="20.100000000000001" customHeight="1" outlineLevel="1">
      <c r="A18" s="46" t="s">
        <v>154</v>
      </c>
      <c r="B18" s="47">
        <f>15926529+2955576</f>
        <v>18882105</v>
      </c>
      <c r="C18" s="48" t="s">
        <v>195</v>
      </c>
      <c r="D18" s="43"/>
      <c r="E18" s="426" t="s">
        <v>202</v>
      </c>
      <c r="F18" s="426" t="s">
        <v>75</v>
      </c>
      <c r="G18" s="243">
        <v>1000000</v>
      </c>
      <c r="H18" s="41" t="s">
        <v>195</v>
      </c>
      <c r="J18" s="8"/>
      <c r="U18" s="11"/>
      <c r="V18" s="14"/>
      <c r="W18" s="14"/>
      <c r="X18" s="14"/>
      <c r="Y18" s="14"/>
      <c r="Z18" s="14"/>
      <c r="AA18" s="14"/>
      <c r="AB18" s="14"/>
    </row>
    <row r="19" spans="1:28" ht="20.100000000000001" customHeight="1" outlineLevel="1">
      <c r="A19" s="46" t="s">
        <v>153</v>
      </c>
      <c r="B19" s="47">
        <v>21175403</v>
      </c>
      <c r="C19" s="48" t="s">
        <v>195</v>
      </c>
      <c r="D19" s="43"/>
      <c r="E19" s="426" t="s">
        <v>203</v>
      </c>
      <c r="F19" s="426" t="s">
        <v>75</v>
      </c>
      <c r="G19" s="243">
        <v>3163586</v>
      </c>
      <c r="H19" s="41" t="s">
        <v>195</v>
      </c>
      <c r="J19" s="8"/>
      <c r="U19" s="11"/>
      <c r="V19" s="14"/>
      <c r="W19" s="14"/>
      <c r="X19" s="14"/>
      <c r="Y19" s="14"/>
      <c r="Z19" s="14"/>
      <c r="AA19" s="14"/>
      <c r="AB19" s="14"/>
    </row>
    <row r="20" spans="1:28" ht="20.100000000000001" customHeight="1" outlineLevel="1">
      <c r="A20" s="46" t="s">
        <v>152</v>
      </c>
      <c r="B20" s="47">
        <v>11795079</v>
      </c>
      <c r="C20" s="48" t="s">
        <v>195</v>
      </c>
      <c r="D20" s="43"/>
      <c r="E20" s="426" t="s">
        <v>203</v>
      </c>
      <c r="F20" s="426" t="s">
        <v>75</v>
      </c>
      <c r="G20" s="243">
        <v>3928964</v>
      </c>
      <c r="H20" s="41" t="s">
        <v>195</v>
      </c>
      <c r="J20" s="8"/>
      <c r="U20" s="11"/>
      <c r="V20" s="14"/>
      <c r="W20" s="14"/>
      <c r="X20" s="14"/>
      <c r="Y20" s="14"/>
      <c r="Z20" s="14"/>
      <c r="AA20" s="14"/>
      <c r="AB20" s="14"/>
    </row>
    <row r="21" spans="1:28" ht="20.100000000000001" customHeight="1" outlineLevel="1">
      <c r="A21" s="46" t="s">
        <v>151</v>
      </c>
      <c r="B21" s="47">
        <v>149094378</v>
      </c>
      <c r="C21" s="48" t="s">
        <v>195</v>
      </c>
      <c r="D21" s="43"/>
      <c r="E21" s="426" t="s">
        <v>75</v>
      </c>
      <c r="F21" s="426" t="s">
        <v>75</v>
      </c>
      <c r="G21" s="243">
        <v>2930000</v>
      </c>
      <c r="H21" s="41" t="s">
        <v>195</v>
      </c>
      <c r="J21" s="8"/>
      <c r="U21" s="11"/>
      <c r="V21" s="427"/>
      <c r="W21" s="427"/>
      <c r="X21" s="14"/>
      <c r="Y21" s="14"/>
      <c r="Z21" s="14"/>
      <c r="AA21" s="14"/>
      <c r="AB21" s="14"/>
    </row>
    <row r="22" spans="1:28" ht="20.100000000000001" customHeight="1" outlineLevel="1">
      <c r="A22" s="46" t="s">
        <v>60</v>
      </c>
      <c r="B22" s="47">
        <v>17719744</v>
      </c>
      <c r="C22" s="48" t="s">
        <v>195</v>
      </c>
      <c r="D22" s="43"/>
      <c r="E22" s="426" t="s">
        <v>60</v>
      </c>
      <c r="F22" s="426" t="s">
        <v>60</v>
      </c>
      <c r="G22" s="243">
        <v>7978748</v>
      </c>
      <c r="H22" s="41" t="s">
        <v>195</v>
      </c>
      <c r="J22" s="8"/>
      <c r="U22" s="14"/>
      <c r="V22" s="14"/>
      <c r="W22" s="14"/>
      <c r="X22" s="14"/>
      <c r="Y22" s="14"/>
      <c r="Z22" s="14"/>
      <c r="AA22" s="14"/>
      <c r="AB22" s="14"/>
    </row>
    <row r="23" spans="1:28" ht="20.100000000000001" customHeight="1" outlineLevel="1">
      <c r="A23" s="46" t="s">
        <v>149</v>
      </c>
      <c r="B23" s="47">
        <v>4923030</v>
      </c>
      <c r="C23" s="48" t="s">
        <v>195</v>
      </c>
      <c r="D23" s="43"/>
      <c r="E23" s="426" t="s">
        <v>74</v>
      </c>
      <c r="F23" s="426" t="s">
        <v>74</v>
      </c>
      <c r="G23" s="243">
        <v>205040</v>
      </c>
      <c r="H23" s="41" t="s">
        <v>195</v>
      </c>
      <c r="J23" s="8"/>
      <c r="U23" s="14"/>
      <c r="V23" s="14"/>
      <c r="W23" s="14"/>
      <c r="X23" s="14"/>
      <c r="Y23" s="14"/>
      <c r="Z23" s="14"/>
      <c r="AA23" s="14"/>
      <c r="AB23" s="14"/>
    </row>
    <row r="24" spans="1:28" ht="20.100000000000001" customHeight="1" outlineLevel="1">
      <c r="A24" s="46" t="s">
        <v>147</v>
      </c>
      <c r="B24" s="47">
        <v>10218323</v>
      </c>
      <c r="C24" s="48" t="s">
        <v>195</v>
      </c>
      <c r="D24" s="43"/>
      <c r="E24" s="426" t="s">
        <v>52</v>
      </c>
      <c r="F24" s="426" t="s">
        <v>52</v>
      </c>
      <c r="G24" s="243">
        <v>461720</v>
      </c>
      <c r="H24" s="41" t="s">
        <v>195</v>
      </c>
      <c r="J24" s="8"/>
      <c r="U24" s="11"/>
      <c r="V24" s="14"/>
      <c r="W24" s="14"/>
      <c r="X24" s="14"/>
      <c r="Y24" s="14"/>
      <c r="Z24" s="14"/>
      <c r="AA24" s="14"/>
      <c r="AB24" s="14"/>
    </row>
    <row r="25" spans="1:28" ht="20.100000000000001" customHeight="1" outlineLevel="1">
      <c r="A25" s="46" t="s">
        <v>146</v>
      </c>
      <c r="B25" s="47">
        <v>23437462</v>
      </c>
      <c r="C25" s="48" t="s">
        <v>195</v>
      </c>
      <c r="D25" s="43"/>
      <c r="E25" s="426" t="s">
        <v>18</v>
      </c>
      <c r="F25" s="426" t="s">
        <v>18</v>
      </c>
      <c r="G25" s="243">
        <f>25958660+3700000+12754056</f>
        <v>42412716</v>
      </c>
      <c r="H25" s="41" t="s">
        <v>195</v>
      </c>
      <c r="J25" s="8"/>
      <c r="U25" s="11"/>
      <c r="V25" s="14"/>
      <c r="W25" s="14"/>
      <c r="X25" s="14"/>
      <c r="Y25" s="14"/>
      <c r="Z25" s="14"/>
      <c r="AA25" s="14"/>
      <c r="AB25" s="14"/>
    </row>
    <row r="26" spans="1:28" ht="20.100000000000001" customHeight="1" outlineLevel="1">
      <c r="A26" s="46" t="s">
        <v>145</v>
      </c>
      <c r="B26" s="47">
        <v>23858057</v>
      </c>
      <c r="C26" s="48" t="s">
        <v>195</v>
      </c>
      <c r="D26" s="43"/>
      <c r="E26" s="426" t="s">
        <v>77</v>
      </c>
      <c r="F26" s="426" t="s">
        <v>77</v>
      </c>
      <c r="G26" s="243">
        <v>712810</v>
      </c>
      <c r="H26" s="41" t="s">
        <v>195</v>
      </c>
      <c r="J26" s="8"/>
      <c r="Q26" s="9"/>
      <c r="R26" s="10"/>
      <c r="U26" s="14"/>
      <c r="V26" s="14"/>
      <c r="W26" s="14"/>
      <c r="X26" s="14"/>
      <c r="Y26" s="14"/>
      <c r="Z26" s="14"/>
      <c r="AA26" s="14"/>
      <c r="AB26" s="14"/>
    </row>
    <row r="27" spans="1:28" ht="20.100000000000001" customHeight="1" outlineLevel="1">
      <c r="A27" s="46" t="s">
        <v>75</v>
      </c>
      <c r="B27" s="47">
        <v>32658698</v>
      </c>
      <c r="C27" s="48" t="s">
        <v>195</v>
      </c>
      <c r="D27" s="43"/>
      <c r="E27" s="426" t="s">
        <v>30</v>
      </c>
      <c r="F27" s="426" t="s">
        <v>30</v>
      </c>
      <c r="G27" s="243">
        <v>139000</v>
      </c>
      <c r="H27" s="41" t="s">
        <v>195</v>
      </c>
      <c r="J27" s="8"/>
      <c r="Q27" s="11"/>
      <c r="R27" s="10"/>
      <c r="U27" s="14"/>
      <c r="V27" s="14"/>
      <c r="W27" s="14"/>
      <c r="X27" s="14"/>
      <c r="Y27" s="14"/>
      <c r="Z27" s="14"/>
      <c r="AA27" s="14"/>
      <c r="AB27" s="14"/>
    </row>
    <row r="28" spans="1:28" ht="20.100000000000001" customHeight="1" outlineLevel="1">
      <c r="A28" s="46" t="s">
        <v>77</v>
      </c>
      <c r="B28" s="47">
        <v>2011100</v>
      </c>
      <c r="C28" s="48" t="s">
        <v>195</v>
      </c>
      <c r="D28" s="43"/>
      <c r="E28" s="426" t="s">
        <v>50</v>
      </c>
      <c r="F28" s="426" t="s">
        <v>50</v>
      </c>
      <c r="G28" s="243">
        <v>412860</v>
      </c>
      <c r="H28" s="41" t="s">
        <v>195</v>
      </c>
      <c r="J28" s="8"/>
      <c r="U28" s="14"/>
      <c r="V28" s="14"/>
      <c r="W28" s="14"/>
      <c r="X28" s="14"/>
      <c r="Y28" s="14"/>
      <c r="Z28" s="14"/>
      <c r="AA28" s="14"/>
      <c r="AB28" s="14"/>
    </row>
    <row r="29" spans="1:28" ht="20.100000000000001" customHeight="1" outlineLevel="1">
      <c r="A29" s="46" t="s">
        <v>87</v>
      </c>
      <c r="B29" s="47">
        <v>7258197</v>
      </c>
      <c r="C29" s="48" t="s">
        <v>195</v>
      </c>
      <c r="D29" s="43"/>
      <c r="E29" s="426" t="s">
        <v>35</v>
      </c>
      <c r="F29" s="426" t="s">
        <v>35</v>
      </c>
      <c r="G29" s="243">
        <v>11801586</v>
      </c>
      <c r="H29" s="41" t="s">
        <v>195</v>
      </c>
      <c r="J29" s="8"/>
      <c r="U29" s="11"/>
      <c r="V29" s="14"/>
      <c r="W29" s="14"/>
      <c r="X29" s="14"/>
      <c r="Y29" s="14"/>
      <c r="Z29" s="14"/>
      <c r="AA29" s="14"/>
      <c r="AB29" s="14"/>
    </row>
    <row r="30" spans="1:28" ht="20.100000000000001" customHeight="1" outlineLevel="1">
      <c r="A30" s="43"/>
      <c r="B30" s="43"/>
      <c r="C30" s="43"/>
      <c r="D30" s="43"/>
      <c r="E30" s="426" t="s">
        <v>65</v>
      </c>
      <c r="F30" s="426" t="s">
        <v>65</v>
      </c>
      <c r="G30" s="243">
        <v>9993400</v>
      </c>
      <c r="H30" s="41" t="s">
        <v>195</v>
      </c>
      <c r="J30" s="8"/>
      <c r="Q30" s="9"/>
      <c r="R30" s="10"/>
      <c r="U30" s="14"/>
      <c r="V30" s="14"/>
      <c r="W30" s="14"/>
      <c r="X30" s="14"/>
      <c r="Y30" s="14"/>
      <c r="Z30" s="14"/>
      <c r="AA30" s="14"/>
      <c r="AB30" s="14"/>
    </row>
    <row r="31" spans="1:28" ht="20.100000000000001" customHeight="1" outlineLevel="1">
      <c r="A31" s="43"/>
      <c r="B31" s="43"/>
      <c r="C31" s="43"/>
      <c r="D31" s="43"/>
      <c r="E31" s="432" t="s">
        <v>207</v>
      </c>
      <c r="F31" s="432" t="s">
        <v>56</v>
      </c>
      <c r="G31" s="244">
        <f>321196493+33030291+14687938</f>
        <v>368914722</v>
      </c>
      <c r="H31" s="55" t="s">
        <v>195</v>
      </c>
      <c r="I31" s="11"/>
      <c r="J31" s="14"/>
      <c r="K31" s="4"/>
      <c r="L31" s="4"/>
      <c r="M31" s="4"/>
      <c r="N31" s="4"/>
      <c r="O31" s="4"/>
      <c r="P31" s="15"/>
      <c r="Q31" s="11"/>
      <c r="R31" s="10"/>
    </row>
    <row r="32" spans="1:28" ht="20.100000000000001" customHeight="1" outlineLevel="1">
      <c r="A32" s="43"/>
      <c r="B32" s="43"/>
      <c r="C32" s="43"/>
      <c r="D32" s="43"/>
      <c r="E32" s="426" t="s">
        <v>64</v>
      </c>
      <c r="F32" s="426" t="s">
        <v>64</v>
      </c>
      <c r="G32" s="243">
        <v>948000</v>
      </c>
      <c r="H32" s="41" t="s">
        <v>195</v>
      </c>
      <c r="J32" s="8"/>
    </row>
    <row r="33" spans="1:18" ht="20.100000000000001" customHeight="1" outlineLevel="1">
      <c r="A33" s="43"/>
      <c r="B33" s="43"/>
      <c r="C33" s="43"/>
      <c r="D33" s="43"/>
      <c r="E33" s="426" t="s">
        <v>63</v>
      </c>
      <c r="F33" s="426" t="s">
        <v>63</v>
      </c>
      <c r="G33" s="243">
        <v>337450</v>
      </c>
      <c r="H33" s="41" t="s">
        <v>195</v>
      </c>
      <c r="J33" s="8"/>
    </row>
    <row r="34" spans="1:18" ht="20.100000000000001" customHeight="1" outlineLevel="1">
      <c r="A34" s="43"/>
      <c r="B34" s="43"/>
      <c r="C34" s="43"/>
      <c r="D34" s="43"/>
      <c r="E34" s="426" t="s">
        <v>62</v>
      </c>
      <c r="F34" s="426" t="s">
        <v>62</v>
      </c>
      <c r="G34" s="243">
        <v>14588149</v>
      </c>
      <c r="H34" s="41" t="s">
        <v>195</v>
      </c>
      <c r="J34" s="8"/>
      <c r="Q34" s="9"/>
      <c r="R34" s="10"/>
    </row>
    <row r="35" spans="1:18" ht="20.100000000000001" customHeight="1" outlineLevel="1">
      <c r="A35" s="43"/>
      <c r="B35" s="43"/>
      <c r="C35" s="43"/>
      <c r="D35" s="43"/>
      <c r="E35" s="426" t="s">
        <v>76</v>
      </c>
      <c r="F35" s="426" t="s">
        <v>76</v>
      </c>
      <c r="G35" s="243">
        <v>42000000</v>
      </c>
      <c r="H35" s="41" t="s">
        <v>195</v>
      </c>
      <c r="J35" s="8"/>
      <c r="Q35" s="11"/>
      <c r="R35" s="10"/>
    </row>
    <row r="36" spans="1:18" ht="20.100000000000001" customHeight="1" outlineLevel="1">
      <c r="A36" s="43"/>
      <c r="B36" s="43"/>
      <c r="C36" s="43"/>
      <c r="D36" s="43"/>
      <c r="E36" s="426" t="s">
        <v>87</v>
      </c>
      <c r="F36" s="426" t="s">
        <v>87</v>
      </c>
      <c r="G36" s="243">
        <v>1072427</v>
      </c>
      <c r="H36" s="41" t="s">
        <v>195</v>
      </c>
      <c r="J36" s="8"/>
    </row>
    <row r="37" spans="1:18" ht="20.100000000000001" customHeight="1" outlineLevel="1">
      <c r="A37" s="43"/>
      <c r="B37" s="43"/>
      <c r="C37" s="43"/>
      <c r="D37" s="43"/>
      <c r="E37" s="426" t="s">
        <v>41</v>
      </c>
      <c r="F37" s="426" t="s">
        <v>41</v>
      </c>
      <c r="G37" s="243">
        <v>40000000</v>
      </c>
      <c r="H37" s="41" t="s">
        <v>195</v>
      </c>
      <c r="J37" s="8"/>
    </row>
    <row r="38" spans="1:18" ht="20.100000000000001" customHeight="1" outlineLevel="1">
      <c r="A38" s="43"/>
      <c r="B38" s="43"/>
      <c r="C38" s="43"/>
      <c r="D38" s="43"/>
      <c r="E38" s="426" t="s">
        <v>170</v>
      </c>
      <c r="F38" s="426" t="s">
        <v>170</v>
      </c>
      <c r="G38" s="243">
        <f>474174149</f>
        <v>474174149</v>
      </c>
      <c r="H38" s="41" t="s">
        <v>195</v>
      </c>
      <c r="J38" s="8"/>
      <c r="Q38" s="11"/>
    </row>
    <row r="39" spans="1:18" ht="20.100000000000001" customHeight="1" outlineLevel="1">
      <c r="A39" s="43"/>
      <c r="B39" s="43"/>
      <c r="C39" s="43"/>
      <c r="D39" s="43"/>
      <c r="E39" s="426" t="s">
        <v>55</v>
      </c>
      <c r="F39" s="426" t="s">
        <v>55</v>
      </c>
      <c r="G39" s="243">
        <v>390000</v>
      </c>
      <c r="H39" s="41" t="s">
        <v>195</v>
      </c>
      <c r="J39" s="8"/>
    </row>
    <row r="40" spans="1:18" ht="20.100000000000001" customHeight="1" outlineLevel="1">
      <c r="A40" s="43"/>
      <c r="B40" s="43"/>
      <c r="C40" s="43"/>
      <c r="D40" s="43"/>
      <c r="E40" s="426" t="s">
        <v>103</v>
      </c>
      <c r="F40" s="426" t="s">
        <v>103</v>
      </c>
      <c r="G40" s="243">
        <v>4753591</v>
      </c>
      <c r="H40" s="41" t="s">
        <v>195</v>
      </c>
      <c r="J40" s="8"/>
    </row>
    <row r="41" spans="1:18" ht="20.100000000000001" customHeight="1" outlineLevel="1">
      <c r="A41" s="43"/>
      <c r="B41" s="43"/>
      <c r="C41" s="43"/>
      <c r="D41" s="43"/>
      <c r="E41" s="426" t="s">
        <v>59</v>
      </c>
      <c r="F41" s="426" t="s">
        <v>59</v>
      </c>
      <c r="G41" s="243">
        <v>8000000</v>
      </c>
      <c r="H41" s="41" t="s">
        <v>195</v>
      </c>
      <c r="J41" s="8"/>
    </row>
    <row r="42" spans="1:18" ht="20.100000000000001" customHeight="1" outlineLevel="1">
      <c r="A42" s="43"/>
      <c r="B42" s="43"/>
      <c r="C42" s="43"/>
      <c r="D42" s="43"/>
      <c r="E42" s="426" t="s">
        <v>29</v>
      </c>
      <c r="F42" s="426" t="s">
        <v>29</v>
      </c>
      <c r="G42" s="243">
        <v>949200</v>
      </c>
      <c r="H42" s="41" t="s">
        <v>195</v>
      </c>
      <c r="J42" s="8"/>
    </row>
    <row r="43" spans="1:18" ht="20.100000000000001" customHeight="1" outlineLevel="1">
      <c r="A43" s="43"/>
      <c r="B43" s="43"/>
      <c r="C43" s="43"/>
      <c r="D43" s="43"/>
      <c r="E43" s="426" t="s">
        <v>61</v>
      </c>
      <c r="F43" s="426" t="s">
        <v>61</v>
      </c>
      <c r="G43" s="243">
        <f>5381008+600000</f>
        <v>5981008</v>
      </c>
      <c r="H43" s="41" t="s">
        <v>195</v>
      </c>
      <c r="J43" s="8"/>
    </row>
    <row r="44" spans="1:18" ht="20.100000000000001" customHeight="1" outlineLevel="1">
      <c r="A44" s="43"/>
      <c r="B44" s="43"/>
      <c r="C44" s="43"/>
      <c r="D44" s="43"/>
      <c r="E44" s="426" t="s">
        <v>28</v>
      </c>
      <c r="F44" s="426" t="s">
        <v>28</v>
      </c>
      <c r="G44" s="243">
        <v>360000</v>
      </c>
      <c r="H44" s="41" t="s">
        <v>195</v>
      </c>
      <c r="J44" s="8"/>
    </row>
    <row r="45" spans="1:18" ht="20.100000000000001" customHeight="1" outlineLevel="1">
      <c r="A45" s="43"/>
      <c r="B45" s="43"/>
      <c r="C45" s="43"/>
      <c r="D45" s="43"/>
      <c r="E45" s="426" t="s">
        <v>188</v>
      </c>
      <c r="F45" s="426" t="s">
        <v>188</v>
      </c>
      <c r="G45" s="243">
        <v>666169</v>
      </c>
      <c r="H45" s="41" t="s">
        <v>195</v>
      </c>
      <c r="J45" s="8"/>
    </row>
    <row r="46" spans="1:18" ht="20.100000000000001" customHeight="1" outlineLevel="1">
      <c r="A46" s="43"/>
      <c r="B46" s="43"/>
      <c r="C46" s="43"/>
      <c r="D46" s="43"/>
      <c r="E46" s="432" t="s">
        <v>45</v>
      </c>
      <c r="F46" s="432" t="s">
        <v>45</v>
      </c>
      <c r="G46" s="244">
        <f>516833060+9120000</f>
        <v>525953060</v>
      </c>
      <c r="H46" s="55" t="s">
        <v>195</v>
      </c>
      <c r="J46" s="8"/>
    </row>
    <row r="47" spans="1:18" ht="20.100000000000001" customHeight="1" outlineLevel="1">
      <c r="A47" s="43"/>
      <c r="B47" s="43"/>
      <c r="C47" s="43"/>
      <c r="D47" s="43"/>
      <c r="E47" s="426" t="s">
        <v>31</v>
      </c>
      <c r="F47" s="426" t="s">
        <v>31</v>
      </c>
      <c r="G47" s="243">
        <v>1147300</v>
      </c>
      <c r="H47" s="41" t="s">
        <v>194</v>
      </c>
      <c r="Q47" s="11"/>
    </row>
    <row r="48" spans="1:18" ht="20.100000000000001" customHeight="1" outlineLevel="1">
      <c r="A48" s="46" t="s">
        <v>181</v>
      </c>
      <c r="B48" s="47">
        <v>41221949</v>
      </c>
      <c r="C48" s="48" t="s">
        <v>194</v>
      </c>
      <c r="D48" s="43"/>
      <c r="E48" s="426" t="s">
        <v>46</v>
      </c>
      <c r="F48" s="426" t="s">
        <v>161</v>
      </c>
      <c r="G48" s="243">
        <f>30000000+724960+8877060</f>
        <v>39602020</v>
      </c>
      <c r="H48" s="41" t="s">
        <v>194</v>
      </c>
    </row>
    <row r="49" spans="1:18" ht="20.100000000000001" customHeight="1" outlineLevel="1">
      <c r="A49" s="46" t="s">
        <v>16</v>
      </c>
      <c r="B49" s="47">
        <v>540284898</v>
      </c>
      <c r="C49" s="48" t="s">
        <v>194</v>
      </c>
      <c r="D49" s="43"/>
      <c r="E49" s="426" t="s">
        <v>38</v>
      </c>
      <c r="F49" s="426" t="s">
        <v>38</v>
      </c>
      <c r="G49" s="243">
        <v>15000000</v>
      </c>
      <c r="H49" s="41" t="s">
        <v>194</v>
      </c>
      <c r="J49" s="8"/>
    </row>
    <row r="50" spans="1:18" ht="20.100000000000001" customHeight="1" outlineLevel="1">
      <c r="A50" s="50" t="s">
        <v>19</v>
      </c>
      <c r="B50" s="47">
        <v>42483401</v>
      </c>
      <c r="C50" s="48" t="s">
        <v>194</v>
      </c>
      <c r="D50" s="43"/>
      <c r="E50" s="426" t="s">
        <v>238</v>
      </c>
      <c r="F50" s="426" t="s">
        <v>99</v>
      </c>
      <c r="G50" s="243">
        <f>20114102+19569322</f>
        <v>39683424</v>
      </c>
      <c r="H50" s="41" t="s">
        <v>194</v>
      </c>
      <c r="J50" s="8"/>
      <c r="Q50" s="11"/>
    </row>
    <row r="51" spans="1:18" ht="20.100000000000001" customHeight="1" outlineLevel="1">
      <c r="A51" s="46" t="s">
        <v>20</v>
      </c>
      <c r="B51" s="47">
        <v>50451534</v>
      </c>
      <c r="C51" s="48" t="s">
        <v>194</v>
      </c>
      <c r="D51" s="43"/>
      <c r="E51" s="426" t="s">
        <v>240</v>
      </c>
      <c r="F51" s="426" t="s">
        <v>111</v>
      </c>
      <c r="G51" s="243">
        <v>21454204</v>
      </c>
      <c r="H51" s="41" t="s">
        <v>194</v>
      </c>
      <c r="J51" s="8"/>
    </row>
    <row r="52" spans="1:18" ht="20.100000000000001" customHeight="1" outlineLevel="1">
      <c r="A52" s="46" t="s">
        <v>21</v>
      </c>
      <c r="B52" s="47">
        <v>6748223</v>
      </c>
      <c r="C52" s="48" t="s">
        <v>194</v>
      </c>
      <c r="D52" s="43"/>
      <c r="E52" s="426" t="s">
        <v>37</v>
      </c>
      <c r="F52" s="426" t="s">
        <v>37</v>
      </c>
      <c r="G52" s="243">
        <v>184450</v>
      </c>
      <c r="H52" s="41" t="s">
        <v>194</v>
      </c>
      <c r="J52" s="8"/>
      <c r="Q52" s="9"/>
    </row>
    <row r="53" spans="1:18" ht="20.100000000000001" customHeight="1" outlineLevel="1">
      <c r="A53" s="46" t="s">
        <v>180</v>
      </c>
      <c r="B53" s="47">
        <v>864000</v>
      </c>
      <c r="C53" s="48" t="s">
        <v>194</v>
      </c>
      <c r="D53" s="43"/>
      <c r="E53" s="426" t="s">
        <v>26</v>
      </c>
      <c r="F53" s="426" t="s">
        <v>26</v>
      </c>
      <c r="G53" s="243">
        <v>3968375</v>
      </c>
      <c r="H53" s="41" t="s">
        <v>194</v>
      </c>
      <c r="J53" s="8"/>
      <c r="Q53" s="11"/>
    </row>
    <row r="54" spans="1:18" ht="20.100000000000001" customHeight="1" outlineLevel="1">
      <c r="A54" s="46" t="s">
        <v>179</v>
      </c>
      <c r="B54" s="47">
        <v>134900000</v>
      </c>
      <c r="C54" s="48" t="s">
        <v>194</v>
      </c>
      <c r="D54" s="43"/>
      <c r="E54" s="426" t="s">
        <v>36</v>
      </c>
      <c r="F54" s="426" t="s">
        <v>36</v>
      </c>
      <c r="G54" s="243">
        <v>10818928</v>
      </c>
      <c r="H54" s="41" t="s">
        <v>194</v>
      </c>
      <c r="J54" s="8"/>
    </row>
    <row r="55" spans="1:18" ht="20.100000000000001" customHeight="1" outlineLevel="1">
      <c r="A55" s="46" t="s">
        <v>25</v>
      </c>
      <c r="B55" s="47">
        <v>7186781</v>
      </c>
      <c r="C55" s="48" t="s">
        <v>194</v>
      </c>
      <c r="D55" s="43"/>
      <c r="E55" s="426" t="s">
        <v>239</v>
      </c>
      <c r="F55" s="426" t="s">
        <v>1</v>
      </c>
      <c r="G55" s="243">
        <v>12092000</v>
      </c>
      <c r="H55" s="41" t="s">
        <v>194</v>
      </c>
      <c r="J55" s="8"/>
    </row>
    <row r="56" spans="1:18" ht="20.100000000000001" customHeight="1" outlineLevel="1">
      <c r="A56" s="46" t="s">
        <v>178</v>
      </c>
      <c r="B56" s="47">
        <v>6240000</v>
      </c>
      <c r="C56" s="48" t="s">
        <v>194</v>
      </c>
      <c r="D56" s="43"/>
      <c r="E56" s="426" t="s">
        <v>117</v>
      </c>
      <c r="F56" s="426" t="s">
        <v>117</v>
      </c>
      <c r="G56" s="243">
        <v>1725000</v>
      </c>
      <c r="H56" s="41" t="s">
        <v>194</v>
      </c>
      <c r="J56" s="8"/>
      <c r="Q56" s="13"/>
      <c r="R56" s="14"/>
    </row>
    <row r="57" spans="1:18" ht="20.100000000000001" customHeight="1" outlineLevel="1">
      <c r="A57" s="46" t="s">
        <v>177</v>
      </c>
      <c r="B57" s="47">
        <v>809617</v>
      </c>
      <c r="C57" s="48" t="s">
        <v>194</v>
      </c>
      <c r="D57" s="43"/>
      <c r="E57" s="426" t="s">
        <v>118</v>
      </c>
      <c r="F57" s="426" t="s">
        <v>118</v>
      </c>
      <c r="G57" s="243">
        <v>1500000</v>
      </c>
      <c r="H57" s="41" t="s">
        <v>194</v>
      </c>
      <c r="J57" s="8"/>
      <c r="Q57" s="11"/>
      <c r="R57" s="14"/>
    </row>
    <row r="58" spans="1:18" ht="20.100000000000001" customHeight="1" outlineLevel="1">
      <c r="A58" s="46" t="s">
        <v>27</v>
      </c>
      <c r="B58" s="47">
        <v>7360235</v>
      </c>
      <c r="C58" s="48" t="s">
        <v>194</v>
      </c>
      <c r="D58" s="43"/>
      <c r="E58" s="426" t="s">
        <v>119</v>
      </c>
      <c r="F58" s="426" t="s">
        <v>119</v>
      </c>
      <c r="G58" s="243">
        <v>5700000</v>
      </c>
      <c r="H58" s="41" t="s">
        <v>194</v>
      </c>
      <c r="J58" s="8"/>
      <c r="Q58" s="13"/>
      <c r="R58" s="14"/>
    </row>
    <row r="59" spans="1:18" ht="20.100000000000001" customHeight="1" outlineLevel="1">
      <c r="A59" s="46" t="s">
        <v>28</v>
      </c>
      <c r="B59" s="47">
        <f>1274813+28642476</f>
        <v>29917289</v>
      </c>
      <c r="C59" s="48" t="s">
        <v>194</v>
      </c>
      <c r="D59" s="43"/>
      <c r="E59" s="426" t="s">
        <v>120</v>
      </c>
      <c r="F59" s="426" t="s">
        <v>120</v>
      </c>
      <c r="G59" s="243">
        <v>2230000</v>
      </c>
      <c r="H59" s="41" t="s">
        <v>194</v>
      </c>
      <c r="J59" s="8"/>
      <c r="Q59" s="13"/>
      <c r="R59" s="14"/>
    </row>
    <row r="60" spans="1:18" ht="20.100000000000001" customHeight="1" outlineLevel="1">
      <c r="A60" s="46" t="s">
        <v>176</v>
      </c>
      <c r="B60" s="47">
        <v>323680</v>
      </c>
      <c r="C60" s="48" t="s">
        <v>194</v>
      </c>
      <c r="D60" s="43"/>
      <c r="E60" s="426" t="s">
        <v>121</v>
      </c>
      <c r="F60" s="426" t="s">
        <v>121</v>
      </c>
      <c r="G60" s="243">
        <v>1500000</v>
      </c>
      <c r="H60" s="41" t="s">
        <v>194</v>
      </c>
      <c r="J60" s="8"/>
      <c r="Q60" s="11"/>
      <c r="R60" s="14"/>
    </row>
    <row r="61" spans="1:18" ht="20.100000000000001" customHeight="1" outlineLevel="1">
      <c r="A61" s="46" t="s">
        <v>175</v>
      </c>
      <c r="B61" s="47">
        <v>1893855</v>
      </c>
      <c r="C61" s="48" t="s">
        <v>194</v>
      </c>
      <c r="D61" s="43"/>
      <c r="E61" s="426" t="s">
        <v>122</v>
      </c>
      <c r="F61" s="426" t="s">
        <v>122</v>
      </c>
      <c r="G61" s="243">
        <v>2311860</v>
      </c>
      <c r="H61" s="41" t="s">
        <v>194</v>
      </c>
      <c r="J61" s="8"/>
      <c r="Q61" s="13"/>
      <c r="R61" s="14"/>
    </row>
    <row r="62" spans="1:18" ht="20.100000000000001" customHeight="1" outlineLevel="1">
      <c r="A62" s="46" t="s">
        <v>174</v>
      </c>
      <c r="B62" s="47">
        <v>2562300</v>
      </c>
      <c r="C62" s="48" t="s">
        <v>194</v>
      </c>
      <c r="D62" s="43"/>
      <c r="E62" s="426" t="s">
        <v>123</v>
      </c>
      <c r="F62" s="426" t="s">
        <v>123</v>
      </c>
      <c r="G62" s="243">
        <v>3150000</v>
      </c>
      <c r="H62" s="41" t="s">
        <v>194</v>
      </c>
      <c r="J62" s="8"/>
      <c r="Q62" s="13"/>
      <c r="R62" s="14"/>
    </row>
    <row r="63" spans="1:18" ht="20.100000000000001" customHeight="1" outlineLevel="1">
      <c r="A63" s="46" t="s">
        <v>34</v>
      </c>
      <c r="B63" s="47">
        <v>61286121</v>
      </c>
      <c r="C63" s="48" t="s">
        <v>194</v>
      </c>
      <c r="D63" s="43"/>
      <c r="E63" s="426" t="s">
        <v>124</v>
      </c>
      <c r="F63" s="426" t="s">
        <v>124</v>
      </c>
      <c r="G63" s="243">
        <v>6500000</v>
      </c>
      <c r="H63" s="41" t="s">
        <v>194</v>
      </c>
      <c r="J63" s="8"/>
      <c r="Q63" s="11"/>
      <c r="R63" s="14"/>
    </row>
    <row r="64" spans="1:18" ht="20.100000000000001" customHeight="1" outlineLevel="1">
      <c r="A64" s="46" t="s">
        <v>173</v>
      </c>
      <c r="B64" s="47">
        <v>21559000</v>
      </c>
      <c r="C64" s="48" t="s">
        <v>194</v>
      </c>
      <c r="D64" s="43"/>
      <c r="E64" s="426" t="s">
        <v>125</v>
      </c>
      <c r="F64" s="426" t="s">
        <v>125</v>
      </c>
      <c r="G64" s="243">
        <v>3000000</v>
      </c>
      <c r="H64" s="41" t="s">
        <v>194</v>
      </c>
      <c r="J64" s="8"/>
      <c r="Q64" s="13"/>
      <c r="R64" s="14"/>
    </row>
    <row r="65" spans="1:18" ht="20.100000000000001" customHeight="1" outlineLevel="1">
      <c r="A65" s="46" t="s">
        <v>172</v>
      </c>
      <c r="B65" s="47">
        <v>29988000</v>
      </c>
      <c r="C65" s="48" t="s">
        <v>194</v>
      </c>
      <c r="D65" s="43"/>
      <c r="E65" s="426" t="s">
        <v>126</v>
      </c>
      <c r="F65" s="426" t="s">
        <v>126</v>
      </c>
      <c r="G65" s="243">
        <v>2000000</v>
      </c>
      <c r="H65" s="41" t="s">
        <v>194</v>
      </c>
      <c r="J65" s="8"/>
      <c r="Q65" s="13"/>
      <c r="R65" s="14"/>
    </row>
    <row r="66" spans="1:18" ht="20.100000000000001" customHeight="1" outlineLevel="1">
      <c r="A66" s="46" t="s">
        <v>37</v>
      </c>
      <c r="B66" s="47">
        <v>39417565</v>
      </c>
      <c r="C66" s="48" t="s">
        <v>194</v>
      </c>
      <c r="D66" s="43"/>
      <c r="E66" s="426" t="s">
        <v>127</v>
      </c>
      <c r="F66" s="426" t="s">
        <v>127</v>
      </c>
      <c r="G66" s="243">
        <v>2682875</v>
      </c>
      <c r="H66" s="41" t="s">
        <v>194</v>
      </c>
      <c r="J66" s="8"/>
      <c r="Q66" s="13"/>
      <c r="R66" s="14"/>
    </row>
    <row r="67" spans="1:18" ht="20.100000000000001" customHeight="1" outlineLevel="1">
      <c r="A67" s="46" t="s">
        <v>38</v>
      </c>
      <c r="B67" s="47">
        <v>6254331</v>
      </c>
      <c r="C67" s="48" t="s">
        <v>194</v>
      </c>
      <c r="D67" s="43"/>
      <c r="E67" s="426" t="s">
        <v>128</v>
      </c>
      <c r="F67" s="426" t="s">
        <v>128</v>
      </c>
      <c r="G67" s="243">
        <v>1700000</v>
      </c>
      <c r="H67" s="41" t="s">
        <v>194</v>
      </c>
      <c r="J67" s="8"/>
      <c r="Q67" s="11"/>
      <c r="R67" s="14"/>
    </row>
    <row r="68" spans="1:18" ht="20.100000000000001" customHeight="1" outlineLevel="1">
      <c r="A68" s="46" t="s">
        <v>171</v>
      </c>
      <c r="B68" s="47">
        <v>15147927</v>
      </c>
      <c r="C68" s="48" t="s">
        <v>194</v>
      </c>
      <c r="D68" s="43"/>
      <c r="E68" s="426" t="s">
        <v>129</v>
      </c>
      <c r="F68" s="426" t="s">
        <v>129</v>
      </c>
      <c r="G68" s="243">
        <v>11035115</v>
      </c>
      <c r="H68" s="41" t="s">
        <v>194</v>
      </c>
      <c r="J68" s="8"/>
      <c r="Q68" s="13"/>
      <c r="R68" s="14"/>
    </row>
    <row r="69" spans="1:18" ht="20.100000000000001" customHeight="1" outlineLevel="1">
      <c r="A69" s="46" t="s">
        <v>108</v>
      </c>
      <c r="B69" s="47">
        <v>30000000</v>
      </c>
      <c r="C69" s="48" t="s">
        <v>194</v>
      </c>
      <c r="D69" s="43"/>
      <c r="E69" s="426" t="s">
        <v>130</v>
      </c>
      <c r="F69" s="426" t="s">
        <v>130</v>
      </c>
      <c r="G69" s="243">
        <v>1500000</v>
      </c>
      <c r="H69" s="41" t="s">
        <v>194</v>
      </c>
      <c r="J69" s="8"/>
      <c r="Q69" s="13"/>
      <c r="R69" s="14"/>
    </row>
    <row r="70" spans="1:18" ht="20.100000000000001" customHeight="1" outlineLevel="1">
      <c r="A70" s="46" t="s">
        <v>39</v>
      </c>
      <c r="B70" s="47">
        <f>21237052+19950000</f>
        <v>41187052</v>
      </c>
      <c r="C70" s="48" t="s">
        <v>194</v>
      </c>
      <c r="D70" s="43"/>
      <c r="E70" s="426" t="s">
        <v>131</v>
      </c>
      <c r="F70" s="426" t="s">
        <v>131</v>
      </c>
      <c r="G70" s="243">
        <v>3500000</v>
      </c>
      <c r="H70" s="41" t="s">
        <v>194</v>
      </c>
      <c r="J70" s="8"/>
      <c r="Q70" s="11"/>
      <c r="R70" s="14"/>
    </row>
    <row r="71" spans="1:18" ht="20.100000000000001" customHeight="1" outlineLevel="1">
      <c r="A71" s="46" t="s">
        <v>169</v>
      </c>
      <c r="B71" s="47">
        <v>25800000</v>
      </c>
      <c r="C71" s="48" t="s">
        <v>194</v>
      </c>
      <c r="D71" s="43"/>
      <c r="E71" s="426" t="s">
        <v>20</v>
      </c>
      <c r="F71" s="426" t="s">
        <v>20</v>
      </c>
      <c r="G71" s="243">
        <v>91625706</v>
      </c>
      <c r="H71" s="41" t="s">
        <v>194</v>
      </c>
      <c r="J71" s="8"/>
    </row>
    <row r="72" spans="1:18" ht="20.100000000000001" customHeight="1" outlineLevel="1">
      <c r="A72" s="46" t="s">
        <v>168</v>
      </c>
      <c r="B72" s="47">
        <v>27701971</v>
      </c>
      <c r="C72" s="48" t="s">
        <v>194</v>
      </c>
      <c r="D72" s="43"/>
      <c r="E72" s="426" t="s">
        <v>19</v>
      </c>
      <c r="F72" s="426" t="s">
        <v>19</v>
      </c>
      <c r="G72" s="243">
        <v>57165000</v>
      </c>
      <c r="H72" s="41" t="s">
        <v>194</v>
      </c>
      <c r="J72" s="8"/>
    </row>
    <row r="73" spans="1:18" ht="20.100000000000001" customHeight="1" outlineLevel="1">
      <c r="A73" s="46" t="s">
        <v>42</v>
      </c>
      <c r="B73" s="47">
        <v>7458900</v>
      </c>
      <c r="C73" s="48" t="s">
        <v>194</v>
      </c>
      <c r="D73" s="43"/>
      <c r="E73" s="426" t="s">
        <v>82</v>
      </c>
      <c r="F73" s="426" t="s">
        <v>82</v>
      </c>
      <c r="G73" s="243">
        <v>8028316</v>
      </c>
      <c r="H73" s="41" t="s">
        <v>194</v>
      </c>
      <c r="J73" s="8"/>
    </row>
    <row r="74" spans="1:18" ht="20.100000000000001" customHeight="1" outlineLevel="1">
      <c r="A74" s="46" t="s">
        <v>167</v>
      </c>
      <c r="B74" s="47">
        <v>24633000</v>
      </c>
      <c r="C74" s="48" t="s">
        <v>194</v>
      </c>
      <c r="D74" s="43"/>
      <c r="E74" s="426" t="s">
        <v>81</v>
      </c>
      <c r="F74" s="426" t="s">
        <v>81</v>
      </c>
      <c r="G74" s="243">
        <v>4527172</v>
      </c>
      <c r="H74" s="41" t="s">
        <v>194</v>
      </c>
      <c r="J74" s="8"/>
    </row>
    <row r="75" spans="1:18" ht="20.100000000000001" customHeight="1" outlineLevel="1">
      <c r="A75" s="46" t="s">
        <v>165</v>
      </c>
      <c r="B75" s="47">
        <v>319840188</v>
      </c>
      <c r="C75" s="48" t="s">
        <v>194</v>
      </c>
      <c r="D75" s="43"/>
      <c r="E75" s="426" t="s">
        <v>80</v>
      </c>
      <c r="F75" s="426" t="s">
        <v>80</v>
      </c>
      <c r="G75" s="243">
        <v>3960000</v>
      </c>
      <c r="H75" s="41" t="s">
        <v>194</v>
      </c>
      <c r="J75" s="8"/>
    </row>
    <row r="76" spans="1:18" ht="20.100000000000001" customHeight="1" outlineLevel="1">
      <c r="A76" s="46" t="s">
        <v>164</v>
      </c>
      <c r="B76" s="47">
        <v>7259683</v>
      </c>
      <c r="C76" s="48" t="s">
        <v>194</v>
      </c>
      <c r="D76" s="43"/>
      <c r="E76" s="426" t="s">
        <v>97</v>
      </c>
      <c r="F76" s="426" t="s">
        <v>97</v>
      </c>
      <c r="G76" s="243">
        <v>7415543</v>
      </c>
      <c r="H76" s="41" t="s">
        <v>194</v>
      </c>
      <c r="J76" s="8"/>
    </row>
    <row r="77" spans="1:18" ht="20.100000000000001" customHeight="1" outlineLevel="1">
      <c r="A77" s="46" t="s">
        <v>163</v>
      </c>
      <c r="B77" s="47">
        <v>549446369</v>
      </c>
      <c r="C77" s="48" t="s">
        <v>194</v>
      </c>
      <c r="D77" s="43"/>
      <c r="E77" s="426" t="s">
        <v>91</v>
      </c>
      <c r="F77" s="426" t="s">
        <v>91</v>
      </c>
      <c r="G77" s="243">
        <v>639031</v>
      </c>
      <c r="H77" s="41" t="s">
        <v>194</v>
      </c>
      <c r="J77" s="8"/>
    </row>
    <row r="78" spans="1:18" ht="20.100000000000001" customHeight="1" outlineLevel="1">
      <c r="A78" s="46" t="s">
        <v>162</v>
      </c>
      <c r="B78" s="47">
        <v>14852326</v>
      </c>
      <c r="C78" s="48" t="s">
        <v>194</v>
      </c>
      <c r="D78" s="43"/>
      <c r="E78" s="426" t="s">
        <v>51</v>
      </c>
      <c r="F78" s="426" t="s">
        <v>51</v>
      </c>
      <c r="G78" s="243">
        <v>4723116</v>
      </c>
      <c r="H78" s="41" t="s">
        <v>194</v>
      </c>
      <c r="J78" s="8"/>
    </row>
    <row r="79" spans="1:18" ht="20.100000000000001" customHeight="1" outlineLevel="1">
      <c r="A79" s="46" t="s">
        <v>161</v>
      </c>
      <c r="B79" s="47">
        <v>24159154</v>
      </c>
      <c r="C79" s="48" t="s">
        <v>194</v>
      </c>
      <c r="D79" s="43"/>
      <c r="E79" s="426" t="s">
        <v>244</v>
      </c>
      <c r="F79" s="426" t="s">
        <v>15</v>
      </c>
      <c r="G79" s="243">
        <v>296994493</v>
      </c>
      <c r="H79" s="41" t="s">
        <v>194</v>
      </c>
      <c r="J79" s="8"/>
    </row>
    <row r="80" spans="1:18" ht="20.100000000000001" customHeight="1" outlineLevel="1">
      <c r="A80" s="46" t="s">
        <v>48</v>
      </c>
      <c r="B80" s="47">
        <v>11345371</v>
      </c>
      <c r="C80" s="48" t="s">
        <v>194</v>
      </c>
      <c r="D80" s="43"/>
      <c r="E80" s="426" t="s">
        <v>44</v>
      </c>
      <c r="F80" s="426" t="s">
        <v>44</v>
      </c>
      <c r="G80" s="243">
        <v>74325498</v>
      </c>
      <c r="H80" s="41" t="s">
        <v>194</v>
      </c>
      <c r="J80" s="8"/>
    </row>
    <row r="81" spans="1:10" ht="20.100000000000001" customHeight="1" outlineLevel="1">
      <c r="A81" s="46" t="s">
        <v>53</v>
      </c>
      <c r="B81" s="47">
        <v>8103047</v>
      </c>
      <c r="C81" s="48" t="s">
        <v>194</v>
      </c>
      <c r="D81" s="43"/>
      <c r="E81" s="426" t="s">
        <v>66</v>
      </c>
      <c r="F81" s="426" t="s">
        <v>66</v>
      </c>
      <c r="G81" s="243">
        <v>54505915</v>
      </c>
      <c r="H81" s="41" t="s">
        <v>194</v>
      </c>
      <c r="J81" s="8"/>
    </row>
    <row r="82" spans="1:10" ht="20.100000000000001" customHeight="1" outlineLevel="1">
      <c r="A82" s="46" t="s">
        <v>160</v>
      </c>
      <c r="B82" s="47">
        <v>4645524</v>
      </c>
      <c r="C82" s="48" t="s">
        <v>194</v>
      </c>
      <c r="D82" s="43"/>
      <c r="E82" s="426" t="s">
        <v>70</v>
      </c>
      <c r="F82" s="426" t="s">
        <v>70</v>
      </c>
      <c r="G82" s="243">
        <v>1000000</v>
      </c>
      <c r="H82" s="41" t="s">
        <v>194</v>
      </c>
      <c r="J82" s="8"/>
    </row>
    <row r="83" spans="1:10" ht="20.100000000000001" customHeight="1" outlineLevel="1">
      <c r="A83" s="46" t="s">
        <v>159</v>
      </c>
      <c r="B83" s="47">
        <v>3500000</v>
      </c>
      <c r="C83" s="48" t="s">
        <v>194</v>
      </c>
      <c r="D83" s="43"/>
      <c r="E83" s="426" t="s">
        <v>107</v>
      </c>
      <c r="F83" s="426" t="s">
        <v>107</v>
      </c>
      <c r="G83" s="243">
        <f>5387200+3529829</f>
        <v>8917029</v>
      </c>
      <c r="H83" s="41" t="s">
        <v>194</v>
      </c>
      <c r="J83" s="8"/>
    </row>
    <row r="84" spans="1:10" ht="20.100000000000001" customHeight="1" outlineLevel="1">
      <c r="A84" s="46" t="s">
        <v>157</v>
      </c>
      <c r="B84" s="47">
        <v>5806787</v>
      </c>
      <c r="C84" s="48" t="s">
        <v>194</v>
      </c>
      <c r="D84" s="43"/>
      <c r="E84" s="426" t="s">
        <v>58</v>
      </c>
      <c r="F84" s="426" t="s">
        <v>58</v>
      </c>
      <c r="G84" s="243">
        <v>360000</v>
      </c>
      <c r="H84" s="41" t="s">
        <v>194</v>
      </c>
      <c r="J84" s="8"/>
    </row>
    <row r="85" spans="1:10" ht="20.100000000000001" customHeight="1" outlineLevel="1">
      <c r="A85" s="46" t="s">
        <v>156</v>
      </c>
      <c r="B85" s="47">
        <v>670922</v>
      </c>
      <c r="C85" s="48" t="s">
        <v>194</v>
      </c>
      <c r="D85" s="43"/>
      <c r="E85" s="426" t="s">
        <v>110</v>
      </c>
      <c r="F85" s="426" t="s">
        <v>110</v>
      </c>
      <c r="G85" s="243">
        <v>4371327</v>
      </c>
      <c r="H85" s="41" t="s">
        <v>194</v>
      </c>
      <c r="J85" s="8"/>
    </row>
    <row r="86" spans="1:10" ht="20.100000000000001" customHeight="1" outlineLevel="1">
      <c r="A86" s="46" t="s">
        <v>155</v>
      </c>
      <c r="B86" s="47">
        <v>2949970</v>
      </c>
      <c r="C86" s="48" t="s">
        <v>194</v>
      </c>
      <c r="D86" s="43"/>
      <c r="E86" s="426" t="s">
        <v>57</v>
      </c>
      <c r="F86" s="426" t="s">
        <v>57</v>
      </c>
      <c r="G86" s="243">
        <f>2084100+739382</f>
        <v>2823482</v>
      </c>
      <c r="H86" s="41" t="s">
        <v>194</v>
      </c>
      <c r="J86" s="8"/>
    </row>
    <row r="87" spans="1:10" ht="20.100000000000001" customHeight="1" outlineLevel="1">
      <c r="A87" s="46" t="s">
        <v>57</v>
      </c>
      <c r="B87" s="47">
        <f>392175+40961412</f>
        <v>41353587</v>
      </c>
      <c r="C87" s="48" t="s">
        <v>194</v>
      </c>
      <c r="D87" s="43"/>
      <c r="E87" s="426" t="s">
        <v>43</v>
      </c>
      <c r="F87" s="426" t="s">
        <v>43</v>
      </c>
      <c r="G87" s="243">
        <f>53532950+6467050</f>
        <v>60000000</v>
      </c>
      <c r="H87" s="41" t="s">
        <v>194</v>
      </c>
      <c r="J87" s="8"/>
    </row>
    <row r="88" spans="1:10" ht="20.100000000000001" customHeight="1" outlineLevel="1">
      <c r="A88" s="46" t="s">
        <v>150</v>
      </c>
      <c r="B88" s="47">
        <v>6671860</v>
      </c>
      <c r="C88" s="48" t="s">
        <v>194</v>
      </c>
      <c r="D88" s="43"/>
      <c r="E88" s="426" t="s">
        <v>49</v>
      </c>
      <c r="F88" s="426" t="s">
        <v>49</v>
      </c>
      <c r="G88" s="243">
        <v>810000</v>
      </c>
      <c r="H88" s="41" t="s">
        <v>194</v>
      </c>
      <c r="J88" s="8"/>
    </row>
    <row r="89" spans="1:10" ht="20.100000000000001" customHeight="1" outlineLevel="1">
      <c r="A89" s="46" t="s">
        <v>148</v>
      </c>
      <c r="B89" s="47">
        <v>1941000</v>
      </c>
      <c r="C89" s="48" t="s">
        <v>194</v>
      </c>
      <c r="D89" s="43"/>
      <c r="E89" s="426" t="s">
        <v>109</v>
      </c>
      <c r="F89" s="426" t="s">
        <v>109</v>
      </c>
      <c r="G89" s="243">
        <v>56423960</v>
      </c>
      <c r="H89" s="41" t="s">
        <v>194</v>
      </c>
      <c r="J89" s="8"/>
    </row>
    <row r="90" spans="1:10" ht="20.100000000000001" customHeight="1" outlineLevel="1">
      <c r="A90" s="46" t="s">
        <v>69</v>
      </c>
      <c r="B90" s="47">
        <v>21468210</v>
      </c>
      <c r="C90" s="48" t="s">
        <v>194</v>
      </c>
      <c r="D90" s="43"/>
      <c r="E90" s="426" t="s">
        <v>90</v>
      </c>
      <c r="F90" s="426" t="s">
        <v>90</v>
      </c>
      <c r="G90" s="243">
        <v>300000</v>
      </c>
      <c r="H90" s="41" t="s">
        <v>194</v>
      </c>
      <c r="J90" s="8"/>
    </row>
    <row r="91" spans="1:10" ht="20.100000000000001" customHeight="1" outlineLevel="1">
      <c r="A91" s="46" t="s">
        <v>144</v>
      </c>
      <c r="B91" s="47">
        <v>15276794</v>
      </c>
      <c r="C91" s="48" t="s">
        <v>194</v>
      </c>
      <c r="D91" s="43"/>
      <c r="E91" s="426" t="s">
        <v>92</v>
      </c>
      <c r="F91" s="426" t="s">
        <v>92</v>
      </c>
      <c r="G91" s="243">
        <f>26120004+390522</f>
        <v>26510526</v>
      </c>
      <c r="H91" s="41" t="s">
        <v>194</v>
      </c>
      <c r="J91" s="8"/>
    </row>
    <row r="92" spans="1:10" ht="20.100000000000001" customHeight="1" outlineLevel="1">
      <c r="A92" s="46" t="s">
        <v>143</v>
      </c>
      <c r="B92" s="47">
        <v>8743374</v>
      </c>
      <c r="C92" s="48" t="s">
        <v>194</v>
      </c>
      <c r="D92" s="43"/>
      <c r="E92" s="426" t="s">
        <v>96</v>
      </c>
      <c r="F92" s="426" t="s">
        <v>96</v>
      </c>
      <c r="G92" s="243">
        <v>10020000</v>
      </c>
      <c r="H92" s="41" t="s">
        <v>194</v>
      </c>
      <c r="J92" s="8"/>
    </row>
    <row r="93" spans="1:10" ht="20.100000000000001" customHeight="1" outlineLevel="1">
      <c r="A93" s="46" t="s">
        <v>71</v>
      </c>
      <c r="B93" s="47">
        <v>6198499</v>
      </c>
      <c r="C93" s="48" t="s">
        <v>194</v>
      </c>
      <c r="D93" s="43"/>
      <c r="E93" s="426" t="s">
        <v>48</v>
      </c>
      <c r="F93" s="426" t="s">
        <v>48</v>
      </c>
      <c r="G93" s="243">
        <v>11724537</v>
      </c>
      <c r="H93" s="41" t="s">
        <v>194</v>
      </c>
      <c r="J93" s="8"/>
    </row>
    <row r="94" spans="1:10" ht="20.100000000000001" customHeight="1" outlineLevel="1">
      <c r="A94" s="46" t="s">
        <v>73</v>
      </c>
      <c r="B94" s="47">
        <v>6288292</v>
      </c>
      <c r="C94" s="48" t="s">
        <v>194</v>
      </c>
      <c r="D94" s="43"/>
      <c r="E94" s="426" t="s">
        <v>242</v>
      </c>
      <c r="F94" s="426" t="s">
        <v>89</v>
      </c>
      <c r="G94" s="243">
        <v>254443</v>
      </c>
      <c r="H94" s="41" t="s">
        <v>194</v>
      </c>
      <c r="J94" s="8"/>
    </row>
    <row r="95" spans="1:10" ht="20.100000000000001" customHeight="1" outlineLevel="1">
      <c r="A95" s="46" t="s">
        <v>76</v>
      </c>
      <c r="B95" s="47">
        <v>20380121</v>
      </c>
      <c r="C95" s="48" t="s">
        <v>194</v>
      </c>
      <c r="D95" s="43"/>
      <c r="E95" s="426" t="s">
        <v>17</v>
      </c>
      <c r="F95" s="426" t="s">
        <v>17</v>
      </c>
      <c r="G95" s="243">
        <v>10000000</v>
      </c>
      <c r="H95" s="41" t="s">
        <v>194</v>
      </c>
      <c r="J95" s="8"/>
    </row>
    <row r="96" spans="1:10" ht="20.100000000000001" customHeight="1" outlineLevel="1">
      <c r="A96" s="46" t="s">
        <v>142</v>
      </c>
      <c r="B96" s="47">
        <v>3475000</v>
      </c>
      <c r="C96" s="48" t="s">
        <v>194</v>
      </c>
      <c r="D96" s="43"/>
      <c r="E96" s="426" t="s">
        <v>72</v>
      </c>
      <c r="F96" s="426" t="s">
        <v>72</v>
      </c>
      <c r="G96" s="243">
        <f>32434634+5300000</f>
        <v>37734634</v>
      </c>
      <c r="H96" s="41" t="s">
        <v>194</v>
      </c>
      <c r="J96" s="8"/>
    </row>
    <row r="97" spans="1:10" ht="20.100000000000001" customHeight="1" outlineLevel="1">
      <c r="A97" s="46" t="s">
        <v>141</v>
      </c>
      <c r="B97" s="47">
        <v>5969516</v>
      </c>
      <c r="C97" s="48" t="s">
        <v>194</v>
      </c>
      <c r="D97" s="43"/>
      <c r="E97" s="426" t="s">
        <v>47</v>
      </c>
      <c r="F97" s="426" t="s">
        <v>47</v>
      </c>
      <c r="G97" s="243">
        <v>2000000</v>
      </c>
      <c r="H97" s="41" t="s">
        <v>194</v>
      </c>
      <c r="J97" s="8"/>
    </row>
    <row r="98" spans="1:10" ht="20.100000000000001" customHeight="1" outlineLevel="1">
      <c r="A98" s="46" t="s">
        <v>140</v>
      </c>
      <c r="B98" s="47">
        <v>3486725</v>
      </c>
      <c r="C98" s="48" t="s">
        <v>194</v>
      </c>
      <c r="D98" s="43"/>
      <c r="E98" s="426" t="s">
        <v>189</v>
      </c>
      <c r="F98" s="426" t="s">
        <v>189</v>
      </c>
      <c r="G98" s="243">
        <v>4000000</v>
      </c>
      <c r="H98" s="41" t="s">
        <v>194</v>
      </c>
      <c r="J98" s="8"/>
    </row>
    <row r="99" spans="1:10" ht="20.100000000000001" customHeight="1" outlineLevel="1">
      <c r="A99" s="46" t="s">
        <v>139</v>
      </c>
      <c r="B99" s="47">
        <v>3952929</v>
      </c>
      <c r="C99" s="48" t="s">
        <v>194</v>
      </c>
      <c r="D99" s="43"/>
      <c r="E99" s="426" t="s">
        <v>190</v>
      </c>
      <c r="F99" s="426" t="s">
        <v>190</v>
      </c>
      <c r="G99" s="243">
        <v>5500000</v>
      </c>
      <c r="H99" s="41" t="s">
        <v>194</v>
      </c>
      <c r="J99" s="8"/>
    </row>
    <row r="100" spans="1:10" ht="20.100000000000001" customHeight="1" outlineLevel="1">
      <c r="A100" s="46" t="s">
        <v>138</v>
      </c>
      <c r="B100" s="47">
        <v>1788854</v>
      </c>
      <c r="C100" s="48" t="s">
        <v>194</v>
      </c>
      <c r="D100" s="43"/>
      <c r="E100" s="426" t="s">
        <v>25</v>
      </c>
      <c r="F100" s="426" t="s">
        <v>25</v>
      </c>
      <c r="G100" s="243">
        <v>6063435</v>
      </c>
      <c r="H100" s="41" t="s">
        <v>194</v>
      </c>
      <c r="J100" s="8"/>
    </row>
    <row r="101" spans="1:10" ht="20.100000000000001" customHeight="1" outlineLevel="1">
      <c r="A101" s="46" t="s">
        <v>138</v>
      </c>
      <c r="B101" s="47">
        <v>150286</v>
      </c>
      <c r="C101" s="48" t="s">
        <v>194</v>
      </c>
      <c r="D101" s="43"/>
      <c r="E101" s="426" t="s">
        <v>88</v>
      </c>
      <c r="F101" s="426" t="s">
        <v>88</v>
      </c>
      <c r="G101" s="243">
        <v>3000000</v>
      </c>
      <c r="H101" s="41" t="s">
        <v>194</v>
      </c>
      <c r="J101" s="8"/>
    </row>
    <row r="102" spans="1:10" ht="20.100000000000001" customHeight="1" outlineLevel="1">
      <c r="A102" s="46" t="s">
        <v>137</v>
      </c>
      <c r="B102" s="47">
        <v>7516880</v>
      </c>
      <c r="C102" s="48" t="s">
        <v>194</v>
      </c>
      <c r="D102" s="43"/>
      <c r="E102" s="426" t="s">
        <v>191</v>
      </c>
      <c r="F102" s="426" t="s">
        <v>191</v>
      </c>
      <c r="G102" s="243">
        <v>4810000</v>
      </c>
      <c r="H102" s="41" t="s">
        <v>194</v>
      </c>
      <c r="J102" s="8"/>
    </row>
    <row r="103" spans="1:10" ht="20.100000000000001" customHeight="1" outlineLevel="1">
      <c r="A103" s="46" t="s">
        <v>136</v>
      </c>
      <c r="B103" s="47">
        <v>1631233</v>
      </c>
      <c r="C103" s="48" t="s">
        <v>194</v>
      </c>
      <c r="D103" s="43"/>
      <c r="E103" s="426" t="s">
        <v>71</v>
      </c>
      <c r="F103" s="426" t="s">
        <v>71</v>
      </c>
      <c r="G103" s="243">
        <v>8000000</v>
      </c>
      <c r="H103" s="41" t="s">
        <v>194</v>
      </c>
      <c r="J103" s="8"/>
    </row>
    <row r="104" spans="1:10" ht="20.100000000000001" customHeight="1" outlineLevel="1">
      <c r="A104" s="46" t="s">
        <v>135</v>
      </c>
      <c r="B104" s="47">
        <v>5985770</v>
      </c>
      <c r="C104" s="48" t="s">
        <v>194</v>
      </c>
      <c r="D104" s="43"/>
      <c r="E104" s="426" t="s">
        <v>42</v>
      </c>
      <c r="F104" s="426" t="s">
        <v>42</v>
      </c>
      <c r="G104" s="243">
        <v>7000000</v>
      </c>
      <c r="H104" s="41" t="s">
        <v>194</v>
      </c>
      <c r="J104" s="8"/>
    </row>
    <row r="105" spans="1:10" ht="20.100000000000001" customHeight="1" outlineLevel="1">
      <c r="A105" s="46" t="s">
        <v>82</v>
      </c>
      <c r="B105" s="47">
        <v>8718582</v>
      </c>
      <c r="C105" s="48" t="s">
        <v>194</v>
      </c>
      <c r="D105" s="43"/>
      <c r="E105" s="426" t="s">
        <v>192</v>
      </c>
      <c r="F105" s="426" t="s">
        <v>192</v>
      </c>
      <c r="G105" s="243">
        <v>9000000</v>
      </c>
      <c r="H105" s="41" t="s">
        <v>194</v>
      </c>
      <c r="J105" s="8"/>
    </row>
    <row r="106" spans="1:10" ht="20.100000000000001" customHeight="1" outlineLevel="1">
      <c r="A106" s="46" t="s">
        <v>134</v>
      </c>
      <c r="B106" s="47">
        <v>552742</v>
      </c>
      <c r="C106" s="48" t="s">
        <v>194</v>
      </c>
      <c r="D106" s="43"/>
      <c r="E106" s="426" t="s">
        <v>193</v>
      </c>
      <c r="F106" s="426" t="s">
        <v>193</v>
      </c>
      <c r="G106" s="243">
        <v>4350737</v>
      </c>
      <c r="H106" s="41" t="s">
        <v>194</v>
      </c>
      <c r="J106" s="8"/>
    </row>
    <row r="107" spans="1:10" ht="20.100000000000001" customHeight="1" outlineLevel="1">
      <c r="A107" s="46" t="s">
        <v>133</v>
      </c>
      <c r="B107" s="47">
        <v>2085418</v>
      </c>
      <c r="C107" s="48" t="s">
        <v>194</v>
      </c>
      <c r="D107" s="43"/>
      <c r="E107" s="426" t="s">
        <v>241</v>
      </c>
      <c r="F107" s="426" t="s">
        <v>168</v>
      </c>
      <c r="G107" s="243">
        <v>7000000</v>
      </c>
      <c r="H107" s="41" t="s">
        <v>194</v>
      </c>
      <c r="J107" s="8"/>
    </row>
    <row r="108" spans="1:10" ht="20.100000000000001" customHeight="1" outlineLevel="1">
      <c r="A108" s="46" t="s">
        <v>88</v>
      </c>
      <c r="B108" s="47">
        <v>3371465</v>
      </c>
      <c r="C108" s="48" t="s">
        <v>194</v>
      </c>
      <c r="D108" s="43"/>
      <c r="E108" s="426" t="s">
        <v>172</v>
      </c>
      <c r="F108" s="426" t="s">
        <v>172</v>
      </c>
      <c r="G108" s="243">
        <v>37000000</v>
      </c>
      <c r="H108" s="41" t="s">
        <v>194</v>
      </c>
      <c r="J108" s="8"/>
    </row>
    <row r="109" spans="1:10" ht="20.100000000000001" customHeight="1" outlineLevel="1">
      <c r="A109" s="46" t="s">
        <v>132</v>
      </c>
      <c r="B109" s="47">
        <v>3698091</v>
      </c>
      <c r="C109" s="48" t="s">
        <v>194</v>
      </c>
      <c r="D109" s="43"/>
      <c r="E109" s="426" t="s">
        <v>173</v>
      </c>
      <c r="F109" s="426" t="s">
        <v>173</v>
      </c>
      <c r="G109" s="243">
        <v>26000000</v>
      </c>
      <c r="H109" s="41" t="s">
        <v>194</v>
      </c>
      <c r="J109" s="8"/>
    </row>
    <row r="110" spans="1:10" ht="20.100000000000001" customHeight="1" outlineLevel="1">
      <c r="A110" s="46" t="s">
        <v>92</v>
      </c>
      <c r="B110" s="47">
        <v>21266026</v>
      </c>
      <c r="C110" s="48" t="s">
        <v>194</v>
      </c>
      <c r="D110" s="43"/>
      <c r="E110" s="426" t="s">
        <v>34</v>
      </c>
      <c r="F110" s="426" t="s">
        <v>34</v>
      </c>
      <c r="G110" s="243">
        <v>68291040</v>
      </c>
      <c r="H110" s="41" t="s">
        <v>194</v>
      </c>
      <c r="J110" s="8"/>
    </row>
    <row r="111" spans="1:10" ht="20.100000000000001" customHeight="1" outlineLevel="1">
      <c r="A111" s="46" t="s">
        <v>131</v>
      </c>
      <c r="B111" s="47">
        <v>2293478</v>
      </c>
      <c r="C111" s="48" t="s">
        <v>194</v>
      </c>
      <c r="D111" s="43"/>
      <c r="E111" s="426" t="s">
        <v>69</v>
      </c>
      <c r="F111" s="426" t="s">
        <v>69</v>
      </c>
      <c r="G111" s="243">
        <v>6900000</v>
      </c>
      <c r="H111" s="41" t="s">
        <v>194</v>
      </c>
      <c r="J111" s="8"/>
    </row>
    <row r="112" spans="1:10" ht="20.100000000000001" customHeight="1" outlineLevel="1">
      <c r="A112" s="46" t="s">
        <v>130</v>
      </c>
      <c r="B112" s="47">
        <v>1519804</v>
      </c>
      <c r="C112" s="48" t="s">
        <v>194</v>
      </c>
      <c r="D112" s="43"/>
      <c r="E112" s="426" t="s">
        <v>24</v>
      </c>
      <c r="F112" s="426" t="s">
        <v>24</v>
      </c>
      <c r="G112" s="243">
        <v>2000000</v>
      </c>
      <c r="H112" s="41" t="s">
        <v>194</v>
      </c>
      <c r="J112" s="8"/>
    </row>
    <row r="113" spans="1:10" ht="20.100000000000001" customHeight="1" outlineLevel="1">
      <c r="A113" s="46" t="s">
        <v>129</v>
      </c>
      <c r="B113" s="47">
        <v>13822241</v>
      </c>
      <c r="C113" s="48" t="s">
        <v>194</v>
      </c>
      <c r="D113" s="43"/>
      <c r="E113" s="426" t="s">
        <v>79</v>
      </c>
      <c r="F113" s="426" t="s">
        <v>79</v>
      </c>
      <c r="G113" s="243">
        <v>3380195</v>
      </c>
      <c r="H113" s="41" t="s">
        <v>194</v>
      </c>
      <c r="J113" s="8"/>
    </row>
    <row r="114" spans="1:10" ht="20.100000000000001" customHeight="1" outlineLevel="1">
      <c r="A114" s="46" t="s">
        <v>128</v>
      </c>
      <c r="B114" s="47">
        <v>1579838</v>
      </c>
      <c r="C114" s="48" t="s">
        <v>194</v>
      </c>
      <c r="D114" s="43"/>
      <c r="E114" s="432" t="s">
        <v>16</v>
      </c>
      <c r="F114" s="432" t="s">
        <v>16</v>
      </c>
      <c r="G114" s="244">
        <v>585014916</v>
      </c>
      <c r="H114" s="55" t="s">
        <v>194</v>
      </c>
      <c r="J114" s="8"/>
    </row>
    <row r="115" spans="1:10" ht="20.100000000000001" customHeight="1" outlineLevel="1">
      <c r="A115" s="46" t="s">
        <v>127</v>
      </c>
      <c r="B115" s="47">
        <v>1781686</v>
      </c>
      <c r="C115" s="48" t="s">
        <v>194</v>
      </c>
      <c r="D115" s="43"/>
      <c r="E115" s="426" t="s">
        <v>68</v>
      </c>
      <c r="F115" s="426" t="s">
        <v>68</v>
      </c>
      <c r="G115" s="243">
        <v>300000</v>
      </c>
      <c r="H115" s="41" t="s">
        <v>194</v>
      </c>
      <c r="J115" s="8"/>
    </row>
    <row r="116" spans="1:10" ht="20.100000000000001" customHeight="1" outlineLevel="1">
      <c r="A116" s="46" t="s">
        <v>126</v>
      </c>
      <c r="B116" s="47">
        <v>793273</v>
      </c>
      <c r="C116" s="48" t="s">
        <v>194</v>
      </c>
      <c r="D116" s="43"/>
      <c r="E116" s="426" t="s">
        <v>95</v>
      </c>
      <c r="F116" s="426" t="s">
        <v>95</v>
      </c>
      <c r="G116" s="243">
        <v>7715550</v>
      </c>
      <c r="H116" s="41" t="s">
        <v>194</v>
      </c>
      <c r="J116" s="8"/>
    </row>
    <row r="117" spans="1:10" ht="20.100000000000001" customHeight="1" outlineLevel="1">
      <c r="A117" s="46" t="s">
        <v>125</v>
      </c>
      <c r="B117" s="47">
        <v>1185824</v>
      </c>
      <c r="C117" s="48" t="s">
        <v>194</v>
      </c>
      <c r="D117" s="43"/>
      <c r="E117" s="426" t="s">
        <v>23</v>
      </c>
      <c r="F117" s="426" t="s">
        <v>23</v>
      </c>
      <c r="G117" s="243">
        <v>145692000</v>
      </c>
      <c r="H117" s="41" t="s">
        <v>194</v>
      </c>
      <c r="J117" s="8"/>
    </row>
    <row r="118" spans="1:10" ht="20.100000000000001" customHeight="1" outlineLevel="1">
      <c r="A118" s="46" t="s">
        <v>124</v>
      </c>
      <c r="B118" s="47">
        <v>6985632</v>
      </c>
      <c r="C118" s="48" t="s">
        <v>194</v>
      </c>
      <c r="D118" s="43"/>
      <c r="E118" s="426" t="s">
        <v>174</v>
      </c>
      <c r="F118" s="426" t="s">
        <v>174</v>
      </c>
      <c r="G118" s="243">
        <v>5095922</v>
      </c>
      <c r="H118" s="41" t="s">
        <v>194</v>
      </c>
      <c r="J118" s="8"/>
    </row>
    <row r="119" spans="1:10" ht="20.100000000000001" customHeight="1" outlineLevel="1">
      <c r="A119" s="46" t="s">
        <v>123</v>
      </c>
      <c r="B119" s="47">
        <v>3856910</v>
      </c>
      <c r="C119" s="48" t="s">
        <v>194</v>
      </c>
      <c r="D119" s="43"/>
      <c r="E119" s="426" t="s">
        <v>86</v>
      </c>
      <c r="F119" s="426" t="s">
        <v>86</v>
      </c>
      <c r="G119" s="243">
        <v>1883881</v>
      </c>
      <c r="H119" s="41" t="s">
        <v>194</v>
      </c>
      <c r="J119" s="8"/>
    </row>
    <row r="120" spans="1:10" ht="20.100000000000001" customHeight="1" outlineLevel="1">
      <c r="A120" s="46" t="s">
        <v>122</v>
      </c>
      <c r="B120" s="47">
        <v>875275</v>
      </c>
      <c r="C120" s="48" t="s">
        <v>194</v>
      </c>
      <c r="D120" s="43"/>
      <c r="E120" s="426" t="s">
        <v>85</v>
      </c>
      <c r="F120" s="426" t="s">
        <v>85</v>
      </c>
      <c r="G120" s="243">
        <v>153039</v>
      </c>
      <c r="H120" s="41" t="s">
        <v>194</v>
      </c>
      <c r="J120" s="8"/>
    </row>
    <row r="121" spans="1:10" ht="20.100000000000001" customHeight="1" outlineLevel="1">
      <c r="A121" s="46" t="s">
        <v>121</v>
      </c>
      <c r="B121" s="47">
        <v>1165543</v>
      </c>
      <c r="C121" s="48" t="s">
        <v>194</v>
      </c>
      <c r="D121" s="43"/>
      <c r="E121" s="426" t="s">
        <v>39</v>
      </c>
      <c r="F121" s="426" t="s">
        <v>39</v>
      </c>
      <c r="G121" s="243">
        <f>21000000+19950000</f>
        <v>40950000</v>
      </c>
      <c r="H121" s="41" t="s">
        <v>194</v>
      </c>
      <c r="J121" s="8"/>
    </row>
    <row r="122" spans="1:10" ht="20.100000000000001" customHeight="1" outlineLevel="1">
      <c r="A122" s="46" t="s">
        <v>120</v>
      </c>
      <c r="B122" s="47">
        <v>2754971</v>
      </c>
      <c r="C122" s="48" t="s">
        <v>194</v>
      </c>
      <c r="D122" s="43"/>
      <c r="E122" s="426" t="s">
        <v>33</v>
      </c>
      <c r="F122" s="426" t="s">
        <v>33</v>
      </c>
      <c r="G122" s="243">
        <v>2679751</v>
      </c>
      <c r="H122" s="41" t="s">
        <v>194</v>
      </c>
      <c r="J122" s="8"/>
    </row>
    <row r="123" spans="1:10" ht="20.100000000000001" customHeight="1" outlineLevel="1">
      <c r="A123" s="46" t="s">
        <v>119</v>
      </c>
      <c r="B123" s="47">
        <v>6523992</v>
      </c>
      <c r="C123" s="48" t="s">
        <v>194</v>
      </c>
      <c r="D123" s="43"/>
      <c r="E123" s="426" t="s">
        <v>84</v>
      </c>
      <c r="F123" s="426" t="s">
        <v>84</v>
      </c>
      <c r="G123" s="243">
        <v>390522</v>
      </c>
      <c r="H123" s="41" t="s">
        <v>194</v>
      </c>
      <c r="J123" s="8"/>
    </row>
    <row r="124" spans="1:10" ht="20.100000000000001" customHeight="1" outlineLevel="1">
      <c r="A124" s="46" t="s">
        <v>118</v>
      </c>
      <c r="B124" s="47">
        <v>9000491</v>
      </c>
      <c r="C124" s="48" t="s">
        <v>194</v>
      </c>
      <c r="D124" s="43"/>
      <c r="E124" s="426" t="s">
        <v>94</v>
      </c>
      <c r="F124" s="426" t="s">
        <v>94</v>
      </c>
      <c r="G124" s="243">
        <v>3265380</v>
      </c>
      <c r="H124" s="41" t="s">
        <v>194</v>
      </c>
      <c r="J124" s="8"/>
    </row>
    <row r="125" spans="1:10" ht="20.100000000000001" customHeight="1" outlineLevel="1">
      <c r="A125" s="46" t="s">
        <v>117</v>
      </c>
      <c r="B125" s="47">
        <v>281106</v>
      </c>
      <c r="C125" s="48" t="s">
        <v>194</v>
      </c>
      <c r="D125" s="43"/>
      <c r="E125" s="426" t="s">
        <v>106</v>
      </c>
      <c r="F125" s="426" t="s">
        <v>106</v>
      </c>
      <c r="G125" s="243">
        <v>1176121</v>
      </c>
      <c r="H125" s="41" t="s">
        <v>194</v>
      </c>
      <c r="J125" s="8"/>
    </row>
    <row r="126" spans="1:10" ht="20.100000000000001" customHeight="1" outlineLevel="1">
      <c r="A126" s="46" t="s">
        <v>1</v>
      </c>
      <c r="B126" s="47">
        <v>4139141</v>
      </c>
      <c r="C126" s="48" t="s">
        <v>194</v>
      </c>
      <c r="D126" s="43"/>
      <c r="E126" s="426" t="s">
        <v>105</v>
      </c>
      <c r="F126" s="426" t="s">
        <v>105</v>
      </c>
      <c r="G126" s="243">
        <v>641658</v>
      </c>
      <c r="H126" s="41" t="s">
        <v>194</v>
      </c>
      <c r="J126" s="8"/>
    </row>
    <row r="127" spans="1:10" ht="20.100000000000001" customHeight="1" outlineLevel="1">
      <c r="A127" s="46" t="s">
        <v>116</v>
      </c>
      <c r="B127" s="47">
        <v>12592808</v>
      </c>
      <c r="C127" s="48" t="s">
        <v>194</v>
      </c>
      <c r="D127" s="43"/>
      <c r="E127" s="426" t="s">
        <v>104</v>
      </c>
      <c r="F127" s="426" t="s">
        <v>104</v>
      </c>
      <c r="G127" s="243">
        <v>1571250</v>
      </c>
      <c r="H127" s="41" t="s">
        <v>194</v>
      </c>
      <c r="J127" s="8"/>
    </row>
    <row r="128" spans="1:10" ht="20.100000000000001" customHeight="1" outlineLevel="1">
      <c r="A128" s="46" t="s">
        <v>93</v>
      </c>
      <c r="B128" s="47">
        <v>63381663</v>
      </c>
      <c r="C128" s="48" t="s">
        <v>194</v>
      </c>
      <c r="D128" s="43"/>
      <c r="E128" s="426" t="s">
        <v>102</v>
      </c>
      <c r="F128" s="426" t="s">
        <v>102</v>
      </c>
      <c r="G128" s="243">
        <v>648000</v>
      </c>
      <c r="H128" s="41" t="s">
        <v>194</v>
      </c>
      <c r="J128" s="8"/>
    </row>
    <row r="129" spans="1:18" ht="20.100000000000001" customHeight="1" outlineLevel="1">
      <c r="A129" s="46" t="s">
        <v>94</v>
      </c>
      <c r="B129" s="47">
        <v>3649686</v>
      </c>
      <c r="C129" s="48" t="s">
        <v>194</v>
      </c>
      <c r="D129" s="43"/>
      <c r="E129" s="426" t="s">
        <v>101</v>
      </c>
      <c r="F129" s="426" t="s">
        <v>101</v>
      </c>
      <c r="G129" s="243">
        <v>10800000</v>
      </c>
      <c r="H129" s="41" t="s">
        <v>194</v>
      </c>
      <c r="J129" s="8"/>
    </row>
    <row r="130" spans="1:18" ht="20.100000000000001" customHeight="1" outlineLevel="1">
      <c r="A130" s="46" t="s">
        <v>115</v>
      </c>
      <c r="B130" s="47">
        <v>299551</v>
      </c>
      <c r="C130" s="48" t="s">
        <v>194</v>
      </c>
      <c r="D130" s="43"/>
      <c r="E130" s="426" t="s">
        <v>54</v>
      </c>
      <c r="F130" s="426" t="s">
        <v>54</v>
      </c>
      <c r="G130" s="243">
        <v>24393296</v>
      </c>
      <c r="H130" s="41" t="s">
        <v>194</v>
      </c>
      <c r="J130" s="8"/>
    </row>
    <row r="131" spans="1:18" ht="20.100000000000001" customHeight="1" outlineLevel="1">
      <c r="A131" s="46" t="s">
        <v>114</v>
      </c>
      <c r="B131" s="47">
        <v>5528386</v>
      </c>
      <c r="C131" s="48" t="s">
        <v>194</v>
      </c>
      <c r="D131" s="43"/>
      <c r="E131" s="432" t="s">
        <v>108</v>
      </c>
      <c r="F131" s="432" t="s">
        <v>108</v>
      </c>
      <c r="G131" s="244">
        <v>452818992</v>
      </c>
      <c r="H131" s="55" t="s">
        <v>194</v>
      </c>
      <c r="J131" s="8"/>
    </row>
    <row r="132" spans="1:18" ht="20.100000000000001" customHeight="1" outlineLevel="1">
      <c r="A132" s="46" t="s">
        <v>96</v>
      </c>
      <c r="B132" s="47">
        <v>6650000</v>
      </c>
      <c r="C132" s="48" t="s">
        <v>194</v>
      </c>
      <c r="D132" s="43"/>
      <c r="E132" s="426" t="s">
        <v>67</v>
      </c>
      <c r="F132" s="426" t="s">
        <v>67</v>
      </c>
      <c r="G132" s="243">
        <v>26275040</v>
      </c>
      <c r="H132" s="41" t="s">
        <v>194</v>
      </c>
      <c r="J132" s="8"/>
    </row>
    <row r="133" spans="1:18" ht="20.100000000000001" customHeight="1" outlineLevel="1">
      <c r="A133" s="46" t="s">
        <v>113</v>
      </c>
      <c r="B133" s="47">
        <v>346799</v>
      </c>
      <c r="C133" s="48" t="s">
        <v>194</v>
      </c>
      <c r="D133" s="43"/>
      <c r="E133" s="426" t="s">
        <v>83</v>
      </c>
      <c r="F133" s="426" t="s">
        <v>83</v>
      </c>
      <c r="G133" s="243">
        <v>393412</v>
      </c>
      <c r="H133" s="41" t="s">
        <v>194</v>
      </c>
      <c r="J133" s="8"/>
    </row>
    <row r="134" spans="1:18" ht="20.100000000000001" customHeight="1" outlineLevel="1">
      <c r="A134" s="46" t="s">
        <v>97</v>
      </c>
      <c r="B134" s="47">
        <v>4783569</v>
      </c>
      <c r="C134" s="48" t="s">
        <v>194</v>
      </c>
      <c r="D134" s="43"/>
      <c r="E134" s="426" t="s">
        <v>98</v>
      </c>
      <c r="F134" s="426" t="s">
        <v>98</v>
      </c>
      <c r="G134" s="243">
        <v>3166000</v>
      </c>
      <c r="H134" s="41" t="s">
        <v>194</v>
      </c>
      <c r="J134" s="8"/>
    </row>
    <row r="135" spans="1:18" ht="20.100000000000001" customHeight="1" outlineLevel="1">
      <c r="A135" s="46" t="s">
        <v>98</v>
      </c>
      <c r="B135" s="47">
        <v>2729462</v>
      </c>
      <c r="C135" s="48" t="s">
        <v>194</v>
      </c>
      <c r="D135" s="43"/>
      <c r="E135" s="426" t="s">
        <v>243</v>
      </c>
      <c r="F135" s="426" t="s">
        <v>32</v>
      </c>
      <c r="G135" s="243">
        <v>1479067</v>
      </c>
      <c r="H135" s="41" t="s">
        <v>194</v>
      </c>
      <c r="J135" s="8"/>
      <c r="P135" s="12"/>
      <c r="Q135" s="12"/>
      <c r="R135" s="1"/>
    </row>
    <row r="136" spans="1:18" ht="20.100000000000001" customHeight="1" outlineLevel="1">
      <c r="A136" s="46" t="s">
        <v>99</v>
      </c>
      <c r="B136" s="47">
        <v>26875401</v>
      </c>
      <c r="C136" s="48" t="s">
        <v>194</v>
      </c>
      <c r="D136" s="43"/>
      <c r="E136" s="426" t="s">
        <v>100</v>
      </c>
      <c r="F136" s="426" t="s">
        <v>100</v>
      </c>
      <c r="G136" s="243">
        <v>15830200</v>
      </c>
      <c r="H136" s="41" t="s">
        <v>194</v>
      </c>
      <c r="J136" s="8"/>
    </row>
    <row r="137" spans="1:18" ht="20.100000000000001" customHeight="1" outlineLevel="1">
      <c r="A137" s="46" t="s">
        <v>100</v>
      </c>
      <c r="B137" s="47">
        <v>12646803</v>
      </c>
      <c r="C137" s="48" t="s">
        <v>194</v>
      </c>
      <c r="D137" s="43"/>
      <c r="E137" s="426" t="s">
        <v>93</v>
      </c>
      <c r="F137" s="426" t="s">
        <v>93</v>
      </c>
      <c r="G137" s="243">
        <v>61232967</v>
      </c>
      <c r="H137" s="41" t="s">
        <v>194</v>
      </c>
      <c r="J137" s="8"/>
    </row>
    <row r="138" spans="1:18" ht="20.100000000000001" customHeight="1" outlineLevel="1">
      <c r="A138" s="46" t="s">
        <v>0</v>
      </c>
      <c r="B138" s="47">
        <v>1623387</v>
      </c>
      <c r="C138" s="48" t="s">
        <v>194</v>
      </c>
      <c r="D138" s="43"/>
      <c r="E138" s="426" t="s">
        <v>22</v>
      </c>
      <c r="F138" s="426" t="s">
        <v>22</v>
      </c>
      <c r="G138" s="243">
        <v>4500000</v>
      </c>
      <c r="H138" s="41" t="s">
        <v>194</v>
      </c>
      <c r="J138" s="8"/>
      <c r="R138" s="2"/>
    </row>
    <row r="139" spans="1:18" ht="20.100000000000001" customHeight="1" outlineLevel="1">
      <c r="A139" s="46" t="s">
        <v>107</v>
      </c>
      <c r="B139" s="47">
        <v>2006316</v>
      </c>
      <c r="C139" s="48" t="s">
        <v>194</v>
      </c>
      <c r="D139" s="43"/>
      <c r="E139" s="426" t="s">
        <v>21</v>
      </c>
      <c r="F139" s="426" t="s">
        <v>21</v>
      </c>
      <c r="G139" s="243">
        <v>16544022</v>
      </c>
      <c r="H139" s="41" t="s">
        <v>194</v>
      </c>
      <c r="J139" s="8"/>
      <c r="R139" s="2"/>
    </row>
    <row r="140" spans="1:18" ht="20.100000000000001" customHeight="1" outlineLevel="1">
      <c r="A140" s="46" t="s">
        <v>108</v>
      </c>
      <c r="B140" s="47">
        <v>409287176</v>
      </c>
      <c r="C140" s="48" t="s">
        <v>194</v>
      </c>
      <c r="D140" s="43"/>
      <c r="E140" s="426" t="s">
        <v>78</v>
      </c>
      <c r="F140" s="426" t="s">
        <v>78</v>
      </c>
      <c r="G140" s="242">
        <v>13264078</v>
      </c>
      <c r="H140" s="41" t="s">
        <v>194</v>
      </c>
      <c r="J140" s="8"/>
      <c r="R140" s="2"/>
    </row>
    <row r="141" spans="1:18" ht="20.100000000000001" customHeight="1" outlineLevel="1">
      <c r="A141" s="46" t="s">
        <v>110</v>
      </c>
      <c r="B141" s="47">
        <v>17013474</v>
      </c>
      <c r="C141" s="48" t="s">
        <v>194</v>
      </c>
      <c r="D141" s="43"/>
      <c r="G141" s="245">
        <f>SUM(G9:G140)</f>
        <v>4307034783</v>
      </c>
      <c r="H141" s="53"/>
      <c r="J141" s="8"/>
      <c r="R141" s="2"/>
    </row>
    <row r="142" spans="1:18" ht="20.100000000000001" customHeight="1" outlineLevel="1">
      <c r="A142" s="46" t="s">
        <v>112</v>
      </c>
      <c r="B142" s="47">
        <v>20527649</v>
      </c>
      <c r="C142" s="48" t="s">
        <v>194</v>
      </c>
      <c r="D142" s="43"/>
      <c r="J142" s="8"/>
      <c r="R142" s="2"/>
    </row>
    <row r="143" spans="1:18" ht="20.100000000000001" customHeight="1" outlineLevel="1">
      <c r="A143" s="46" t="s">
        <v>111</v>
      </c>
      <c r="B143" s="47">
        <v>26754042</v>
      </c>
      <c r="C143" s="48" t="s">
        <v>194</v>
      </c>
      <c r="D143" s="43"/>
      <c r="J143" s="8"/>
      <c r="R143" s="2"/>
    </row>
    <row r="144" spans="1:18" ht="20.100000000000001" customHeight="1" outlineLevel="1">
      <c r="A144" s="51" t="s">
        <v>182</v>
      </c>
      <c r="B144" s="52">
        <f>SUM(B9:B143)</f>
        <v>4153700396</v>
      </c>
      <c r="C144" s="48" t="s">
        <v>194</v>
      </c>
      <c r="D144" s="43"/>
    </row>
    <row r="145" spans="1:11" ht="20.100000000000001" customHeight="1" outlineLevel="1">
      <c r="A145" s="43"/>
      <c r="B145" s="43"/>
      <c r="C145" s="43"/>
      <c r="D145" s="43"/>
    </row>
    <row r="146" spans="1:11" ht="20.100000000000001" customHeight="1" outlineLevel="1">
      <c r="A146" s="43"/>
      <c r="B146" s="43"/>
      <c r="C146" s="43"/>
      <c r="D146" s="43"/>
      <c r="J146" s="8"/>
    </row>
    <row r="147" spans="1:11" ht="20.100000000000001" customHeight="1" outlineLevel="1">
      <c r="A147" s="43"/>
      <c r="B147" s="43"/>
      <c r="C147" s="43"/>
      <c r="D147" s="43"/>
      <c r="J147" s="8"/>
    </row>
    <row r="148" spans="1:11" ht="20.100000000000001" customHeight="1" outlineLevel="1">
      <c r="A148" s="43"/>
      <c r="B148" s="43"/>
      <c r="C148" s="43"/>
      <c r="D148" s="43"/>
      <c r="J148" s="8"/>
    </row>
    <row r="149" spans="1:11" ht="20.100000000000001" customHeight="1" outlineLevel="1">
      <c r="A149" s="43"/>
      <c r="B149" s="43"/>
      <c r="C149" s="43"/>
      <c r="D149" s="43"/>
      <c r="G149" s="54"/>
    </row>
    <row r="150" spans="1:11" ht="20.100000000000001" customHeight="1" outlineLevel="1">
      <c r="A150" s="43"/>
      <c r="B150" s="43"/>
      <c r="C150" s="43"/>
      <c r="D150" s="43"/>
      <c r="K150" s="7"/>
    </row>
    <row r="151" spans="1:11" ht="20.100000000000001" customHeight="1" outlineLevel="1">
      <c r="A151" s="43"/>
      <c r="B151" s="43"/>
      <c r="C151" s="43"/>
      <c r="D151" s="43"/>
      <c r="K151" s="7"/>
    </row>
    <row r="152" spans="1:11" ht="20.100000000000001" customHeight="1" outlineLevel="1">
      <c r="A152" s="43"/>
      <c r="B152" s="43"/>
      <c r="C152" s="43"/>
      <c r="D152" s="43"/>
      <c r="K152" s="6"/>
    </row>
    <row r="153" spans="1:11" ht="20.100000000000001" customHeight="1" outlineLevel="1">
      <c r="A153" s="43"/>
      <c r="B153" s="43"/>
      <c r="C153" s="43"/>
      <c r="D153" s="43"/>
    </row>
    <row r="154" spans="1:11" ht="20.100000000000001" customHeight="1" outlineLevel="1">
      <c r="A154" s="43"/>
      <c r="B154" s="44" t="s">
        <v>186</v>
      </c>
      <c r="C154" s="44">
        <v>2024</v>
      </c>
      <c r="D154" s="44">
        <v>2025</v>
      </c>
      <c r="K154" s="7"/>
    </row>
    <row r="155" spans="1:11" ht="20.100000000000001" customHeight="1" outlineLevel="1">
      <c r="A155" s="43"/>
      <c r="B155" s="43" t="s">
        <v>187</v>
      </c>
      <c r="C155" s="47">
        <v>1499480148</v>
      </c>
      <c r="D155" s="43"/>
    </row>
    <row r="156" spans="1:11" ht="20.100000000000001" customHeight="1" outlineLevel="1">
      <c r="A156" s="43"/>
      <c r="B156" s="43" t="s">
        <v>14</v>
      </c>
      <c r="C156" s="47">
        <v>122539996</v>
      </c>
      <c r="D156" s="47">
        <v>126175558</v>
      </c>
    </row>
    <row r="157" spans="1:11" ht="20.100000000000001" customHeight="1" outlineLevel="1"/>
    <row r="158" spans="1:11" ht="20.100000000000001" customHeight="1" outlineLevel="1"/>
  </sheetData>
  <sortState ref="E78:H114">
    <sortCondition ref="H17:H125"/>
  </sortState>
  <mergeCells count="136">
    <mergeCell ref="E124:F124"/>
    <mergeCell ref="E125:F125"/>
    <mergeCell ref="E123:F123"/>
    <mergeCell ref="E140:F140"/>
    <mergeCell ref="E126:F126"/>
    <mergeCell ref="E127:F127"/>
    <mergeCell ref="E128:F128"/>
    <mergeCell ref="E129:F129"/>
    <mergeCell ref="E130:F130"/>
    <mergeCell ref="E131:F131"/>
    <mergeCell ref="E132:F132"/>
    <mergeCell ref="E133:F133"/>
    <mergeCell ref="E134:F134"/>
    <mergeCell ref="E135:F135"/>
    <mergeCell ref="E136:F136"/>
    <mergeCell ref="E137:F137"/>
    <mergeCell ref="E138:F138"/>
    <mergeCell ref="E139:F139"/>
    <mergeCell ref="E100:F100"/>
    <mergeCell ref="E101:F101"/>
    <mergeCell ref="E102:F102"/>
    <mergeCell ref="E122:F122"/>
    <mergeCell ref="E79:F79"/>
    <mergeCell ref="E80:F80"/>
    <mergeCell ref="E81:F81"/>
    <mergeCell ref="E82:F82"/>
    <mergeCell ref="E120:F120"/>
    <mergeCell ref="E121:F121"/>
    <mergeCell ref="E97:F97"/>
    <mergeCell ref="E98:F98"/>
    <mergeCell ref="E99:F99"/>
    <mergeCell ref="E90:F90"/>
    <mergeCell ref="E84:F84"/>
    <mergeCell ref="E85:F85"/>
    <mergeCell ref="E86:F86"/>
    <mergeCell ref="E103:F103"/>
    <mergeCell ref="E104:F104"/>
    <mergeCell ref="E96:F96"/>
    <mergeCell ref="E94:F94"/>
    <mergeCell ref="E95:F95"/>
    <mergeCell ref="E91:F91"/>
    <mergeCell ref="E92:F92"/>
    <mergeCell ref="E25:F25"/>
    <mergeCell ref="E27:F27"/>
    <mergeCell ref="E28:F28"/>
    <mergeCell ref="E29:F29"/>
    <mergeCell ref="E31:F31"/>
    <mergeCell ref="E19:F19"/>
    <mergeCell ref="E20:F20"/>
    <mergeCell ref="E21:F21"/>
    <mergeCell ref="E22:F22"/>
    <mergeCell ref="E23:F23"/>
    <mergeCell ref="E24:F24"/>
    <mergeCell ref="E26:F26"/>
    <mergeCell ref="E93:F93"/>
    <mergeCell ref="E47:F47"/>
    <mergeCell ref="E48:F48"/>
    <mergeCell ref="E49:F49"/>
    <mergeCell ref="E50:F50"/>
    <mergeCell ref="E51:F51"/>
    <mergeCell ref="E52:F52"/>
    <mergeCell ref="E53:F53"/>
    <mergeCell ref="E54:F54"/>
    <mergeCell ref="E61:F61"/>
    <mergeCell ref="E62:F62"/>
    <mergeCell ref="E63:F63"/>
    <mergeCell ref="E55:F55"/>
    <mergeCell ref="E56:F56"/>
    <mergeCell ref="E57:F57"/>
    <mergeCell ref="E58:F58"/>
    <mergeCell ref="E59:F59"/>
    <mergeCell ref="E60:F60"/>
    <mergeCell ref="E64:F64"/>
    <mergeCell ref="E65:F65"/>
    <mergeCell ref="E66:F66"/>
    <mergeCell ref="E83:F83"/>
    <mergeCell ref="E67:F67"/>
    <mergeCell ref="E68:F68"/>
    <mergeCell ref="E45:F45"/>
    <mergeCell ref="E46:F46"/>
    <mergeCell ref="E41:F41"/>
    <mergeCell ref="E42:F42"/>
    <mergeCell ref="E30:F30"/>
    <mergeCell ref="E118:F118"/>
    <mergeCell ref="E119:F119"/>
    <mergeCell ref="E110:F110"/>
    <mergeCell ref="E111:F111"/>
    <mergeCell ref="E112:F112"/>
    <mergeCell ref="E113:F113"/>
    <mergeCell ref="E114:F114"/>
    <mergeCell ref="E105:F105"/>
    <mergeCell ref="E106:F106"/>
    <mergeCell ref="E107:F107"/>
    <mergeCell ref="E108:F108"/>
    <mergeCell ref="E109:F109"/>
    <mergeCell ref="E115:F115"/>
    <mergeCell ref="E116:F116"/>
    <mergeCell ref="E117:F117"/>
    <mergeCell ref="E34:F34"/>
    <mergeCell ref="E87:F87"/>
    <mergeCell ref="E88:F88"/>
    <mergeCell ref="E89:F89"/>
    <mergeCell ref="V21:W21"/>
    <mergeCell ref="A7:C7"/>
    <mergeCell ref="E44:F44"/>
    <mergeCell ref="E32:F32"/>
    <mergeCell ref="E33:F33"/>
    <mergeCell ref="E35:F35"/>
    <mergeCell ref="E37:F37"/>
    <mergeCell ref="E40:F40"/>
    <mergeCell ref="E43:F43"/>
    <mergeCell ref="E36:F36"/>
    <mergeCell ref="E39:F39"/>
    <mergeCell ref="E38:F38"/>
    <mergeCell ref="E9:F9"/>
    <mergeCell ref="E16:F16"/>
    <mergeCell ref="E17:F17"/>
    <mergeCell ref="E18:F18"/>
    <mergeCell ref="E13:F13"/>
    <mergeCell ref="E7:H7"/>
    <mergeCell ref="E10:F10"/>
    <mergeCell ref="E11:F11"/>
    <mergeCell ref="E12:F12"/>
    <mergeCell ref="E14:F14"/>
    <mergeCell ref="E15:F15"/>
    <mergeCell ref="E8:F8"/>
    <mergeCell ref="E69:F69"/>
    <mergeCell ref="E76:F76"/>
    <mergeCell ref="E78:F78"/>
    <mergeCell ref="E72:F72"/>
    <mergeCell ref="E73:F73"/>
    <mergeCell ref="E74:F74"/>
    <mergeCell ref="E75:F75"/>
    <mergeCell ref="E77:F77"/>
    <mergeCell ref="E70:F70"/>
    <mergeCell ref="E71:F71"/>
  </mergeCells>
  <pageMargins left="0.7" right="0.7" top="0.75" bottom="0.75" header="0.3" footer="0.3"/>
  <pageSetup paperSize="9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1"/>
  <sheetViews>
    <sheetView zoomScaleNormal="100" zoomScaleSheetLayoutView="100" workbookViewId="0">
      <selection activeCell="C3" sqref="C3"/>
    </sheetView>
  </sheetViews>
  <sheetFormatPr baseColWidth="10" defaultRowHeight="13.8"/>
  <cols>
    <col min="1" max="1" width="7.5" customWidth="1"/>
    <col min="2" max="2" width="56.5" customWidth="1"/>
    <col min="3" max="3" width="17" customWidth="1"/>
    <col min="6" max="6" width="18.19921875" bestFit="1" customWidth="1"/>
    <col min="7" max="7" width="62" customWidth="1"/>
  </cols>
  <sheetData>
    <row r="1" spans="1:15" ht="17.399999999999999">
      <c r="B1" s="433" t="s">
        <v>1376</v>
      </c>
      <c r="C1" s="433"/>
      <c r="D1" s="298"/>
      <c r="E1" s="298"/>
      <c r="F1" s="298"/>
      <c r="G1" s="1"/>
    </row>
    <row r="2" spans="1:15" ht="15.6">
      <c r="B2" s="260" t="s">
        <v>1251</v>
      </c>
      <c r="C2" s="261">
        <v>1784875604</v>
      </c>
      <c r="D2" s="298"/>
      <c r="E2" s="298"/>
      <c r="F2" s="298"/>
      <c r="G2" s="1"/>
    </row>
    <row r="3" spans="1:15" ht="15.6">
      <c r="B3" s="260" t="s">
        <v>1252</v>
      </c>
      <c r="C3" s="262">
        <v>1647697365</v>
      </c>
      <c r="D3" s="298"/>
      <c r="E3" s="298"/>
      <c r="F3" s="298"/>
      <c r="G3" s="1"/>
    </row>
    <row r="4" spans="1:15" ht="15.6">
      <c r="B4" s="263" t="s">
        <v>1253</v>
      </c>
      <c r="C4" s="264">
        <f>+C2-C3</f>
        <v>137178239</v>
      </c>
      <c r="D4" s="298"/>
      <c r="E4" s="298"/>
      <c r="F4" s="298"/>
      <c r="G4" s="1"/>
    </row>
    <row r="5" spans="1:15" ht="15.6">
      <c r="B5" s="260"/>
      <c r="C5" s="265"/>
      <c r="D5" s="298"/>
      <c r="E5" s="298"/>
      <c r="F5" s="298"/>
      <c r="G5" s="1"/>
    </row>
    <row r="6" spans="1:15" ht="17.399999999999999">
      <c r="B6" s="266" t="s">
        <v>1254</v>
      </c>
      <c r="D6" s="298"/>
      <c r="E6" s="298"/>
      <c r="F6" s="298"/>
      <c r="G6" s="299"/>
      <c r="H6" s="268"/>
    </row>
    <row r="7" spans="1:15" ht="15.6">
      <c r="A7" s="296" t="s">
        <v>1255</v>
      </c>
      <c r="B7" s="269" t="s">
        <v>1256</v>
      </c>
      <c r="C7" s="296" t="s">
        <v>184</v>
      </c>
      <c r="D7" s="296" t="s">
        <v>1370</v>
      </c>
      <c r="E7" s="296" t="s">
        <v>1371</v>
      </c>
      <c r="F7" s="296" t="s">
        <v>1372</v>
      </c>
      <c r="G7" s="300"/>
      <c r="H7" s="270"/>
      <c r="I7" s="296"/>
      <c r="J7" s="296"/>
      <c r="K7" s="296"/>
      <c r="L7" s="296"/>
      <c r="M7" s="296"/>
      <c r="N7" s="296"/>
      <c r="O7" s="296"/>
    </row>
    <row r="8" spans="1:15" s="258" customFormat="1" ht="15.6">
      <c r="A8" t="s">
        <v>1257</v>
      </c>
      <c r="B8" s="271" t="s">
        <v>1258</v>
      </c>
      <c r="C8" s="272">
        <v>358510</v>
      </c>
      <c r="D8" s="298">
        <v>1335</v>
      </c>
      <c r="E8" s="298"/>
      <c r="F8" s="298" t="s">
        <v>1319</v>
      </c>
      <c r="G8" s="299"/>
      <c r="H8" s="268"/>
      <c r="I8"/>
      <c r="J8"/>
      <c r="K8"/>
      <c r="L8"/>
      <c r="M8"/>
      <c r="N8"/>
      <c r="O8"/>
    </row>
    <row r="9" spans="1:15">
      <c r="A9" t="s">
        <v>1257</v>
      </c>
      <c r="B9" s="271" t="s">
        <v>1259</v>
      </c>
      <c r="C9" s="272">
        <v>407000</v>
      </c>
      <c r="D9" s="298">
        <v>1335</v>
      </c>
      <c r="E9" s="298"/>
      <c r="F9" s="298" t="s">
        <v>1319</v>
      </c>
      <c r="G9" s="299"/>
      <c r="H9" s="268"/>
    </row>
    <row r="10" spans="1:15">
      <c r="A10" t="s">
        <v>1257</v>
      </c>
      <c r="B10" s="271" t="s">
        <v>1320</v>
      </c>
      <c r="C10" s="272">
        <v>1011435</v>
      </c>
      <c r="D10" s="298">
        <v>1335</v>
      </c>
      <c r="E10" s="298">
        <v>2212002000</v>
      </c>
      <c r="F10" s="298" t="s">
        <v>1321</v>
      </c>
      <c r="G10" s="299"/>
      <c r="H10" s="268"/>
    </row>
    <row r="11" spans="1:15">
      <c r="A11" t="s">
        <v>1257</v>
      </c>
      <c r="B11" s="271" t="s">
        <v>1322</v>
      </c>
      <c r="C11" s="272">
        <v>1011435</v>
      </c>
      <c r="D11" s="298">
        <v>1335</v>
      </c>
      <c r="E11" s="298">
        <v>2212002000</v>
      </c>
      <c r="F11" s="298" t="s">
        <v>1319</v>
      </c>
      <c r="G11" s="299"/>
      <c r="H11" s="268"/>
    </row>
    <row r="12" spans="1:15">
      <c r="A12" t="s">
        <v>1257</v>
      </c>
      <c r="B12" s="271" t="s">
        <v>1260</v>
      </c>
      <c r="C12" s="272">
        <v>1011435</v>
      </c>
      <c r="D12" s="298">
        <v>1339</v>
      </c>
      <c r="E12" s="298">
        <v>2212002000</v>
      </c>
      <c r="F12" s="298" t="s">
        <v>1323</v>
      </c>
      <c r="G12" s="1"/>
      <c r="H12" s="273"/>
    </row>
    <row r="13" spans="1:15">
      <c r="A13" t="s">
        <v>1257</v>
      </c>
      <c r="B13" s="271" t="s">
        <v>1261</v>
      </c>
      <c r="C13" s="272">
        <v>1128004</v>
      </c>
      <c r="D13" s="298"/>
      <c r="E13" s="298"/>
      <c r="F13" s="298"/>
      <c r="G13" s="1"/>
    </row>
    <row r="14" spans="1:15">
      <c r="A14" t="s">
        <v>1257</v>
      </c>
      <c r="B14" s="271" t="s">
        <v>1262</v>
      </c>
      <c r="C14" s="272">
        <v>2208500</v>
      </c>
      <c r="D14" s="298"/>
      <c r="E14" s="298"/>
      <c r="F14" s="298"/>
      <c r="G14" s="1"/>
    </row>
    <row r="15" spans="1:15">
      <c r="A15" t="s">
        <v>1257</v>
      </c>
      <c r="B15" s="271" t="s">
        <v>1263</v>
      </c>
      <c r="C15" s="272">
        <v>2516850</v>
      </c>
      <c r="D15" s="298"/>
      <c r="E15" s="298"/>
      <c r="F15" s="298"/>
      <c r="G15" s="1"/>
    </row>
    <row r="16" spans="1:15">
      <c r="A16" t="s">
        <v>1257</v>
      </c>
      <c r="B16" s="271" t="s">
        <v>1264</v>
      </c>
      <c r="C16" s="272">
        <v>2522500</v>
      </c>
      <c r="D16" s="298"/>
      <c r="E16" s="298"/>
      <c r="F16" s="298"/>
      <c r="G16" s="1"/>
    </row>
    <row r="17" spans="1:15">
      <c r="A17" t="s">
        <v>1257</v>
      </c>
      <c r="B17" s="271" t="s">
        <v>1262</v>
      </c>
      <c r="C17" s="272">
        <v>2652000</v>
      </c>
      <c r="D17" s="301" t="s">
        <v>1324</v>
      </c>
      <c r="E17" s="298"/>
      <c r="F17" s="298"/>
      <c r="G17" s="1"/>
    </row>
    <row r="18" spans="1:15">
      <c r="A18" t="s">
        <v>1257</v>
      </c>
      <c r="B18" s="271" t="s">
        <v>1265</v>
      </c>
      <c r="C18" s="272">
        <v>2880000</v>
      </c>
      <c r="D18" s="434" t="s">
        <v>1325</v>
      </c>
      <c r="E18" s="434"/>
      <c r="F18" s="434"/>
      <c r="G18" s="1"/>
    </row>
    <row r="19" spans="1:15">
      <c r="A19" t="s">
        <v>1257</v>
      </c>
      <c r="B19" s="271" t="s">
        <v>1266</v>
      </c>
      <c r="C19" s="272">
        <v>3703700</v>
      </c>
      <c r="D19" s="298"/>
      <c r="E19" s="298"/>
      <c r="F19" s="298"/>
      <c r="G19" s="1"/>
    </row>
    <row r="20" spans="1:15">
      <c r="A20" t="s">
        <v>1257</v>
      </c>
      <c r="B20" s="271" t="s">
        <v>1267</v>
      </c>
      <c r="C20" s="272">
        <v>3872870</v>
      </c>
      <c r="D20" s="298">
        <v>1340</v>
      </c>
      <c r="E20" s="298">
        <v>2212002000</v>
      </c>
      <c r="F20" s="298" t="s">
        <v>1319</v>
      </c>
      <c r="G20" s="1"/>
    </row>
    <row r="21" spans="1:15">
      <c r="A21" s="348" t="s">
        <v>1257</v>
      </c>
      <c r="B21" s="349" t="s">
        <v>1268</v>
      </c>
      <c r="C21" s="350">
        <v>5368422</v>
      </c>
      <c r="D21" s="298"/>
      <c r="E21" s="298"/>
      <c r="F21" s="298"/>
      <c r="G21" s="1"/>
    </row>
    <row r="22" spans="1:15">
      <c r="A22" s="348" t="s">
        <v>1257</v>
      </c>
      <c r="B22" s="349" t="s">
        <v>1268</v>
      </c>
      <c r="C22" s="351">
        <v>5559389</v>
      </c>
      <c r="D22" s="298"/>
      <c r="E22" s="298"/>
      <c r="F22" s="298"/>
      <c r="G22" s="1"/>
    </row>
    <row r="23" spans="1:15">
      <c r="A23" t="s">
        <v>1257</v>
      </c>
      <c r="B23" s="275" t="s">
        <v>1269</v>
      </c>
      <c r="C23" s="276">
        <v>27000</v>
      </c>
      <c r="D23" s="298"/>
      <c r="E23" s="298"/>
      <c r="F23" s="298"/>
      <c r="G23" s="1"/>
    </row>
    <row r="24" spans="1:15">
      <c r="A24" t="s">
        <v>1270</v>
      </c>
      <c r="B24" s="267" t="s">
        <v>1271</v>
      </c>
      <c r="C24" s="277">
        <v>14280</v>
      </c>
      <c r="D24" s="298"/>
      <c r="E24" s="298"/>
      <c r="F24" s="298"/>
      <c r="G24" s="1"/>
    </row>
    <row r="25" spans="1:15">
      <c r="A25" t="s">
        <v>1270</v>
      </c>
      <c r="B25" s="267" t="s">
        <v>1272</v>
      </c>
      <c r="C25" s="277">
        <v>131555</v>
      </c>
      <c r="D25" s="298">
        <v>1335</v>
      </c>
      <c r="E25" s="298">
        <v>2205002000</v>
      </c>
      <c r="F25" s="298" t="s">
        <v>1319</v>
      </c>
      <c r="G25" s="298">
        <v>1341</v>
      </c>
      <c r="H25" s="298">
        <v>2212002000</v>
      </c>
      <c r="I25" s="298" t="s">
        <v>1326</v>
      </c>
      <c r="J25" s="298">
        <v>1334</v>
      </c>
      <c r="K25" s="298">
        <v>2212002000</v>
      </c>
      <c r="L25" s="298" t="s">
        <v>1319</v>
      </c>
      <c r="M25" s="298">
        <v>1336</v>
      </c>
      <c r="N25" s="298">
        <v>2212002000</v>
      </c>
      <c r="O25" s="298" t="s">
        <v>1319</v>
      </c>
    </row>
    <row r="26" spans="1:15">
      <c r="A26" t="s">
        <v>1270</v>
      </c>
      <c r="B26" s="267" t="s">
        <v>1271</v>
      </c>
      <c r="C26" s="277">
        <v>199920</v>
      </c>
      <c r="D26" s="298"/>
      <c r="E26" s="298"/>
      <c r="F26" s="298"/>
      <c r="G26" s="1"/>
    </row>
    <row r="27" spans="1:15">
      <c r="A27" t="s">
        <v>1270</v>
      </c>
      <c r="B27" s="267" t="s">
        <v>1273</v>
      </c>
      <c r="C27" s="277">
        <v>929310</v>
      </c>
      <c r="D27" s="298"/>
      <c r="E27" s="298"/>
      <c r="F27" s="298"/>
      <c r="G27" s="1"/>
    </row>
    <row r="28" spans="1:15">
      <c r="A28" t="s">
        <v>1270</v>
      </c>
      <c r="B28" s="267" t="s">
        <v>1274</v>
      </c>
      <c r="C28" s="277">
        <v>2018820</v>
      </c>
      <c r="D28" s="298"/>
      <c r="E28" s="298"/>
      <c r="F28" s="298"/>
      <c r="G28" s="1"/>
    </row>
    <row r="29" spans="1:15">
      <c r="A29" t="s">
        <v>1270</v>
      </c>
      <c r="B29" s="267" t="s">
        <v>1261</v>
      </c>
      <c r="C29" s="278">
        <v>2652000</v>
      </c>
      <c r="D29" s="298"/>
      <c r="E29" s="298"/>
      <c r="F29" s="298"/>
      <c r="G29" s="1"/>
    </row>
    <row r="30" spans="1:15">
      <c r="A30" t="s">
        <v>1275</v>
      </c>
      <c r="B30" s="267" t="s">
        <v>1276</v>
      </c>
      <c r="C30" s="268">
        <v>11010</v>
      </c>
      <c r="D30" s="298"/>
      <c r="E30" s="298"/>
      <c r="F30" s="298"/>
      <c r="G30" s="1"/>
    </row>
    <row r="31" spans="1:15">
      <c r="A31" t="s">
        <v>1275</v>
      </c>
      <c r="B31" s="267" t="s">
        <v>1264</v>
      </c>
      <c r="C31" s="268">
        <v>1552185</v>
      </c>
      <c r="D31" s="298"/>
      <c r="E31" s="298"/>
      <c r="F31" s="298"/>
      <c r="G31" s="1"/>
    </row>
    <row r="32" spans="1:15">
      <c r="A32" t="s">
        <v>1275</v>
      </c>
      <c r="B32" s="267" t="s">
        <v>1277</v>
      </c>
      <c r="C32" s="268">
        <v>250000</v>
      </c>
      <c r="D32" s="298"/>
      <c r="E32" s="298"/>
      <c r="F32" s="298"/>
      <c r="G32" s="1"/>
    </row>
    <row r="33" spans="1:7">
      <c r="A33" t="s">
        <v>1275</v>
      </c>
      <c r="B33" s="267" t="s">
        <v>1278</v>
      </c>
      <c r="C33" s="278">
        <v>1598000</v>
      </c>
      <c r="D33" s="298"/>
      <c r="E33" s="298"/>
      <c r="F33" s="298"/>
      <c r="G33" s="1"/>
    </row>
    <row r="34" spans="1:7">
      <c r="A34" t="s">
        <v>1279</v>
      </c>
      <c r="B34" s="267" t="s">
        <v>1280</v>
      </c>
      <c r="C34" s="279">
        <f>200000</f>
        <v>200000</v>
      </c>
      <c r="D34" s="298"/>
      <c r="E34" s="298"/>
      <c r="F34" s="298"/>
      <c r="G34" s="1"/>
    </row>
    <row r="35" spans="1:7">
      <c r="A35" t="s">
        <v>1279</v>
      </c>
      <c r="B35" s="267" t="s">
        <v>1281</v>
      </c>
      <c r="C35" s="268">
        <v>1191000</v>
      </c>
      <c r="D35" s="298"/>
      <c r="E35" s="298"/>
      <c r="F35" s="298"/>
      <c r="G35" s="1"/>
    </row>
    <row r="36" spans="1:7">
      <c r="A36" t="s">
        <v>1279</v>
      </c>
      <c r="B36" s="267" t="s">
        <v>1282</v>
      </c>
      <c r="C36" s="268">
        <v>1684000</v>
      </c>
      <c r="D36" s="298">
        <v>1335</v>
      </c>
      <c r="E36" s="298"/>
      <c r="F36" s="298" t="s">
        <v>1319</v>
      </c>
      <c r="G36" s="1"/>
    </row>
    <row r="37" spans="1:7">
      <c r="A37" t="s">
        <v>1279</v>
      </c>
      <c r="B37" s="267" t="s">
        <v>1283</v>
      </c>
      <c r="C37" s="268">
        <v>2150086</v>
      </c>
      <c r="D37" s="298">
        <v>1335</v>
      </c>
      <c r="E37" s="298"/>
      <c r="F37" s="298" t="s">
        <v>1319</v>
      </c>
      <c r="G37" s="1"/>
    </row>
    <row r="38" spans="1:7">
      <c r="A38" t="s">
        <v>1279</v>
      </c>
      <c r="B38" s="267" t="s">
        <v>1284</v>
      </c>
      <c r="C38" s="268">
        <v>2176137</v>
      </c>
      <c r="D38" s="298">
        <v>1335</v>
      </c>
      <c r="E38" s="298"/>
      <c r="F38" s="298" t="s">
        <v>1319</v>
      </c>
      <c r="G38" s="1"/>
    </row>
    <row r="39" spans="1:7">
      <c r="A39" t="s">
        <v>1279</v>
      </c>
      <c r="B39" s="267" t="s">
        <v>1285</v>
      </c>
      <c r="C39" s="268">
        <v>2944700</v>
      </c>
      <c r="D39" s="298">
        <v>1335</v>
      </c>
      <c r="E39" s="298"/>
      <c r="F39" s="298" t="s">
        <v>1319</v>
      </c>
      <c r="G39" s="1"/>
    </row>
    <row r="40" spans="1:7">
      <c r="A40" t="s">
        <v>1279</v>
      </c>
      <c r="B40" s="267" t="s">
        <v>1277</v>
      </c>
      <c r="C40" s="268">
        <v>250000</v>
      </c>
      <c r="D40" s="298"/>
      <c r="E40" s="298"/>
      <c r="F40" s="298"/>
      <c r="G40" s="1"/>
    </row>
    <row r="41" spans="1:7">
      <c r="A41" t="s">
        <v>1279</v>
      </c>
      <c r="B41" s="267" t="s">
        <v>1286</v>
      </c>
      <c r="C41" s="278">
        <v>1020000</v>
      </c>
      <c r="D41" s="298">
        <v>1333</v>
      </c>
      <c r="E41" s="298">
        <v>2212002000</v>
      </c>
      <c r="F41" s="298" t="s">
        <v>1319</v>
      </c>
      <c r="G41" s="1"/>
    </row>
    <row r="42" spans="1:7">
      <c r="A42" t="s">
        <v>1287</v>
      </c>
      <c r="B42" s="267" t="s">
        <v>1288</v>
      </c>
      <c r="C42" s="277">
        <v>500000</v>
      </c>
      <c r="D42" s="298"/>
      <c r="E42" s="298"/>
      <c r="F42" s="298"/>
      <c r="G42" s="1"/>
    </row>
    <row r="43" spans="1:7">
      <c r="A43" t="s">
        <v>1287</v>
      </c>
      <c r="B43" s="267" t="s">
        <v>1289</v>
      </c>
      <c r="C43" s="277">
        <v>1172510</v>
      </c>
      <c r="D43" s="298">
        <v>1335</v>
      </c>
      <c r="E43" s="298"/>
      <c r="F43" s="298" t="s">
        <v>1319</v>
      </c>
      <c r="G43" s="1"/>
    </row>
    <row r="44" spans="1:7">
      <c r="A44" t="s">
        <v>1287</v>
      </c>
      <c r="B44" s="267" t="s">
        <v>1290</v>
      </c>
      <c r="C44" s="277">
        <v>1221000</v>
      </c>
      <c r="D44" s="298">
        <v>1335</v>
      </c>
      <c r="E44" s="298"/>
      <c r="F44" s="298" t="s">
        <v>1319</v>
      </c>
      <c r="G44" s="1"/>
    </row>
    <row r="45" spans="1:7">
      <c r="A45" t="s">
        <v>1287</v>
      </c>
      <c r="B45" s="267" t="s">
        <v>1291</v>
      </c>
      <c r="C45" s="277">
        <v>1871001</v>
      </c>
      <c r="D45" s="298">
        <v>1335</v>
      </c>
      <c r="E45" s="298"/>
      <c r="F45" s="298" t="s">
        <v>1319</v>
      </c>
      <c r="G45" s="1"/>
    </row>
    <row r="46" spans="1:7">
      <c r="A46" t="s">
        <v>1287</v>
      </c>
      <c r="B46" s="267" t="s">
        <v>1292</v>
      </c>
      <c r="C46" s="277">
        <v>1987138</v>
      </c>
      <c r="D46" s="298">
        <v>1335</v>
      </c>
      <c r="E46" s="298"/>
      <c r="F46" s="298" t="s">
        <v>1319</v>
      </c>
      <c r="G46" s="1"/>
    </row>
    <row r="47" spans="1:7">
      <c r="A47" t="s">
        <v>1287</v>
      </c>
      <c r="B47" s="267" t="s">
        <v>1293</v>
      </c>
      <c r="C47" s="277">
        <v>2145010</v>
      </c>
      <c r="D47" s="298">
        <v>1335</v>
      </c>
      <c r="E47" s="298"/>
      <c r="F47" s="298" t="s">
        <v>1319</v>
      </c>
      <c r="G47" s="1"/>
    </row>
    <row r="48" spans="1:7">
      <c r="A48" t="s">
        <v>1287</v>
      </c>
      <c r="B48" s="267" t="s">
        <v>1294</v>
      </c>
      <c r="C48" s="277">
        <v>2244590</v>
      </c>
      <c r="D48" s="298">
        <v>1335</v>
      </c>
      <c r="E48" s="298"/>
      <c r="F48" s="298" t="s">
        <v>1319</v>
      </c>
      <c r="G48" s="1"/>
    </row>
    <row r="49" spans="1:7">
      <c r="A49" t="s">
        <v>1287</v>
      </c>
      <c r="B49" s="267" t="s">
        <v>1295</v>
      </c>
      <c r="C49" s="277">
        <v>2856479</v>
      </c>
      <c r="D49" s="298">
        <v>1335</v>
      </c>
      <c r="E49" s="298"/>
      <c r="F49" s="298" t="s">
        <v>1319</v>
      </c>
      <c r="G49" s="1"/>
    </row>
    <row r="50" spans="1:7">
      <c r="A50" t="s">
        <v>1287</v>
      </c>
      <c r="B50" s="267" t="s">
        <v>1261</v>
      </c>
      <c r="C50" s="277">
        <v>3407289</v>
      </c>
      <c r="D50" s="298"/>
      <c r="E50" s="298"/>
      <c r="F50" s="298"/>
      <c r="G50" s="1"/>
    </row>
    <row r="51" spans="1:7">
      <c r="A51" t="s">
        <v>1287</v>
      </c>
      <c r="B51" s="267" t="s">
        <v>1296</v>
      </c>
      <c r="C51" s="278">
        <v>9724972</v>
      </c>
      <c r="D51" s="298"/>
      <c r="E51" s="298"/>
      <c r="F51" s="298"/>
      <c r="G51" s="1"/>
    </row>
    <row r="52" spans="1:7">
      <c r="A52" s="267" t="s">
        <v>1327</v>
      </c>
      <c r="B52" s="267" t="s">
        <v>1328</v>
      </c>
      <c r="C52" s="277">
        <v>160178</v>
      </c>
      <c r="D52" s="298">
        <v>1335</v>
      </c>
      <c r="E52" s="298"/>
      <c r="F52" s="298" t="s">
        <v>1319</v>
      </c>
      <c r="G52" s="1"/>
    </row>
    <row r="53" spans="1:7">
      <c r="A53" s="267" t="s">
        <v>1327</v>
      </c>
      <c r="B53" s="267" t="s">
        <v>1329</v>
      </c>
      <c r="C53" s="277">
        <v>351000</v>
      </c>
      <c r="D53" s="298">
        <v>1335</v>
      </c>
      <c r="E53" s="298"/>
      <c r="F53" s="298" t="s">
        <v>1319</v>
      </c>
      <c r="G53" s="1"/>
    </row>
    <row r="54" spans="1:7">
      <c r="A54" s="267" t="s">
        <v>1327</v>
      </c>
      <c r="B54" s="267" t="s">
        <v>1330</v>
      </c>
      <c r="C54" s="277">
        <v>429000</v>
      </c>
      <c r="D54" s="298">
        <v>1335</v>
      </c>
      <c r="E54" s="298"/>
      <c r="F54" s="298" t="s">
        <v>1319</v>
      </c>
      <c r="G54" s="1"/>
    </row>
    <row r="55" spans="1:7">
      <c r="A55" s="267" t="s">
        <v>1327</v>
      </c>
      <c r="B55" s="267" t="s">
        <v>1331</v>
      </c>
      <c r="C55" s="277">
        <v>429000</v>
      </c>
      <c r="D55" s="298">
        <v>1335</v>
      </c>
      <c r="E55" s="298"/>
      <c r="F55" s="298" t="s">
        <v>1319</v>
      </c>
      <c r="G55" s="1"/>
    </row>
    <row r="56" spans="1:7">
      <c r="A56" s="267" t="s">
        <v>1327</v>
      </c>
      <c r="B56" s="267" t="s">
        <v>1332</v>
      </c>
      <c r="C56" s="277">
        <v>429000</v>
      </c>
      <c r="D56" s="298">
        <v>1335</v>
      </c>
      <c r="E56" s="298"/>
      <c r="F56" s="298" t="s">
        <v>1319</v>
      </c>
      <c r="G56" s="1"/>
    </row>
    <row r="57" spans="1:7">
      <c r="A57" s="267" t="s">
        <v>1327</v>
      </c>
      <c r="B57" s="267" t="s">
        <v>1333</v>
      </c>
      <c r="C57" s="277">
        <v>504191</v>
      </c>
      <c r="D57" s="298">
        <v>1335</v>
      </c>
      <c r="E57" s="298"/>
      <c r="F57" s="298" t="s">
        <v>1319</v>
      </c>
      <c r="G57" s="1"/>
    </row>
    <row r="58" spans="1:7">
      <c r="A58" s="267" t="s">
        <v>1327</v>
      </c>
      <c r="B58" s="267" t="s">
        <v>1334</v>
      </c>
      <c r="C58" s="277">
        <v>831297</v>
      </c>
      <c r="D58" s="298">
        <v>1335</v>
      </c>
      <c r="E58" s="298"/>
      <c r="F58" s="298" t="s">
        <v>1319</v>
      </c>
      <c r="G58" s="1"/>
    </row>
    <row r="59" spans="1:7">
      <c r="A59" s="267" t="s">
        <v>1327</v>
      </c>
      <c r="B59" s="267" t="s">
        <v>1277</v>
      </c>
      <c r="C59" s="302">
        <v>400000</v>
      </c>
      <c r="D59" s="298"/>
      <c r="E59" s="298"/>
      <c r="F59" s="298"/>
      <c r="G59" s="1"/>
    </row>
    <row r="60" spans="1:7">
      <c r="A60" s="267" t="s">
        <v>1327</v>
      </c>
      <c r="B60" s="267" t="s">
        <v>1335</v>
      </c>
      <c r="C60" s="277">
        <v>890571</v>
      </c>
      <c r="D60" s="298"/>
      <c r="E60" s="298"/>
      <c r="F60" s="298"/>
      <c r="G60" s="1"/>
    </row>
    <row r="61" spans="1:7">
      <c r="A61" s="267" t="s">
        <v>1327</v>
      </c>
      <c r="B61" s="267" t="s">
        <v>1336</v>
      </c>
      <c r="C61" s="277">
        <v>1029720</v>
      </c>
      <c r="D61" s="298">
        <v>1337</v>
      </c>
      <c r="E61" s="298">
        <v>2212002000</v>
      </c>
      <c r="F61" s="298" t="s">
        <v>1326</v>
      </c>
      <c r="G61" s="1"/>
    </row>
    <row r="62" spans="1:7">
      <c r="A62" s="267" t="s">
        <v>1327</v>
      </c>
      <c r="B62" s="267" t="s">
        <v>1337</v>
      </c>
      <c r="C62" s="277">
        <v>2000000</v>
      </c>
      <c r="D62" s="298"/>
      <c r="E62" s="298"/>
      <c r="F62" s="298"/>
      <c r="G62" s="1"/>
    </row>
    <row r="63" spans="1:7">
      <c r="A63" s="267" t="s">
        <v>1327</v>
      </c>
      <c r="B63" s="267" t="s">
        <v>1338</v>
      </c>
      <c r="C63" s="278">
        <v>2005000</v>
      </c>
      <c r="D63" s="298"/>
      <c r="E63" s="298"/>
      <c r="F63" s="298"/>
      <c r="G63" s="1"/>
    </row>
    <row r="64" spans="1:7">
      <c r="A64" s="267" t="s">
        <v>1355</v>
      </c>
      <c r="B64" s="267" t="s">
        <v>1351</v>
      </c>
      <c r="C64" s="277">
        <v>200000</v>
      </c>
      <c r="D64" s="298">
        <v>1340</v>
      </c>
      <c r="E64" s="298">
        <v>2212002000</v>
      </c>
      <c r="F64" s="298" t="s">
        <v>1347</v>
      </c>
      <c r="G64" s="306" t="s">
        <v>1356</v>
      </c>
    </row>
    <row r="65" spans="1:8">
      <c r="A65" s="267" t="s">
        <v>1355</v>
      </c>
      <c r="B65" s="267" t="s">
        <v>1352</v>
      </c>
      <c r="C65" s="277">
        <v>1570194</v>
      </c>
      <c r="D65" s="298">
        <v>1331</v>
      </c>
      <c r="E65" s="298">
        <v>2202001000</v>
      </c>
      <c r="F65" s="298" t="s">
        <v>1367</v>
      </c>
      <c r="G65" s="306" t="s">
        <v>1357</v>
      </c>
    </row>
    <row r="66" spans="1:8">
      <c r="A66" s="267" t="s">
        <v>1355</v>
      </c>
      <c r="B66" s="267" t="s">
        <v>1353</v>
      </c>
      <c r="C66" s="277">
        <v>2000000</v>
      </c>
      <c r="D66" s="298">
        <v>1334</v>
      </c>
      <c r="E66" s="298"/>
      <c r="F66" s="298" t="s">
        <v>1368</v>
      </c>
      <c r="G66" s="306" t="s">
        <v>1358</v>
      </c>
    </row>
    <row r="67" spans="1:8">
      <c r="A67" s="267" t="s">
        <v>1355</v>
      </c>
      <c r="B67" s="267" t="s">
        <v>1354</v>
      </c>
      <c r="C67" s="277">
        <v>4000000</v>
      </c>
      <c r="D67" s="298">
        <v>1334</v>
      </c>
      <c r="E67" s="298"/>
      <c r="F67" s="298" t="s">
        <v>1369</v>
      </c>
      <c r="G67" s="307" t="s">
        <v>1359</v>
      </c>
    </row>
    <row r="68" spans="1:8">
      <c r="A68" s="352" t="s">
        <v>1355</v>
      </c>
      <c r="B68" s="352" t="s">
        <v>1268</v>
      </c>
      <c r="C68" s="353">
        <v>35289233</v>
      </c>
      <c r="D68" s="298"/>
      <c r="E68" s="298"/>
      <c r="F68" s="298"/>
      <c r="G68" s="1"/>
    </row>
    <row r="69" spans="1:8">
      <c r="A69" s="267" t="s">
        <v>1377</v>
      </c>
      <c r="B69" s="267" t="s">
        <v>1262</v>
      </c>
      <c r="C69" s="277">
        <v>16293</v>
      </c>
      <c r="D69" s="342">
        <v>1331</v>
      </c>
      <c r="E69" s="277"/>
      <c r="F69" s="298"/>
      <c r="G69" s="308" t="s">
        <v>1378</v>
      </c>
      <c r="H69" s="343"/>
    </row>
    <row r="70" spans="1:8">
      <c r="A70" s="267" t="s">
        <v>1377</v>
      </c>
      <c r="B70" s="267" t="s">
        <v>1379</v>
      </c>
      <c r="C70" s="277">
        <v>295494</v>
      </c>
      <c r="D70" s="342">
        <v>1331</v>
      </c>
      <c r="E70" s="277"/>
      <c r="F70" s="298"/>
      <c r="G70" s="308" t="s">
        <v>1380</v>
      </c>
      <c r="H70" s="343"/>
    </row>
    <row r="71" spans="1:8">
      <c r="A71" s="267" t="s">
        <v>1377</v>
      </c>
      <c r="B71" s="267" t="s">
        <v>1381</v>
      </c>
      <c r="C71" s="277">
        <v>400000</v>
      </c>
      <c r="D71" s="342">
        <v>1340</v>
      </c>
      <c r="E71" s="277"/>
      <c r="F71" s="298"/>
      <c r="G71" s="307" t="s">
        <v>1382</v>
      </c>
      <c r="H71" s="343"/>
    </row>
    <row r="72" spans="1:8">
      <c r="A72" s="267" t="s">
        <v>1377</v>
      </c>
      <c r="B72" s="267" t="s">
        <v>1338</v>
      </c>
      <c r="C72" s="277">
        <v>456270</v>
      </c>
      <c r="D72" s="342">
        <v>1335</v>
      </c>
      <c r="E72" s="277"/>
      <c r="F72" s="298"/>
      <c r="G72" s="307" t="s">
        <v>1383</v>
      </c>
      <c r="H72" s="343"/>
    </row>
    <row r="73" spans="1:8">
      <c r="A73" s="267" t="s">
        <v>1377</v>
      </c>
      <c r="B73" s="267" t="s">
        <v>1384</v>
      </c>
      <c r="C73" s="277">
        <v>500000</v>
      </c>
      <c r="D73" s="342">
        <v>1344</v>
      </c>
      <c r="E73" s="277"/>
      <c r="F73" s="298"/>
      <c r="G73" s="307" t="s">
        <v>1385</v>
      </c>
      <c r="H73" s="343"/>
    </row>
    <row r="74" spans="1:8">
      <c r="A74" s="267" t="s">
        <v>1377</v>
      </c>
      <c r="B74" s="267" t="s">
        <v>1386</v>
      </c>
      <c r="C74" s="277">
        <v>200000</v>
      </c>
      <c r="D74" s="342">
        <v>1340</v>
      </c>
      <c r="E74" s="298"/>
      <c r="F74" s="298"/>
      <c r="G74" s="307" t="s">
        <v>1387</v>
      </c>
      <c r="H74" s="343"/>
    </row>
    <row r="75" spans="1:8">
      <c r="A75" s="267" t="s">
        <v>1377</v>
      </c>
      <c r="B75" s="267" t="s">
        <v>1262</v>
      </c>
      <c r="C75" s="277">
        <v>767510</v>
      </c>
      <c r="D75" s="342">
        <v>1331</v>
      </c>
      <c r="E75" s="277"/>
      <c r="F75" s="298"/>
      <c r="G75" s="308" t="s">
        <v>1388</v>
      </c>
      <c r="H75" s="343"/>
    </row>
    <row r="76" spans="1:8">
      <c r="A76" s="267" t="s">
        <v>1377</v>
      </c>
      <c r="B76" s="267" t="s">
        <v>1389</v>
      </c>
      <c r="C76" s="277">
        <v>930500</v>
      </c>
      <c r="D76" s="342">
        <v>1331</v>
      </c>
      <c r="E76" s="277"/>
      <c r="F76" s="298"/>
      <c r="G76" s="308" t="s">
        <v>1390</v>
      </c>
      <c r="H76" s="343"/>
    </row>
    <row r="77" spans="1:8">
      <c r="A77" s="267" t="s">
        <v>1377</v>
      </c>
      <c r="B77" s="267" t="s">
        <v>1262</v>
      </c>
      <c r="C77" s="277">
        <v>1430000</v>
      </c>
      <c r="D77" s="342">
        <v>1331</v>
      </c>
      <c r="E77" s="277"/>
      <c r="F77" s="298"/>
      <c r="G77" s="308" t="s">
        <v>1391</v>
      </c>
      <c r="H77" s="343"/>
    </row>
    <row r="78" spans="1:8">
      <c r="A78" s="267" t="s">
        <v>1377</v>
      </c>
      <c r="B78" s="267" t="s">
        <v>1262</v>
      </c>
      <c r="C78" s="277">
        <v>2891608</v>
      </c>
      <c r="D78" s="342">
        <v>1331</v>
      </c>
      <c r="E78" s="277"/>
      <c r="F78" s="298"/>
      <c r="G78" s="308" t="s">
        <v>1392</v>
      </c>
      <c r="H78" s="343"/>
    </row>
    <row r="79" spans="1:8">
      <c r="A79" s="267" t="s">
        <v>1377</v>
      </c>
      <c r="B79" s="267" t="s">
        <v>1261</v>
      </c>
      <c r="C79" s="277">
        <v>3070528</v>
      </c>
      <c r="D79" s="342">
        <v>1331</v>
      </c>
      <c r="E79" s="277"/>
      <c r="F79" s="298"/>
      <c r="G79" s="308" t="s">
        <v>1393</v>
      </c>
      <c r="H79" s="343"/>
    </row>
    <row r="80" spans="1:8">
      <c r="A80" s="267" t="s">
        <v>1377</v>
      </c>
      <c r="B80" s="267" t="s">
        <v>1261</v>
      </c>
      <c r="C80" s="277">
        <v>3070529</v>
      </c>
      <c r="D80" s="342">
        <v>1331</v>
      </c>
      <c r="E80" s="277"/>
      <c r="F80" s="298"/>
      <c r="G80" s="308" t="s">
        <v>1394</v>
      </c>
      <c r="H80" s="343"/>
    </row>
    <row r="81" spans="1:8">
      <c r="A81" s="267" t="s">
        <v>1377</v>
      </c>
      <c r="B81" s="267" t="s">
        <v>1262</v>
      </c>
      <c r="C81" s="277">
        <v>3297000</v>
      </c>
      <c r="D81" s="342">
        <v>1331</v>
      </c>
      <c r="E81" s="277"/>
      <c r="F81" s="298"/>
      <c r="G81" s="308" t="s">
        <v>1395</v>
      </c>
      <c r="H81" s="343"/>
    </row>
    <row r="82" spans="1:8">
      <c r="A82" s="352" t="s">
        <v>1377</v>
      </c>
      <c r="B82" s="352" t="s">
        <v>1268</v>
      </c>
      <c r="C82" s="353">
        <v>7768280</v>
      </c>
      <c r="D82" s="342">
        <v>1335</v>
      </c>
      <c r="E82" s="277"/>
      <c r="G82" s="1"/>
    </row>
    <row r="83" spans="1:8">
      <c r="A83" s="436" t="s">
        <v>1363</v>
      </c>
      <c r="B83" s="436"/>
      <c r="C83" s="305">
        <f>SUM(C8:C82)</f>
        <v>161954438</v>
      </c>
      <c r="D83" s="298"/>
      <c r="E83" s="298"/>
      <c r="F83" s="298"/>
      <c r="G83" s="1"/>
    </row>
    <row r="84" spans="1:8">
      <c r="C84" s="280"/>
      <c r="D84" s="298"/>
      <c r="E84" s="298"/>
      <c r="F84" s="298"/>
      <c r="G84" s="1"/>
    </row>
    <row r="85" spans="1:8" ht="15.6">
      <c r="A85" s="281" t="s">
        <v>1297</v>
      </c>
      <c r="D85" s="298"/>
      <c r="E85" s="298"/>
      <c r="F85" s="298"/>
      <c r="G85" s="1"/>
    </row>
    <row r="86" spans="1:8">
      <c r="A86" t="s">
        <v>1270</v>
      </c>
      <c r="B86" s="267" t="s">
        <v>1298</v>
      </c>
      <c r="C86" s="278">
        <v>1165000</v>
      </c>
      <c r="D86" s="298"/>
      <c r="E86" s="298"/>
      <c r="F86" s="298"/>
      <c r="G86" s="1"/>
    </row>
    <row r="87" spans="1:8">
      <c r="A87" t="s">
        <v>1275</v>
      </c>
      <c r="B87" s="282" t="s">
        <v>1339</v>
      </c>
      <c r="C87" s="268">
        <v>346166</v>
      </c>
      <c r="D87" s="298">
        <v>1335</v>
      </c>
      <c r="E87" s="298">
        <v>2209005000</v>
      </c>
      <c r="F87" s="298" t="s">
        <v>1319</v>
      </c>
      <c r="G87" s="1"/>
    </row>
    <row r="88" spans="1:8">
      <c r="A88" t="s">
        <v>1275</v>
      </c>
      <c r="B88" s="282" t="s">
        <v>1340</v>
      </c>
      <c r="C88" s="268">
        <v>496382</v>
      </c>
      <c r="D88" s="298">
        <v>1335</v>
      </c>
      <c r="E88" s="298">
        <v>2209005000</v>
      </c>
      <c r="F88" s="298" t="s">
        <v>1319</v>
      </c>
      <c r="G88" s="1"/>
    </row>
    <row r="89" spans="1:8">
      <c r="A89" t="s">
        <v>1275</v>
      </c>
      <c r="B89" s="282" t="s">
        <v>1308</v>
      </c>
      <c r="C89" s="268">
        <v>341543</v>
      </c>
      <c r="D89" s="298">
        <v>1335</v>
      </c>
      <c r="E89" s="298">
        <v>2209005000</v>
      </c>
      <c r="F89" s="298" t="s">
        <v>1319</v>
      </c>
      <c r="G89" s="1"/>
    </row>
    <row r="90" spans="1:8">
      <c r="A90" t="s">
        <v>1275</v>
      </c>
      <c r="B90" s="267" t="s">
        <v>1339</v>
      </c>
      <c r="C90" s="268">
        <v>2235840</v>
      </c>
      <c r="D90" s="298">
        <v>1335</v>
      </c>
      <c r="E90" s="298">
        <v>2208009000</v>
      </c>
      <c r="F90" s="298" t="s">
        <v>1319</v>
      </c>
      <c r="G90" s="1"/>
    </row>
    <row r="91" spans="1:8">
      <c r="A91" t="s">
        <v>1275</v>
      </c>
      <c r="B91" s="267" t="s">
        <v>1341</v>
      </c>
      <c r="C91" s="268">
        <v>550817</v>
      </c>
      <c r="D91" s="298">
        <v>1335</v>
      </c>
      <c r="E91" s="298">
        <v>2208009000</v>
      </c>
      <c r="F91" s="298" t="s">
        <v>1319</v>
      </c>
      <c r="G91" s="1"/>
    </row>
    <row r="92" spans="1:8">
      <c r="A92" t="s">
        <v>1275</v>
      </c>
      <c r="B92" s="267" t="s">
        <v>1342</v>
      </c>
      <c r="C92" s="268">
        <v>898920</v>
      </c>
      <c r="D92" s="298">
        <v>1335</v>
      </c>
      <c r="E92" s="298">
        <v>2208009000</v>
      </c>
      <c r="F92" s="298" t="s">
        <v>1319</v>
      </c>
      <c r="G92" s="1"/>
    </row>
    <row r="93" spans="1:8">
      <c r="A93" t="s">
        <v>1275</v>
      </c>
      <c r="B93" s="267" t="s">
        <v>1340</v>
      </c>
      <c r="C93" s="268">
        <v>571937</v>
      </c>
      <c r="D93" s="298">
        <v>1335</v>
      </c>
      <c r="E93" s="298">
        <v>2208009000</v>
      </c>
      <c r="F93" s="298" t="s">
        <v>1319</v>
      </c>
      <c r="G93" s="1"/>
    </row>
    <row r="94" spans="1:8">
      <c r="A94" t="s">
        <v>1275</v>
      </c>
      <c r="B94" s="267" t="s">
        <v>1343</v>
      </c>
      <c r="C94" s="268">
        <v>26758</v>
      </c>
      <c r="D94" s="298">
        <v>1335</v>
      </c>
      <c r="E94" s="298">
        <v>2208009000</v>
      </c>
      <c r="F94" s="298" t="s">
        <v>1319</v>
      </c>
      <c r="G94" s="1"/>
    </row>
    <row r="95" spans="1:8">
      <c r="A95" t="s">
        <v>1275</v>
      </c>
      <c r="B95" s="267" t="s">
        <v>1308</v>
      </c>
      <c r="C95" s="268">
        <v>691383</v>
      </c>
      <c r="D95" s="298">
        <v>1335</v>
      </c>
      <c r="E95" s="298">
        <v>2208009000</v>
      </c>
      <c r="F95" s="298" t="s">
        <v>1319</v>
      </c>
      <c r="G95" s="1"/>
    </row>
    <row r="96" spans="1:8">
      <c r="A96" t="s">
        <v>1275</v>
      </c>
      <c r="B96" s="267" t="s">
        <v>1311</v>
      </c>
      <c r="C96" s="268">
        <v>714328</v>
      </c>
      <c r="D96" s="298">
        <v>1335</v>
      </c>
      <c r="E96" s="298">
        <v>2208009000</v>
      </c>
      <c r="F96" s="298" t="s">
        <v>1319</v>
      </c>
      <c r="G96" s="1"/>
    </row>
    <row r="97" spans="1:15">
      <c r="A97" t="s">
        <v>1275</v>
      </c>
      <c r="B97" s="267" t="s">
        <v>1300</v>
      </c>
      <c r="C97" s="278">
        <v>-103125</v>
      </c>
      <c r="D97" s="298">
        <v>1320</v>
      </c>
      <c r="E97" s="298">
        <v>3407001000</v>
      </c>
      <c r="F97" s="298" t="s">
        <v>1344</v>
      </c>
      <c r="G97" s="1"/>
    </row>
    <row r="98" spans="1:15">
      <c r="A98" t="s">
        <v>1279</v>
      </c>
      <c r="B98" s="282" t="s">
        <v>1299</v>
      </c>
      <c r="C98" s="268">
        <v>1320154</v>
      </c>
      <c r="D98" s="298">
        <v>1335</v>
      </c>
      <c r="E98" s="298">
        <v>2208009000</v>
      </c>
      <c r="F98" s="298" t="s">
        <v>1319</v>
      </c>
      <c r="G98" s="1"/>
    </row>
    <row r="99" spans="1:15">
      <c r="A99" t="s">
        <v>1279</v>
      </c>
      <c r="B99" s="282" t="s">
        <v>1301</v>
      </c>
      <c r="C99" s="268">
        <v>840353</v>
      </c>
      <c r="D99" s="298">
        <v>1337</v>
      </c>
      <c r="E99" s="298">
        <v>2212002000</v>
      </c>
      <c r="F99" s="298" t="s">
        <v>1326</v>
      </c>
      <c r="G99" s="1"/>
    </row>
    <row r="100" spans="1:15">
      <c r="A100" t="s">
        <v>1279</v>
      </c>
      <c r="B100" s="282" t="s">
        <v>1302</v>
      </c>
      <c r="C100" s="268">
        <v>297956</v>
      </c>
      <c r="D100" s="298">
        <v>1335</v>
      </c>
      <c r="E100" s="298">
        <v>2103001000</v>
      </c>
      <c r="F100" s="298" t="s">
        <v>1345</v>
      </c>
      <c r="G100" s="1"/>
    </row>
    <row r="101" spans="1:15">
      <c r="A101" t="s">
        <v>1279</v>
      </c>
      <c r="B101" s="282" t="s">
        <v>1303</v>
      </c>
      <c r="C101" s="278">
        <f>97094+230703+231346+186900+924598</f>
        <v>1670641</v>
      </c>
      <c r="D101" s="298">
        <v>1344</v>
      </c>
      <c r="E101" s="298">
        <v>2212002000</v>
      </c>
      <c r="F101" s="298" t="s">
        <v>1346</v>
      </c>
      <c r="G101" s="1">
        <v>1253038</v>
      </c>
      <c r="H101" s="298">
        <v>1344</v>
      </c>
      <c r="I101" s="298">
        <v>2212002000</v>
      </c>
      <c r="J101" s="298" t="s">
        <v>1347</v>
      </c>
      <c r="K101" s="1">
        <v>230703</v>
      </c>
      <c r="L101" s="298">
        <v>1339</v>
      </c>
      <c r="M101" s="298">
        <v>2212002000</v>
      </c>
      <c r="N101" s="298" t="s">
        <v>1348</v>
      </c>
      <c r="O101" s="1">
        <v>186900</v>
      </c>
    </row>
    <row r="102" spans="1:15">
      <c r="A102" t="s">
        <v>1287</v>
      </c>
      <c r="B102" s="282" t="s">
        <v>1304</v>
      </c>
      <c r="C102" s="277">
        <v>-98435</v>
      </c>
      <c r="D102" s="298">
        <v>1339</v>
      </c>
      <c r="E102" s="298">
        <v>2101004006</v>
      </c>
      <c r="F102" s="298" t="s">
        <v>1348</v>
      </c>
      <c r="G102" s="1"/>
    </row>
    <row r="103" spans="1:15">
      <c r="A103" t="s">
        <v>1287</v>
      </c>
      <c r="B103" s="282" t="s">
        <v>1305</v>
      </c>
      <c r="C103" s="277">
        <v>118212</v>
      </c>
      <c r="D103" s="298">
        <v>1340</v>
      </c>
      <c r="E103" s="298">
        <v>2212002000</v>
      </c>
      <c r="F103" s="298" t="s">
        <v>1347</v>
      </c>
      <c r="G103" s="1"/>
    </row>
    <row r="104" spans="1:15">
      <c r="A104" t="s">
        <v>1287</v>
      </c>
      <c r="B104" s="282" t="s">
        <v>1306</v>
      </c>
      <c r="C104" s="277">
        <v>136475</v>
      </c>
      <c r="D104" s="298">
        <v>1335</v>
      </c>
      <c r="E104" s="298">
        <v>2210000100</v>
      </c>
      <c r="F104" s="298" t="s">
        <v>1319</v>
      </c>
      <c r="G104" s="1"/>
    </row>
    <row r="105" spans="1:15">
      <c r="A105" t="s">
        <v>1287</v>
      </c>
      <c r="B105" s="282" t="s">
        <v>1307</v>
      </c>
      <c r="C105" s="277">
        <f>190400+83180+217750</f>
        <v>491330</v>
      </c>
      <c r="D105" s="298">
        <v>1339</v>
      </c>
      <c r="E105" s="298">
        <v>2204999000</v>
      </c>
      <c r="F105" s="298" t="s">
        <v>1348</v>
      </c>
      <c r="G105" s="1"/>
    </row>
    <row r="106" spans="1:15">
      <c r="A106" t="s">
        <v>1287</v>
      </c>
      <c r="B106" s="282" t="s">
        <v>1308</v>
      </c>
      <c r="C106" s="277">
        <v>364454</v>
      </c>
      <c r="D106" s="298">
        <v>1335</v>
      </c>
      <c r="E106" s="298">
        <v>2209005000</v>
      </c>
      <c r="F106" s="298" t="s">
        <v>1319</v>
      </c>
      <c r="G106" s="1"/>
    </row>
    <row r="107" spans="1:15">
      <c r="A107" t="s">
        <v>1287</v>
      </c>
      <c r="B107" s="282" t="s">
        <v>1309</v>
      </c>
      <c r="C107" s="277">
        <v>27796</v>
      </c>
      <c r="D107" s="298">
        <v>1335</v>
      </c>
      <c r="E107" s="298">
        <v>2208009000</v>
      </c>
      <c r="F107" s="298" t="s">
        <v>1319</v>
      </c>
      <c r="G107" s="1"/>
    </row>
    <row r="108" spans="1:15">
      <c r="A108" t="s">
        <v>1287</v>
      </c>
      <c r="B108" s="282" t="s">
        <v>1310</v>
      </c>
      <c r="C108" s="277">
        <v>2145</v>
      </c>
      <c r="D108" s="298">
        <v>1335</v>
      </c>
      <c r="E108" s="298">
        <v>2208009000</v>
      </c>
      <c r="F108" s="298" t="s">
        <v>1319</v>
      </c>
      <c r="G108" s="1"/>
    </row>
    <row r="109" spans="1:15">
      <c r="A109" t="s">
        <v>1287</v>
      </c>
      <c r="B109" s="282" t="s">
        <v>1308</v>
      </c>
      <c r="C109" s="277">
        <v>342657</v>
      </c>
      <c r="D109" s="298">
        <v>1335</v>
      </c>
      <c r="E109" s="298">
        <v>2208009000</v>
      </c>
      <c r="F109" s="298" t="s">
        <v>1319</v>
      </c>
      <c r="G109" s="1"/>
    </row>
    <row r="110" spans="1:15">
      <c r="A110" t="s">
        <v>1287</v>
      </c>
      <c r="B110" s="282" t="s">
        <v>1311</v>
      </c>
      <c r="C110" s="277">
        <v>808282</v>
      </c>
      <c r="D110" s="298">
        <v>1335</v>
      </c>
      <c r="E110" s="298">
        <v>2208009000</v>
      </c>
      <c r="F110" s="298" t="s">
        <v>1319</v>
      </c>
      <c r="G110" s="1"/>
    </row>
    <row r="111" spans="1:15">
      <c r="A111" t="s">
        <v>1287</v>
      </c>
      <c r="B111" s="282" t="s">
        <v>1312</v>
      </c>
      <c r="C111" s="277">
        <v>38610</v>
      </c>
      <c r="D111" s="298">
        <v>1335</v>
      </c>
      <c r="E111" s="298">
        <v>2208009000</v>
      </c>
      <c r="F111" s="298" t="s">
        <v>1319</v>
      </c>
      <c r="G111" s="1"/>
    </row>
    <row r="112" spans="1:15">
      <c r="A112" t="s">
        <v>1287</v>
      </c>
      <c r="B112" s="282" t="s">
        <v>1313</v>
      </c>
      <c r="C112" s="277">
        <v>2145</v>
      </c>
      <c r="D112" s="298">
        <v>1335</v>
      </c>
      <c r="E112" s="298">
        <v>2208009000</v>
      </c>
      <c r="F112" s="298" t="s">
        <v>1319</v>
      </c>
      <c r="G112" s="1"/>
    </row>
    <row r="113" spans="1:7">
      <c r="A113" t="s">
        <v>1287</v>
      </c>
      <c r="B113" s="282" t="s">
        <v>1314</v>
      </c>
      <c r="C113" s="278">
        <v>1285011</v>
      </c>
      <c r="D113" s="298">
        <v>1337</v>
      </c>
      <c r="E113" s="298">
        <v>2206001001</v>
      </c>
      <c r="F113" s="298" t="s">
        <v>1326</v>
      </c>
      <c r="G113" s="1"/>
    </row>
    <row r="114" spans="1:7">
      <c r="A114" t="s">
        <v>1327</v>
      </c>
      <c r="B114" s="282" t="s">
        <v>1308</v>
      </c>
      <c r="C114" s="277">
        <v>362581</v>
      </c>
      <c r="D114" s="298">
        <v>1335</v>
      </c>
      <c r="E114" s="298">
        <v>2209005000</v>
      </c>
      <c r="F114" s="298" t="s">
        <v>1319</v>
      </c>
      <c r="G114" s="1"/>
    </row>
    <row r="115" spans="1:7">
      <c r="A115" t="s">
        <v>1327</v>
      </c>
      <c r="B115" s="282" t="s">
        <v>1349</v>
      </c>
      <c r="C115" s="277">
        <v>28359</v>
      </c>
      <c r="D115" s="298">
        <v>1335</v>
      </c>
      <c r="E115" s="298">
        <v>2208009000</v>
      </c>
      <c r="F115" s="298" t="s">
        <v>1319</v>
      </c>
      <c r="G115" s="1"/>
    </row>
    <row r="116" spans="1:7">
      <c r="A116" t="s">
        <v>1327</v>
      </c>
      <c r="B116" s="282" t="s">
        <v>1308</v>
      </c>
      <c r="C116" s="277">
        <v>319316</v>
      </c>
      <c r="D116" s="298">
        <v>1335</v>
      </c>
      <c r="E116" s="298">
        <v>2208009000</v>
      </c>
      <c r="F116" s="298" t="s">
        <v>1319</v>
      </c>
      <c r="G116" s="1"/>
    </row>
    <row r="117" spans="1:7">
      <c r="A117" t="s">
        <v>1327</v>
      </c>
      <c r="B117" s="282" t="s">
        <v>1311</v>
      </c>
      <c r="C117" s="278">
        <v>758767</v>
      </c>
      <c r="D117" s="298">
        <v>1335</v>
      </c>
      <c r="E117" s="298">
        <v>2208009000</v>
      </c>
      <c r="F117" s="298" t="s">
        <v>1319</v>
      </c>
      <c r="G117" s="1"/>
    </row>
    <row r="118" spans="1:7" ht="30" customHeight="1">
      <c r="A118" s="315" t="s">
        <v>1355</v>
      </c>
      <c r="B118" s="308" t="s">
        <v>1360</v>
      </c>
      <c r="C118" s="268">
        <v>116558</v>
      </c>
      <c r="D118" s="314">
        <v>1335</v>
      </c>
      <c r="E118" s="314">
        <v>2210004000</v>
      </c>
      <c r="F118" s="314" t="s">
        <v>1319</v>
      </c>
      <c r="G118" s="312" t="s">
        <v>1412</v>
      </c>
    </row>
    <row r="119" spans="1:7">
      <c r="A119" t="s">
        <v>1355</v>
      </c>
      <c r="B119" s="308" t="s">
        <v>1361</v>
      </c>
      <c r="C119" s="268">
        <f>297450-193340</f>
        <v>104110</v>
      </c>
      <c r="D119" s="298">
        <v>1333</v>
      </c>
      <c r="E119" s="298">
        <v>2212002000</v>
      </c>
      <c r="F119" s="298" t="s">
        <v>1319</v>
      </c>
    </row>
    <row r="120" spans="1:7">
      <c r="A120" t="s">
        <v>1355</v>
      </c>
      <c r="B120" s="313" t="s">
        <v>1366</v>
      </c>
      <c r="C120" s="268">
        <v>357949</v>
      </c>
      <c r="D120" s="298">
        <v>1335</v>
      </c>
      <c r="E120" s="298">
        <v>2209005000</v>
      </c>
      <c r="F120" s="298" t="s">
        <v>1319</v>
      </c>
    </row>
    <row r="121" spans="1:7">
      <c r="A121" t="s">
        <v>1355</v>
      </c>
      <c r="B121" s="308" t="s">
        <v>1362</v>
      </c>
      <c r="C121" s="268">
        <f>502879-199820-76490</f>
        <v>226569</v>
      </c>
      <c r="D121" s="298">
        <v>1340</v>
      </c>
      <c r="E121" s="298">
        <v>2212002000</v>
      </c>
      <c r="F121" s="298" t="s">
        <v>1319</v>
      </c>
    </row>
    <row r="122" spans="1:7">
      <c r="A122" t="s">
        <v>1355</v>
      </c>
      <c r="B122" s="308" t="s">
        <v>1361</v>
      </c>
      <c r="C122" s="268">
        <f>508200-156040</f>
        <v>352160</v>
      </c>
      <c r="D122" s="298">
        <v>1333</v>
      </c>
      <c r="E122" s="298">
        <v>2204007000</v>
      </c>
      <c r="F122" s="298" t="s">
        <v>1319</v>
      </c>
    </row>
    <row r="123" spans="1:7">
      <c r="A123" t="s">
        <v>1355</v>
      </c>
      <c r="B123" s="313" t="s">
        <v>1365</v>
      </c>
      <c r="C123" s="268">
        <v>28359</v>
      </c>
      <c r="D123" s="298">
        <v>1335</v>
      </c>
      <c r="E123" s="298">
        <v>2208009000</v>
      </c>
      <c r="F123" s="298" t="s">
        <v>1319</v>
      </c>
    </row>
    <row r="124" spans="1:7">
      <c r="A124" t="s">
        <v>1355</v>
      </c>
      <c r="B124" s="313" t="s">
        <v>1311</v>
      </c>
      <c r="C124" s="268">
        <v>697802</v>
      </c>
      <c r="D124" s="298">
        <v>1335</v>
      </c>
      <c r="E124" s="298">
        <v>2208009000</v>
      </c>
      <c r="F124" s="298" t="s">
        <v>1319</v>
      </c>
    </row>
    <row r="125" spans="1:7">
      <c r="A125" t="s">
        <v>1355</v>
      </c>
      <c r="B125" s="313" t="s">
        <v>1308</v>
      </c>
      <c r="C125" s="278">
        <v>444651</v>
      </c>
      <c r="D125" s="298">
        <v>1335</v>
      </c>
      <c r="E125" s="298">
        <v>2208009000</v>
      </c>
      <c r="F125" s="298" t="s">
        <v>1319</v>
      </c>
    </row>
    <row r="126" spans="1:7">
      <c r="A126" t="s">
        <v>1377</v>
      </c>
      <c r="B126" s="308" t="s">
        <v>1396</v>
      </c>
      <c r="C126" s="268">
        <v>-429000</v>
      </c>
      <c r="D126" s="342">
        <v>1342</v>
      </c>
      <c r="E126" s="298">
        <v>2208007001</v>
      </c>
      <c r="F126" s="298" t="s">
        <v>1319</v>
      </c>
    </row>
    <row r="127" spans="1:7">
      <c r="A127" t="s">
        <v>1377</v>
      </c>
      <c r="B127" s="308" t="s">
        <v>1397</v>
      </c>
      <c r="C127" s="268">
        <v>28359</v>
      </c>
      <c r="D127" s="342">
        <v>1335</v>
      </c>
      <c r="E127" s="298">
        <v>2208009000</v>
      </c>
      <c r="F127" s="298" t="s">
        <v>1319</v>
      </c>
    </row>
    <row r="128" spans="1:7">
      <c r="A128" t="s">
        <v>1377</v>
      </c>
      <c r="B128" s="308" t="s">
        <v>1398</v>
      </c>
      <c r="C128" s="268">
        <v>45000</v>
      </c>
      <c r="D128" s="342">
        <v>1340</v>
      </c>
      <c r="E128" s="298">
        <v>2212002000</v>
      </c>
      <c r="F128" s="298" t="s">
        <v>1347</v>
      </c>
    </row>
    <row r="129" spans="1:6">
      <c r="A129" t="s">
        <v>1377</v>
      </c>
      <c r="B129" s="308" t="s">
        <v>1398</v>
      </c>
      <c r="C129" s="268">
        <v>71932</v>
      </c>
      <c r="D129" s="342">
        <v>1340</v>
      </c>
      <c r="E129" s="298">
        <v>2208007004</v>
      </c>
      <c r="F129" s="298" t="s">
        <v>1347</v>
      </c>
    </row>
    <row r="130" spans="1:6">
      <c r="A130" t="s">
        <v>1377</v>
      </c>
      <c r="B130" s="308" t="s">
        <v>1399</v>
      </c>
      <c r="C130" s="268">
        <v>76990</v>
      </c>
      <c r="D130" s="342">
        <v>1335</v>
      </c>
      <c r="E130" s="298">
        <v>2203002000</v>
      </c>
      <c r="F130" s="298" t="s">
        <v>1319</v>
      </c>
    </row>
    <row r="131" spans="1:6">
      <c r="A131" t="s">
        <v>1377</v>
      </c>
      <c r="B131" s="308" t="s">
        <v>1399</v>
      </c>
      <c r="C131" s="268">
        <v>99510</v>
      </c>
      <c r="D131" s="342">
        <v>1335</v>
      </c>
      <c r="E131" s="298">
        <v>2212002000</v>
      </c>
      <c r="F131" s="298" t="s">
        <v>1319</v>
      </c>
    </row>
    <row r="132" spans="1:6">
      <c r="A132" t="s">
        <v>1377</v>
      </c>
      <c r="B132" s="308" t="s">
        <v>1400</v>
      </c>
      <c r="C132" s="268">
        <v>117232</v>
      </c>
      <c r="D132" s="342">
        <v>1335</v>
      </c>
      <c r="E132" s="298">
        <v>2210004000</v>
      </c>
      <c r="F132" s="298" t="s">
        <v>1319</v>
      </c>
    </row>
    <row r="133" spans="1:6">
      <c r="A133" t="s">
        <v>1377</v>
      </c>
      <c r="B133" s="308" t="s">
        <v>1401</v>
      </c>
      <c r="C133" s="268">
        <v>138000</v>
      </c>
      <c r="D133" s="342">
        <v>1335</v>
      </c>
      <c r="E133" s="298">
        <v>2204999000</v>
      </c>
      <c r="F133" s="298" t="s">
        <v>1319</v>
      </c>
    </row>
    <row r="134" spans="1:6">
      <c r="A134" t="s">
        <v>1377</v>
      </c>
      <c r="B134" s="308" t="s">
        <v>1402</v>
      </c>
      <c r="C134" s="268">
        <v>140000</v>
      </c>
      <c r="D134" s="342">
        <v>1335</v>
      </c>
      <c r="E134" s="298">
        <v>2202002000</v>
      </c>
      <c r="F134" s="298" t="s">
        <v>1321</v>
      </c>
    </row>
    <row r="135" spans="1:6">
      <c r="A135" t="s">
        <v>1377</v>
      </c>
      <c r="B135" s="308" t="s">
        <v>1403</v>
      </c>
      <c r="C135" s="268">
        <v>165000</v>
      </c>
      <c r="D135" s="342">
        <v>1345</v>
      </c>
      <c r="E135" s="298">
        <v>2206003000</v>
      </c>
      <c r="F135" s="298" t="s">
        <v>1319</v>
      </c>
    </row>
    <row r="136" spans="1:6">
      <c r="A136" t="s">
        <v>1377</v>
      </c>
      <c r="B136" s="308" t="s">
        <v>1404</v>
      </c>
      <c r="C136" s="268">
        <v>172550</v>
      </c>
      <c r="D136" s="342">
        <v>1334</v>
      </c>
      <c r="E136" s="298">
        <v>2206999001</v>
      </c>
      <c r="F136" s="298" t="s">
        <v>1319</v>
      </c>
    </row>
    <row r="137" spans="1:6">
      <c r="A137" t="s">
        <v>1377</v>
      </c>
      <c r="B137" s="308" t="s">
        <v>1405</v>
      </c>
      <c r="C137" s="268">
        <v>196350</v>
      </c>
      <c r="D137" s="342">
        <v>1340</v>
      </c>
      <c r="E137" s="298">
        <v>2212002000</v>
      </c>
      <c r="F137" s="298" t="s">
        <v>1347</v>
      </c>
    </row>
    <row r="138" spans="1:6">
      <c r="A138" t="s">
        <v>1377</v>
      </c>
      <c r="B138" s="308" t="s">
        <v>1401</v>
      </c>
      <c r="C138" s="268">
        <v>196430</v>
      </c>
      <c r="D138" s="342">
        <v>1335</v>
      </c>
      <c r="E138" s="298">
        <v>2212002000</v>
      </c>
      <c r="F138" s="298" t="s">
        <v>1319</v>
      </c>
    </row>
    <row r="139" spans="1:6">
      <c r="A139" t="s">
        <v>1377</v>
      </c>
      <c r="B139" s="308" t="s">
        <v>1406</v>
      </c>
      <c r="C139" s="268">
        <v>196860</v>
      </c>
      <c r="D139" s="342">
        <v>1340</v>
      </c>
      <c r="E139" s="298">
        <v>2208007001</v>
      </c>
      <c r="F139" s="298" t="s">
        <v>1319</v>
      </c>
    </row>
    <row r="140" spans="1:6">
      <c r="A140" t="s">
        <v>1377</v>
      </c>
      <c r="B140" s="308" t="s">
        <v>1406</v>
      </c>
      <c r="C140" s="268">
        <v>200000</v>
      </c>
      <c r="D140" s="342">
        <v>1340</v>
      </c>
      <c r="E140" s="298">
        <v>2204002000</v>
      </c>
      <c r="F140" s="298" t="s">
        <v>1319</v>
      </c>
    </row>
    <row r="141" spans="1:6">
      <c r="A141" t="s">
        <v>1377</v>
      </c>
      <c r="B141" s="308" t="s">
        <v>1406</v>
      </c>
      <c r="C141" s="268">
        <v>231693</v>
      </c>
      <c r="D141" s="342">
        <v>1340</v>
      </c>
      <c r="E141" s="298">
        <v>2212002000</v>
      </c>
      <c r="F141" s="298" t="s">
        <v>1319</v>
      </c>
    </row>
    <row r="142" spans="1:6">
      <c r="A142" t="s">
        <v>1377</v>
      </c>
      <c r="B142" s="308" t="s">
        <v>1403</v>
      </c>
      <c r="C142" s="268">
        <v>268040</v>
      </c>
      <c r="D142" s="342">
        <v>1345</v>
      </c>
      <c r="E142" s="298">
        <v>2212002000</v>
      </c>
      <c r="F142" s="298" t="s">
        <v>1319</v>
      </c>
    </row>
    <row r="143" spans="1:6">
      <c r="A143" t="s">
        <v>1377</v>
      </c>
      <c r="B143" s="308" t="s">
        <v>1402</v>
      </c>
      <c r="C143" s="268">
        <v>270000</v>
      </c>
      <c r="D143" s="342">
        <v>1335</v>
      </c>
      <c r="E143" s="298">
        <v>2212005000</v>
      </c>
      <c r="F143" s="298" t="s">
        <v>1321</v>
      </c>
    </row>
    <row r="144" spans="1:6">
      <c r="A144" t="s">
        <v>1377</v>
      </c>
      <c r="B144" s="308" t="s">
        <v>1402</v>
      </c>
      <c r="C144" s="268">
        <v>334952</v>
      </c>
      <c r="D144" s="342">
        <v>1335</v>
      </c>
      <c r="E144" s="298">
        <v>2212002000</v>
      </c>
      <c r="F144" s="298" t="s">
        <v>1321</v>
      </c>
    </row>
    <row r="145" spans="1:6">
      <c r="A145" t="s">
        <v>1377</v>
      </c>
      <c r="B145" s="308" t="s">
        <v>1308</v>
      </c>
      <c r="C145" s="268">
        <v>344038</v>
      </c>
      <c r="D145" s="342">
        <v>1335</v>
      </c>
      <c r="E145" s="298">
        <v>2209005000</v>
      </c>
      <c r="F145" s="298" t="s">
        <v>1319</v>
      </c>
    </row>
    <row r="146" spans="1:6">
      <c r="A146" t="s">
        <v>1377</v>
      </c>
      <c r="B146" s="308" t="s">
        <v>1401</v>
      </c>
      <c r="C146" s="268">
        <v>358930</v>
      </c>
      <c r="D146" s="342">
        <v>1335</v>
      </c>
      <c r="E146" s="298">
        <v>2204001000</v>
      </c>
      <c r="F146" s="298" t="s">
        <v>1319</v>
      </c>
    </row>
    <row r="147" spans="1:6">
      <c r="A147" t="s">
        <v>1377</v>
      </c>
      <c r="B147" s="308" t="s">
        <v>1308</v>
      </c>
      <c r="C147" s="268">
        <v>384935</v>
      </c>
      <c r="D147" s="342">
        <v>1335</v>
      </c>
      <c r="E147" s="298">
        <v>2208009000</v>
      </c>
      <c r="F147" s="298" t="s">
        <v>1319</v>
      </c>
    </row>
    <row r="148" spans="1:6">
      <c r="A148" t="s">
        <v>1377</v>
      </c>
      <c r="B148" s="308" t="s">
        <v>1404</v>
      </c>
      <c r="C148" s="268">
        <v>519341</v>
      </c>
      <c r="D148" s="342">
        <v>1334</v>
      </c>
      <c r="E148" s="298">
        <v>2212002000</v>
      </c>
      <c r="F148" s="298" t="s">
        <v>1319</v>
      </c>
    </row>
    <row r="149" spans="1:6">
      <c r="A149" t="s">
        <v>1377</v>
      </c>
      <c r="B149" s="308" t="s">
        <v>1399</v>
      </c>
      <c r="C149" s="268">
        <v>531720</v>
      </c>
      <c r="D149" s="342">
        <v>1335</v>
      </c>
      <c r="E149" s="298">
        <v>2204001000</v>
      </c>
      <c r="F149" s="298" t="s">
        <v>1319</v>
      </c>
    </row>
    <row r="150" spans="1:6">
      <c r="A150" t="s">
        <v>1377</v>
      </c>
      <c r="B150" s="308" t="s">
        <v>1311</v>
      </c>
      <c r="C150" s="278">
        <v>736421</v>
      </c>
      <c r="D150" s="342">
        <v>1335</v>
      </c>
      <c r="E150" s="298">
        <v>2208009000</v>
      </c>
      <c r="F150" s="298" t="s">
        <v>1319</v>
      </c>
    </row>
    <row r="151" spans="1:6">
      <c r="A151" s="435" t="s">
        <v>1315</v>
      </c>
      <c r="B151" s="435"/>
      <c r="C151" s="283">
        <f>SUM(C86:C150)</f>
        <v>24776199</v>
      </c>
    </row>
    <row r="153" spans="1:6">
      <c r="B153" s="310" t="s">
        <v>1364</v>
      </c>
      <c r="C153" s="311">
        <f>+C83-C151</f>
        <v>137178239</v>
      </c>
    </row>
    <row r="154" spans="1:6">
      <c r="C154" s="309"/>
    </row>
    <row r="155" spans="1:6">
      <c r="C155" s="309"/>
    </row>
    <row r="157" spans="1:6">
      <c r="A157" t="s">
        <v>1257</v>
      </c>
      <c r="B157" s="271" t="s">
        <v>1407</v>
      </c>
      <c r="C157" s="272">
        <v>5368422</v>
      </c>
    </row>
    <row r="158" spans="1:6">
      <c r="A158" t="s">
        <v>1257</v>
      </c>
      <c r="B158" s="271" t="s">
        <v>1407</v>
      </c>
      <c r="C158" s="274">
        <v>5559389</v>
      </c>
    </row>
    <row r="159" spans="1:6">
      <c r="A159" t="s">
        <v>1355</v>
      </c>
      <c r="B159" s="271" t="s">
        <v>1408</v>
      </c>
      <c r="C159" s="274">
        <v>35289233</v>
      </c>
    </row>
    <row r="160" spans="1:6">
      <c r="A160" t="s">
        <v>1377</v>
      </c>
      <c r="B160" s="271" t="s">
        <v>1408</v>
      </c>
      <c r="C160" s="276">
        <v>7768280</v>
      </c>
    </row>
    <row r="161" spans="2:3">
      <c r="B161" s="344"/>
      <c r="C161" s="345">
        <f>SUM(C157:C160)</f>
        <v>53985324</v>
      </c>
    </row>
  </sheetData>
  <mergeCells count="4">
    <mergeCell ref="B1:C1"/>
    <mergeCell ref="D18:F18"/>
    <mergeCell ref="A151:B151"/>
    <mergeCell ref="A83:B83"/>
  </mergeCells>
  <pageMargins left="0.7" right="0.7" top="0.75" bottom="0.75" header="0.3" footer="0.3"/>
  <pageSetup paperSize="41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13" sqref="D13"/>
    </sheetView>
  </sheetViews>
  <sheetFormatPr baseColWidth="10"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2</vt:i4>
      </vt:variant>
    </vt:vector>
  </HeadingPairs>
  <TitlesOfParts>
    <vt:vector size="13" baseType="lpstr">
      <vt:lpstr>CARTOLA INGRESOS SEP</vt:lpstr>
      <vt:lpstr>DESIVACIÓN DE CAJA</vt:lpstr>
      <vt:lpstr>PROYECCIÓN PRESUPUESTARIA</vt:lpstr>
      <vt:lpstr>REGISTRO DE RETIROS</vt:lpstr>
      <vt:lpstr>PRESUPUESTO</vt:lpstr>
      <vt:lpstr>CTAS X COBRAR</vt:lpstr>
      <vt:lpstr>CADETES</vt:lpstr>
      <vt:lpstr>FLUJOS 2022-2024</vt:lpstr>
      <vt:lpstr>REFERENCIAS</vt:lpstr>
      <vt:lpstr>DETALLE MOVIMIENTOS CF 3</vt:lpstr>
      <vt:lpstr>DETALLE NOVIMIENTOS CF 10</vt:lpstr>
      <vt:lpstr>'DESIVACIÓN DE CAJA'!Área_de_impresión</vt:lpstr>
      <vt:lpstr>'DETALLE MOVIMIENTOS CF 3'!Área_de_impresión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Andrés Balaresque</dc:creator>
  <cp:lastModifiedBy>F1-03 Tesorería Paola Valdes L.</cp:lastModifiedBy>
  <cp:lastPrinted>2025-09-15T14:10:59Z</cp:lastPrinted>
  <dcterms:created xsi:type="dcterms:W3CDTF">2025-03-18T02:32:57Z</dcterms:created>
  <dcterms:modified xsi:type="dcterms:W3CDTF">2025-10-08T18:04:20Z</dcterms:modified>
</cp:coreProperties>
</file>